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8"/>
  <workbookPr codeName="ThisWorkbook"/>
  <mc:AlternateContent xmlns:mc="http://schemas.openxmlformats.org/markup-compatibility/2006">
    <mc:Choice Requires="x15">
      <x15ac:absPath xmlns:x15ac="http://schemas.microsoft.com/office/spreadsheetml/2010/11/ac" url="E:\MOMB\Kitchen shed\"/>
    </mc:Choice>
  </mc:AlternateContent>
  <xr:revisionPtr revIDLastSave="0" documentId="13_ncr:1_{1AFE1D37-7631-4DA5-B8EB-B32E6CDCBCC3}" xr6:coauthVersionLast="47" xr6:coauthVersionMax="47" xr10:uidLastSave="{00000000-0000-0000-0000-000000000000}"/>
  <bookViews>
    <workbookView xWindow="-96" yWindow="-96" windowWidth="19392" windowHeight="11592" tabRatio="949" xr2:uid="{00000000-000D-0000-FFFF-FFFF00000000}"/>
  </bookViews>
  <sheets>
    <sheet name="Inputsheet" sheetId="494" r:id="rId1"/>
    <sheet name="Cover" sheetId="476" r:id="rId2"/>
    <sheet name="ABS" sheetId="492" state="hidden" r:id="rId3"/>
    <sheet name="kitchen shed" sheetId="485" r:id="rId4"/>
    <sheet name="LEAD" sheetId="381" r:id="rId5"/>
    <sheet name="c-data 2" sheetId="490" state="hidden" r:id="rId6"/>
    <sheet name="C-data" sheetId="382" r:id="rId7"/>
    <sheet name="D&amp;W DATA 1" sheetId="383" r:id="rId8"/>
    <sheet name="CC road data" sheetId="385" state="hidden" r:id="rId9"/>
    <sheet name="WS-DATA" sheetId="99" state="hidden" r:id="rId10"/>
    <sheet name="ELE-data" sheetId="461" state="hidden" r:id="rId11"/>
    <sheet name="GA (2)" sheetId="459" state="hidden" r:id="rId12"/>
    <sheet name="ABS-CVL-SEC" sheetId="444" state="hidden" r:id="rId13"/>
    <sheet name="ABS-WS-SEC" sheetId="446" state="hidden" r:id="rId14"/>
    <sheet name="ABS-ELE-SEC" sheetId="454" state="hidden" r:id="rId15"/>
    <sheet name="Security-GF " sheetId="445" state="hidden" r:id="rId16"/>
    <sheet name="Ws-Det-Security" sheetId="447" state="hidden" r:id="rId17"/>
    <sheet name="C.wall" sheetId="441" state="hidden" r:id="rId18"/>
    <sheet name="C.wall-Steel" sheetId="442" state="hidden" r:id="rId19"/>
    <sheet name="Conv" sheetId="83" state="hidden" r:id="rId20"/>
    <sheet name="Basic Data" sheetId="82" state="hidden" r:id="rId21"/>
    <sheet name="DESN" sheetId="467" state="hidden" r:id="rId22"/>
    <sheet name="Grill" sheetId="471" state="hidden" r:id="rId23"/>
    <sheet name="Sheet1" sheetId="475" state="hidden" r:id="rId24"/>
    <sheet name="Grill data" sheetId="491" state="hidden" r:id="rId25"/>
    <sheet name="NREGA Input" sheetId="493" r:id="rId26"/>
  </sheets>
  <externalReferences>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__________________________________________________________________________________can430">40.73</definedName>
    <definedName name="___________________________________________________________________________________can435">43.3</definedName>
    <definedName name="__________________________________________________________________________________can430">40.73</definedName>
    <definedName name="__________________________________________________________________________________can435">43.3</definedName>
    <definedName name="_________________________________________________________________________________can430">40.73</definedName>
    <definedName name="_________________________________________________________________________________can435">43.3</definedName>
    <definedName name="________________________________________________________________________________can430">40.73</definedName>
    <definedName name="________________________________________________________________________________can435">43.3</definedName>
    <definedName name="_______________________________________________________________________________can430">40.73</definedName>
    <definedName name="_______________________________________________________________________________can435">43.3</definedName>
    <definedName name="______________________________________________________________________________can430">40.73</definedName>
    <definedName name="______________________________________________________________________________can435">43.3</definedName>
    <definedName name="___xlfn.BAHTTEXT" hidden="1">#NAME?</definedName>
    <definedName name="___xlfn.ISFORMULA" hidden="1">#NAME?</definedName>
    <definedName name="__xlfn.BAHTTEXT" hidden="1">#NAME?</definedName>
    <definedName name="__xlfn.ISFORMULA" hidden="1">#NAME?</definedName>
    <definedName name="_3" localSheetId="12" hidden="1">'[1]final abstract'!#REF!</definedName>
    <definedName name="_3" localSheetId="13" hidden="1">'[1]final abstract'!#REF!</definedName>
    <definedName name="_3" localSheetId="15" hidden="1">'[1]final abstract'!#REF!</definedName>
    <definedName name="_3" localSheetId="16" hidden="1">'[1]final abstract'!#REF!</definedName>
    <definedName name="_Fill" localSheetId="12" hidden="1">'[1]final abstract'!#REF!</definedName>
    <definedName name="_Fill" localSheetId="13" hidden="1">'[1]final abstract'!#REF!</definedName>
    <definedName name="_Fill" localSheetId="11" hidden="1">#REF!</definedName>
    <definedName name="_Fill" localSheetId="15" hidden="1">'[1]final abstract'!#REF!</definedName>
    <definedName name="_Fill" localSheetId="16" hidden="1">'[1]final abstract'!#REF!</definedName>
    <definedName name="_Fill" hidden="1">#REF!</definedName>
    <definedName name="_xlnm._FilterDatabase" localSheetId="12" hidden="1">'ABS-CVL-SEC'!$A$5:$J$135</definedName>
    <definedName name="_xlnm._FilterDatabase" localSheetId="13" hidden="1">'ABS-WS-SEC'!$A$4:$G$48</definedName>
    <definedName name="_xlnm._FilterDatabase" localSheetId="6" hidden="1">'C-data'!$A$8:$R$1532</definedName>
    <definedName name="_xlnm._FilterDatabase" localSheetId="4" hidden="1">LEAD!$B$98:$B$104</definedName>
    <definedName name="_xlnm._FilterDatabase" localSheetId="15" hidden="1">'Security-GF '!$A$2:$I$376</definedName>
    <definedName name="_Key1" localSheetId="7" hidden="1">#REF!</definedName>
    <definedName name="_Key1" localSheetId="11" hidden="1">#REF!</definedName>
    <definedName name="_Key1" hidden="1">#REF!</definedName>
    <definedName name="_Order1" hidden="1">255</definedName>
    <definedName name="_Sort" localSheetId="7" hidden="1">#REF!</definedName>
    <definedName name="_Sort" localSheetId="11" hidden="1">#REF!</definedName>
    <definedName name="_Sort" hidden="1">#REF!</definedName>
    <definedName name="aa" localSheetId="12" hidden="1">'[1]final abstract'!#REF!</definedName>
    <definedName name="aa" localSheetId="13" hidden="1">'[1]final abstract'!#REF!</definedName>
    <definedName name="academic" localSheetId="12" hidden="1">'[1]final abstract'!#REF!</definedName>
    <definedName name="academic" localSheetId="13" hidden="1">'[1]final abstract'!#REF!</definedName>
    <definedName name="anscount" hidden="1">1</definedName>
    <definedName name="ASDF" localSheetId="7" hidden="1">{"'ridftotal'!$A$4:$S$27"}</definedName>
    <definedName name="ASDF" hidden="1">{"'ridftotal'!$A$4:$S$27"}</definedName>
    <definedName name="ASFDA" localSheetId="7" hidden="1">{"'ridftotal'!$A$4:$S$27"}</definedName>
    <definedName name="ASFDA" hidden="1">{"'ridftotal'!$A$4:$S$27"}</definedName>
    <definedName name="data1" localSheetId="7" hidden="1">#REF!</definedName>
    <definedName name="data1" localSheetId="11" hidden="1">#REF!</definedName>
    <definedName name="data1" hidden="1">#REF!</definedName>
    <definedName name="data2" localSheetId="7" hidden="1">#REF!</definedName>
    <definedName name="data2" localSheetId="11" hidden="1">#REF!</definedName>
    <definedName name="data2" hidden="1">#REF!</definedName>
    <definedName name="data3" localSheetId="7" hidden="1">#REF!</definedName>
    <definedName name="data3" localSheetId="11" hidden="1">#REF!</definedName>
    <definedName name="data3" hidden="1">#REF!</definedName>
    <definedName name="ddd" localSheetId="12" hidden="1">'[1]final abstract'!#REF!</definedName>
    <definedName name="ddd" localSheetId="13" hidden="1">'[1]final abstract'!#REF!</definedName>
    <definedName name="ddd" localSheetId="15" hidden="1">'[1]final abstract'!#REF!</definedName>
    <definedName name="ddd" localSheetId="16" hidden="1">'[1]final abstract'!#REF!</definedName>
    <definedName name="dfas" localSheetId="12" hidden="1">'[1]final abstract'!#REF!</definedName>
    <definedName name="dfas" localSheetId="13" hidden="1">'[1]final abstract'!#REF!</definedName>
    <definedName name="Discount" localSheetId="7" hidden="1">#REF!</definedName>
    <definedName name="Discount" localSheetId="11" hidden="1">#REF!</definedName>
    <definedName name="Discount" hidden="1">#REF!</definedName>
    <definedName name="display_area_2" localSheetId="7" hidden="1">#REF!</definedName>
    <definedName name="display_area_2" localSheetId="11" hidden="1">#REF!</definedName>
    <definedName name="display_area_2" hidden="1">#REF!</definedName>
    <definedName name="FCode" localSheetId="7" hidden="1">#REF!</definedName>
    <definedName name="FCode" localSheetId="11" hidden="1">#REF!</definedName>
    <definedName name="FCode" hidden="1">#REF!</definedName>
    <definedName name="FGD" localSheetId="7" hidden="1">{"'ridftotal'!$A$4:$S$27"}</definedName>
    <definedName name="FGD" hidden="1">{"'ridftotal'!$A$4:$S$27"}</definedName>
    <definedName name="GHJK" localSheetId="7" hidden="1">{"'ridftotal'!$A$4:$S$27"}</definedName>
    <definedName name="GHJK" hidden="1">{"'ridftotal'!$A$4:$S$27"}</definedName>
    <definedName name="GHJKJK" localSheetId="7" hidden="1">{"'ridftotal'!$A$4:$S$27"}</definedName>
    <definedName name="GHJKJK" hidden="1">{"'ridftotal'!$A$4:$S$27"}</definedName>
    <definedName name="HiddenRows" localSheetId="7" hidden="1">#REF!</definedName>
    <definedName name="HiddenRows" localSheetId="11" hidden="1">#REF!</definedName>
    <definedName name="HiddenRows" hidden="1">#REF!</definedName>
    <definedName name="HJ" localSheetId="7" hidden="1">{"'ridftotal'!$A$4:$S$27"}</definedName>
    <definedName name="HJ" hidden="1">{"'ridftotal'!$A$4:$S$27"}</definedName>
    <definedName name="HTML_CodePage" hidden="1">1252</definedName>
    <definedName name="HTML_Control" localSheetId="7"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7" hidden="1">{"'ridftotal'!$A$4:$S$27"}</definedName>
    <definedName name="IK" hidden="1">{"'ridftotal'!$A$4:$S$27"}</definedName>
    <definedName name="Index" localSheetId="7" hidden="1">{"'ridftotal'!$A$4:$S$27"}</definedName>
    <definedName name="Index" hidden="1">{"'ridftotal'!$A$4:$S$27"}</definedName>
    <definedName name="jk" localSheetId="7" hidden="1">{"'ridftotal'!$A$4:$S$27"}</definedName>
    <definedName name="jk" hidden="1">{"'ridftotal'!$A$4:$S$27"}</definedName>
    <definedName name="JKDL123" localSheetId="7" hidden="1">#REF!</definedName>
    <definedName name="JKDL123" localSheetId="11" hidden="1">#REF!</definedName>
    <definedName name="JKDL123" hidden="1">#REF!</definedName>
    <definedName name="KJ" localSheetId="7" hidden="1">{"'ridftotal'!$A$4:$S$27"}</definedName>
    <definedName name="KJ" hidden="1">{"'ridftotal'!$A$4:$S$27"}</definedName>
    <definedName name="MK" localSheetId="7" hidden="1">{"'ridftotal'!$A$4:$S$27"}</definedName>
    <definedName name="MK" hidden="1">{"'ridftotal'!$A$4:$S$27"}</definedName>
    <definedName name="NM" localSheetId="7" hidden="1">{"'ridftotal'!$A$4:$S$27"}</definedName>
    <definedName name="NM" hidden="1">{"'ridftotal'!$A$4:$S$27"}</definedName>
    <definedName name="OrderTable" localSheetId="7" hidden="1">#REF!</definedName>
    <definedName name="OrderTable" localSheetId="11" hidden="1">#REF!</definedName>
    <definedName name="OrderTable" hidden="1">#REF!</definedName>
    <definedName name="ppp" localSheetId="7" hidden="1">{#N/A,#N/A,FALSE,"no"}</definedName>
    <definedName name="ppp" hidden="1">{#N/A,#N/A,FALSE,"no"}</definedName>
    <definedName name="_xlnm.Print_Area" localSheetId="2">ABS!$A$1:$D$11</definedName>
    <definedName name="_xlnm.Print_Area" localSheetId="12">'ABS-CVL-SEC'!$A$1:$J$135</definedName>
    <definedName name="_xlnm.Print_Area" localSheetId="13">'ABS-WS-SEC'!$A$1:$G$48</definedName>
    <definedName name="_xlnm.Print_Area" localSheetId="20">'Basic Data'!$Q$1:$AH$34</definedName>
    <definedName name="_xlnm.Print_Area" localSheetId="6">'C-data'!$A$1:$I$1618</definedName>
    <definedName name="_xlnm.Print_Area" localSheetId="19">Conv!$A$1:$I$517</definedName>
    <definedName name="_xlnm.Print_Area" localSheetId="1">Cover!$A$1:$I$31</definedName>
    <definedName name="_xlnm.Print_Area" localSheetId="7">'D&amp;W DATA 1'!$A$1:$H$335</definedName>
    <definedName name="_xlnm.Print_Area" localSheetId="10">'ELE-data'!$A$1:$H$1033</definedName>
    <definedName name="_xlnm.Print_Area" localSheetId="11">'GA (2)'!$A$1:$C$18</definedName>
    <definedName name="_xlnm.Print_Area" localSheetId="3">'kitchen shed'!$A$1:$K$163</definedName>
    <definedName name="_xlnm.Print_Area" localSheetId="4">LEAD!$A$1:$Q$42</definedName>
    <definedName name="_xlnm.Print_Area" localSheetId="15">'Security-GF '!$A$1:$I$380</definedName>
    <definedName name="_xlnm.Print_Titles" localSheetId="12">'ABS-CVL-SEC'!$3:$4</definedName>
    <definedName name="_xlnm.Print_Titles" localSheetId="14">'ABS-ELE-SEC'!$2:$3</definedName>
    <definedName name="_xlnm.Print_Titles" localSheetId="13">'ABS-WS-SEC'!$2:$3</definedName>
    <definedName name="_xlnm.Print_Titles" localSheetId="17">'C.wall'!$4:$4</definedName>
    <definedName name="_xlnm.Print_Titles" localSheetId="11">'GA (2)'!$3:$3</definedName>
    <definedName name="_xlnm.Print_Titles" localSheetId="15">'Security-GF '!$2:$2</definedName>
    <definedName name="_xlnm.Print_Titles" localSheetId="16">'Ws-Det-Security'!$2:$2</definedName>
    <definedName name="ProdForm" localSheetId="7" hidden="1">#REF!</definedName>
    <definedName name="ProdForm" localSheetId="11" hidden="1">#REF!</definedName>
    <definedName name="ProdForm" hidden="1">#REF!</definedName>
    <definedName name="Product" localSheetId="7" hidden="1">#REF!</definedName>
    <definedName name="Product" localSheetId="11" hidden="1">#REF!</definedName>
    <definedName name="Product" hidden="1">#REF!</definedName>
    <definedName name="Q" localSheetId="7" hidden="1">{"'ridftotal'!$A$4:$S$27"}</definedName>
    <definedName name="Q" localSheetId="11" hidden="1">#REF!</definedName>
    <definedName name="Q" hidden="1">#REF!</definedName>
    <definedName name="RCArea" localSheetId="7" hidden="1">#REF!</definedName>
    <definedName name="RCArea" localSheetId="11" hidden="1">#REF!</definedName>
    <definedName name="RCArea" hidden="1">#REF!</definedName>
    <definedName name="re" localSheetId="7" hidden="1">{#N/A,#N/A,FALSE,"no"}</definedName>
    <definedName name="re" hidden="1">{#N/A,#N/A,FALSE,"no"}</definedName>
    <definedName name="ROJU" localSheetId="7" hidden="1">#REF!</definedName>
    <definedName name="ROJU" localSheetId="11" hidden="1">#REF!</definedName>
    <definedName name="ROJU" hidden="1">#REF!</definedName>
    <definedName name="rtytyt" localSheetId="7" hidden="1">#REF!</definedName>
    <definedName name="rtytyt" localSheetId="11" hidden="1">#REF!</definedName>
    <definedName name="rtytyt" hidden="1">#REF!</definedName>
    <definedName name="S.F" localSheetId="12" hidden="1">'[1]final abstract'!#REF!</definedName>
    <definedName name="S.F" localSheetId="13" hidden="1">'[1]final abstract'!#REF!</definedName>
    <definedName name="S.F" localSheetId="11" hidden="1">'[1]final abstract'!#REF!</definedName>
    <definedName name="S.F" localSheetId="15" hidden="1">'[1]final abstract'!#REF!</definedName>
    <definedName name="S.F" localSheetId="16" hidden="1">'[1]final abstract'!#REF!</definedName>
    <definedName name="S.F" hidden="1">'[1]final abstract'!#REF!</definedName>
    <definedName name="sgsdgsdg" localSheetId="7" hidden="1">#REF!</definedName>
    <definedName name="sgsdgsdg" localSheetId="11" hidden="1">#REF!</definedName>
    <definedName name="sgsdgsdg" hidden="1">#REF!</definedName>
    <definedName name="SKDIRD" localSheetId="7" hidden="1">{"'ridftotal'!$A$4:$S$27"}</definedName>
    <definedName name="SKDIRD" hidden="1">{"'ridftotal'!$A$4:$S$27"}</definedName>
    <definedName name="SpecialPrice" localSheetId="7" hidden="1">#REF!</definedName>
    <definedName name="SpecialPrice" localSheetId="11" hidden="1">#REF!</definedName>
    <definedName name="SpecialPrice" hidden="1">#REF!</definedName>
    <definedName name="tbl_ProdInfo" localSheetId="7" hidden="1">#REF!</definedName>
    <definedName name="tbl_ProdInfo" localSheetId="11" hidden="1">#REF!</definedName>
    <definedName name="tbl_ProdInfo" hidden="1">#REF!</definedName>
    <definedName name="VB" localSheetId="7" hidden="1">{"'ridftotal'!$A$4:$S$27"}</definedName>
    <definedName name="VB" hidden="1">{"'ridftotal'!$A$4:$S$27"}</definedName>
    <definedName name="wgl" localSheetId="7" hidden="1">{"'ridftotal'!$A$4:$S$27"}</definedName>
    <definedName name="wgl" hidden="1">{"'ridftotal'!$A$4:$S$27"}</definedName>
    <definedName name="wrn.detailed." localSheetId="7" hidden="1">{#N/A,#N/A,FALSE,"no"}</definedName>
    <definedName name="wrn.detailed." hidden="1">{#N/A,#N/A,FALSE,"no"}</definedName>
    <definedName name="x" localSheetId="12" hidden="1">'[1]final abstract'!#REF!</definedName>
    <definedName name="x" localSheetId="13" hidden="1">'[1]final abstract'!#REF!</definedName>
    <definedName name="x" localSheetId="15" hidden="1">'[1]final abstract'!#REF!</definedName>
    <definedName name="x" localSheetId="16" hidden="1">'[1]final abstract'!#REF!</definedName>
    <definedName name="Z_2C468B64_8501_4D88_84F3_A24686B3D1D2_.wvu.PrintArea" localSheetId="13" hidden="1">'ABS-WS-SEC'!$A$1:$F$48</definedName>
    <definedName name="Z_2C468B64_8501_4D88_84F3_A24686B3D1D2_.wvu.PrintArea" localSheetId="16" hidden="1">'Ws-Det-Security'!$A$1:$I$89</definedName>
    <definedName name="Z_2C468B64_8501_4D88_84F3_A24686B3D1D2_.wvu.PrintTitles" localSheetId="13" hidden="1">'ABS-WS-SEC'!$A$2:$IV$2</definedName>
    <definedName name="Z_2C468B64_8501_4D88_84F3_A24686B3D1D2_.wvu.PrintTitles" localSheetId="16" hidden="1">'Ws-Det-Security'!$A$2:$IV$2</definedName>
    <definedName name="Z_3A917561_2D35_426A_97B9_96ECE408BA52_.wvu.PrintArea" localSheetId="13" hidden="1">'ABS-WS-SEC'!$A$1:$F$48</definedName>
    <definedName name="Z_3A917561_2D35_426A_97B9_96ECE408BA52_.wvu.PrintArea" localSheetId="16" hidden="1">'Ws-Det-Security'!$A$1:$I$89</definedName>
    <definedName name="Z_3A917561_2D35_426A_97B9_96ECE408BA52_.wvu.PrintTitles" localSheetId="13" hidden="1">'ABS-WS-SEC'!$A$2:$IV$2</definedName>
    <definedName name="Z_3A917561_2D35_426A_97B9_96ECE408BA52_.wvu.PrintTitles" localSheetId="16" hidden="1">'Ws-Det-Security'!$A$2:$IV$2</definedName>
    <definedName name="Z_6B7CF914_A5A9_4F9C_8C05_0027EDE9B58D_.wvu.PrintArea" localSheetId="13" hidden="1">'ABS-WS-SEC'!$A$1:$F$48</definedName>
    <definedName name="Z_6B7CF914_A5A9_4F9C_8C05_0027EDE9B58D_.wvu.PrintArea" localSheetId="16" hidden="1">'Ws-Det-Security'!$A$1:$I$89</definedName>
    <definedName name="Z_6B7CF914_A5A9_4F9C_8C05_0027EDE9B58D_.wvu.PrintTitles" localSheetId="13" hidden="1">'ABS-WS-SEC'!$A$2:$IV$2</definedName>
    <definedName name="Z_6B7CF914_A5A9_4F9C_8C05_0027EDE9B58D_.wvu.PrintTitles" localSheetId="16" hidden="1">'Ws-Det-Security'!$A$2:$IV$2</definedName>
    <definedName name="Z_76197301_0E26_4C09_825A_0F0EC620791A_.wvu.PrintArea" localSheetId="13" hidden="1">'ABS-WS-SEC'!$A$1:$F$48</definedName>
    <definedName name="Z_76197301_0E26_4C09_825A_0F0EC620791A_.wvu.PrintArea" localSheetId="16" hidden="1">'Ws-Det-Security'!$A$1:$I$89</definedName>
    <definedName name="Z_76197301_0E26_4C09_825A_0F0EC620791A_.wvu.PrintTitles" localSheetId="13" hidden="1">'ABS-WS-SEC'!$A$2:$IV$2</definedName>
    <definedName name="Z_76197301_0E26_4C09_825A_0F0EC620791A_.wvu.PrintTitles" localSheetId="16" hidden="1">'Ws-Det-Security'!$A$2:$IV$2</definedName>
    <definedName name="Z_9ED81FDA_7AE4_4DA4_81A9_000373766F6F_.wvu.PrintArea" localSheetId="13" hidden="1">'ABS-WS-SEC'!$A$1:$F$48</definedName>
    <definedName name="Z_9ED81FDA_7AE4_4DA4_81A9_000373766F6F_.wvu.PrintArea" localSheetId="16" hidden="1">'Ws-Det-Security'!$A$1:$I$89</definedName>
    <definedName name="Z_9ED81FDA_7AE4_4DA4_81A9_000373766F6F_.wvu.PrintTitles" localSheetId="13" hidden="1">'ABS-WS-SEC'!$A$2:$IV$2</definedName>
    <definedName name="Z_9ED81FDA_7AE4_4DA4_81A9_000373766F6F_.wvu.PrintTitles" localSheetId="16" hidden="1">'Ws-Det-Security'!$A$2:$IV$2</definedName>
    <definedName name="Z_DC7E9C45_2BFB_42C1_A156_382D6FCD7FD4_.wvu.PrintArea" localSheetId="13" hidden="1">'ABS-WS-SEC'!$A$1:$F$48</definedName>
    <definedName name="Z_DC7E9C45_2BFB_42C1_A156_382D6FCD7FD4_.wvu.PrintArea" localSheetId="16" hidden="1">'Ws-Det-Security'!$A$1:$I$89</definedName>
    <definedName name="Z_DC7E9C45_2BFB_42C1_A156_382D6FCD7FD4_.wvu.PrintTitles" localSheetId="13" hidden="1">'ABS-WS-SEC'!$A$2:$IV$2</definedName>
    <definedName name="Z_DC7E9C45_2BFB_42C1_A156_382D6FCD7FD4_.wvu.PrintTitles" localSheetId="16" hidden="1">'Ws-Det-Security'!$A$2:$IV$2</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2" i="494" l="1"/>
  <c r="H26" i="381"/>
  <c r="H25" i="381"/>
  <c r="H24" i="381"/>
  <c r="H23" i="381"/>
  <c r="E23" i="381"/>
  <c r="H22" i="381"/>
  <c r="H20" i="381"/>
  <c r="E20" i="381"/>
  <c r="D3" i="493"/>
  <c r="F1607" i="382"/>
  <c r="G1607" i="382" s="1"/>
  <c r="F1612" i="382"/>
  <c r="E1610" i="382"/>
  <c r="G1609" i="382"/>
  <c r="F1610" i="382" s="1"/>
  <c r="G1610" i="382" s="1"/>
  <c r="G1608" i="382"/>
  <c r="B10" i="493"/>
  <c r="G1611" i="382" l="1"/>
  <c r="E1612" i="382" s="1"/>
  <c r="G1612" i="382" s="1"/>
  <c r="G1613" i="382" s="1"/>
  <c r="J104" i="485" s="1"/>
  <c r="B8" i="494"/>
  <c r="C3" i="493" s="1"/>
  <c r="C1621" i="491" l="1"/>
  <c r="D24" i="493" l="1"/>
  <c r="F20" i="493" l="1"/>
  <c r="C6" i="493"/>
  <c r="B13" i="493" s="1"/>
  <c r="O3" i="493" l="1"/>
  <c r="G3" i="493"/>
  <c r="S3" i="493"/>
  <c r="F25" i="381"/>
  <c r="F26" i="381"/>
  <c r="F21" i="381"/>
  <c r="F11" i="381"/>
  <c r="F7" i="381"/>
  <c r="E21" i="381"/>
  <c r="E11" i="381"/>
  <c r="E7" i="381"/>
  <c r="E9" i="381" s="1"/>
  <c r="A2" i="381"/>
  <c r="B2" i="485" s="1"/>
  <c r="F24" i="493"/>
  <c r="F25" i="493" s="1"/>
  <c r="E20" i="493"/>
  <c r="G20" i="493" s="1"/>
  <c r="C16" i="493"/>
  <c r="G16" i="493" s="1"/>
  <c r="E13" i="493"/>
  <c r="E6" i="493"/>
  <c r="B6" i="493"/>
  <c r="C10" i="493"/>
  <c r="G10" i="493" s="1"/>
  <c r="E3" i="493"/>
  <c r="F6" i="493" s="1"/>
  <c r="H161" i="485"/>
  <c r="H160" i="485"/>
  <c r="H10" i="493" l="1"/>
  <c r="G6" i="493"/>
  <c r="B153" i="485" l="1"/>
  <c r="B152" i="485"/>
  <c r="S14" i="381" l="1"/>
  <c r="U14" i="381" s="1"/>
  <c r="V14" i="381" s="1"/>
  <c r="J14" i="381" l="1"/>
  <c r="E51" i="383" l="1"/>
  <c r="E79" i="383" s="1"/>
  <c r="E107" i="383" s="1"/>
  <c r="E135" i="383" s="1"/>
  <c r="E162" i="383" s="1"/>
  <c r="E188" i="383" s="1"/>
  <c r="E215" i="383" s="1"/>
  <c r="E242" i="383" s="1"/>
  <c r="E321" i="383" s="1"/>
  <c r="E50" i="383"/>
  <c r="E78" i="383" s="1"/>
  <c r="E106" i="383" s="1"/>
  <c r="E134" i="383" s="1"/>
  <c r="E161" i="383" s="1"/>
  <c r="E187" i="383" s="1"/>
  <c r="E214" i="383" s="1"/>
  <c r="E241" i="383" s="1"/>
  <c r="E320" i="383" s="1"/>
  <c r="E49" i="383"/>
  <c r="E77" i="383" s="1"/>
  <c r="E105" i="383" s="1"/>
  <c r="E133" i="383" s="1"/>
  <c r="E160" i="383" s="1"/>
  <c r="E186" i="383" s="1"/>
  <c r="E213" i="383" s="1"/>
  <c r="E240" i="383" s="1"/>
  <c r="E319" i="383" s="1"/>
  <c r="E48" i="383"/>
  <c r="E76" i="383" s="1"/>
  <c r="E104" i="383" s="1"/>
  <c r="E132" i="383" s="1"/>
  <c r="E159" i="383" s="1"/>
  <c r="E185" i="383" s="1"/>
  <c r="E212" i="383" s="1"/>
  <c r="E239" i="383" s="1"/>
  <c r="E318" i="383" s="1"/>
  <c r="E47" i="383"/>
  <c r="E75" i="383" s="1"/>
  <c r="E103" i="383" s="1"/>
  <c r="E131" i="383" s="1"/>
  <c r="E158" i="383" s="1"/>
  <c r="E184" i="383" s="1"/>
  <c r="E211" i="383" s="1"/>
  <c r="E238" i="383" s="1"/>
  <c r="E317" i="383" s="1"/>
  <c r="E46" i="383"/>
  <c r="E74" i="383" s="1"/>
  <c r="E102" i="383" s="1"/>
  <c r="E130" i="383" s="1"/>
  <c r="E157" i="383" s="1"/>
  <c r="E183" i="383" s="1"/>
  <c r="E210" i="383" s="1"/>
  <c r="E237" i="383" s="1"/>
  <c r="E316" i="383" s="1"/>
  <c r="E45" i="383"/>
  <c r="E73" i="383" s="1"/>
  <c r="E101" i="383" s="1"/>
  <c r="E129" i="383" s="1"/>
  <c r="E156" i="383" s="1"/>
  <c r="E182" i="383" s="1"/>
  <c r="E209" i="383" s="1"/>
  <c r="E236" i="383" s="1"/>
  <c r="E315" i="383" s="1"/>
  <c r="E44" i="383"/>
  <c r="E72" i="383" s="1"/>
  <c r="E100" i="383" s="1"/>
  <c r="E128" i="383" s="1"/>
  <c r="E43" i="383"/>
  <c r="E71" i="383" s="1"/>
  <c r="E99" i="383" s="1"/>
  <c r="E127" i="383" s="1"/>
  <c r="E42" i="383"/>
  <c r="E70" i="383" s="1"/>
  <c r="E98" i="383" s="1"/>
  <c r="E126" i="383" s="1"/>
  <c r="E24" i="381" l="1"/>
  <c r="E25" i="381" s="1"/>
  <c r="E26" i="381" s="1"/>
  <c r="E22" i="381"/>
  <c r="E12" i="381"/>
  <c r="E13" i="381" s="1"/>
  <c r="H103" i="485"/>
  <c r="H102" i="485"/>
  <c r="H101" i="485"/>
  <c r="H100" i="485"/>
  <c r="O6" i="485"/>
  <c r="E15" i="381" l="1"/>
  <c r="E16" i="381" s="1"/>
  <c r="E17" i="381" s="1"/>
  <c r="E18" i="381" s="1"/>
  <c r="E19" i="381" s="1"/>
  <c r="E14" i="381"/>
  <c r="P32" i="381"/>
  <c r="P31" i="381"/>
  <c r="P30" i="381"/>
  <c r="P29" i="381"/>
  <c r="F12" i="381"/>
  <c r="F13" i="381" s="1"/>
  <c r="F9" i="381"/>
  <c r="F15" i="381" l="1"/>
  <c r="F16" i="381" s="1"/>
  <c r="F17" i="381" s="1"/>
  <c r="F18" i="381" s="1"/>
  <c r="F19" i="381" s="1"/>
  <c r="F14" i="381"/>
  <c r="H14" i="381" s="1"/>
  <c r="A2" i="492"/>
  <c r="H92" i="485" l="1"/>
  <c r="B91" i="485"/>
  <c r="E307" i="383" l="1"/>
  <c r="C313" i="383" s="1"/>
  <c r="C1560" i="491" l="1"/>
  <c r="B1560" i="491"/>
  <c r="C1558" i="491"/>
  <c r="E1557" i="491"/>
  <c r="E1555" i="491"/>
  <c r="B1554" i="491"/>
  <c r="B1553" i="491"/>
  <c r="D1549" i="491"/>
  <c r="E1549" i="491" s="1"/>
  <c r="D1548" i="491"/>
  <c r="E1548" i="491" s="1"/>
  <c r="D1547" i="491"/>
  <c r="E1547" i="491" s="1"/>
  <c r="D1545" i="491"/>
  <c r="D1539" i="491"/>
  <c r="E1536" i="491"/>
  <c r="D1535" i="491"/>
  <c r="D1542" i="491" s="1"/>
  <c r="E1542" i="491" s="1"/>
  <c r="D1534" i="491"/>
  <c r="D1541" i="491" s="1"/>
  <c r="E1541" i="491" s="1"/>
  <c r="E1531" i="491"/>
  <c r="C1556" i="491" s="1"/>
  <c r="C1525" i="491"/>
  <c r="B1525" i="491"/>
  <c r="C1523" i="491"/>
  <c r="E1522" i="491"/>
  <c r="E1520" i="491"/>
  <c r="B1519" i="491"/>
  <c r="B1518" i="491"/>
  <c r="D1514" i="491"/>
  <c r="E1514" i="491" s="1"/>
  <c r="D1513" i="491"/>
  <c r="E1513" i="491" s="1"/>
  <c r="D1512" i="491"/>
  <c r="E1512" i="491" s="1"/>
  <c r="D1509" i="491"/>
  <c r="D1502" i="491"/>
  <c r="E1499" i="491"/>
  <c r="D1498" i="491"/>
  <c r="D1506" i="491" s="1"/>
  <c r="E1506" i="491" s="1"/>
  <c r="D1497" i="491"/>
  <c r="D1505" i="491" s="1"/>
  <c r="E1505" i="491" s="1"/>
  <c r="E1494" i="491"/>
  <c r="C1521" i="491" s="1"/>
  <c r="C1489" i="491"/>
  <c r="B1489" i="491"/>
  <c r="C1487" i="491"/>
  <c r="E1486" i="491"/>
  <c r="E1484" i="491"/>
  <c r="B1483" i="491"/>
  <c r="B1482" i="491"/>
  <c r="D1478" i="491"/>
  <c r="E1478" i="491" s="1"/>
  <c r="D1477" i="491"/>
  <c r="E1477" i="491" s="1"/>
  <c r="D1476" i="491"/>
  <c r="E1476" i="491" s="1"/>
  <c r="D1473" i="491"/>
  <c r="D1466" i="491"/>
  <c r="E1463" i="491"/>
  <c r="D1462" i="491"/>
  <c r="D1470" i="491" s="1"/>
  <c r="E1470" i="491" s="1"/>
  <c r="D1461" i="491"/>
  <c r="D1469" i="491" s="1"/>
  <c r="E1469" i="491" s="1"/>
  <c r="E1458" i="491"/>
  <c r="C1485" i="491" s="1"/>
  <c r="C1453" i="491"/>
  <c r="B1453" i="491"/>
  <c r="C1451" i="491"/>
  <c r="E1450" i="491"/>
  <c r="G1449" i="491"/>
  <c r="G1448" i="491"/>
  <c r="B1446" i="491"/>
  <c r="E1445" i="491"/>
  <c r="B1444" i="491"/>
  <c r="B1443" i="491"/>
  <c r="B1442" i="491"/>
  <c r="D1438" i="491"/>
  <c r="E1438" i="491" s="1"/>
  <c r="D1437" i="491"/>
  <c r="E1437" i="491" s="1"/>
  <c r="D1436" i="491"/>
  <c r="E1436" i="491" s="1"/>
  <c r="D1433" i="491"/>
  <c r="F1431" i="491"/>
  <c r="C1433" i="491" s="1"/>
  <c r="D1428" i="491"/>
  <c r="E1425" i="491"/>
  <c r="E1424" i="491"/>
  <c r="E1423" i="491"/>
  <c r="D1420" i="491"/>
  <c r="E1417" i="491"/>
  <c r="D1416" i="491"/>
  <c r="E1416" i="491" s="1"/>
  <c r="D1415" i="491"/>
  <c r="E1415" i="491" s="1"/>
  <c r="C1412" i="491"/>
  <c r="C1446" i="491" s="1"/>
  <c r="C1406" i="491"/>
  <c r="B1406" i="491"/>
  <c r="C1404" i="491"/>
  <c r="E1403" i="491"/>
  <c r="E1401" i="491"/>
  <c r="B1400" i="491"/>
  <c r="B1399" i="491"/>
  <c r="D1395" i="491"/>
  <c r="E1395" i="491" s="1"/>
  <c r="D1394" i="491"/>
  <c r="E1394" i="491" s="1"/>
  <c r="D1393" i="491"/>
  <c r="E1393" i="491" s="1"/>
  <c r="D1390" i="491"/>
  <c r="D1383" i="491"/>
  <c r="E1380" i="491"/>
  <c r="D1379" i="491"/>
  <c r="D1387" i="491" s="1"/>
  <c r="E1387" i="491" s="1"/>
  <c r="D1378" i="491"/>
  <c r="D1386" i="491" s="1"/>
  <c r="E1386" i="491" s="1"/>
  <c r="E1375" i="491"/>
  <c r="C1402" i="491" s="1"/>
  <c r="C1370" i="491"/>
  <c r="B1370" i="491"/>
  <c r="C1368" i="491"/>
  <c r="E1367" i="491"/>
  <c r="G1366" i="491"/>
  <c r="G1365" i="491"/>
  <c r="B1363" i="491"/>
  <c r="E1362" i="491"/>
  <c r="B1360" i="491"/>
  <c r="D1356" i="491"/>
  <c r="E1356" i="491" s="1"/>
  <c r="D1355" i="491"/>
  <c r="E1355" i="491" s="1"/>
  <c r="D1354" i="491"/>
  <c r="E1354" i="491" s="1"/>
  <c r="D1351" i="491"/>
  <c r="F1349" i="491"/>
  <c r="C1351" i="491" s="1"/>
  <c r="D1346" i="491"/>
  <c r="D1343" i="491"/>
  <c r="E1343" i="491" s="1"/>
  <c r="D1342" i="491"/>
  <c r="E1342" i="491" s="1"/>
  <c r="C1339" i="491"/>
  <c r="C1363" i="491" s="1"/>
  <c r="C1332" i="491"/>
  <c r="B1332" i="491"/>
  <c r="C1330" i="491"/>
  <c r="E1329" i="491"/>
  <c r="C1328" i="491"/>
  <c r="E1327" i="491"/>
  <c r="B1326" i="491"/>
  <c r="B1325" i="491"/>
  <c r="D1321" i="491"/>
  <c r="E1321" i="491" s="1"/>
  <c r="D1320" i="491"/>
  <c r="E1320" i="491" s="1"/>
  <c r="D1319" i="491"/>
  <c r="E1319" i="491" s="1"/>
  <c r="D1316" i="491"/>
  <c r="D1312" i="491"/>
  <c r="E1312" i="491" s="1"/>
  <c r="D1309" i="491"/>
  <c r="E1306" i="491"/>
  <c r="D1305" i="491"/>
  <c r="D1313" i="491" s="1"/>
  <c r="E1313" i="491" s="1"/>
  <c r="C1302" i="491"/>
  <c r="B1302" i="491"/>
  <c r="C1300" i="491"/>
  <c r="E1299" i="491"/>
  <c r="E1297" i="491"/>
  <c r="B1296" i="491"/>
  <c r="B1295" i="491"/>
  <c r="B1294" i="491"/>
  <c r="D1290" i="491"/>
  <c r="E1290" i="491" s="1"/>
  <c r="D1289" i="491"/>
  <c r="E1289" i="491" s="1"/>
  <c r="D1288" i="491"/>
  <c r="E1288" i="491" s="1"/>
  <c r="D1285" i="491"/>
  <c r="C1282" i="491"/>
  <c r="E1282" i="491" s="1"/>
  <c r="C1281" i="491"/>
  <c r="E1281" i="491" s="1"/>
  <c r="D1278" i="491"/>
  <c r="C1275" i="491"/>
  <c r="E1275" i="491" s="1"/>
  <c r="C1274" i="491"/>
  <c r="E1274" i="491" s="1"/>
  <c r="D1271" i="491"/>
  <c r="E1268" i="491"/>
  <c r="D1267" i="491"/>
  <c r="C1267" i="491"/>
  <c r="D1266" i="491"/>
  <c r="C1266" i="491"/>
  <c r="E1263" i="491"/>
  <c r="C1298" i="491" s="1"/>
  <c r="C1259" i="491"/>
  <c r="B1259" i="491"/>
  <c r="C1257" i="491"/>
  <c r="E1256" i="491"/>
  <c r="E1254" i="491"/>
  <c r="B1253" i="491"/>
  <c r="B1252" i="491"/>
  <c r="D1248" i="491"/>
  <c r="E1248" i="491" s="1"/>
  <c r="D1247" i="491"/>
  <c r="E1247" i="491" s="1"/>
  <c r="D1246" i="491"/>
  <c r="E1246" i="491" s="1"/>
  <c r="D1243" i="491"/>
  <c r="D1236" i="491"/>
  <c r="E1233" i="491"/>
  <c r="D1232" i="491"/>
  <c r="D1240" i="491" s="1"/>
  <c r="E1240" i="491" s="1"/>
  <c r="E1231" i="491"/>
  <c r="D1231" i="491"/>
  <c r="D1239" i="491" s="1"/>
  <c r="E1239" i="491" s="1"/>
  <c r="E1228" i="491"/>
  <c r="C1255" i="491" s="1"/>
  <c r="C1223" i="491"/>
  <c r="B1223" i="491"/>
  <c r="C1221" i="491"/>
  <c r="E1220" i="491"/>
  <c r="E1218" i="491"/>
  <c r="B1217" i="491"/>
  <c r="B1216" i="491"/>
  <c r="D1212" i="491"/>
  <c r="E1212" i="491" s="1"/>
  <c r="D1211" i="491"/>
  <c r="E1211" i="491" s="1"/>
  <c r="D1210" i="491"/>
  <c r="E1210" i="491" s="1"/>
  <c r="D1207" i="491"/>
  <c r="D1200" i="491"/>
  <c r="E1197" i="491"/>
  <c r="D1196" i="491"/>
  <c r="D1204" i="491" s="1"/>
  <c r="E1204" i="491" s="1"/>
  <c r="D1195" i="491"/>
  <c r="D1203" i="491" s="1"/>
  <c r="E1203" i="491" s="1"/>
  <c r="E1192" i="491"/>
  <c r="C1219" i="491" s="1"/>
  <c r="C1187" i="491"/>
  <c r="B1187" i="491"/>
  <c r="C1185" i="491"/>
  <c r="E1184" i="491"/>
  <c r="E1182" i="491"/>
  <c r="B1181" i="491"/>
  <c r="B1180" i="491"/>
  <c r="B1179" i="491"/>
  <c r="D1175" i="491"/>
  <c r="E1175" i="491" s="1"/>
  <c r="D1174" i="491"/>
  <c r="E1174" i="491" s="1"/>
  <c r="D1173" i="491"/>
  <c r="E1173" i="491" s="1"/>
  <c r="D1170" i="491"/>
  <c r="C1167" i="491"/>
  <c r="E1167" i="491" s="1"/>
  <c r="C1166" i="491"/>
  <c r="E1166" i="491" s="1"/>
  <c r="D1163" i="491"/>
  <c r="C1160" i="491"/>
  <c r="E1160" i="491" s="1"/>
  <c r="C1159" i="491"/>
  <c r="E1159" i="491" s="1"/>
  <c r="D1156" i="491"/>
  <c r="E1153" i="491"/>
  <c r="D1152" i="491"/>
  <c r="C1152" i="491"/>
  <c r="D1151" i="491"/>
  <c r="C1151" i="491"/>
  <c r="E1148" i="491"/>
  <c r="C1183" i="491" s="1"/>
  <c r="C1143" i="491"/>
  <c r="B1143" i="491"/>
  <c r="C1141" i="491"/>
  <c r="E1140" i="491"/>
  <c r="E1138" i="491"/>
  <c r="B1137" i="491"/>
  <c r="B1136" i="491"/>
  <c r="D1132" i="491"/>
  <c r="E1132" i="491" s="1"/>
  <c r="D1131" i="491"/>
  <c r="E1131" i="491" s="1"/>
  <c r="D1130" i="491"/>
  <c r="E1130" i="491" s="1"/>
  <c r="D1127" i="491"/>
  <c r="D1120" i="491"/>
  <c r="E1117" i="491"/>
  <c r="D1116" i="491"/>
  <c r="D1124" i="491" s="1"/>
  <c r="E1124" i="491" s="1"/>
  <c r="D1115" i="491"/>
  <c r="D1123" i="491" s="1"/>
  <c r="E1123" i="491" s="1"/>
  <c r="E1112" i="491"/>
  <c r="C1139" i="491" s="1"/>
  <c r="C1107" i="491"/>
  <c r="B1107" i="491"/>
  <c r="C1105" i="491"/>
  <c r="E1104" i="491"/>
  <c r="E1102" i="491"/>
  <c r="B1101" i="491"/>
  <c r="B1100" i="491"/>
  <c r="D1096" i="491"/>
  <c r="E1096" i="491" s="1"/>
  <c r="D1095" i="491"/>
  <c r="E1095" i="491" s="1"/>
  <c r="D1094" i="491"/>
  <c r="E1094" i="491" s="1"/>
  <c r="D1091" i="491"/>
  <c r="D1084" i="491"/>
  <c r="E1081" i="491"/>
  <c r="D1080" i="491"/>
  <c r="D1088" i="491" s="1"/>
  <c r="E1088" i="491" s="1"/>
  <c r="D1079" i="491"/>
  <c r="D1087" i="491" s="1"/>
  <c r="E1087" i="491" s="1"/>
  <c r="E1076" i="491"/>
  <c r="C1103" i="491" s="1"/>
  <c r="C1071" i="491"/>
  <c r="B1071" i="491"/>
  <c r="C1069" i="491"/>
  <c r="E1068" i="491"/>
  <c r="E1066" i="491"/>
  <c r="B1065" i="491"/>
  <c r="B1064" i="491"/>
  <c r="D1060" i="491"/>
  <c r="E1060" i="491" s="1"/>
  <c r="D1059" i="491"/>
  <c r="E1059" i="491" s="1"/>
  <c r="D1058" i="491"/>
  <c r="E1058" i="491" s="1"/>
  <c r="D1055" i="491"/>
  <c r="D1048" i="491"/>
  <c r="E1045" i="491"/>
  <c r="D1044" i="491"/>
  <c r="D1052" i="491" s="1"/>
  <c r="E1052" i="491" s="1"/>
  <c r="D1043" i="491"/>
  <c r="D1051" i="491" s="1"/>
  <c r="E1051" i="491" s="1"/>
  <c r="E1040" i="491"/>
  <c r="C1067" i="491" s="1"/>
  <c r="C1035" i="491"/>
  <c r="B1035" i="491"/>
  <c r="C1033" i="491"/>
  <c r="E1032" i="491"/>
  <c r="E1030" i="491"/>
  <c r="B1029" i="491"/>
  <c r="B1028" i="491"/>
  <c r="D1024" i="491"/>
  <c r="E1024" i="491" s="1"/>
  <c r="D1023" i="491"/>
  <c r="E1023" i="491" s="1"/>
  <c r="D1022" i="491"/>
  <c r="E1022" i="491" s="1"/>
  <c r="D1019" i="491"/>
  <c r="D1012" i="491"/>
  <c r="E1009" i="491"/>
  <c r="D1008" i="491"/>
  <c r="D1016" i="491" s="1"/>
  <c r="E1016" i="491" s="1"/>
  <c r="D1007" i="491"/>
  <c r="D1015" i="491" s="1"/>
  <c r="E1015" i="491" s="1"/>
  <c r="E1004" i="491"/>
  <c r="C1031" i="491" s="1"/>
  <c r="C999" i="491"/>
  <c r="B999" i="491"/>
  <c r="C997" i="491"/>
  <c r="E996" i="491"/>
  <c r="E994" i="491"/>
  <c r="B993" i="491"/>
  <c r="B992" i="491"/>
  <c r="D988" i="491"/>
  <c r="E988" i="491" s="1"/>
  <c r="D987" i="491"/>
  <c r="E987" i="491" s="1"/>
  <c r="D986" i="491"/>
  <c r="E986" i="491" s="1"/>
  <c r="D983" i="491"/>
  <c r="D976" i="491"/>
  <c r="E973" i="491"/>
  <c r="D972" i="491"/>
  <c r="D980" i="491" s="1"/>
  <c r="E980" i="491" s="1"/>
  <c r="D971" i="491"/>
  <c r="D979" i="491" s="1"/>
  <c r="E979" i="491" s="1"/>
  <c r="E968" i="491"/>
  <c r="C995" i="491" s="1"/>
  <c r="C963" i="491"/>
  <c r="B963" i="491"/>
  <c r="C961" i="491"/>
  <c r="E960" i="491"/>
  <c r="E958" i="491"/>
  <c r="B957" i="491"/>
  <c r="B956" i="491"/>
  <c r="D952" i="491"/>
  <c r="E952" i="491" s="1"/>
  <c r="D951" i="491"/>
  <c r="E951" i="491" s="1"/>
  <c r="D950" i="491"/>
  <c r="E950" i="491" s="1"/>
  <c r="D947" i="491"/>
  <c r="D940" i="491"/>
  <c r="E937" i="491"/>
  <c r="E936" i="491"/>
  <c r="D936" i="491"/>
  <c r="D944" i="491" s="1"/>
  <c r="E944" i="491" s="1"/>
  <c r="D935" i="491"/>
  <c r="D943" i="491" s="1"/>
  <c r="E943" i="491" s="1"/>
  <c r="E932" i="491"/>
  <c r="C959" i="491" s="1"/>
  <c r="C927" i="491"/>
  <c r="B927" i="491"/>
  <c r="C925" i="491"/>
  <c r="E924" i="491"/>
  <c r="E922" i="491"/>
  <c r="B921" i="491"/>
  <c r="B920" i="491"/>
  <c r="D916" i="491"/>
  <c r="E916" i="491" s="1"/>
  <c r="D915" i="491"/>
  <c r="E915" i="491" s="1"/>
  <c r="D914" i="491"/>
  <c r="E914" i="491" s="1"/>
  <c r="D911" i="491"/>
  <c r="D904" i="491"/>
  <c r="E901" i="491"/>
  <c r="D900" i="491"/>
  <c r="D908" i="491" s="1"/>
  <c r="E908" i="491" s="1"/>
  <c r="D899" i="491"/>
  <c r="D907" i="491" s="1"/>
  <c r="E907" i="491" s="1"/>
  <c r="E896" i="491"/>
  <c r="C923" i="491" s="1"/>
  <c r="C891" i="491"/>
  <c r="B891" i="491"/>
  <c r="C889" i="491"/>
  <c r="E888" i="491"/>
  <c r="E886" i="491"/>
  <c r="B885" i="491"/>
  <c r="B884" i="491"/>
  <c r="D880" i="491"/>
  <c r="E880" i="491" s="1"/>
  <c r="D879" i="491"/>
  <c r="E879" i="491" s="1"/>
  <c r="D878" i="491"/>
  <c r="E878" i="491" s="1"/>
  <c r="D875" i="491"/>
  <c r="D868" i="491"/>
  <c r="E865" i="491"/>
  <c r="E864" i="491"/>
  <c r="D864" i="491"/>
  <c r="D872" i="491" s="1"/>
  <c r="E872" i="491" s="1"/>
  <c r="D863" i="491"/>
  <c r="D871" i="491" s="1"/>
  <c r="E871" i="491" s="1"/>
  <c r="E860" i="491"/>
  <c r="C887" i="491" s="1"/>
  <c r="C855" i="491"/>
  <c r="B855" i="491"/>
  <c r="C853" i="491"/>
  <c r="E852" i="491"/>
  <c r="E850" i="491"/>
  <c r="B849" i="491"/>
  <c r="B848" i="491"/>
  <c r="D844" i="491"/>
  <c r="E844" i="491" s="1"/>
  <c r="D843" i="491"/>
  <c r="E843" i="491" s="1"/>
  <c r="D842" i="491"/>
  <c r="E842" i="491" s="1"/>
  <c r="D839" i="491"/>
  <c r="D832" i="491"/>
  <c r="E829" i="491"/>
  <c r="D828" i="491"/>
  <c r="D836" i="491" s="1"/>
  <c r="E836" i="491" s="1"/>
  <c r="D827" i="491"/>
  <c r="D835" i="491" s="1"/>
  <c r="E835" i="491" s="1"/>
  <c r="E824" i="491"/>
  <c r="C851" i="491" s="1"/>
  <c r="C819" i="491"/>
  <c r="B819" i="491"/>
  <c r="C817" i="491"/>
  <c r="E816" i="491"/>
  <c r="E814" i="491"/>
  <c r="B813" i="491"/>
  <c r="B812" i="491"/>
  <c r="D808" i="491"/>
  <c r="E808" i="491" s="1"/>
  <c r="D807" i="491"/>
  <c r="E807" i="491" s="1"/>
  <c r="D806" i="491"/>
  <c r="E806" i="491" s="1"/>
  <c r="D803" i="491"/>
  <c r="D796" i="491"/>
  <c r="E793" i="491"/>
  <c r="D792" i="491"/>
  <c r="D800" i="491" s="1"/>
  <c r="E800" i="491" s="1"/>
  <c r="D791" i="491"/>
  <c r="D799" i="491" s="1"/>
  <c r="E799" i="491" s="1"/>
  <c r="E788" i="491"/>
  <c r="C815" i="491" s="1"/>
  <c r="C783" i="491"/>
  <c r="B783" i="491"/>
  <c r="C781" i="491"/>
  <c r="E780" i="491"/>
  <c r="E778" i="491"/>
  <c r="B777" i="491"/>
  <c r="B776" i="491"/>
  <c r="D772" i="491"/>
  <c r="E772" i="491" s="1"/>
  <c r="D771" i="491"/>
  <c r="E771" i="491" s="1"/>
  <c r="D770" i="491"/>
  <c r="E770" i="491" s="1"/>
  <c r="D767" i="491"/>
  <c r="D760" i="491"/>
  <c r="E757" i="491"/>
  <c r="D756" i="491"/>
  <c r="D764" i="491" s="1"/>
  <c r="E764" i="491" s="1"/>
  <c r="D755" i="491"/>
  <c r="D763" i="491" s="1"/>
  <c r="E763" i="491" s="1"/>
  <c r="E752" i="491"/>
  <c r="C779" i="491" s="1"/>
  <c r="C747" i="491"/>
  <c r="B747" i="491"/>
  <c r="C745" i="491"/>
  <c r="E744" i="491"/>
  <c r="E742" i="491"/>
  <c r="B741" i="491"/>
  <c r="B740" i="491"/>
  <c r="D736" i="491"/>
  <c r="E736" i="491" s="1"/>
  <c r="D735" i="491"/>
  <c r="E735" i="491" s="1"/>
  <c r="D734" i="491"/>
  <c r="E734" i="491" s="1"/>
  <c r="D732" i="491"/>
  <c r="D726" i="491"/>
  <c r="E723" i="491"/>
  <c r="D722" i="491"/>
  <c r="D729" i="491" s="1"/>
  <c r="E729" i="491" s="1"/>
  <c r="D721" i="491"/>
  <c r="D728" i="491" s="1"/>
  <c r="E728" i="491" s="1"/>
  <c r="E730" i="491" s="1"/>
  <c r="C732" i="491" s="1"/>
  <c r="E718" i="491"/>
  <c r="C743" i="491" s="1"/>
  <c r="C713" i="491"/>
  <c r="B713" i="491"/>
  <c r="C711" i="491"/>
  <c r="E710" i="491"/>
  <c r="E708" i="491"/>
  <c r="B707" i="491"/>
  <c r="B706" i="491"/>
  <c r="D702" i="491"/>
  <c r="E702" i="491" s="1"/>
  <c r="D701" i="491"/>
  <c r="E701" i="491" s="1"/>
  <c r="D700" i="491"/>
  <c r="E700" i="491" s="1"/>
  <c r="D698" i="491"/>
  <c r="D692" i="491"/>
  <c r="E689" i="491"/>
  <c r="D688" i="491"/>
  <c r="D695" i="491" s="1"/>
  <c r="E695" i="491" s="1"/>
  <c r="D687" i="491"/>
  <c r="D694" i="491" s="1"/>
  <c r="E694" i="491" s="1"/>
  <c r="E684" i="491"/>
  <c r="C709" i="491" s="1"/>
  <c r="C679" i="491"/>
  <c r="B679" i="491"/>
  <c r="C677" i="491"/>
  <c r="E676" i="491"/>
  <c r="E674" i="491"/>
  <c r="B673" i="491"/>
  <c r="B672" i="491"/>
  <c r="D668" i="491"/>
  <c r="E668" i="491" s="1"/>
  <c r="D667" i="491"/>
  <c r="E667" i="491" s="1"/>
  <c r="D666" i="491"/>
  <c r="E666" i="491" s="1"/>
  <c r="D664" i="491"/>
  <c r="D658" i="491"/>
  <c r="E655" i="491"/>
  <c r="D654" i="491"/>
  <c r="D661" i="491" s="1"/>
  <c r="E661" i="491" s="1"/>
  <c r="D653" i="491"/>
  <c r="D660" i="491" s="1"/>
  <c r="E660" i="491" s="1"/>
  <c r="E650" i="491"/>
  <c r="C675" i="491" s="1"/>
  <c r="C645" i="491"/>
  <c r="B645" i="491"/>
  <c r="C643" i="491"/>
  <c r="E642" i="491"/>
  <c r="E640" i="491"/>
  <c r="B639" i="491"/>
  <c r="B638" i="491"/>
  <c r="D634" i="491"/>
  <c r="E634" i="491" s="1"/>
  <c r="D633" i="491"/>
  <c r="E633" i="491" s="1"/>
  <c r="D632" i="491"/>
  <c r="E632" i="491" s="1"/>
  <c r="D630" i="491"/>
  <c r="D624" i="491"/>
  <c r="E621" i="491"/>
  <c r="D620" i="491"/>
  <c r="D627" i="491" s="1"/>
  <c r="E627" i="491" s="1"/>
  <c r="D619" i="491"/>
  <c r="D626" i="491" s="1"/>
  <c r="E626" i="491" s="1"/>
  <c r="E616" i="491"/>
  <c r="C641" i="491" s="1"/>
  <c r="C611" i="491"/>
  <c r="B611" i="491"/>
  <c r="C609" i="491"/>
  <c r="E608" i="491"/>
  <c r="E606" i="491"/>
  <c r="B605" i="491"/>
  <c r="B604" i="491"/>
  <c r="D600" i="491"/>
  <c r="E600" i="491" s="1"/>
  <c r="D599" i="491"/>
  <c r="E599" i="491" s="1"/>
  <c r="D598" i="491"/>
  <c r="E598" i="491" s="1"/>
  <c r="D595" i="491"/>
  <c r="D592" i="491"/>
  <c r="E592" i="491" s="1"/>
  <c r="D591" i="491"/>
  <c r="E591" i="491" s="1"/>
  <c r="D588" i="491"/>
  <c r="E585" i="491"/>
  <c r="D584" i="491"/>
  <c r="E584" i="491" s="1"/>
  <c r="D583" i="491"/>
  <c r="E583" i="491" s="1"/>
  <c r="E580" i="491"/>
  <c r="C607" i="491" s="1"/>
  <c r="C575" i="491"/>
  <c r="B575" i="491"/>
  <c r="C573" i="491"/>
  <c r="E572" i="491"/>
  <c r="E570" i="491"/>
  <c r="B569" i="491"/>
  <c r="B568" i="491"/>
  <c r="D564" i="491"/>
  <c r="E564" i="491" s="1"/>
  <c r="D563" i="491"/>
  <c r="E563" i="491" s="1"/>
  <c r="D562" i="491"/>
  <c r="E562" i="491" s="1"/>
  <c r="D559" i="491"/>
  <c r="D556" i="491"/>
  <c r="E556" i="491" s="1"/>
  <c r="D555" i="491"/>
  <c r="E555" i="491" s="1"/>
  <c r="D552" i="491"/>
  <c r="E549" i="491"/>
  <c r="D548" i="491"/>
  <c r="E548" i="491" s="1"/>
  <c r="D547" i="491"/>
  <c r="E547" i="491" s="1"/>
  <c r="E544" i="491"/>
  <c r="C571" i="491" s="1"/>
  <c r="C539" i="491"/>
  <c r="B539" i="491"/>
  <c r="C537" i="491"/>
  <c r="E536" i="491"/>
  <c r="E534" i="491"/>
  <c r="B533" i="491"/>
  <c r="B532" i="491"/>
  <c r="D528" i="491"/>
  <c r="E528" i="491" s="1"/>
  <c r="D527" i="491"/>
  <c r="E527" i="491" s="1"/>
  <c r="D526" i="491"/>
  <c r="E526" i="491" s="1"/>
  <c r="D523" i="491"/>
  <c r="D516" i="491"/>
  <c r="E513" i="491"/>
  <c r="D512" i="491"/>
  <c r="D520" i="491" s="1"/>
  <c r="E520" i="491" s="1"/>
  <c r="D511" i="491"/>
  <c r="D519" i="491" s="1"/>
  <c r="E519" i="491" s="1"/>
  <c r="E508" i="491"/>
  <c r="C535" i="491" s="1"/>
  <c r="C503" i="491"/>
  <c r="B503" i="491"/>
  <c r="C501" i="491"/>
  <c r="E500" i="491"/>
  <c r="E498" i="491"/>
  <c r="B497" i="491"/>
  <c r="B496" i="491"/>
  <c r="D492" i="491"/>
  <c r="E492" i="491" s="1"/>
  <c r="D491" i="491"/>
  <c r="E491" i="491" s="1"/>
  <c r="D490" i="491"/>
  <c r="E490" i="491" s="1"/>
  <c r="D487" i="491"/>
  <c r="D480" i="491"/>
  <c r="E477" i="491"/>
  <c r="D476" i="491"/>
  <c r="D484" i="491" s="1"/>
  <c r="E484" i="491" s="1"/>
  <c r="D475" i="491"/>
  <c r="D483" i="491" s="1"/>
  <c r="E483" i="491" s="1"/>
  <c r="E472" i="491"/>
  <c r="C499" i="491" s="1"/>
  <c r="C467" i="491"/>
  <c r="B467" i="491"/>
  <c r="C465" i="491"/>
  <c r="E464" i="491"/>
  <c r="E462" i="491"/>
  <c r="B461" i="491"/>
  <c r="B460" i="491"/>
  <c r="D456" i="491"/>
  <c r="E456" i="491" s="1"/>
  <c r="D455" i="491"/>
  <c r="E455" i="491" s="1"/>
  <c r="D454" i="491"/>
  <c r="E454" i="491" s="1"/>
  <c r="D451" i="491"/>
  <c r="D444" i="491"/>
  <c r="E441" i="491"/>
  <c r="D440" i="491"/>
  <c r="D448" i="491" s="1"/>
  <c r="E448" i="491" s="1"/>
  <c r="D439" i="491"/>
  <c r="D447" i="491" s="1"/>
  <c r="E447" i="491" s="1"/>
  <c r="E436" i="491"/>
  <c r="C463" i="491" s="1"/>
  <c r="C431" i="491"/>
  <c r="B431" i="491"/>
  <c r="C429" i="491"/>
  <c r="E428" i="491"/>
  <c r="E426" i="491"/>
  <c r="B425" i="491"/>
  <c r="B424" i="491"/>
  <c r="D420" i="491"/>
  <c r="E420" i="491" s="1"/>
  <c r="D419" i="491"/>
  <c r="E419" i="491" s="1"/>
  <c r="D418" i="491"/>
  <c r="E418" i="491" s="1"/>
  <c r="D415" i="491"/>
  <c r="D408" i="491"/>
  <c r="E405" i="491"/>
  <c r="D404" i="491"/>
  <c r="D412" i="491" s="1"/>
  <c r="E412" i="491" s="1"/>
  <c r="D403" i="491"/>
  <c r="D411" i="491" s="1"/>
  <c r="E411" i="491" s="1"/>
  <c r="E400" i="491"/>
  <c r="C427" i="491" s="1"/>
  <c r="C395" i="491"/>
  <c r="B395" i="491"/>
  <c r="C393" i="491"/>
  <c r="E392" i="491"/>
  <c r="E390" i="491"/>
  <c r="B389" i="491"/>
  <c r="B388" i="491"/>
  <c r="D384" i="491"/>
  <c r="E384" i="491" s="1"/>
  <c r="D383" i="491"/>
  <c r="E383" i="491" s="1"/>
  <c r="D382" i="491"/>
  <c r="E382" i="491" s="1"/>
  <c r="D379" i="491"/>
  <c r="D372" i="491"/>
  <c r="E369" i="491"/>
  <c r="D368" i="491"/>
  <c r="D376" i="491" s="1"/>
  <c r="E376" i="491" s="1"/>
  <c r="D367" i="491"/>
  <c r="D375" i="491" s="1"/>
  <c r="E375" i="491" s="1"/>
  <c r="E364" i="491"/>
  <c r="C391" i="491" s="1"/>
  <c r="C359" i="491"/>
  <c r="B359" i="491"/>
  <c r="C357" i="491"/>
  <c r="E356" i="491"/>
  <c r="E354" i="491"/>
  <c r="B353" i="491"/>
  <c r="B352" i="491"/>
  <c r="D348" i="491"/>
  <c r="E348" i="491" s="1"/>
  <c r="D347" i="491"/>
  <c r="E347" i="491" s="1"/>
  <c r="D346" i="491"/>
  <c r="E346" i="491" s="1"/>
  <c r="D343" i="491"/>
  <c r="D336" i="491"/>
  <c r="E333" i="491"/>
  <c r="D332" i="491"/>
  <c r="D340" i="491" s="1"/>
  <c r="E340" i="491" s="1"/>
  <c r="D331" i="491"/>
  <c r="D339" i="491" s="1"/>
  <c r="E339" i="491" s="1"/>
  <c r="E328" i="491"/>
  <c r="C355" i="491" s="1"/>
  <c r="C323" i="491"/>
  <c r="B323" i="491"/>
  <c r="C321" i="491"/>
  <c r="E320" i="491"/>
  <c r="E318" i="491"/>
  <c r="B317" i="491"/>
  <c r="B316" i="491"/>
  <c r="D312" i="491"/>
  <c r="E312" i="491" s="1"/>
  <c r="D311" i="491"/>
  <c r="E311" i="491" s="1"/>
  <c r="D310" i="491"/>
  <c r="E310" i="491" s="1"/>
  <c r="D307" i="491"/>
  <c r="D300" i="491"/>
  <c r="E297" i="491"/>
  <c r="D296" i="491"/>
  <c r="D304" i="491" s="1"/>
  <c r="E304" i="491" s="1"/>
  <c r="D295" i="491"/>
  <c r="D303" i="491" s="1"/>
  <c r="E303" i="491" s="1"/>
  <c r="E292" i="491"/>
  <c r="C319" i="491" s="1"/>
  <c r="C287" i="491"/>
  <c r="B287" i="491"/>
  <c r="C285" i="491"/>
  <c r="E284" i="491"/>
  <c r="E282" i="491"/>
  <c r="B281" i="491"/>
  <c r="B280" i="491"/>
  <c r="D276" i="491"/>
  <c r="E276" i="491" s="1"/>
  <c r="D275" i="491"/>
  <c r="E275" i="491" s="1"/>
  <c r="D274" i="491"/>
  <c r="E274" i="491" s="1"/>
  <c r="D271" i="491"/>
  <c r="D264" i="491"/>
  <c r="E261" i="491"/>
  <c r="D260" i="491"/>
  <c r="D268" i="491" s="1"/>
  <c r="E268" i="491" s="1"/>
  <c r="D259" i="491"/>
  <c r="D267" i="491" s="1"/>
  <c r="E267" i="491" s="1"/>
  <c r="E256" i="491"/>
  <c r="C283" i="491" s="1"/>
  <c r="C251" i="491"/>
  <c r="B251" i="491"/>
  <c r="C249" i="491"/>
  <c r="E248" i="491"/>
  <c r="E246" i="491"/>
  <c r="B245" i="491"/>
  <c r="B244" i="491"/>
  <c r="D240" i="491"/>
  <c r="E240" i="491" s="1"/>
  <c r="D239" i="491"/>
  <c r="E239" i="491" s="1"/>
  <c r="D238" i="491"/>
  <c r="E238" i="491" s="1"/>
  <c r="D235" i="491"/>
  <c r="D228" i="491"/>
  <c r="E225" i="491"/>
  <c r="D224" i="491"/>
  <c r="D232" i="491" s="1"/>
  <c r="E232" i="491" s="1"/>
  <c r="D223" i="491"/>
  <c r="D231" i="491" s="1"/>
  <c r="E231" i="491" s="1"/>
  <c r="E220" i="491"/>
  <c r="C247" i="491" s="1"/>
  <c r="C215" i="491"/>
  <c r="B215" i="491"/>
  <c r="C213" i="491"/>
  <c r="E212" i="491"/>
  <c r="E210" i="491"/>
  <c r="B209" i="491"/>
  <c r="B208" i="491"/>
  <c r="D204" i="491"/>
  <c r="E204" i="491" s="1"/>
  <c r="D203" i="491"/>
  <c r="E203" i="491" s="1"/>
  <c r="D202" i="491"/>
  <c r="E202" i="491" s="1"/>
  <c r="D199" i="491"/>
  <c r="D192" i="491"/>
  <c r="E189" i="491"/>
  <c r="D188" i="491"/>
  <c r="D196" i="491" s="1"/>
  <c r="E196" i="491" s="1"/>
  <c r="D187" i="491"/>
  <c r="D195" i="491" s="1"/>
  <c r="E195" i="491" s="1"/>
  <c r="E184" i="491"/>
  <c r="C211" i="491" s="1"/>
  <c r="C179" i="491"/>
  <c r="B179" i="491"/>
  <c r="C177" i="491"/>
  <c r="E176" i="491"/>
  <c r="E174" i="491"/>
  <c r="B173" i="491"/>
  <c r="B172" i="491"/>
  <c r="D168" i="491"/>
  <c r="E168" i="491" s="1"/>
  <c r="D167" i="491"/>
  <c r="E167" i="491" s="1"/>
  <c r="D166" i="491"/>
  <c r="E166" i="491" s="1"/>
  <c r="D163" i="491"/>
  <c r="D156" i="491"/>
  <c r="E153" i="491"/>
  <c r="D152" i="491"/>
  <c r="D160" i="491" s="1"/>
  <c r="E160" i="491" s="1"/>
  <c r="E151" i="491"/>
  <c r="D151" i="491"/>
  <c r="D159" i="491" s="1"/>
  <c r="E159" i="491" s="1"/>
  <c r="E148" i="491"/>
  <c r="C175" i="491" s="1"/>
  <c r="C143" i="491"/>
  <c r="B143" i="491"/>
  <c r="C141" i="491"/>
  <c r="E140" i="491"/>
  <c r="E138" i="491"/>
  <c r="B137" i="491"/>
  <c r="B136" i="491"/>
  <c r="D132" i="491"/>
  <c r="E132" i="491" s="1"/>
  <c r="D131" i="491"/>
  <c r="E131" i="491" s="1"/>
  <c r="D130" i="491"/>
  <c r="E130" i="491" s="1"/>
  <c r="D127" i="491"/>
  <c r="D120" i="491"/>
  <c r="E117" i="491"/>
  <c r="D116" i="491"/>
  <c r="D124" i="491" s="1"/>
  <c r="E124" i="491" s="1"/>
  <c r="D115" i="491"/>
  <c r="D123" i="491" s="1"/>
  <c r="E123" i="491" s="1"/>
  <c r="E112" i="491"/>
  <c r="C139" i="491" s="1"/>
  <c r="C107" i="491"/>
  <c r="B107" i="491"/>
  <c r="C105" i="491"/>
  <c r="E104" i="491"/>
  <c r="E102" i="491"/>
  <c r="B101" i="491"/>
  <c r="B100" i="491"/>
  <c r="D96" i="491"/>
  <c r="E96" i="491" s="1"/>
  <c r="D95" i="491"/>
  <c r="E95" i="491" s="1"/>
  <c r="D94" i="491"/>
  <c r="E94" i="491" s="1"/>
  <c r="D91" i="491"/>
  <c r="D84" i="491"/>
  <c r="E81" i="491"/>
  <c r="E80" i="491"/>
  <c r="D80" i="491"/>
  <c r="D88" i="491" s="1"/>
  <c r="E88" i="491" s="1"/>
  <c r="D79" i="491"/>
  <c r="D87" i="491" s="1"/>
  <c r="E87" i="491" s="1"/>
  <c r="E76" i="491"/>
  <c r="C103" i="491" s="1"/>
  <c r="C71" i="491"/>
  <c r="B71" i="491"/>
  <c r="C69" i="491"/>
  <c r="E68" i="491"/>
  <c r="E66" i="491"/>
  <c r="B65" i="491"/>
  <c r="B64" i="491"/>
  <c r="D60" i="491"/>
  <c r="E60" i="491" s="1"/>
  <c r="D59" i="491"/>
  <c r="E59" i="491" s="1"/>
  <c r="D58" i="491"/>
  <c r="E58" i="491" s="1"/>
  <c r="D55" i="491"/>
  <c r="D48" i="491"/>
  <c r="E45" i="491"/>
  <c r="D44" i="491"/>
  <c r="D52" i="491" s="1"/>
  <c r="E52" i="491" s="1"/>
  <c r="D43" i="491"/>
  <c r="D51" i="491" s="1"/>
  <c r="E51" i="491" s="1"/>
  <c r="E40" i="491"/>
  <c r="C67" i="491" s="1"/>
  <c r="C35" i="491"/>
  <c r="B35" i="491"/>
  <c r="C33" i="491"/>
  <c r="E32" i="491"/>
  <c r="E30" i="491"/>
  <c r="B29" i="491"/>
  <c r="B28" i="491"/>
  <c r="D24" i="491"/>
  <c r="E24" i="491" s="1"/>
  <c r="D23" i="491"/>
  <c r="E23" i="491" s="1"/>
  <c r="D22" i="491"/>
  <c r="E22" i="491" s="1"/>
  <c r="D19" i="491"/>
  <c r="D16" i="491"/>
  <c r="C16" i="491"/>
  <c r="D15" i="491"/>
  <c r="E15" i="491" s="1"/>
  <c r="D12" i="491"/>
  <c r="E9" i="491"/>
  <c r="E8" i="491"/>
  <c r="E7" i="491"/>
  <c r="E4" i="491"/>
  <c r="C31" i="491" s="1"/>
  <c r="E1061" i="491" l="1"/>
  <c r="E1067" i="491" s="1"/>
  <c r="E1097" i="491"/>
  <c r="E1103" i="491" s="1"/>
  <c r="F732" i="491"/>
  <c r="C741" i="491" s="1"/>
  <c r="E1535" i="491"/>
  <c r="E1439" i="491"/>
  <c r="E1446" i="491" s="1"/>
  <c r="E1515" i="491"/>
  <c r="E1521" i="491" s="1"/>
  <c r="E1550" i="491"/>
  <c r="E1556" i="491" s="1"/>
  <c r="G1556" i="491" s="1"/>
  <c r="E10" i="491"/>
  <c r="C12" i="491" s="1"/>
  <c r="F12" i="491" s="1"/>
  <c r="C28" i="491" s="1"/>
  <c r="E25" i="491"/>
  <c r="E31" i="491" s="1"/>
  <c r="G31" i="491" s="1"/>
  <c r="E1125" i="491"/>
  <c r="C1127" i="491" s="1"/>
  <c r="F1127" i="491" s="1"/>
  <c r="C1137" i="491" s="1"/>
  <c r="E1351" i="491"/>
  <c r="C1361" i="491" s="1"/>
  <c r="E233" i="491"/>
  <c r="C235" i="491" s="1"/>
  <c r="F235" i="491" s="1"/>
  <c r="C245" i="491" s="1"/>
  <c r="E1266" i="491"/>
  <c r="E1291" i="491"/>
  <c r="E1298" i="491" s="1"/>
  <c r="E224" i="491"/>
  <c r="E493" i="491"/>
  <c r="E499" i="491" s="1"/>
  <c r="E89" i="491"/>
  <c r="C91" i="491" s="1"/>
  <c r="F91" i="491" s="1"/>
  <c r="C101" i="491" s="1"/>
  <c r="E331" i="491"/>
  <c r="E669" i="491"/>
  <c r="E675" i="491" s="1"/>
  <c r="G675" i="491" s="1"/>
  <c r="E703" i="491"/>
  <c r="E709" i="491" s="1"/>
  <c r="E809" i="491"/>
  <c r="E815" i="491" s="1"/>
  <c r="G815" i="491" s="1"/>
  <c r="E845" i="491"/>
  <c r="E851" i="491" s="1"/>
  <c r="E909" i="491"/>
  <c r="C911" i="491" s="1"/>
  <c r="F911" i="491" s="1"/>
  <c r="C921" i="491" s="1"/>
  <c r="E945" i="491"/>
  <c r="C947" i="491" s="1"/>
  <c r="F947" i="491" s="1"/>
  <c r="C957" i="491" s="1"/>
  <c r="G1067" i="491"/>
  <c r="E1152" i="491"/>
  <c r="E1161" i="491"/>
  <c r="C1163" i="491" s="1"/>
  <c r="F1163" i="491" s="1"/>
  <c r="C1180" i="491" s="1"/>
  <c r="E1168" i="491"/>
  <c r="C1170" i="491" s="1"/>
  <c r="F1170" i="491" s="1"/>
  <c r="C1181" i="491" s="1"/>
  <c r="E1396" i="491"/>
  <c r="E1402" i="491" s="1"/>
  <c r="E1471" i="491"/>
  <c r="C1473" i="491" s="1"/>
  <c r="F1473" i="491" s="1"/>
  <c r="C1483" i="491" s="1"/>
  <c r="E1507" i="491"/>
  <c r="C1509" i="491" s="1"/>
  <c r="F1509" i="491" s="1"/>
  <c r="C1519" i="491" s="1"/>
  <c r="E61" i="491"/>
  <c r="E67" i="491" s="1"/>
  <c r="G67" i="491" s="1"/>
  <c r="E485" i="491"/>
  <c r="C487" i="491" s="1"/>
  <c r="F487" i="491" s="1"/>
  <c r="C497" i="491" s="1"/>
  <c r="E521" i="491"/>
  <c r="C523" i="491" s="1"/>
  <c r="F523" i="491" s="1"/>
  <c r="C533" i="491" s="1"/>
  <c r="E593" i="491"/>
  <c r="C595" i="491" s="1"/>
  <c r="F595" i="491" s="1"/>
  <c r="C605" i="491" s="1"/>
  <c r="E917" i="491"/>
  <c r="E923" i="491" s="1"/>
  <c r="G923" i="491" s="1"/>
  <c r="E1017" i="491"/>
  <c r="C1019" i="491" s="1"/>
  <c r="F1019" i="491" s="1"/>
  <c r="C1029" i="491" s="1"/>
  <c r="E169" i="491"/>
  <c r="E175" i="491" s="1"/>
  <c r="G175" i="491" s="1"/>
  <c r="E205" i="491"/>
  <c r="E211" i="491" s="1"/>
  <c r="G211" i="491" s="1"/>
  <c r="E512" i="491"/>
  <c r="E628" i="491"/>
  <c r="C630" i="491" s="1"/>
  <c r="F630" i="491" s="1"/>
  <c r="C639" i="491" s="1"/>
  <c r="E765" i="491"/>
  <c r="C767" i="491" s="1"/>
  <c r="F767" i="491" s="1"/>
  <c r="C777" i="491" s="1"/>
  <c r="E873" i="491"/>
  <c r="C875" i="491" s="1"/>
  <c r="F875" i="491" s="1"/>
  <c r="C885" i="491" s="1"/>
  <c r="E1116" i="491"/>
  <c r="E1305" i="491"/>
  <c r="E1307" i="491" s="1"/>
  <c r="C1309" i="491" s="1"/>
  <c r="F1309" i="491" s="1"/>
  <c r="C1325" i="491" s="1"/>
  <c r="E1388" i="491"/>
  <c r="C1390" i="491" s="1"/>
  <c r="F1390" i="491" s="1"/>
  <c r="C1400" i="491" s="1"/>
  <c r="E1418" i="491"/>
  <c r="C1420" i="491" s="1"/>
  <c r="E1420" i="491" s="1"/>
  <c r="C1442" i="491" s="1"/>
  <c r="E1433" i="491"/>
  <c r="C1444" i="491" s="1"/>
  <c r="E586" i="491"/>
  <c r="C588" i="491" s="1"/>
  <c r="F588" i="491" s="1"/>
  <c r="C604" i="491" s="1"/>
  <c r="E1283" i="491"/>
  <c r="C1285" i="491" s="1"/>
  <c r="F1285" i="491" s="1"/>
  <c r="C1296" i="491" s="1"/>
  <c r="E79" i="491"/>
  <c r="E82" i="491" s="1"/>
  <c r="C84" i="491" s="1"/>
  <c r="F84" i="491" s="1"/>
  <c r="C100" i="491" s="1"/>
  <c r="E152" i="491"/>
  <c r="E154" i="491" s="1"/>
  <c r="C156" i="491" s="1"/>
  <c r="F156" i="491" s="1"/>
  <c r="C172" i="491" s="1"/>
  <c r="E332" i="491"/>
  <c r="E654" i="491"/>
  <c r="E792" i="491"/>
  <c r="E863" i="491"/>
  <c r="E866" i="491" s="1"/>
  <c r="C868" i="491" s="1"/>
  <c r="F868" i="491" s="1"/>
  <c r="C884" i="491" s="1"/>
  <c r="E1044" i="491"/>
  <c r="E16" i="491"/>
  <c r="E17" i="491" s="1"/>
  <c r="C19" i="491" s="1"/>
  <c r="F19" i="491" s="1"/>
  <c r="C29" i="491" s="1"/>
  <c r="E125" i="491"/>
  <c r="C127" i="491" s="1"/>
  <c r="F127" i="491" s="1"/>
  <c r="C137" i="491" s="1"/>
  <c r="E161" i="491"/>
  <c r="C163" i="491" s="1"/>
  <c r="F163" i="491" s="1"/>
  <c r="C173" i="491" s="1"/>
  <c r="E269" i="491"/>
  <c r="C271" i="491" s="1"/>
  <c r="F271" i="491" s="1"/>
  <c r="C281" i="491" s="1"/>
  <c r="E305" i="491"/>
  <c r="C307" i="491" s="1"/>
  <c r="F307" i="491" s="1"/>
  <c r="C317" i="491" s="1"/>
  <c r="E377" i="491"/>
  <c r="C379" i="491" s="1"/>
  <c r="F379" i="491" s="1"/>
  <c r="C389" i="491" s="1"/>
  <c r="E449" i="491"/>
  <c r="C451" i="491" s="1"/>
  <c r="F451" i="491" s="1"/>
  <c r="C461" i="491" s="1"/>
  <c r="E662" i="491"/>
  <c r="C664" i="491" s="1"/>
  <c r="F664" i="491" s="1"/>
  <c r="C673" i="491" s="1"/>
  <c r="E801" i="491"/>
  <c r="C803" i="491" s="1"/>
  <c r="F803" i="491" s="1"/>
  <c r="C813" i="491" s="1"/>
  <c r="E1053" i="491"/>
  <c r="C1055" i="491" s="1"/>
  <c r="F1055" i="491" s="1"/>
  <c r="C1065" i="491" s="1"/>
  <c r="E1151" i="491"/>
  <c r="E1176" i="491"/>
  <c r="E1183" i="491" s="1"/>
  <c r="E1241" i="491"/>
  <c r="C1243" i="491" s="1"/>
  <c r="F1243" i="491" s="1"/>
  <c r="C1253" i="491" s="1"/>
  <c r="E1267" i="491"/>
  <c r="E1269" i="491" s="1"/>
  <c r="C1271" i="491" s="1"/>
  <c r="F1271" i="491" s="1"/>
  <c r="C1294" i="491" s="1"/>
  <c r="E341" i="491"/>
  <c r="C343" i="491" s="1"/>
  <c r="F343" i="491" s="1"/>
  <c r="C353" i="491" s="1"/>
  <c r="E223" i="491"/>
  <c r="E440" i="491"/>
  <c r="E511" i="491"/>
  <c r="E721" i="491"/>
  <c r="E935" i="491"/>
  <c r="E938" i="491" s="1"/>
  <c r="C940" i="491" s="1"/>
  <c r="F940" i="491" s="1"/>
  <c r="C956" i="491" s="1"/>
  <c r="E1115" i="491"/>
  <c r="E1232" i="491"/>
  <c r="E1234" i="491" s="1"/>
  <c r="C1236" i="491" s="1"/>
  <c r="F1236" i="491" s="1"/>
  <c r="C1252" i="491" s="1"/>
  <c r="C1254" i="491" s="1"/>
  <c r="E1534" i="491"/>
  <c r="E1537" i="491" s="1"/>
  <c r="C1539" i="491" s="1"/>
  <c r="F1539" i="491" s="1"/>
  <c r="C1553" i="491" s="1"/>
  <c r="E133" i="491"/>
  <c r="E139" i="491" s="1"/>
  <c r="E313" i="491"/>
  <c r="E319" i="491" s="1"/>
  <c r="E385" i="491"/>
  <c r="E391" i="491" s="1"/>
  <c r="E421" i="491"/>
  <c r="E427" i="491" s="1"/>
  <c r="G427" i="491" s="1"/>
  <c r="E439" i="491"/>
  <c r="E442" i="491" s="1"/>
  <c r="C444" i="491" s="1"/>
  <c r="F444" i="491" s="1"/>
  <c r="C460" i="491" s="1"/>
  <c r="E529" i="491"/>
  <c r="E535" i="491" s="1"/>
  <c r="G535" i="491" s="1"/>
  <c r="E557" i="491"/>
  <c r="C559" i="491" s="1"/>
  <c r="F559" i="491" s="1"/>
  <c r="C569" i="491" s="1"/>
  <c r="E565" i="491"/>
  <c r="E571" i="491" s="1"/>
  <c r="G571" i="491" s="1"/>
  <c r="E635" i="491"/>
  <c r="E641" i="491" s="1"/>
  <c r="E653" i="491"/>
  <c r="E722" i="491"/>
  <c r="E773" i="491"/>
  <c r="E779" i="491" s="1"/>
  <c r="G779" i="491" s="1"/>
  <c r="E791" i="491"/>
  <c r="E953" i="491"/>
  <c r="E959" i="491" s="1"/>
  <c r="G959" i="491" s="1"/>
  <c r="E989" i="491"/>
  <c r="E995" i="491" s="1"/>
  <c r="G995" i="491" s="1"/>
  <c r="E1025" i="491"/>
  <c r="E1031" i="491" s="1"/>
  <c r="G1031" i="491" s="1"/>
  <c r="E1043" i="491"/>
  <c r="E1213" i="491"/>
  <c r="E1219" i="491" s="1"/>
  <c r="G1219" i="491" s="1"/>
  <c r="E1276" i="491"/>
  <c r="C1278" i="491" s="1"/>
  <c r="F1278" i="491" s="1"/>
  <c r="C1295" i="491" s="1"/>
  <c r="E1314" i="491"/>
  <c r="C1316" i="491" s="1"/>
  <c r="F1316" i="491" s="1"/>
  <c r="C1326" i="491" s="1"/>
  <c r="E1357" i="491"/>
  <c r="E1363" i="491" s="1"/>
  <c r="G1363" i="491" s="1"/>
  <c r="G709" i="491"/>
  <c r="G851" i="491"/>
  <c r="G1103" i="491"/>
  <c r="G1183" i="491"/>
  <c r="G1298" i="491"/>
  <c r="G1446" i="491"/>
  <c r="E1426" i="491"/>
  <c r="C1428" i="491" s="1"/>
  <c r="E1428" i="491" s="1"/>
  <c r="C1443" i="491" s="1"/>
  <c r="E1461" i="491"/>
  <c r="E1462" i="491"/>
  <c r="E349" i="491"/>
  <c r="E355" i="491" s="1"/>
  <c r="G355" i="491" s="1"/>
  <c r="G391" i="491"/>
  <c r="E53" i="491"/>
  <c r="C55" i="491" s="1"/>
  <c r="F55" i="491" s="1"/>
  <c r="C65" i="491" s="1"/>
  <c r="E97" i="491"/>
  <c r="E103" i="491" s="1"/>
  <c r="G103" i="491" s="1"/>
  <c r="G139" i="491"/>
  <c r="E197" i="491"/>
  <c r="C199" i="491" s="1"/>
  <c r="F199" i="491" s="1"/>
  <c r="C209" i="491" s="1"/>
  <c r="E241" i="491"/>
  <c r="E247" i="491" s="1"/>
  <c r="G247" i="491" s="1"/>
  <c r="E277" i="491"/>
  <c r="E283" i="491" s="1"/>
  <c r="G283" i="491" s="1"/>
  <c r="G319" i="491"/>
  <c r="E295" i="491"/>
  <c r="E296" i="491"/>
  <c r="E367" i="491"/>
  <c r="E368" i="491"/>
  <c r="E413" i="491"/>
  <c r="C415" i="491" s="1"/>
  <c r="F415" i="491" s="1"/>
  <c r="C425" i="491" s="1"/>
  <c r="E457" i="491"/>
  <c r="E463" i="491" s="1"/>
  <c r="G463" i="491" s="1"/>
  <c r="G499" i="491"/>
  <c r="E550" i="491"/>
  <c r="C552" i="491" s="1"/>
  <c r="F552" i="491" s="1"/>
  <c r="C568" i="491" s="1"/>
  <c r="C606" i="491"/>
  <c r="E601" i="491"/>
  <c r="E607" i="491" s="1"/>
  <c r="G607" i="491" s="1"/>
  <c r="G641" i="491"/>
  <c r="E696" i="491"/>
  <c r="C698" i="491" s="1"/>
  <c r="F698" i="491" s="1"/>
  <c r="C707" i="491" s="1"/>
  <c r="E737" i="491"/>
  <c r="E743" i="491" s="1"/>
  <c r="G743" i="491" s="1"/>
  <c r="E837" i="491"/>
  <c r="C839" i="491" s="1"/>
  <c r="F839" i="491" s="1"/>
  <c r="C849" i="491" s="1"/>
  <c r="C886" i="491"/>
  <c r="E881" i="491"/>
  <c r="E887" i="491" s="1"/>
  <c r="G887" i="491" s="1"/>
  <c r="E43" i="491"/>
  <c r="E44" i="491"/>
  <c r="E115" i="491"/>
  <c r="E116" i="491"/>
  <c r="E187" i="491"/>
  <c r="E188" i="491"/>
  <c r="E259" i="491"/>
  <c r="E260" i="491"/>
  <c r="E403" i="491"/>
  <c r="E404" i="491"/>
  <c r="E475" i="491"/>
  <c r="E476" i="491"/>
  <c r="E619" i="491"/>
  <c r="E620" i="491"/>
  <c r="E687" i="491"/>
  <c r="E688" i="491"/>
  <c r="E755" i="491"/>
  <c r="E756" i="491"/>
  <c r="E827" i="491"/>
  <c r="E828" i="491"/>
  <c r="E899" i="491"/>
  <c r="E900" i="491"/>
  <c r="E981" i="491"/>
  <c r="C983" i="491" s="1"/>
  <c r="F983" i="491" s="1"/>
  <c r="C993" i="491" s="1"/>
  <c r="E1089" i="491"/>
  <c r="C1091" i="491" s="1"/>
  <c r="F1091" i="491" s="1"/>
  <c r="C1101" i="491" s="1"/>
  <c r="E1133" i="491"/>
  <c r="E1139" i="491" s="1"/>
  <c r="G1139" i="491" s="1"/>
  <c r="E1205" i="491"/>
  <c r="C1207" i="491" s="1"/>
  <c r="F1207" i="491" s="1"/>
  <c r="C1217" i="491" s="1"/>
  <c r="E1249" i="491"/>
  <c r="E1255" i="491" s="1"/>
  <c r="G1255" i="491" s="1"/>
  <c r="E1322" i="491"/>
  <c r="E1328" i="491" s="1"/>
  <c r="G1328" i="491" s="1"/>
  <c r="E1344" i="491"/>
  <c r="C1346" i="491" s="1"/>
  <c r="E1346" i="491" s="1"/>
  <c r="C1360" i="491" s="1"/>
  <c r="G1402" i="491"/>
  <c r="E1479" i="491"/>
  <c r="E1485" i="491" s="1"/>
  <c r="G1485" i="491" s="1"/>
  <c r="G1521" i="491"/>
  <c r="E1543" i="491"/>
  <c r="C1545" i="491" s="1"/>
  <c r="F1545" i="491" s="1"/>
  <c r="C1554" i="491" s="1"/>
  <c r="E971" i="491"/>
  <c r="E972" i="491"/>
  <c r="E1195" i="491"/>
  <c r="E1196" i="491"/>
  <c r="E1007" i="491"/>
  <c r="E1008" i="491"/>
  <c r="E1079" i="491"/>
  <c r="E1080" i="491"/>
  <c r="E1378" i="491"/>
  <c r="E1379" i="491"/>
  <c r="E1497" i="491"/>
  <c r="E1498" i="491"/>
  <c r="E1118" i="491" l="1"/>
  <c r="C1120" i="491" s="1"/>
  <c r="F1120" i="491" s="1"/>
  <c r="C1136" i="491" s="1"/>
  <c r="C1138" i="491" s="1"/>
  <c r="C462" i="491"/>
  <c r="C958" i="491"/>
  <c r="C30" i="491"/>
  <c r="E334" i="491"/>
  <c r="C336" i="491" s="1"/>
  <c r="F336" i="491" s="1"/>
  <c r="C352" i="491" s="1"/>
  <c r="C354" i="491" s="1"/>
  <c r="C356" i="491" s="1"/>
  <c r="G356" i="491" s="1"/>
  <c r="E357" i="491" s="1"/>
  <c r="G357" i="491" s="1"/>
  <c r="E226" i="491"/>
  <c r="C228" i="491" s="1"/>
  <c r="F228" i="491" s="1"/>
  <c r="C244" i="491" s="1"/>
  <c r="C246" i="491" s="1"/>
  <c r="C248" i="491" s="1"/>
  <c r="G248" i="491" s="1"/>
  <c r="E249" i="491" s="1"/>
  <c r="G249" i="491" s="1"/>
  <c r="C102" i="491"/>
  <c r="E656" i="491"/>
  <c r="C658" i="491" s="1"/>
  <c r="F658" i="491" s="1"/>
  <c r="C672" i="491" s="1"/>
  <c r="C1445" i="491"/>
  <c r="E1154" i="491"/>
  <c r="C1156" i="491" s="1"/>
  <c r="F1156" i="491" s="1"/>
  <c r="C1179" i="491" s="1"/>
  <c r="C1182" i="491" s="1"/>
  <c r="E514" i="491"/>
  <c r="C516" i="491" s="1"/>
  <c r="F516" i="491" s="1"/>
  <c r="C532" i="491" s="1"/>
  <c r="C534" i="491" s="1"/>
  <c r="E794" i="491"/>
  <c r="C796" i="491" s="1"/>
  <c r="F796" i="491" s="1"/>
  <c r="C812" i="491" s="1"/>
  <c r="C814" i="491" s="1"/>
  <c r="C816" i="491" s="1"/>
  <c r="G816" i="491" s="1"/>
  <c r="E817" i="491" s="1"/>
  <c r="G817" i="491" s="1"/>
  <c r="C1555" i="491"/>
  <c r="C1557" i="491" s="1"/>
  <c r="G1557" i="491" s="1"/>
  <c r="E1558" i="491" s="1"/>
  <c r="G1558" i="491" s="1"/>
  <c r="C1362" i="491"/>
  <c r="C1367" i="491" s="1"/>
  <c r="G1367" i="491" s="1"/>
  <c r="E1368" i="491" s="1"/>
  <c r="G1368" i="491" s="1"/>
  <c r="E724" i="491"/>
  <c r="C726" i="491" s="1"/>
  <c r="F726" i="491" s="1"/>
  <c r="C740" i="491" s="1"/>
  <c r="C742" i="491" s="1"/>
  <c r="G742" i="491" s="1"/>
  <c r="C174" i="491"/>
  <c r="C176" i="491" s="1"/>
  <c r="G176" i="491" s="1"/>
  <c r="E177" i="491" s="1"/>
  <c r="G177" i="491" s="1"/>
  <c r="C1327" i="491"/>
  <c r="E1500" i="491"/>
  <c r="C1502" i="491" s="1"/>
  <c r="F1502" i="491" s="1"/>
  <c r="C1518" i="491" s="1"/>
  <c r="C1520" i="491" s="1"/>
  <c r="G1520" i="491" s="1"/>
  <c r="E1464" i="491"/>
  <c r="C1466" i="491" s="1"/>
  <c r="F1466" i="491" s="1"/>
  <c r="C1482" i="491" s="1"/>
  <c r="C1484" i="491" s="1"/>
  <c r="C1486" i="491" s="1"/>
  <c r="G1486" i="491" s="1"/>
  <c r="E1487" i="491" s="1"/>
  <c r="G1487" i="491" s="1"/>
  <c r="E1082" i="491"/>
  <c r="C1084" i="491" s="1"/>
  <c r="F1084" i="491" s="1"/>
  <c r="C1100" i="491" s="1"/>
  <c r="C1102" i="491" s="1"/>
  <c r="G1102" i="491" s="1"/>
  <c r="E1198" i="491"/>
  <c r="C1200" i="491" s="1"/>
  <c r="F1200" i="491" s="1"/>
  <c r="C1216" i="491" s="1"/>
  <c r="C1218" i="491" s="1"/>
  <c r="G1218" i="491" s="1"/>
  <c r="G354" i="491"/>
  <c r="G358" i="491" s="1"/>
  <c r="C1297" i="491"/>
  <c r="E1381" i="491"/>
  <c r="C1383" i="491" s="1"/>
  <c r="F1383" i="491" s="1"/>
  <c r="C1399" i="491" s="1"/>
  <c r="C1401" i="491" s="1"/>
  <c r="C1403" i="491" s="1"/>
  <c r="G1403" i="491" s="1"/>
  <c r="E1404" i="491" s="1"/>
  <c r="G1404" i="491" s="1"/>
  <c r="E1010" i="491"/>
  <c r="C1012" i="491" s="1"/>
  <c r="F1012" i="491" s="1"/>
  <c r="C1028" i="491" s="1"/>
  <c r="C1030" i="491" s="1"/>
  <c r="C1032" i="491" s="1"/>
  <c r="G1032" i="491" s="1"/>
  <c r="E1033" i="491" s="1"/>
  <c r="G1033" i="491" s="1"/>
  <c r="E974" i="491"/>
  <c r="C976" i="491" s="1"/>
  <c r="F976" i="491" s="1"/>
  <c r="C992" i="491" s="1"/>
  <c r="C994" i="491" s="1"/>
  <c r="G994" i="491" s="1"/>
  <c r="C570" i="491"/>
  <c r="G570" i="491" s="1"/>
  <c r="E1046" i="491"/>
  <c r="C1048" i="491" s="1"/>
  <c r="F1048" i="491" s="1"/>
  <c r="C1064" i="491" s="1"/>
  <c r="C1066" i="491" s="1"/>
  <c r="C674" i="491"/>
  <c r="C1450" i="491"/>
  <c r="G1450" i="491" s="1"/>
  <c r="E1451" i="491" s="1"/>
  <c r="G1451" i="491" s="1"/>
  <c r="G1445" i="491"/>
  <c r="G1555" i="491"/>
  <c r="C1104" i="491"/>
  <c r="G1104" i="491" s="1"/>
  <c r="E1105" i="491" s="1"/>
  <c r="G1105" i="491" s="1"/>
  <c r="G1030" i="491"/>
  <c r="C1256" i="491"/>
  <c r="G1256" i="491" s="1"/>
  <c r="E1257" i="491" s="1"/>
  <c r="G1257" i="491" s="1"/>
  <c r="G1254" i="491"/>
  <c r="C888" i="491"/>
  <c r="G888" i="491" s="1"/>
  <c r="E889" i="491" s="1"/>
  <c r="G889" i="491" s="1"/>
  <c r="G886" i="491"/>
  <c r="C608" i="491"/>
  <c r="G608" i="491" s="1"/>
  <c r="E609" i="491" s="1"/>
  <c r="G609" i="491" s="1"/>
  <c r="G606" i="491"/>
  <c r="C572" i="491"/>
  <c r="G572" i="491" s="1"/>
  <c r="E573" i="491" s="1"/>
  <c r="G573" i="491" s="1"/>
  <c r="G1362" i="491"/>
  <c r="C1329" i="491"/>
  <c r="G1329" i="491" s="1"/>
  <c r="E1330" i="491" s="1"/>
  <c r="G1330" i="491" s="1"/>
  <c r="G1327" i="491"/>
  <c r="C1140" i="491"/>
  <c r="G1140" i="491" s="1"/>
  <c r="E1141" i="491" s="1"/>
  <c r="G1141" i="491" s="1"/>
  <c r="G1138" i="491"/>
  <c r="C464" i="491"/>
  <c r="G464" i="491" s="1"/>
  <c r="E465" i="491" s="1"/>
  <c r="G465" i="491" s="1"/>
  <c r="G462" i="491"/>
  <c r="C104" i="491"/>
  <c r="G104" i="491" s="1"/>
  <c r="E105" i="491" s="1"/>
  <c r="G105" i="491" s="1"/>
  <c r="G102" i="491"/>
  <c r="C32" i="491"/>
  <c r="G32" i="491" s="1"/>
  <c r="E33" i="491" s="1"/>
  <c r="G33" i="491" s="1"/>
  <c r="G30" i="491"/>
  <c r="E902" i="491"/>
  <c r="C904" i="491" s="1"/>
  <c r="F904" i="491" s="1"/>
  <c r="C920" i="491" s="1"/>
  <c r="C922" i="491" s="1"/>
  <c r="E830" i="491"/>
  <c r="C832" i="491" s="1"/>
  <c r="F832" i="491" s="1"/>
  <c r="C848" i="491" s="1"/>
  <c r="C850" i="491" s="1"/>
  <c r="E758" i="491"/>
  <c r="C760" i="491" s="1"/>
  <c r="F760" i="491" s="1"/>
  <c r="C776" i="491" s="1"/>
  <c r="C778" i="491" s="1"/>
  <c r="E690" i="491"/>
  <c r="C692" i="491" s="1"/>
  <c r="F692" i="491" s="1"/>
  <c r="C706" i="491" s="1"/>
  <c r="C708" i="491" s="1"/>
  <c r="E622" i="491"/>
  <c r="C624" i="491" s="1"/>
  <c r="F624" i="491" s="1"/>
  <c r="C638" i="491" s="1"/>
  <c r="C640" i="491" s="1"/>
  <c r="E478" i="491"/>
  <c r="C480" i="491" s="1"/>
  <c r="F480" i="491" s="1"/>
  <c r="C496" i="491" s="1"/>
  <c r="C498" i="491" s="1"/>
  <c r="E406" i="491"/>
  <c r="C408" i="491" s="1"/>
  <c r="F408" i="491" s="1"/>
  <c r="C424" i="491" s="1"/>
  <c r="C426" i="491" s="1"/>
  <c r="E262" i="491"/>
  <c r="C264" i="491" s="1"/>
  <c r="F264" i="491" s="1"/>
  <c r="C280" i="491" s="1"/>
  <c r="C282" i="491" s="1"/>
  <c r="E190" i="491"/>
  <c r="C192" i="491" s="1"/>
  <c r="F192" i="491" s="1"/>
  <c r="C208" i="491" s="1"/>
  <c r="C210" i="491" s="1"/>
  <c r="E118" i="491"/>
  <c r="C120" i="491" s="1"/>
  <c r="F120" i="491" s="1"/>
  <c r="C136" i="491" s="1"/>
  <c r="C138" i="491" s="1"/>
  <c r="E46" i="491"/>
  <c r="C48" i="491" s="1"/>
  <c r="F48" i="491" s="1"/>
  <c r="C64" i="491" s="1"/>
  <c r="C66" i="491" s="1"/>
  <c r="E370" i="491"/>
  <c r="C372" i="491" s="1"/>
  <c r="F372" i="491" s="1"/>
  <c r="C388" i="491" s="1"/>
  <c r="C390" i="491" s="1"/>
  <c r="E298" i="491"/>
  <c r="C300" i="491" s="1"/>
  <c r="F300" i="491" s="1"/>
  <c r="C316" i="491" s="1"/>
  <c r="C318" i="491" s="1"/>
  <c r="G246" i="491" l="1"/>
  <c r="C1220" i="491"/>
  <c r="G1220" i="491" s="1"/>
  <c r="E1221" i="491" s="1"/>
  <c r="G1221" i="491" s="1"/>
  <c r="G958" i="491"/>
  <c r="C960" i="491"/>
  <c r="G960" i="491" s="1"/>
  <c r="E961" i="491" s="1"/>
  <c r="G961" i="491" s="1"/>
  <c r="G890" i="491"/>
  <c r="G891" i="491" s="1"/>
  <c r="G892" i="491" s="1"/>
  <c r="G893" i="491" s="1"/>
  <c r="C744" i="491"/>
  <c r="G744" i="491" s="1"/>
  <c r="E745" i="491" s="1"/>
  <c r="G745" i="491" s="1"/>
  <c r="G1142" i="491"/>
  <c r="G814" i="491"/>
  <c r="G818" i="491" s="1"/>
  <c r="G819" i="491" s="1"/>
  <c r="G820" i="491" s="1"/>
  <c r="G821" i="491" s="1"/>
  <c r="C536" i="491"/>
  <c r="G536" i="491" s="1"/>
  <c r="E537" i="491" s="1"/>
  <c r="G537" i="491" s="1"/>
  <c r="G534" i="491"/>
  <c r="G1182" i="491"/>
  <c r="C1184" i="491"/>
  <c r="G1184" i="491" s="1"/>
  <c r="E1185" i="491" s="1"/>
  <c r="G1185" i="491" s="1"/>
  <c r="G1559" i="491"/>
  <c r="G1560" i="491" s="1"/>
  <c r="G1561" i="491" s="1"/>
  <c r="G1562" i="491" s="1"/>
  <c r="G1484" i="491"/>
  <c r="G1369" i="491"/>
  <c r="C1522" i="491"/>
  <c r="G1522" i="491" s="1"/>
  <c r="E1523" i="491" s="1"/>
  <c r="G1523" i="491" s="1"/>
  <c r="G1401" i="491"/>
  <c r="G1405" i="491" s="1"/>
  <c r="G1406" i="491" s="1"/>
  <c r="G1407" i="491" s="1"/>
  <c r="G1408" i="491" s="1"/>
  <c r="G174" i="491"/>
  <c r="G178" i="491" s="1"/>
  <c r="G1258" i="491"/>
  <c r="G574" i="491"/>
  <c r="G1222" i="491"/>
  <c r="G1223" i="491" s="1"/>
  <c r="G1224" i="491" s="1"/>
  <c r="G1225" i="491" s="1"/>
  <c r="G1106" i="491"/>
  <c r="G1107" i="491" s="1"/>
  <c r="G1108" i="491" s="1"/>
  <c r="G1109" i="491" s="1"/>
  <c r="G1034" i="491"/>
  <c r="G674" i="491"/>
  <c r="C676" i="491"/>
  <c r="G676" i="491" s="1"/>
  <c r="E677" i="491" s="1"/>
  <c r="G677" i="491" s="1"/>
  <c r="C996" i="491"/>
  <c r="G996" i="491" s="1"/>
  <c r="E997" i="491" s="1"/>
  <c r="G997" i="491" s="1"/>
  <c r="C1068" i="491"/>
  <c r="G1068" i="491" s="1"/>
  <c r="E1069" i="491" s="1"/>
  <c r="G1069" i="491" s="1"/>
  <c r="G1066" i="491"/>
  <c r="G1331" i="491"/>
  <c r="G1332" i="491" s="1"/>
  <c r="G1333" i="491" s="1"/>
  <c r="G1334" i="491" s="1"/>
  <c r="G250" i="491"/>
  <c r="G251" i="491" s="1"/>
  <c r="G252" i="491" s="1"/>
  <c r="G253" i="491" s="1"/>
  <c r="G610" i="491"/>
  <c r="G1452" i="491"/>
  <c r="E1453" i="491" s="1"/>
  <c r="G1453" i="491" s="1"/>
  <c r="G1454" i="491" s="1"/>
  <c r="G1455" i="491" s="1"/>
  <c r="C1299" i="491"/>
  <c r="G1299" i="491" s="1"/>
  <c r="E1300" i="491" s="1"/>
  <c r="G1300" i="491" s="1"/>
  <c r="G1297" i="491"/>
  <c r="G359" i="491"/>
  <c r="G360" i="491" s="1"/>
  <c r="G361" i="491" s="1"/>
  <c r="C392" i="491"/>
  <c r="G392" i="491" s="1"/>
  <c r="E393" i="491" s="1"/>
  <c r="G393" i="491" s="1"/>
  <c r="G390" i="491"/>
  <c r="C140" i="491"/>
  <c r="G140" i="491" s="1"/>
  <c r="E141" i="491" s="1"/>
  <c r="G141" i="491" s="1"/>
  <c r="G138" i="491"/>
  <c r="C284" i="491"/>
  <c r="G284" i="491" s="1"/>
  <c r="E285" i="491" s="1"/>
  <c r="G285" i="491" s="1"/>
  <c r="G282" i="491"/>
  <c r="C500" i="491"/>
  <c r="G500" i="491" s="1"/>
  <c r="E501" i="491" s="1"/>
  <c r="G501" i="491" s="1"/>
  <c r="G498" i="491"/>
  <c r="C710" i="491"/>
  <c r="G710" i="491" s="1"/>
  <c r="E711" i="491" s="1"/>
  <c r="G711" i="491" s="1"/>
  <c r="G708" i="491"/>
  <c r="C852" i="491"/>
  <c r="G852" i="491" s="1"/>
  <c r="E853" i="491" s="1"/>
  <c r="G853" i="491" s="1"/>
  <c r="G850" i="491"/>
  <c r="G179" i="491"/>
  <c r="G180" i="491" s="1"/>
  <c r="G181" i="491" s="1"/>
  <c r="C320" i="491"/>
  <c r="G320" i="491" s="1"/>
  <c r="E321" i="491" s="1"/>
  <c r="G321" i="491" s="1"/>
  <c r="G318" i="491"/>
  <c r="C68" i="491"/>
  <c r="G68" i="491" s="1"/>
  <c r="E69" i="491" s="1"/>
  <c r="G69" i="491" s="1"/>
  <c r="G66" i="491"/>
  <c r="C212" i="491"/>
  <c r="G212" i="491" s="1"/>
  <c r="E213" i="491" s="1"/>
  <c r="G213" i="491" s="1"/>
  <c r="G210" i="491"/>
  <c r="C428" i="491"/>
  <c r="G428" i="491" s="1"/>
  <c r="E429" i="491" s="1"/>
  <c r="G429" i="491" s="1"/>
  <c r="G426" i="491"/>
  <c r="C642" i="491"/>
  <c r="G642" i="491" s="1"/>
  <c r="E643" i="491" s="1"/>
  <c r="G643" i="491" s="1"/>
  <c r="G640" i="491"/>
  <c r="C780" i="491"/>
  <c r="G780" i="491" s="1"/>
  <c r="E781" i="491" s="1"/>
  <c r="G781" i="491" s="1"/>
  <c r="G778" i="491"/>
  <c r="C924" i="491"/>
  <c r="G924" i="491" s="1"/>
  <c r="E925" i="491" s="1"/>
  <c r="G925" i="491" s="1"/>
  <c r="G922" i="491"/>
  <c r="G1143" i="491"/>
  <c r="G1144" i="491" s="1"/>
  <c r="G1145" i="491" s="1"/>
  <c r="G1370" i="491"/>
  <c r="G1371" i="491" s="1"/>
  <c r="G1372" i="491" s="1"/>
  <c r="G575" i="491"/>
  <c r="G576" i="491" s="1"/>
  <c r="G577" i="491" s="1"/>
  <c r="G611" i="491"/>
  <c r="G612" i="491" s="1"/>
  <c r="G613" i="491" s="1"/>
  <c r="G1259" i="491"/>
  <c r="G1260" i="491" s="1"/>
  <c r="G1261" i="491" s="1"/>
  <c r="G1035" i="491"/>
  <c r="G1036" i="491" s="1"/>
  <c r="G1037" i="491" s="1"/>
  <c r="G34" i="491"/>
  <c r="G106" i="491"/>
  <c r="G466" i="491"/>
  <c r="G1488" i="491"/>
  <c r="G746" i="491" l="1"/>
  <c r="G747" i="491" s="1"/>
  <c r="G748" i="491" s="1"/>
  <c r="G749" i="491" s="1"/>
  <c r="G1186" i="491"/>
  <c r="G1187" i="491" s="1"/>
  <c r="G1188" i="491" s="1"/>
  <c r="G1189" i="491" s="1"/>
  <c r="G962" i="491"/>
  <c r="G963" i="491" s="1"/>
  <c r="G964" i="491" s="1"/>
  <c r="G965" i="491" s="1"/>
  <c r="G538" i="491"/>
  <c r="G539" i="491" s="1"/>
  <c r="G540" i="491" s="1"/>
  <c r="G541" i="491" s="1"/>
  <c r="G1524" i="491"/>
  <c r="G1525" i="491" s="1"/>
  <c r="G1526" i="491" s="1"/>
  <c r="G1527" i="491" s="1"/>
  <c r="G782" i="491"/>
  <c r="G783" i="491" s="1"/>
  <c r="G784" i="491" s="1"/>
  <c r="G785" i="491" s="1"/>
  <c r="G430" i="491"/>
  <c r="G431" i="491" s="1"/>
  <c r="G432" i="491" s="1"/>
  <c r="G433" i="491" s="1"/>
  <c r="G70" i="491"/>
  <c r="G71" i="491" s="1"/>
  <c r="G72" i="491" s="1"/>
  <c r="G73" i="491" s="1"/>
  <c r="G142" i="491"/>
  <c r="G143" i="491" s="1"/>
  <c r="G144" i="491" s="1"/>
  <c r="G145" i="491" s="1"/>
  <c r="G1070" i="491"/>
  <c r="G1071" i="491" s="1"/>
  <c r="G1072" i="491" s="1"/>
  <c r="G1073" i="491" s="1"/>
  <c r="G502" i="491"/>
  <c r="G503" i="491" s="1"/>
  <c r="G504" i="491" s="1"/>
  <c r="G505" i="491" s="1"/>
  <c r="G214" i="491"/>
  <c r="G215" i="491" s="1"/>
  <c r="G322" i="491"/>
  <c r="G323" i="491" s="1"/>
  <c r="G324" i="491" s="1"/>
  <c r="G325" i="491" s="1"/>
  <c r="G286" i="491"/>
  <c r="G287" i="491" s="1"/>
  <c r="G288" i="491" s="1"/>
  <c r="G289" i="491" s="1"/>
  <c r="G394" i="491"/>
  <c r="G395" i="491" s="1"/>
  <c r="G396" i="491" s="1"/>
  <c r="G397" i="491" s="1"/>
  <c r="G644" i="491"/>
  <c r="G678" i="491"/>
  <c r="G1301" i="491"/>
  <c r="G1302" i="491" s="1"/>
  <c r="G1303" i="491" s="1"/>
  <c r="G1304" i="491" s="1"/>
  <c r="G998" i="491"/>
  <c r="G999" i="491" s="1"/>
  <c r="G1000" i="491" s="1"/>
  <c r="G1001" i="491" s="1"/>
  <c r="G467" i="491"/>
  <c r="G468" i="491" s="1"/>
  <c r="G469" i="491" s="1"/>
  <c r="G35" i="491"/>
  <c r="G36" i="491" s="1"/>
  <c r="G37" i="491" s="1"/>
  <c r="G1489" i="491"/>
  <c r="G1490" i="491" s="1"/>
  <c r="G1491" i="491" s="1"/>
  <c r="G107" i="491"/>
  <c r="G108" i="491" s="1"/>
  <c r="G109" i="491" s="1"/>
  <c r="G645" i="491"/>
  <c r="G646" i="491" s="1"/>
  <c r="G647" i="491" s="1"/>
  <c r="G926" i="491"/>
  <c r="G854" i="491"/>
  <c r="G712" i="491"/>
  <c r="G216" i="491" l="1"/>
  <c r="G217" i="491" s="1"/>
  <c r="G679" i="491"/>
  <c r="G680" i="491" s="1"/>
  <c r="G681" i="491" s="1"/>
  <c r="G713" i="491"/>
  <c r="G714" i="491" s="1"/>
  <c r="G715" i="491" s="1"/>
  <c r="G927" i="491"/>
  <c r="G928" i="491" s="1"/>
  <c r="G929" i="491" s="1"/>
  <c r="G855" i="491"/>
  <c r="G856" i="491" s="1"/>
  <c r="G857" i="491" s="1"/>
  <c r="G1608" i="490" l="1"/>
  <c r="D1608" i="490"/>
  <c r="C1608" i="490"/>
  <c r="G1607" i="490"/>
  <c r="D1607" i="490"/>
  <c r="C1607" i="490"/>
  <c r="D1602" i="490"/>
  <c r="I1600" i="490"/>
  <c r="I1601" i="490" s="1"/>
  <c r="A1598" i="490"/>
  <c r="I1588" i="490"/>
  <c r="F1589" i="490" s="1"/>
  <c r="I1589" i="490" s="1"/>
  <c r="H1588" i="490"/>
  <c r="H1587" i="490"/>
  <c r="I1586" i="490"/>
  <c r="H1586" i="490"/>
  <c r="A1585" i="490"/>
  <c r="D1583" i="490"/>
  <c r="I1581" i="490"/>
  <c r="D1578" i="490"/>
  <c r="I1576" i="490"/>
  <c r="F1578" i="490" s="1"/>
  <c r="I1575" i="490"/>
  <c r="A1574" i="490"/>
  <c r="D1570" i="490"/>
  <c r="C1570" i="490"/>
  <c r="F1558" i="490"/>
  <c r="I1558" i="490" s="1"/>
  <c r="I1555" i="490"/>
  <c r="I1547" i="490"/>
  <c r="D1543" i="490"/>
  <c r="D1548" i="490" s="1"/>
  <c r="I1537" i="490"/>
  <c r="I1536" i="490"/>
  <c r="I1535" i="490"/>
  <c r="F1534" i="490"/>
  <c r="I1534" i="490" s="1"/>
  <c r="D1530" i="490"/>
  <c r="I1529" i="490"/>
  <c r="H1529" i="490"/>
  <c r="D1525" i="490"/>
  <c r="H1522" i="490"/>
  <c r="H1521" i="490"/>
  <c r="H1520" i="490"/>
  <c r="H1518" i="490"/>
  <c r="H1517" i="490"/>
  <c r="H1516" i="490"/>
  <c r="H1515" i="490"/>
  <c r="D1515" i="490"/>
  <c r="H1514" i="490"/>
  <c r="C1507" i="490"/>
  <c r="F1502" i="490"/>
  <c r="I1502" i="490" s="1"/>
  <c r="F1499" i="490"/>
  <c r="I1499" i="490" s="1"/>
  <c r="D1494" i="490"/>
  <c r="D1507" i="490" s="1"/>
  <c r="H1487" i="490"/>
  <c r="H1486" i="490"/>
  <c r="H1485" i="490"/>
  <c r="H1483" i="490"/>
  <c r="H1482" i="490"/>
  <c r="H1481" i="490"/>
  <c r="D1481" i="490"/>
  <c r="H1480" i="490"/>
  <c r="C1480" i="490"/>
  <c r="D1475" i="490"/>
  <c r="H1468" i="490"/>
  <c r="H1467" i="490"/>
  <c r="H1466" i="490"/>
  <c r="H1465" i="490"/>
  <c r="H1464" i="490"/>
  <c r="H1463" i="490"/>
  <c r="D1463" i="490"/>
  <c r="H1462" i="490"/>
  <c r="H1461" i="490"/>
  <c r="F1461" i="490"/>
  <c r="F1480" i="490" s="1"/>
  <c r="I1480" i="490" s="1"/>
  <c r="D1454" i="490"/>
  <c r="C1454" i="490"/>
  <c r="E1452" i="490"/>
  <c r="D1452" i="490"/>
  <c r="I1439" i="490"/>
  <c r="D1436" i="490"/>
  <c r="D1425" i="490"/>
  <c r="E1425" i="490" s="1"/>
  <c r="C1425" i="490"/>
  <c r="D1413" i="490"/>
  <c r="F1409" i="490"/>
  <c r="F1435" i="490" s="1"/>
  <c r="I1435" i="490" s="1"/>
  <c r="C1409" i="490"/>
  <c r="D1401" i="490"/>
  <c r="D1427" i="490" s="1"/>
  <c r="D1392" i="490"/>
  <c r="I1384" i="490"/>
  <c r="I1383" i="490"/>
  <c r="D1376" i="490"/>
  <c r="D1386" i="490" s="1"/>
  <c r="I1373" i="490"/>
  <c r="I1372" i="490"/>
  <c r="I1371" i="490"/>
  <c r="I1358" i="490"/>
  <c r="I1357" i="490"/>
  <c r="I1345" i="490"/>
  <c r="D1338" i="490"/>
  <c r="D1351" i="490" s="1"/>
  <c r="H1334" i="490"/>
  <c r="I1333" i="490"/>
  <c r="D1329" i="490"/>
  <c r="I1328" i="490"/>
  <c r="D1325" i="490"/>
  <c r="I1323" i="490"/>
  <c r="I1324" i="490" s="1"/>
  <c r="D1320" i="490"/>
  <c r="I1319" i="490"/>
  <c r="H1319" i="490"/>
  <c r="D1314" i="490"/>
  <c r="H1312" i="490"/>
  <c r="D1312" i="490"/>
  <c r="H1311" i="490"/>
  <c r="H1310" i="490"/>
  <c r="H1308" i="490"/>
  <c r="H1307" i="490"/>
  <c r="H1305" i="490"/>
  <c r="F1305" i="490"/>
  <c r="I1305" i="490" s="1"/>
  <c r="H1304" i="490"/>
  <c r="F1304" i="490"/>
  <c r="D1299" i="490"/>
  <c r="H1296" i="490"/>
  <c r="H1295" i="490"/>
  <c r="H1294" i="490"/>
  <c r="I1293" i="490"/>
  <c r="H1293" i="490"/>
  <c r="D1288" i="490"/>
  <c r="H1286" i="490"/>
  <c r="H1285" i="490"/>
  <c r="H1283" i="490"/>
  <c r="H1282" i="490"/>
  <c r="H1280" i="490"/>
  <c r="F1280" i="490"/>
  <c r="I1280" i="490" s="1"/>
  <c r="H1279" i="490"/>
  <c r="F1279" i="490"/>
  <c r="I1279" i="490" s="1"/>
  <c r="D1274" i="490"/>
  <c r="I1272" i="490"/>
  <c r="H1272" i="490"/>
  <c r="I1271" i="490"/>
  <c r="H1271" i="490"/>
  <c r="D1268" i="490"/>
  <c r="H1267" i="490"/>
  <c r="F1267" i="490"/>
  <c r="I1267" i="490" s="1"/>
  <c r="D1264" i="490"/>
  <c r="H1260" i="490"/>
  <c r="F1260" i="490"/>
  <c r="I1260" i="490" s="1"/>
  <c r="F1256" i="490"/>
  <c r="I1256" i="490" s="1"/>
  <c r="F1255" i="490"/>
  <c r="I1255" i="490" s="1"/>
  <c r="D1251" i="490"/>
  <c r="I1243" i="490"/>
  <c r="H1243" i="490"/>
  <c r="H1242" i="490"/>
  <c r="H1241" i="490"/>
  <c r="H1240" i="490"/>
  <c r="H1237" i="490"/>
  <c r="F1236" i="490"/>
  <c r="I1236" i="490" s="1"/>
  <c r="D1231" i="490"/>
  <c r="H1229" i="490"/>
  <c r="H1228" i="490"/>
  <c r="H1227" i="490"/>
  <c r="F1227" i="490"/>
  <c r="I1227" i="490" s="1"/>
  <c r="D1223" i="490"/>
  <c r="H1220" i="490"/>
  <c r="H1219" i="490"/>
  <c r="H1218" i="490"/>
  <c r="F1218" i="490"/>
  <c r="I1218" i="490" s="1"/>
  <c r="D1215" i="490"/>
  <c r="H1208" i="490"/>
  <c r="H1207" i="490"/>
  <c r="H1205" i="490"/>
  <c r="D1205" i="490"/>
  <c r="H1204" i="490"/>
  <c r="H1203" i="490"/>
  <c r="F1203" i="490"/>
  <c r="I1203" i="490" s="1"/>
  <c r="H1202" i="490"/>
  <c r="H1201" i="490"/>
  <c r="F1201" i="490"/>
  <c r="I1201" i="490" s="1"/>
  <c r="D1198" i="490"/>
  <c r="H1191" i="490"/>
  <c r="H1190" i="490"/>
  <c r="H1189" i="490"/>
  <c r="H1187" i="490"/>
  <c r="F1187" i="490"/>
  <c r="I1187" i="490" s="1"/>
  <c r="H1186" i="490"/>
  <c r="H1185" i="490"/>
  <c r="H1184" i="490"/>
  <c r="D1184" i="490"/>
  <c r="H1183" i="490"/>
  <c r="F1183" i="490"/>
  <c r="I1183" i="490" s="1"/>
  <c r="D1179" i="490"/>
  <c r="H1177" i="490"/>
  <c r="H1176" i="490"/>
  <c r="H1175" i="490"/>
  <c r="H1174" i="490"/>
  <c r="H1173" i="490"/>
  <c r="H1172" i="490"/>
  <c r="D1172" i="490"/>
  <c r="H1171" i="490"/>
  <c r="D1168" i="490"/>
  <c r="H1161" i="490"/>
  <c r="H1160" i="490"/>
  <c r="H1159" i="490"/>
  <c r="D1157" i="490"/>
  <c r="I1157" i="490" s="1"/>
  <c r="I1156" i="490"/>
  <c r="H1154" i="490"/>
  <c r="H1153" i="490"/>
  <c r="H1152" i="490"/>
  <c r="D1148" i="490"/>
  <c r="H1141" i="490"/>
  <c r="D1141" i="490"/>
  <c r="I1141" i="490" s="1"/>
  <c r="H1140" i="490"/>
  <c r="H1139" i="490"/>
  <c r="H1138" i="490"/>
  <c r="D1136" i="490"/>
  <c r="I1136" i="490" s="1"/>
  <c r="I1135" i="490"/>
  <c r="H1133" i="490"/>
  <c r="D1133" i="490"/>
  <c r="H1132" i="490"/>
  <c r="H1131" i="490"/>
  <c r="C1131" i="490"/>
  <c r="D1127" i="490"/>
  <c r="H1120" i="490"/>
  <c r="H1119" i="490"/>
  <c r="H1118" i="490"/>
  <c r="H1116" i="490"/>
  <c r="H1115" i="490"/>
  <c r="H1114" i="490"/>
  <c r="H1113" i="490"/>
  <c r="D1107" i="490"/>
  <c r="H1100" i="490"/>
  <c r="H1099" i="490"/>
  <c r="H1098" i="490"/>
  <c r="H1096" i="490"/>
  <c r="H1095" i="490"/>
  <c r="H1094" i="490"/>
  <c r="D1094" i="490"/>
  <c r="H1093" i="490"/>
  <c r="D1088" i="490"/>
  <c r="H1081" i="490"/>
  <c r="H1080" i="490"/>
  <c r="H1079" i="490"/>
  <c r="H1077" i="490"/>
  <c r="H1076" i="490"/>
  <c r="H1075" i="490"/>
  <c r="H1074" i="490"/>
  <c r="C1072" i="490"/>
  <c r="D1069" i="490"/>
  <c r="H1062" i="490"/>
  <c r="H1061" i="490"/>
  <c r="H1060" i="490"/>
  <c r="H1059" i="490"/>
  <c r="H1058" i="490"/>
  <c r="H1057" i="490"/>
  <c r="H1056" i="490"/>
  <c r="H1055" i="490"/>
  <c r="C1054" i="490"/>
  <c r="D1051" i="490"/>
  <c r="H1044" i="490"/>
  <c r="H1043" i="490"/>
  <c r="H1042" i="490"/>
  <c r="D1040" i="490"/>
  <c r="I1040" i="490" s="1"/>
  <c r="I1039" i="490"/>
  <c r="H1037" i="490"/>
  <c r="D1037" i="490"/>
  <c r="H1036" i="490"/>
  <c r="H1035" i="490"/>
  <c r="C1035" i="490"/>
  <c r="C1074" i="490" s="1"/>
  <c r="C1093" i="490" s="1"/>
  <c r="D1030" i="490"/>
  <c r="H1022" i="490"/>
  <c r="H1021" i="490"/>
  <c r="H1020" i="490"/>
  <c r="H1019" i="490"/>
  <c r="F1019" i="490"/>
  <c r="I1019" i="490" s="1"/>
  <c r="H1018" i="490"/>
  <c r="H1017" i="490"/>
  <c r="D1014" i="490"/>
  <c r="D1011" i="490"/>
  <c r="H1010" i="490"/>
  <c r="G1010" i="490"/>
  <c r="F1010" i="490"/>
  <c r="E1010" i="490"/>
  <c r="E1009" i="490"/>
  <c r="H1003" i="490"/>
  <c r="H1002" i="490"/>
  <c r="H1001" i="490"/>
  <c r="H1000" i="490"/>
  <c r="D1000" i="490"/>
  <c r="D997" i="490"/>
  <c r="D994" i="490"/>
  <c r="J993" i="490"/>
  <c r="I993" i="490"/>
  <c r="H993" i="490"/>
  <c r="G993" i="490"/>
  <c r="F993" i="490"/>
  <c r="E993" i="490"/>
  <c r="E992" i="490"/>
  <c r="H986" i="490"/>
  <c r="H985" i="490"/>
  <c r="H984" i="490"/>
  <c r="D984" i="490"/>
  <c r="H983" i="490"/>
  <c r="D983" i="490"/>
  <c r="D980" i="490"/>
  <c r="D977" i="490"/>
  <c r="J976" i="490"/>
  <c r="I976" i="490"/>
  <c r="H976" i="490"/>
  <c r="G976" i="490"/>
  <c r="F976" i="490"/>
  <c r="E976" i="490"/>
  <c r="E975" i="490"/>
  <c r="H969" i="490"/>
  <c r="H968" i="490"/>
  <c r="H967" i="490"/>
  <c r="H965" i="490"/>
  <c r="H964" i="490"/>
  <c r="H962" i="490"/>
  <c r="H961" i="490"/>
  <c r="D957" i="490"/>
  <c r="D954" i="490"/>
  <c r="J953" i="490"/>
  <c r="I953" i="490"/>
  <c r="H953" i="490"/>
  <c r="G953" i="490"/>
  <c r="F953" i="490"/>
  <c r="E953" i="490"/>
  <c r="E952" i="490"/>
  <c r="H946" i="490"/>
  <c r="D946" i="490"/>
  <c r="H945" i="490"/>
  <c r="D945" i="490"/>
  <c r="H944" i="490"/>
  <c r="D944" i="490"/>
  <c r="H942" i="490"/>
  <c r="D942" i="490"/>
  <c r="H941" i="490"/>
  <c r="H939" i="490"/>
  <c r="D939" i="490"/>
  <c r="H938" i="490"/>
  <c r="D933" i="490"/>
  <c r="D930" i="490"/>
  <c r="J929" i="490"/>
  <c r="I929" i="490"/>
  <c r="H929" i="490"/>
  <c r="G929" i="490"/>
  <c r="F929" i="490"/>
  <c r="E929" i="490"/>
  <c r="E928" i="490"/>
  <c r="H922" i="490"/>
  <c r="H921" i="490"/>
  <c r="H920" i="490"/>
  <c r="H918" i="490"/>
  <c r="D918" i="490"/>
  <c r="H917" i="490"/>
  <c r="H915" i="490"/>
  <c r="D915" i="490"/>
  <c r="H914" i="490"/>
  <c r="D908" i="490"/>
  <c r="H902" i="490"/>
  <c r="H901" i="490"/>
  <c r="H899" i="490"/>
  <c r="H898" i="490"/>
  <c r="D894" i="490"/>
  <c r="H888" i="490"/>
  <c r="H887" i="490"/>
  <c r="H885" i="490"/>
  <c r="H884" i="490"/>
  <c r="D880" i="490"/>
  <c r="D877" i="490"/>
  <c r="J876" i="490"/>
  <c r="I876" i="490"/>
  <c r="H876" i="490"/>
  <c r="G876" i="490"/>
  <c r="F876" i="490"/>
  <c r="E876" i="490"/>
  <c r="E875" i="490"/>
  <c r="D865" i="490"/>
  <c r="H864" i="490"/>
  <c r="D864" i="490"/>
  <c r="D858" i="490"/>
  <c r="D849" i="490"/>
  <c r="H848" i="490"/>
  <c r="D848" i="490"/>
  <c r="D841" i="490"/>
  <c r="D838" i="490"/>
  <c r="J837" i="490"/>
  <c r="I837" i="490"/>
  <c r="H837" i="490"/>
  <c r="G837" i="490"/>
  <c r="F837" i="490"/>
  <c r="E837" i="490"/>
  <c r="E836" i="490"/>
  <c r="D825" i="490"/>
  <c r="H824" i="490"/>
  <c r="D824" i="490"/>
  <c r="D818" i="490"/>
  <c r="D815" i="490"/>
  <c r="J814" i="490"/>
  <c r="I814" i="490"/>
  <c r="H814" i="490"/>
  <c r="G814" i="490"/>
  <c r="F814" i="490"/>
  <c r="E814" i="490"/>
  <c r="E813" i="490"/>
  <c r="H807" i="490"/>
  <c r="H806" i="490"/>
  <c r="H805" i="490"/>
  <c r="H803" i="490"/>
  <c r="H802" i="490"/>
  <c r="H801" i="490"/>
  <c r="D796" i="490"/>
  <c r="D793" i="490"/>
  <c r="J792" i="490"/>
  <c r="I792" i="490"/>
  <c r="H792" i="490"/>
  <c r="G792" i="490"/>
  <c r="F792" i="490"/>
  <c r="E792" i="490"/>
  <c r="E791" i="490"/>
  <c r="H785" i="490"/>
  <c r="H784" i="490"/>
  <c r="H783" i="490"/>
  <c r="H781" i="490"/>
  <c r="H780" i="490"/>
  <c r="H779" i="490"/>
  <c r="H774" i="490"/>
  <c r="H773" i="490"/>
  <c r="H772" i="490"/>
  <c r="H771" i="490"/>
  <c r="H770" i="490"/>
  <c r="H769" i="490"/>
  <c r="D769" i="490"/>
  <c r="D765" i="490"/>
  <c r="D762" i="490"/>
  <c r="E761" i="490"/>
  <c r="I760" i="490"/>
  <c r="H760" i="490"/>
  <c r="G760" i="490"/>
  <c r="F760" i="490"/>
  <c r="E760" i="490"/>
  <c r="H756" i="490"/>
  <c r="D752" i="490"/>
  <c r="D749" i="490"/>
  <c r="E748" i="490"/>
  <c r="I747" i="490"/>
  <c r="H747" i="490"/>
  <c r="G747" i="490"/>
  <c r="F747" i="490"/>
  <c r="E747" i="490"/>
  <c r="I746" i="490"/>
  <c r="H743" i="490"/>
  <c r="D739" i="490"/>
  <c r="D736" i="490"/>
  <c r="E735" i="490"/>
  <c r="H734" i="490"/>
  <c r="G734" i="490"/>
  <c r="F734" i="490"/>
  <c r="E734" i="490"/>
  <c r="H730" i="490"/>
  <c r="D726" i="490"/>
  <c r="D723" i="490"/>
  <c r="E722" i="490"/>
  <c r="J721" i="490"/>
  <c r="I721" i="490"/>
  <c r="H721" i="490"/>
  <c r="G721" i="490"/>
  <c r="F721" i="490"/>
  <c r="E721" i="490"/>
  <c r="H717" i="490"/>
  <c r="H714" i="490"/>
  <c r="H713" i="490"/>
  <c r="H712" i="490"/>
  <c r="H710" i="490"/>
  <c r="F710" i="490"/>
  <c r="D710" i="490"/>
  <c r="H709" i="490"/>
  <c r="H707" i="490"/>
  <c r="H706" i="490"/>
  <c r="H705" i="490"/>
  <c r="D705" i="490"/>
  <c r="H704" i="490"/>
  <c r="D698" i="490"/>
  <c r="D695" i="490"/>
  <c r="E694" i="490"/>
  <c r="I694" i="490" s="1"/>
  <c r="J693" i="490"/>
  <c r="I693" i="490"/>
  <c r="H693" i="490"/>
  <c r="G693" i="490"/>
  <c r="F693" i="490"/>
  <c r="E693" i="490"/>
  <c r="H688" i="490"/>
  <c r="H687" i="490"/>
  <c r="H686" i="490"/>
  <c r="H684" i="490"/>
  <c r="F684" i="490"/>
  <c r="D684" i="490"/>
  <c r="H683" i="490"/>
  <c r="H681" i="490"/>
  <c r="H680" i="490"/>
  <c r="H679" i="490"/>
  <c r="D679" i="490"/>
  <c r="H678" i="490"/>
  <c r="D673" i="490"/>
  <c r="D670" i="490"/>
  <c r="E669" i="490"/>
  <c r="H668" i="490"/>
  <c r="G668" i="490"/>
  <c r="F668" i="490"/>
  <c r="E668" i="490"/>
  <c r="H664" i="490"/>
  <c r="D660" i="490"/>
  <c r="D657" i="490"/>
  <c r="E656" i="490"/>
  <c r="H655" i="490"/>
  <c r="G655" i="490"/>
  <c r="F655" i="490"/>
  <c r="E655" i="490"/>
  <c r="H651" i="490"/>
  <c r="D647" i="490"/>
  <c r="D644" i="490"/>
  <c r="E643" i="490"/>
  <c r="H642" i="490"/>
  <c r="G642" i="490"/>
  <c r="F642" i="490"/>
  <c r="E642" i="490"/>
  <c r="H638" i="490"/>
  <c r="D634" i="490"/>
  <c r="D631" i="490"/>
  <c r="E630" i="490"/>
  <c r="J629" i="490"/>
  <c r="I629" i="490"/>
  <c r="H629" i="490"/>
  <c r="G629" i="490"/>
  <c r="F629" i="490"/>
  <c r="E629" i="490"/>
  <c r="H625" i="490"/>
  <c r="D625" i="490"/>
  <c r="D621" i="490"/>
  <c r="D618" i="490"/>
  <c r="E617" i="490"/>
  <c r="H616" i="490"/>
  <c r="G616" i="490"/>
  <c r="F616" i="490"/>
  <c r="E616" i="490"/>
  <c r="H612" i="490"/>
  <c r="D608" i="490"/>
  <c r="D605" i="490"/>
  <c r="E604" i="490"/>
  <c r="J603" i="490"/>
  <c r="I603" i="490"/>
  <c r="H603" i="490"/>
  <c r="G603" i="490"/>
  <c r="F603" i="490"/>
  <c r="E603" i="490"/>
  <c r="H599" i="490"/>
  <c r="A598" i="490"/>
  <c r="A624" i="490" s="1"/>
  <c r="D595" i="490"/>
  <c r="D592" i="490"/>
  <c r="E591" i="490"/>
  <c r="H590" i="490"/>
  <c r="G590" i="490"/>
  <c r="F590" i="490"/>
  <c r="E590" i="490"/>
  <c r="H586" i="490"/>
  <c r="D582" i="490"/>
  <c r="D579" i="490"/>
  <c r="E578" i="490"/>
  <c r="H577" i="490"/>
  <c r="G577" i="490"/>
  <c r="F577" i="490"/>
  <c r="E577" i="490"/>
  <c r="H573" i="490"/>
  <c r="D570" i="490"/>
  <c r="D567" i="490"/>
  <c r="E566" i="490"/>
  <c r="J565" i="490"/>
  <c r="I565" i="490"/>
  <c r="H565" i="490"/>
  <c r="G565" i="490"/>
  <c r="F565" i="490"/>
  <c r="E565" i="490"/>
  <c r="H562" i="490"/>
  <c r="D558" i="490"/>
  <c r="D555" i="490"/>
  <c r="E554" i="490"/>
  <c r="H553" i="490"/>
  <c r="G553" i="490"/>
  <c r="F553" i="490"/>
  <c r="E553" i="490"/>
  <c r="H549" i="490"/>
  <c r="D545" i="490"/>
  <c r="D542" i="490"/>
  <c r="E541" i="490"/>
  <c r="H540" i="490"/>
  <c r="G540" i="490"/>
  <c r="F540" i="490"/>
  <c r="E540" i="490"/>
  <c r="H536" i="490"/>
  <c r="D532" i="490"/>
  <c r="D529" i="490"/>
  <c r="E528" i="490"/>
  <c r="H527" i="490"/>
  <c r="G527" i="490"/>
  <c r="F527" i="490"/>
  <c r="E527" i="490"/>
  <c r="H523" i="490"/>
  <c r="D520" i="490"/>
  <c r="D517" i="490"/>
  <c r="E516" i="490"/>
  <c r="I515" i="490"/>
  <c r="H515" i="490"/>
  <c r="G515" i="490"/>
  <c r="F515" i="490"/>
  <c r="E515" i="490"/>
  <c r="H511" i="490"/>
  <c r="D507" i="490"/>
  <c r="D504" i="490"/>
  <c r="E503" i="490"/>
  <c r="H502" i="490"/>
  <c r="G502" i="490"/>
  <c r="F502" i="490"/>
  <c r="E502" i="490"/>
  <c r="H498" i="490"/>
  <c r="D494" i="490"/>
  <c r="D491" i="490"/>
  <c r="E490" i="490"/>
  <c r="J490" i="490" s="1"/>
  <c r="J489" i="490"/>
  <c r="I489" i="490"/>
  <c r="H489" i="490"/>
  <c r="G489" i="490"/>
  <c r="F489" i="490"/>
  <c r="E489" i="490"/>
  <c r="H484" i="490"/>
  <c r="H483" i="490"/>
  <c r="H482" i="490"/>
  <c r="H480" i="490"/>
  <c r="F480" i="490"/>
  <c r="D480" i="490"/>
  <c r="H479" i="490"/>
  <c r="H478" i="490"/>
  <c r="H476" i="490"/>
  <c r="H475" i="490"/>
  <c r="H474" i="490"/>
  <c r="D474" i="490"/>
  <c r="H473" i="490"/>
  <c r="D466" i="490"/>
  <c r="D463" i="490"/>
  <c r="E462" i="490"/>
  <c r="I462" i="490" s="1"/>
  <c r="J461" i="490"/>
  <c r="I461" i="490"/>
  <c r="H461" i="490"/>
  <c r="G461" i="490"/>
  <c r="F461" i="490"/>
  <c r="E461" i="490"/>
  <c r="H455" i="490"/>
  <c r="H454" i="490"/>
  <c r="H453" i="490"/>
  <c r="H451" i="490"/>
  <c r="F451" i="490"/>
  <c r="D451" i="490"/>
  <c r="H450" i="490"/>
  <c r="H449" i="490"/>
  <c r="H447" i="490"/>
  <c r="H446" i="490"/>
  <c r="H445" i="490"/>
  <c r="H444" i="490"/>
  <c r="F439" i="490"/>
  <c r="F438" i="490"/>
  <c r="D438" i="490"/>
  <c r="H437" i="490"/>
  <c r="H436" i="490"/>
  <c r="F433" i="490"/>
  <c r="F432" i="490"/>
  <c r="D432" i="490"/>
  <c r="H431" i="490"/>
  <c r="H430" i="490"/>
  <c r="F427" i="490"/>
  <c r="F426" i="490"/>
  <c r="D426" i="490"/>
  <c r="H425" i="490"/>
  <c r="H424" i="490"/>
  <c r="H421" i="490"/>
  <c r="H420" i="490"/>
  <c r="H419" i="490"/>
  <c r="H417" i="490"/>
  <c r="F417" i="490"/>
  <c r="D417" i="490"/>
  <c r="H416" i="490"/>
  <c r="H415" i="490"/>
  <c r="H413" i="490"/>
  <c r="H412" i="490"/>
  <c r="H411" i="490"/>
  <c r="H410" i="490"/>
  <c r="F405" i="490"/>
  <c r="H401" i="490"/>
  <c r="H400" i="490"/>
  <c r="H399" i="490"/>
  <c r="H398" i="490"/>
  <c r="F394" i="490"/>
  <c r="H388" i="490"/>
  <c r="H384" i="490"/>
  <c r="D379" i="490"/>
  <c r="D376" i="490"/>
  <c r="E375" i="490"/>
  <c r="I374" i="490"/>
  <c r="H374" i="490"/>
  <c r="G374" i="490"/>
  <c r="F374" i="490"/>
  <c r="E374" i="490"/>
  <c r="H370" i="490"/>
  <c r="H369" i="490"/>
  <c r="H367" i="490"/>
  <c r="F367" i="490"/>
  <c r="D367" i="490"/>
  <c r="H366" i="490"/>
  <c r="H365" i="490"/>
  <c r="H363" i="490"/>
  <c r="H362" i="490"/>
  <c r="H361" i="490"/>
  <c r="D361" i="490"/>
  <c r="H360" i="490"/>
  <c r="D356" i="490"/>
  <c r="D353" i="490"/>
  <c r="E352" i="490"/>
  <c r="I351" i="490"/>
  <c r="H351" i="490"/>
  <c r="G351" i="490"/>
  <c r="F351" i="490"/>
  <c r="E351" i="490"/>
  <c r="H347" i="490"/>
  <c r="H346" i="490"/>
  <c r="H344" i="490"/>
  <c r="F344" i="490"/>
  <c r="D344" i="490"/>
  <c r="H343" i="490"/>
  <c r="H341" i="490"/>
  <c r="H340" i="490"/>
  <c r="H339" i="490"/>
  <c r="H338" i="490"/>
  <c r="D334" i="490"/>
  <c r="D331" i="490"/>
  <c r="E330" i="490"/>
  <c r="I330" i="490" s="1"/>
  <c r="I331" i="490" s="1"/>
  <c r="J329" i="490"/>
  <c r="I329" i="490"/>
  <c r="H329" i="490"/>
  <c r="G329" i="490"/>
  <c r="F329" i="490"/>
  <c r="E329" i="490"/>
  <c r="H325" i="490"/>
  <c r="H322" i="490"/>
  <c r="F322" i="490"/>
  <c r="D322" i="490"/>
  <c r="H321" i="490"/>
  <c r="H319" i="490"/>
  <c r="H318" i="490"/>
  <c r="H317" i="490"/>
  <c r="D317" i="490"/>
  <c r="H316" i="490"/>
  <c r="D312" i="490"/>
  <c r="D309" i="490"/>
  <c r="E308" i="490"/>
  <c r="E309" i="490" s="1"/>
  <c r="J307" i="490"/>
  <c r="I307" i="490"/>
  <c r="H307" i="490"/>
  <c r="G307" i="490"/>
  <c r="F307" i="490"/>
  <c r="E307" i="490"/>
  <c r="H302" i="490"/>
  <c r="H301" i="490"/>
  <c r="H299" i="490"/>
  <c r="F299" i="490"/>
  <c r="D299" i="490"/>
  <c r="H298" i="490"/>
  <c r="H296" i="490"/>
  <c r="H295" i="490"/>
  <c r="H294" i="490"/>
  <c r="D294" i="490"/>
  <c r="H293" i="490"/>
  <c r="B291" i="490"/>
  <c r="F289" i="490"/>
  <c r="H288" i="490"/>
  <c r="H287" i="490"/>
  <c r="H285" i="490"/>
  <c r="F285" i="490"/>
  <c r="D285" i="490"/>
  <c r="H284" i="490"/>
  <c r="H282" i="490"/>
  <c r="H281" i="490"/>
  <c r="H280" i="490"/>
  <c r="D280" i="490"/>
  <c r="H279" i="490"/>
  <c r="F275" i="490"/>
  <c r="H274" i="490"/>
  <c r="H273" i="490"/>
  <c r="H271" i="490"/>
  <c r="F271" i="490"/>
  <c r="D271" i="490"/>
  <c r="H270" i="490"/>
  <c r="H268" i="490"/>
  <c r="H267" i="490"/>
  <c r="H266" i="490"/>
  <c r="D266" i="490"/>
  <c r="H265" i="490"/>
  <c r="F261" i="490"/>
  <c r="H259" i="490"/>
  <c r="H258" i="490"/>
  <c r="H257" i="490"/>
  <c r="F254" i="490"/>
  <c r="H252" i="490"/>
  <c r="D252" i="490"/>
  <c r="H251" i="490"/>
  <c r="D251" i="490"/>
  <c r="H250" i="490"/>
  <c r="F247" i="490"/>
  <c r="H245" i="490"/>
  <c r="D245" i="490"/>
  <c r="H244" i="490"/>
  <c r="F236" i="490"/>
  <c r="D236" i="490"/>
  <c r="I235" i="490"/>
  <c r="F234" i="490"/>
  <c r="I234" i="490" s="1"/>
  <c r="H229" i="490"/>
  <c r="F224" i="490"/>
  <c r="D238" i="490" s="1"/>
  <c r="I222" i="490"/>
  <c r="H222" i="490"/>
  <c r="H221" i="490"/>
  <c r="A220" i="490"/>
  <c r="A243" i="490" s="1"/>
  <c r="A249" i="490" s="1"/>
  <c r="F217" i="490"/>
  <c r="I216" i="490"/>
  <c r="H216" i="490"/>
  <c r="H215" i="490"/>
  <c r="H210" i="490"/>
  <c r="F479" i="490" s="1"/>
  <c r="I479" i="490" s="1"/>
  <c r="H209" i="490"/>
  <c r="F478" i="490" s="1"/>
  <c r="I478" i="490" s="1"/>
  <c r="H208" i="490"/>
  <c r="F343" i="490" s="1"/>
  <c r="I343" i="490" s="1"/>
  <c r="H204" i="490"/>
  <c r="H203" i="490"/>
  <c r="H202" i="490"/>
  <c r="H201" i="490"/>
  <c r="H196" i="490"/>
  <c r="H195" i="490"/>
  <c r="H188" i="490"/>
  <c r="H187" i="490"/>
  <c r="H180" i="490"/>
  <c r="H179" i="490"/>
  <c r="H172" i="490"/>
  <c r="H171" i="490"/>
  <c r="H164" i="490"/>
  <c r="H163" i="490"/>
  <c r="H156" i="490"/>
  <c r="H155" i="490"/>
  <c r="G149" i="490"/>
  <c r="G148" i="490"/>
  <c r="A122" i="490"/>
  <c r="A123" i="490" s="1"/>
  <c r="A124" i="490" s="1"/>
  <c r="A125" i="490" s="1"/>
  <c r="A126" i="490" s="1"/>
  <c r="A127" i="490" s="1"/>
  <c r="A128" i="490" s="1"/>
  <c r="A129" i="490" s="1"/>
  <c r="A130" i="490" s="1"/>
  <c r="A131" i="490" s="1"/>
  <c r="Q110" i="490"/>
  <c r="P110" i="490"/>
  <c r="O110" i="490"/>
  <c r="N110" i="490"/>
  <c r="M110" i="490"/>
  <c r="L110" i="490"/>
  <c r="K110" i="490"/>
  <c r="J110" i="490"/>
  <c r="I110" i="490"/>
  <c r="H110" i="490"/>
  <c r="G110" i="490"/>
  <c r="F110" i="490"/>
  <c r="E110" i="490"/>
  <c r="Q98" i="490"/>
  <c r="P98" i="490"/>
  <c r="O98" i="490"/>
  <c r="N98" i="490"/>
  <c r="M98" i="490"/>
  <c r="L98" i="490"/>
  <c r="K98" i="490"/>
  <c r="J98" i="490"/>
  <c r="I98" i="490"/>
  <c r="H98" i="490"/>
  <c r="G98" i="490"/>
  <c r="F98" i="490"/>
  <c r="E98" i="490"/>
  <c r="F86" i="490"/>
  <c r="F928" i="490" s="1"/>
  <c r="J85" i="490"/>
  <c r="F79" i="490"/>
  <c r="J79" i="490" s="1"/>
  <c r="J78" i="490"/>
  <c r="F70" i="490"/>
  <c r="J69" i="490"/>
  <c r="Q67" i="490"/>
  <c r="R67" i="490" s="1"/>
  <c r="O67" i="490"/>
  <c r="P67" i="490" s="1"/>
  <c r="M67" i="490"/>
  <c r="N67" i="490" s="1"/>
  <c r="K67" i="490"/>
  <c r="L67" i="490" s="1"/>
  <c r="J67" i="490"/>
  <c r="S67" i="490" s="1"/>
  <c r="T67" i="490" s="1"/>
  <c r="S66" i="490"/>
  <c r="T66" i="490" s="1"/>
  <c r="Q66" i="490"/>
  <c r="R66" i="490" s="1"/>
  <c r="O66" i="490"/>
  <c r="P66" i="490" s="1"/>
  <c r="M66" i="490"/>
  <c r="N66" i="490" s="1"/>
  <c r="K66" i="490"/>
  <c r="L66" i="490" s="1"/>
  <c r="J66" i="490"/>
  <c r="S65" i="490"/>
  <c r="T65" i="490" s="1"/>
  <c r="Q65" i="490"/>
  <c r="R65" i="490" s="1"/>
  <c r="O65" i="490"/>
  <c r="P65" i="490" s="1"/>
  <c r="M65" i="490"/>
  <c r="N65" i="490" s="1"/>
  <c r="K65" i="490"/>
  <c r="L65" i="490" s="1"/>
  <c r="J65" i="490"/>
  <c r="S64" i="490"/>
  <c r="T64" i="490" s="1"/>
  <c r="Q64" i="490"/>
  <c r="R64" i="490" s="1"/>
  <c r="O64" i="490"/>
  <c r="P64" i="490" s="1"/>
  <c r="M64" i="490"/>
  <c r="N64" i="490" s="1"/>
  <c r="K64" i="490"/>
  <c r="L64" i="490" s="1"/>
  <c r="J64" i="490"/>
  <c r="S63" i="490"/>
  <c r="T63" i="490" s="1"/>
  <c r="Q63" i="490"/>
  <c r="R63" i="490" s="1"/>
  <c r="O63" i="490"/>
  <c r="P63" i="490" s="1"/>
  <c r="M63" i="490"/>
  <c r="N63" i="490" s="1"/>
  <c r="K63" i="490"/>
  <c r="L63" i="490" s="1"/>
  <c r="J63" i="490"/>
  <c r="S62" i="490"/>
  <c r="T62" i="490" s="1"/>
  <c r="Q62" i="490"/>
  <c r="R62" i="490" s="1"/>
  <c r="O62" i="490"/>
  <c r="P62" i="490" s="1"/>
  <c r="M62" i="490"/>
  <c r="N62" i="490" s="1"/>
  <c r="K62" i="490"/>
  <c r="L62" i="490" s="1"/>
  <c r="J62" i="490"/>
  <c r="S61" i="490"/>
  <c r="T61" i="490" s="1"/>
  <c r="Q61" i="490"/>
  <c r="R61" i="490" s="1"/>
  <c r="O61" i="490"/>
  <c r="P61" i="490" s="1"/>
  <c r="M61" i="490"/>
  <c r="N61" i="490" s="1"/>
  <c r="K61" i="490"/>
  <c r="L61" i="490" s="1"/>
  <c r="J61" i="490"/>
  <c r="S60" i="490"/>
  <c r="T60" i="490" s="1"/>
  <c r="Q60" i="490"/>
  <c r="R60" i="490" s="1"/>
  <c r="O60" i="490"/>
  <c r="P60" i="490" s="1"/>
  <c r="M60" i="490"/>
  <c r="N60" i="490" s="1"/>
  <c r="K60" i="490"/>
  <c r="L60" i="490" s="1"/>
  <c r="J60" i="490"/>
  <c r="S59" i="490"/>
  <c r="T59" i="490" s="1"/>
  <c r="Q59" i="490"/>
  <c r="R59" i="490" s="1"/>
  <c r="O59" i="490"/>
  <c r="P59" i="490" s="1"/>
  <c r="M59" i="490"/>
  <c r="N59" i="490" s="1"/>
  <c r="K59" i="490"/>
  <c r="L59" i="490" s="1"/>
  <c r="J59" i="490"/>
  <c r="S58" i="490"/>
  <c r="T58" i="490" s="1"/>
  <c r="Q58" i="490"/>
  <c r="R58" i="490" s="1"/>
  <c r="O58" i="490"/>
  <c r="P58" i="490" s="1"/>
  <c r="M58" i="490"/>
  <c r="N58" i="490" s="1"/>
  <c r="K58" i="490"/>
  <c r="L58" i="490" s="1"/>
  <c r="J58" i="490"/>
  <c r="S57" i="490"/>
  <c r="T57" i="490" s="1"/>
  <c r="Q57" i="490"/>
  <c r="R57" i="490" s="1"/>
  <c r="O57" i="490"/>
  <c r="P57" i="490" s="1"/>
  <c r="M57" i="490"/>
  <c r="N57" i="490" s="1"/>
  <c r="K57" i="490"/>
  <c r="L57" i="490" s="1"/>
  <c r="J57" i="490"/>
  <c r="S56" i="490"/>
  <c r="T56" i="490" s="1"/>
  <c r="Q56" i="490"/>
  <c r="R56" i="490" s="1"/>
  <c r="O56" i="490"/>
  <c r="P56" i="490" s="1"/>
  <c r="M56" i="490"/>
  <c r="N56" i="490" s="1"/>
  <c r="K56" i="490"/>
  <c r="L56" i="490" s="1"/>
  <c r="J56" i="490"/>
  <c r="S55" i="490"/>
  <c r="Q55" i="490"/>
  <c r="R55" i="490" s="1"/>
  <c r="O55" i="490"/>
  <c r="P55" i="490" s="1"/>
  <c r="M55" i="490"/>
  <c r="N55" i="490" s="1"/>
  <c r="K55" i="490"/>
  <c r="L55" i="490" s="1"/>
  <c r="J55" i="490"/>
  <c r="S54" i="490"/>
  <c r="T54" i="490" s="1"/>
  <c r="Q54" i="490"/>
  <c r="R54" i="490" s="1"/>
  <c r="O54" i="490"/>
  <c r="P54" i="490" s="1"/>
  <c r="M54" i="490"/>
  <c r="N54" i="490" s="1"/>
  <c r="K54" i="490"/>
  <c r="L54" i="490" s="1"/>
  <c r="J54" i="490"/>
  <c r="S53" i="490"/>
  <c r="T53" i="490" s="1"/>
  <c r="Q53" i="490"/>
  <c r="R53" i="490" s="1"/>
  <c r="O53" i="490"/>
  <c r="P53" i="490" s="1"/>
  <c r="M53" i="490"/>
  <c r="N53" i="490" s="1"/>
  <c r="K53" i="490"/>
  <c r="L53" i="490" s="1"/>
  <c r="J53" i="490"/>
  <c r="F431" i="490" s="1"/>
  <c r="I431" i="490" s="1"/>
  <c r="S52" i="490"/>
  <c r="T52" i="490" s="1"/>
  <c r="Q52" i="490"/>
  <c r="R52" i="490" s="1"/>
  <c r="O52" i="490"/>
  <c r="P52" i="490" s="1"/>
  <c r="M52" i="490"/>
  <c r="N52" i="490" s="1"/>
  <c r="K52" i="490"/>
  <c r="L52" i="490" s="1"/>
  <c r="J52" i="490"/>
  <c r="F437" i="490" s="1"/>
  <c r="I437" i="490" s="1"/>
  <c r="S51" i="490"/>
  <c r="T51" i="490" s="1"/>
  <c r="Q51" i="490"/>
  <c r="R51" i="490" s="1"/>
  <c r="O51" i="490"/>
  <c r="P51" i="490" s="1"/>
  <c r="M51" i="490"/>
  <c r="N51" i="490" s="1"/>
  <c r="K51" i="490"/>
  <c r="L51" i="490" s="1"/>
  <c r="J51" i="490"/>
  <c r="S50" i="490"/>
  <c r="T50" i="490" s="1"/>
  <c r="Q50" i="490"/>
  <c r="R50" i="490" s="1"/>
  <c r="O50" i="490"/>
  <c r="P50" i="490" s="1"/>
  <c r="M50" i="490"/>
  <c r="N50" i="490" s="1"/>
  <c r="K50" i="490"/>
  <c r="L50" i="490" s="1"/>
  <c r="J50" i="490"/>
  <c r="F425" i="490" s="1"/>
  <c r="I425" i="490" s="1"/>
  <c r="S47" i="490"/>
  <c r="T47" i="490" s="1"/>
  <c r="R47" i="490"/>
  <c r="Q47" i="490"/>
  <c r="O47" i="490"/>
  <c r="P47" i="490" s="1"/>
  <c r="M47" i="490"/>
  <c r="N47" i="490" s="1"/>
  <c r="K47" i="490"/>
  <c r="L47" i="490" s="1"/>
  <c r="S46" i="490"/>
  <c r="T46" i="490" s="1"/>
  <c r="Q46" i="490"/>
  <c r="R46" i="490" s="1"/>
  <c r="O46" i="490"/>
  <c r="P46" i="490" s="1"/>
  <c r="M46" i="490"/>
  <c r="N46" i="490" s="1"/>
  <c r="K46" i="490"/>
  <c r="L46" i="490" s="1"/>
  <c r="J46" i="490"/>
  <c r="S45" i="490"/>
  <c r="T45" i="490" s="1"/>
  <c r="Q45" i="490"/>
  <c r="R45" i="490" s="1"/>
  <c r="O45" i="490"/>
  <c r="P45" i="490" s="1"/>
  <c r="M45" i="490"/>
  <c r="N45" i="490" s="1"/>
  <c r="K45" i="490"/>
  <c r="L45" i="490" s="1"/>
  <c r="J45" i="490"/>
  <c r="S44" i="490"/>
  <c r="T44" i="490" s="1"/>
  <c r="Q44" i="490"/>
  <c r="R44" i="490" s="1"/>
  <c r="O44" i="490"/>
  <c r="P44" i="490" s="1"/>
  <c r="M44" i="490"/>
  <c r="N44" i="490" s="1"/>
  <c r="K44" i="490"/>
  <c r="L44" i="490" s="1"/>
  <c r="J44" i="490"/>
  <c r="S43" i="490"/>
  <c r="T43" i="490" s="1"/>
  <c r="Q43" i="490"/>
  <c r="R43" i="490" s="1"/>
  <c r="O43" i="490"/>
  <c r="P43" i="490" s="1"/>
  <c r="M43" i="490"/>
  <c r="N43" i="490" s="1"/>
  <c r="K43" i="490"/>
  <c r="L43" i="490" s="1"/>
  <c r="J43" i="490"/>
  <c r="S42" i="490"/>
  <c r="T42" i="490" s="1"/>
  <c r="Q42" i="490"/>
  <c r="R42" i="490" s="1"/>
  <c r="O42" i="490"/>
  <c r="P42" i="490" s="1"/>
  <c r="M42" i="490"/>
  <c r="N42" i="490" s="1"/>
  <c r="K42" i="490"/>
  <c r="L42" i="490" s="1"/>
  <c r="J42" i="490"/>
  <c r="S41" i="490"/>
  <c r="T41" i="490" s="1"/>
  <c r="Q41" i="490"/>
  <c r="R41" i="490" s="1"/>
  <c r="O41" i="490"/>
  <c r="P41" i="490" s="1"/>
  <c r="M41" i="490"/>
  <c r="N41" i="490" s="1"/>
  <c r="K41" i="490"/>
  <c r="L41" i="490" s="1"/>
  <c r="J41" i="490"/>
  <c r="S40" i="490"/>
  <c r="T40" i="490" s="1"/>
  <c r="Q40" i="490"/>
  <c r="R40" i="490" s="1"/>
  <c r="O40" i="490"/>
  <c r="P40" i="490" s="1"/>
  <c r="M40" i="490"/>
  <c r="N40" i="490" s="1"/>
  <c r="K40" i="490"/>
  <c r="L40" i="490" s="1"/>
  <c r="J40" i="490"/>
  <c r="S39" i="490"/>
  <c r="Q39" i="490"/>
  <c r="I630" i="490" s="1"/>
  <c r="O39" i="490"/>
  <c r="M39" i="490"/>
  <c r="K39" i="490"/>
  <c r="J39" i="490"/>
  <c r="S38" i="490"/>
  <c r="T38" i="490" s="1"/>
  <c r="Q38" i="490"/>
  <c r="I516" i="490" s="1"/>
  <c r="O38" i="490"/>
  <c r="H554" i="490" s="1"/>
  <c r="M38" i="490"/>
  <c r="G541" i="490" s="1"/>
  <c r="K38" i="490"/>
  <c r="F554" i="490" s="1"/>
  <c r="J38" i="490"/>
  <c r="S37" i="490"/>
  <c r="T37" i="490" s="1"/>
  <c r="Q37" i="490"/>
  <c r="R37" i="490" s="1"/>
  <c r="O37" i="490"/>
  <c r="H490" i="490" s="1"/>
  <c r="M37" i="490"/>
  <c r="N37" i="490" s="1"/>
  <c r="K37" i="490"/>
  <c r="F490" i="490" s="1"/>
  <c r="J37" i="490"/>
  <c r="S36" i="490"/>
  <c r="T36" i="490" s="1"/>
  <c r="Q36" i="490"/>
  <c r="I308" i="490" s="1"/>
  <c r="I309" i="490" s="1"/>
  <c r="O36" i="490"/>
  <c r="H462" i="490" s="1"/>
  <c r="M36" i="490"/>
  <c r="G462" i="490" s="1"/>
  <c r="K36" i="490"/>
  <c r="F462" i="490" s="1"/>
  <c r="J36" i="490"/>
  <c r="S35" i="490"/>
  <c r="T35" i="490" s="1"/>
  <c r="Q35" i="490"/>
  <c r="I722" i="490" s="1"/>
  <c r="O35" i="490"/>
  <c r="H722" i="490" s="1"/>
  <c r="M35" i="490"/>
  <c r="G722" i="490" s="1"/>
  <c r="K35" i="490"/>
  <c r="F722" i="490" s="1"/>
  <c r="J35" i="490"/>
  <c r="S34" i="490"/>
  <c r="T34" i="490" s="1"/>
  <c r="Q34" i="490"/>
  <c r="R34" i="490" s="1"/>
  <c r="O34" i="490"/>
  <c r="H694" i="490" s="1"/>
  <c r="M34" i="490"/>
  <c r="G694" i="490" s="1"/>
  <c r="K34" i="490"/>
  <c r="F694" i="490" s="1"/>
  <c r="J34" i="490"/>
  <c r="S33" i="490"/>
  <c r="T33" i="490" s="1"/>
  <c r="Q33" i="490"/>
  <c r="R33" i="490" s="1"/>
  <c r="O33" i="490"/>
  <c r="P33" i="490" s="1"/>
  <c r="M33" i="490"/>
  <c r="N33" i="490" s="1"/>
  <c r="K33" i="490"/>
  <c r="L33" i="490" s="1"/>
  <c r="J33" i="490"/>
  <c r="S32" i="490"/>
  <c r="T32" i="490" s="1"/>
  <c r="Q32" i="490"/>
  <c r="R32" i="490" s="1"/>
  <c r="O32" i="490"/>
  <c r="P32" i="490" s="1"/>
  <c r="M32" i="490"/>
  <c r="N32" i="490" s="1"/>
  <c r="K32" i="490"/>
  <c r="L32" i="490" s="1"/>
  <c r="J32" i="490"/>
  <c r="S31" i="490"/>
  <c r="T31" i="490" s="1"/>
  <c r="Q31" i="490"/>
  <c r="R31" i="490" s="1"/>
  <c r="O31" i="490"/>
  <c r="P31" i="490" s="1"/>
  <c r="M31" i="490"/>
  <c r="N31" i="490" s="1"/>
  <c r="K31" i="490"/>
  <c r="L31" i="490" s="1"/>
  <c r="J31" i="490"/>
  <c r="S30" i="490"/>
  <c r="T30" i="490" s="1"/>
  <c r="Q30" i="490"/>
  <c r="R30" i="490" s="1"/>
  <c r="O30" i="490"/>
  <c r="P30" i="490" s="1"/>
  <c r="M30" i="490"/>
  <c r="N30" i="490" s="1"/>
  <c r="K30" i="490"/>
  <c r="L30" i="490" s="1"/>
  <c r="J30" i="490"/>
  <c r="F24" i="490"/>
  <c r="F23" i="490"/>
  <c r="F22" i="490"/>
  <c r="F484" i="490" s="1"/>
  <c r="I484" i="490" s="1"/>
  <c r="F21" i="490"/>
  <c r="F20" i="490"/>
  <c r="F19" i="490"/>
  <c r="F18" i="490"/>
  <c r="F17" i="490"/>
  <c r="F16" i="490"/>
  <c r="F15" i="490"/>
  <c r="F1539" i="490" s="1"/>
  <c r="I1539" i="490" s="1"/>
  <c r="F14" i="490"/>
  <c r="F1538" i="490" s="1"/>
  <c r="I1538" i="490" s="1"/>
  <c r="F13" i="490"/>
  <c r="F887" i="490" s="1"/>
  <c r="I887" i="490" s="1"/>
  <c r="F12" i="490"/>
  <c r="F11" i="490"/>
  <c r="F10" i="490"/>
  <c r="F454" i="490" s="1"/>
  <c r="I454" i="490" s="1"/>
  <c r="A10" i="490"/>
  <c r="F9" i="490"/>
  <c r="F482" i="490" s="1"/>
  <c r="I482" i="490" s="1"/>
  <c r="A2" i="490"/>
  <c r="I285" i="490" l="1"/>
  <c r="I322" i="490"/>
  <c r="G542" i="490"/>
  <c r="I299" i="490"/>
  <c r="E353" i="490"/>
  <c r="E376" i="490"/>
  <c r="E529" i="490"/>
  <c r="E542" i="490"/>
  <c r="I344" i="490"/>
  <c r="I367" i="490"/>
  <c r="I432" i="490"/>
  <c r="I236" i="490"/>
  <c r="I417" i="490"/>
  <c r="I426" i="490"/>
  <c r="I1273" i="490"/>
  <c r="F1274" i="490" s="1"/>
  <c r="I1274" i="490" s="1"/>
  <c r="I1275" i="490" s="1"/>
  <c r="I1530" i="490"/>
  <c r="I1531" i="490" s="1"/>
  <c r="J838" i="490"/>
  <c r="J877" i="490"/>
  <c r="I684" i="490"/>
  <c r="I793" i="490"/>
  <c r="I954" i="490"/>
  <c r="I1409" i="490"/>
  <c r="J722" i="490"/>
  <c r="J723" i="490" s="1"/>
  <c r="T55" i="490"/>
  <c r="J630" i="490"/>
  <c r="T39" i="490"/>
  <c r="I451" i="490"/>
  <c r="I480" i="490"/>
  <c r="I815" i="490"/>
  <c r="I930" i="490"/>
  <c r="H1011" i="490"/>
  <c r="J977" i="490"/>
  <c r="I1578" i="490"/>
  <c r="I1579" i="490" s="1"/>
  <c r="R35" i="490"/>
  <c r="R36" i="490"/>
  <c r="R38" i="490"/>
  <c r="R39" i="490"/>
  <c r="I271" i="490"/>
  <c r="I438" i="490"/>
  <c r="I710" i="490"/>
  <c r="I1374" i="490"/>
  <c r="I1375" i="490" s="1"/>
  <c r="A256" i="490"/>
  <c r="A263" i="490"/>
  <c r="A277" i="490" s="1"/>
  <c r="A291" i="490" s="1"/>
  <c r="A314" i="490" s="1"/>
  <c r="A336" i="490" s="1"/>
  <c r="A358" i="490" s="1"/>
  <c r="H555" i="490"/>
  <c r="F1294" i="490"/>
  <c r="I1294" i="490" s="1"/>
  <c r="F1282" i="490"/>
  <c r="F1261" i="490"/>
  <c r="I1261" i="490" s="1"/>
  <c r="F1219" i="490"/>
  <c r="I1219" i="490" s="1"/>
  <c r="F1500" i="490"/>
  <c r="F1360" i="490"/>
  <c r="I1360" i="490" s="1"/>
  <c r="I1362" i="490" s="1"/>
  <c r="F1347" i="490"/>
  <c r="I1347" i="490" s="1"/>
  <c r="F1307" i="490"/>
  <c r="F1257" i="490"/>
  <c r="I1257" i="490" s="1"/>
  <c r="F1228" i="490"/>
  <c r="I1228" i="490" s="1"/>
  <c r="F1398" i="490"/>
  <c r="I1398" i="490" s="1"/>
  <c r="F1468" i="490"/>
  <c r="I1468" i="490" s="1"/>
  <c r="F1062" i="490"/>
  <c r="I1062" i="490" s="1"/>
  <c r="F830" i="490"/>
  <c r="I830" i="490" s="1"/>
  <c r="F774" i="490"/>
  <c r="I774" i="490" s="1"/>
  <c r="F854" i="490"/>
  <c r="I854" i="490" s="1"/>
  <c r="F669" i="490"/>
  <c r="F656" i="490"/>
  <c r="F657" i="490" s="1"/>
  <c r="F643" i="490"/>
  <c r="F644" i="490" s="1"/>
  <c r="F630" i="490"/>
  <c r="F631" i="490" s="1"/>
  <c r="F617" i="490"/>
  <c r="G669" i="490"/>
  <c r="G670" i="490" s="1"/>
  <c r="G656" i="490"/>
  <c r="G643" i="490"/>
  <c r="G644" i="490" s="1"/>
  <c r="G630" i="490"/>
  <c r="G617" i="490"/>
  <c r="H669" i="490"/>
  <c r="H656" i="490"/>
  <c r="H657" i="490" s="1"/>
  <c r="H643" i="490"/>
  <c r="H630" i="490"/>
  <c r="H631" i="490" s="1"/>
  <c r="H617" i="490"/>
  <c r="F813" i="490"/>
  <c r="F791" i="490"/>
  <c r="F875" i="490"/>
  <c r="F836" i="490"/>
  <c r="L34" i="490"/>
  <c r="N34" i="490"/>
  <c r="P34" i="490"/>
  <c r="L36" i="490"/>
  <c r="N36" i="490"/>
  <c r="P36" i="490"/>
  <c r="L38" i="490"/>
  <c r="N38" i="490"/>
  <c r="P38" i="490"/>
  <c r="F71" i="490"/>
  <c r="F87" i="490"/>
  <c r="F214" i="490"/>
  <c r="I214" i="490" s="1"/>
  <c r="F221" i="490"/>
  <c r="I221" i="490" s="1"/>
  <c r="I223" i="490" s="1"/>
  <c r="A226" i="490"/>
  <c r="F232" i="490"/>
  <c r="I232" i="490" s="1"/>
  <c r="I237" i="490" s="1"/>
  <c r="F244" i="490"/>
  <c r="I244" i="490" s="1"/>
  <c r="F270" i="490"/>
  <c r="I270" i="490" s="1"/>
  <c r="F274" i="490"/>
  <c r="I274" i="490" s="1"/>
  <c r="F287" i="490"/>
  <c r="I287" i="490" s="1"/>
  <c r="F301" i="490"/>
  <c r="I301" i="490" s="1"/>
  <c r="F308" i="490"/>
  <c r="F309" i="490" s="1"/>
  <c r="H308" i="490"/>
  <c r="H309" i="490" s="1"/>
  <c r="J308" i="490"/>
  <c r="J309" i="490" s="1"/>
  <c r="F321" i="490"/>
  <c r="I321" i="490" s="1"/>
  <c r="F330" i="490"/>
  <c r="F331" i="490" s="1"/>
  <c r="H330" i="490"/>
  <c r="H331" i="490" s="1"/>
  <c r="J330" i="490"/>
  <c r="J331" i="490" s="1"/>
  <c r="E331" i="490"/>
  <c r="F346" i="490"/>
  <c r="I346" i="490" s="1"/>
  <c r="F352" i="490"/>
  <c r="F353" i="490" s="1"/>
  <c r="H352" i="490"/>
  <c r="H353" i="490" s="1"/>
  <c r="F365" i="490"/>
  <c r="I365" i="490" s="1"/>
  <c r="F369" i="490"/>
  <c r="I369" i="490" s="1"/>
  <c r="F375" i="490"/>
  <c r="F376" i="490" s="1"/>
  <c r="H375" i="490"/>
  <c r="H376" i="490" s="1"/>
  <c r="F400" i="490"/>
  <c r="I400" i="490" s="1"/>
  <c r="F416" i="490"/>
  <c r="I416" i="490" s="1"/>
  <c r="F420" i="490"/>
  <c r="I420" i="490" s="1"/>
  <c r="F450" i="490"/>
  <c r="I450" i="490" s="1"/>
  <c r="J462" i="490"/>
  <c r="J463" i="490" s="1"/>
  <c r="E463" i="490"/>
  <c r="G463" i="490"/>
  <c r="I463" i="490"/>
  <c r="G490" i="490"/>
  <c r="G491" i="490" s="1"/>
  <c r="I490" i="490"/>
  <c r="I491" i="490" s="1"/>
  <c r="F491" i="490"/>
  <c r="H491" i="490"/>
  <c r="J491" i="490"/>
  <c r="G503" i="490"/>
  <c r="G504" i="490" s="1"/>
  <c r="G516" i="490"/>
  <c r="G517" i="490" s="1"/>
  <c r="E517" i="490"/>
  <c r="I517" i="490"/>
  <c r="G528" i="490"/>
  <c r="G529" i="490" s="1"/>
  <c r="E555" i="490"/>
  <c r="H618" i="490"/>
  <c r="I723" i="490"/>
  <c r="F1520" i="490"/>
  <c r="I1520" i="490" s="1"/>
  <c r="F1485" i="490"/>
  <c r="I1485" i="490" s="1"/>
  <c r="F1465" i="490"/>
  <c r="I1465" i="490" s="1"/>
  <c r="F1415" i="490"/>
  <c r="F1395" i="490"/>
  <c r="I1395" i="490" s="1"/>
  <c r="F1240" i="490"/>
  <c r="I1240" i="490" s="1"/>
  <c r="F1335" i="490"/>
  <c r="I1335" i="490" s="1"/>
  <c r="F1241" i="490"/>
  <c r="I1241" i="490" s="1"/>
  <c r="F1175" i="490"/>
  <c r="I1175" i="490" s="1"/>
  <c r="F1098" i="490"/>
  <c r="I1098" i="490" s="1"/>
  <c r="F1079" i="490"/>
  <c r="I1079" i="490" s="1"/>
  <c r="F1059" i="490"/>
  <c r="I1059" i="490" s="1"/>
  <c r="F1002" i="490"/>
  <c r="I1002" i="490" s="1"/>
  <c r="F1207" i="490"/>
  <c r="I1207" i="490" s="1"/>
  <c r="F1189" i="490"/>
  <c r="I1189" i="490" s="1"/>
  <c r="F1159" i="490"/>
  <c r="I1159" i="490" s="1"/>
  <c r="F1138" i="490"/>
  <c r="I1138" i="490" s="1"/>
  <c r="F1118" i="490"/>
  <c r="I1118" i="490" s="1"/>
  <c r="F1042" i="490"/>
  <c r="I1042" i="490" s="1"/>
  <c r="F1020" i="490"/>
  <c r="I1020" i="490" s="1"/>
  <c r="F985" i="490"/>
  <c r="I985" i="490" s="1"/>
  <c r="F944" i="490"/>
  <c r="I944" i="490" s="1"/>
  <c r="F920" i="490"/>
  <c r="I920" i="490" s="1"/>
  <c r="F901" i="490"/>
  <c r="I901" i="490" s="1"/>
  <c r="F867" i="490"/>
  <c r="I867" i="490" s="1"/>
  <c r="F827" i="490"/>
  <c r="I827" i="490" s="1"/>
  <c r="F805" i="490"/>
  <c r="I805" i="490" s="1"/>
  <c r="F783" i="490"/>
  <c r="I783" i="490" s="1"/>
  <c r="F712" i="490"/>
  <c r="I712" i="490" s="1"/>
  <c r="F686" i="490"/>
  <c r="I686" i="490" s="1"/>
  <c r="F967" i="490"/>
  <c r="I967" i="490" s="1"/>
  <c r="F851" i="490"/>
  <c r="I851" i="490" s="1"/>
  <c r="F771" i="490"/>
  <c r="I771" i="490" s="1"/>
  <c r="F1416" i="490"/>
  <c r="F1396" i="490"/>
  <c r="I1396" i="490" s="1"/>
  <c r="F1565" i="490"/>
  <c r="I1565" i="490" s="1"/>
  <c r="F1521" i="490"/>
  <c r="I1521" i="490" s="1"/>
  <c r="F1486" i="490"/>
  <c r="I1486" i="490" s="1"/>
  <c r="F1466" i="490"/>
  <c r="I1466" i="490" s="1"/>
  <c r="F1190" i="490"/>
  <c r="I1190" i="490" s="1"/>
  <c r="F1160" i="490"/>
  <c r="I1160" i="490" s="1"/>
  <c r="F1139" i="490"/>
  <c r="I1139" i="490" s="1"/>
  <c r="F1119" i="490"/>
  <c r="I1119" i="490" s="1"/>
  <c r="F1043" i="490"/>
  <c r="I1043" i="490" s="1"/>
  <c r="F1021" i="490"/>
  <c r="I1021" i="490" s="1"/>
  <c r="F1176" i="490"/>
  <c r="I1176" i="490" s="1"/>
  <c r="F1099" i="490"/>
  <c r="I1099" i="490" s="1"/>
  <c r="F1080" i="490"/>
  <c r="I1080" i="490" s="1"/>
  <c r="F1060" i="490"/>
  <c r="I1060" i="490" s="1"/>
  <c r="F968" i="490"/>
  <c r="I968" i="490" s="1"/>
  <c r="F945" i="490"/>
  <c r="I945" i="490" s="1"/>
  <c r="F868" i="490"/>
  <c r="I868" i="490" s="1"/>
  <c r="F828" i="490"/>
  <c r="I828" i="490" s="1"/>
  <c r="F772" i="490"/>
  <c r="I772" i="490" s="1"/>
  <c r="F921" i="490"/>
  <c r="I921" i="490" s="1"/>
  <c r="F852" i="490"/>
  <c r="I852" i="490" s="1"/>
  <c r="F806" i="490"/>
  <c r="I806" i="490" s="1"/>
  <c r="F784" i="490"/>
  <c r="I784" i="490" s="1"/>
  <c r="F713" i="490"/>
  <c r="I713" i="490" s="1"/>
  <c r="F687" i="490"/>
  <c r="I687" i="490" s="1"/>
  <c r="F1308" i="490"/>
  <c r="F1262" i="490"/>
  <c r="I1262" i="490" s="1"/>
  <c r="F1229" i="490"/>
  <c r="I1229" i="490" s="1"/>
  <c r="F1501" i="490"/>
  <c r="F1348" i="490"/>
  <c r="I1348" i="490" s="1"/>
  <c r="I1350" i="490" s="1"/>
  <c r="F1295" i="490"/>
  <c r="I1295" i="490" s="1"/>
  <c r="F1283" i="490"/>
  <c r="F1258" i="490"/>
  <c r="I1258" i="490" s="1"/>
  <c r="F1540" i="490"/>
  <c r="I1540" i="490" s="1"/>
  <c r="I1541" i="490" s="1"/>
  <c r="I1542" i="490" s="1"/>
  <c r="F1522" i="490"/>
  <c r="I1522" i="490" s="1"/>
  <c r="F1487" i="490"/>
  <c r="I1487" i="490" s="1"/>
  <c r="F1467" i="490"/>
  <c r="I1467" i="490" s="1"/>
  <c r="F1417" i="490"/>
  <c r="F1397" i="490"/>
  <c r="I1397" i="490" s="1"/>
  <c r="F1312" i="490"/>
  <c r="I1312" i="490" s="1"/>
  <c r="F1296" i="490"/>
  <c r="I1296" i="490" s="1"/>
  <c r="F1242" i="490"/>
  <c r="I1242" i="490" s="1"/>
  <c r="F1567" i="490"/>
  <c r="I1567" i="490" s="1"/>
  <c r="F1566" i="490"/>
  <c r="I1566" i="490" s="1"/>
  <c r="F1349" i="490"/>
  <c r="I1349" i="490" s="1"/>
  <c r="F1336" i="490"/>
  <c r="I1336" i="490" s="1"/>
  <c r="F1220" i="490"/>
  <c r="I1220" i="490" s="1"/>
  <c r="F1208" i="490"/>
  <c r="I1208" i="490" s="1"/>
  <c r="F1177" i="490"/>
  <c r="I1177" i="490" s="1"/>
  <c r="F1100" i="490"/>
  <c r="I1100" i="490" s="1"/>
  <c r="F1081" i="490"/>
  <c r="I1081" i="490" s="1"/>
  <c r="F1061" i="490"/>
  <c r="I1061" i="490" s="1"/>
  <c r="F1191" i="490"/>
  <c r="I1191" i="490" s="1"/>
  <c r="F1161" i="490"/>
  <c r="I1161" i="490" s="1"/>
  <c r="F1140" i="490"/>
  <c r="I1140" i="490" s="1"/>
  <c r="F1120" i="490"/>
  <c r="I1120" i="490" s="1"/>
  <c r="F1044" i="490"/>
  <c r="I1044" i="490" s="1"/>
  <c r="F1022" i="490"/>
  <c r="I1022" i="490" s="1"/>
  <c r="F1003" i="490"/>
  <c r="I1003" i="490" s="1"/>
  <c r="F946" i="490"/>
  <c r="I946" i="490" s="1"/>
  <c r="F922" i="490"/>
  <c r="I922" i="490" s="1"/>
  <c r="F869" i="490"/>
  <c r="I869" i="490" s="1"/>
  <c r="F829" i="490"/>
  <c r="I829" i="490" s="1"/>
  <c r="F807" i="490"/>
  <c r="I807" i="490" s="1"/>
  <c r="F785" i="490"/>
  <c r="I785" i="490" s="1"/>
  <c r="F714" i="490"/>
  <c r="I714" i="490" s="1"/>
  <c r="F688" i="490"/>
  <c r="I688" i="490" s="1"/>
  <c r="F986" i="490"/>
  <c r="I986" i="490" s="1"/>
  <c r="F969" i="490"/>
  <c r="I969" i="490" s="1"/>
  <c r="F902" i="490"/>
  <c r="F888" i="490"/>
  <c r="I888" i="490" s="1"/>
  <c r="G892" i="490" s="1"/>
  <c r="F853" i="490"/>
  <c r="I853" i="490" s="1"/>
  <c r="F773" i="490"/>
  <c r="I773" i="490" s="1"/>
  <c r="F899" i="490"/>
  <c r="I899" i="490" s="1"/>
  <c r="F885" i="490"/>
  <c r="I885" i="490" s="1"/>
  <c r="F761" i="490"/>
  <c r="F762" i="490" s="1"/>
  <c r="F748" i="490"/>
  <c r="F735" i="490"/>
  <c r="F736" i="490" s="1"/>
  <c r="F591" i="490"/>
  <c r="F592" i="490" s="1"/>
  <c r="F578" i="490"/>
  <c r="F566" i="490"/>
  <c r="F567" i="490" s="1"/>
  <c r="F604" i="490"/>
  <c r="G604" i="490"/>
  <c r="G605" i="490" s="1"/>
  <c r="G761" i="490"/>
  <c r="G762" i="490" s="1"/>
  <c r="G748" i="490"/>
  <c r="G749" i="490" s="1"/>
  <c r="G735" i="490"/>
  <c r="G736" i="490" s="1"/>
  <c r="G591" i="490"/>
  <c r="G592" i="490" s="1"/>
  <c r="G578" i="490"/>
  <c r="G579" i="490" s="1"/>
  <c r="G566" i="490"/>
  <c r="H761" i="490"/>
  <c r="H762" i="490" s="1"/>
  <c r="H748" i="490"/>
  <c r="H749" i="490" s="1"/>
  <c r="H735" i="490"/>
  <c r="H736" i="490" s="1"/>
  <c r="H591" i="490"/>
  <c r="H592" i="490" s="1"/>
  <c r="H578" i="490"/>
  <c r="H579" i="490" s="1"/>
  <c r="H566" i="490"/>
  <c r="H567" i="490" s="1"/>
  <c r="H604" i="490"/>
  <c r="I604" i="490"/>
  <c r="I761" i="490"/>
  <c r="I762" i="490" s="1"/>
  <c r="I748" i="490"/>
  <c r="I566" i="490"/>
  <c r="J566" i="490"/>
  <c r="J567" i="490" s="1"/>
  <c r="J604" i="490"/>
  <c r="J605" i="490" s="1"/>
  <c r="F1009" i="490"/>
  <c r="F952" i="490"/>
  <c r="F992" i="490"/>
  <c r="F975" i="490"/>
  <c r="F709" i="490"/>
  <c r="I709" i="490" s="1"/>
  <c r="F683" i="490"/>
  <c r="I683" i="490" s="1"/>
  <c r="L35" i="490"/>
  <c r="N35" i="490"/>
  <c r="P35" i="490"/>
  <c r="L37" i="490"/>
  <c r="P37" i="490"/>
  <c r="L39" i="490"/>
  <c r="N39" i="490"/>
  <c r="P39" i="490"/>
  <c r="J70" i="490"/>
  <c r="F80" i="490"/>
  <c r="J86" i="490"/>
  <c r="F158" i="490"/>
  <c r="H211" i="490"/>
  <c r="F251" i="490"/>
  <c r="I251" i="490" s="1"/>
  <c r="F258" i="490"/>
  <c r="I258" i="490" s="1"/>
  <c r="F273" i="490"/>
  <c r="I273" i="490" s="1"/>
  <c r="F284" i="490"/>
  <c r="I284" i="490" s="1"/>
  <c r="F288" i="490"/>
  <c r="I288" i="490" s="1"/>
  <c r="F298" i="490"/>
  <c r="I298" i="490" s="1"/>
  <c r="F302" i="490"/>
  <c r="I302" i="490" s="1"/>
  <c r="G308" i="490"/>
  <c r="G309" i="490" s="1"/>
  <c r="F324" i="490"/>
  <c r="I324" i="490" s="1"/>
  <c r="F325" i="490"/>
  <c r="I325" i="490" s="1"/>
  <c r="G330" i="490"/>
  <c r="G331" i="490" s="1"/>
  <c r="F347" i="490"/>
  <c r="I347" i="490" s="1"/>
  <c r="G352" i="490"/>
  <c r="G353" i="490" s="1"/>
  <c r="I352" i="490"/>
  <c r="I353" i="490" s="1"/>
  <c r="F366" i="490"/>
  <c r="I366" i="490" s="1"/>
  <c r="F370" i="490"/>
  <c r="I370" i="490" s="1"/>
  <c r="G375" i="490"/>
  <c r="G376" i="490" s="1"/>
  <c r="I375" i="490"/>
  <c r="I376" i="490" s="1"/>
  <c r="F389" i="490"/>
  <c r="I389" i="490" s="1"/>
  <c r="F390" i="490"/>
  <c r="I390" i="490" s="1"/>
  <c r="F401" i="490"/>
  <c r="I401" i="490" s="1"/>
  <c r="F415" i="490"/>
  <c r="I415" i="490" s="1"/>
  <c r="F419" i="490"/>
  <c r="I419" i="490" s="1"/>
  <c r="F421" i="490"/>
  <c r="I421" i="490" s="1"/>
  <c r="F449" i="490"/>
  <c r="I449" i="490" s="1"/>
  <c r="F453" i="490"/>
  <c r="I453" i="490" s="1"/>
  <c r="F455" i="490"/>
  <c r="I455" i="490" s="1"/>
  <c r="F463" i="490"/>
  <c r="H463" i="490"/>
  <c r="F483" i="490"/>
  <c r="I483" i="490" s="1"/>
  <c r="G658" i="490" s="1"/>
  <c r="E491" i="490"/>
  <c r="F503" i="490"/>
  <c r="F504" i="490" s="1"/>
  <c r="H503" i="490"/>
  <c r="H504" i="490" s="1"/>
  <c r="E504" i="490"/>
  <c r="F516" i="490"/>
  <c r="F517" i="490" s="1"/>
  <c r="H516" i="490"/>
  <c r="H517" i="490" s="1"/>
  <c r="F528" i="490"/>
  <c r="F529" i="490" s="1"/>
  <c r="H528" i="490"/>
  <c r="H529" i="490" s="1"/>
  <c r="F541" i="490"/>
  <c r="F542" i="490" s="1"/>
  <c r="H541" i="490"/>
  <c r="H542" i="490" s="1"/>
  <c r="G554" i="490"/>
  <c r="G555" i="490" s="1"/>
  <c r="F555" i="490"/>
  <c r="I567" i="490"/>
  <c r="J631" i="490"/>
  <c r="H644" i="490"/>
  <c r="H670" i="490"/>
  <c r="F579" i="490"/>
  <c r="E605" i="490"/>
  <c r="I605" i="490"/>
  <c r="E618" i="490"/>
  <c r="G618" i="490"/>
  <c r="E631" i="490"/>
  <c r="G631" i="490"/>
  <c r="I631" i="490"/>
  <c r="E644" i="490"/>
  <c r="E657" i="490"/>
  <c r="G657" i="490"/>
  <c r="E670" i="490"/>
  <c r="J694" i="490"/>
  <c r="J695" i="490" s="1"/>
  <c r="E695" i="490"/>
  <c r="G695" i="490"/>
  <c r="I695" i="490"/>
  <c r="F723" i="490"/>
  <c r="H723" i="490"/>
  <c r="E749" i="490"/>
  <c r="E762" i="490"/>
  <c r="F793" i="490"/>
  <c r="H793" i="490"/>
  <c r="J793" i="490"/>
  <c r="F815" i="490"/>
  <c r="H815" i="490"/>
  <c r="J815" i="490"/>
  <c r="E838" i="490"/>
  <c r="G838" i="490"/>
  <c r="I838" i="490"/>
  <c r="E877" i="490"/>
  <c r="G877" i="490"/>
  <c r="I877" i="490"/>
  <c r="F930" i="490"/>
  <c r="H930" i="490"/>
  <c r="J930" i="490"/>
  <c r="F954" i="490"/>
  <c r="H954" i="490"/>
  <c r="J954" i="490"/>
  <c r="E977" i="490"/>
  <c r="G977" i="490"/>
  <c r="I977" i="490"/>
  <c r="I994" i="490"/>
  <c r="G994" i="490"/>
  <c r="E994" i="490"/>
  <c r="J994" i="490"/>
  <c r="H994" i="490"/>
  <c r="F994" i="490"/>
  <c r="E567" i="490"/>
  <c r="G567" i="490"/>
  <c r="E579" i="490"/>
  <c r="E592" i="490"/>
  <c r="F605" i="490"/>
  <c r="H605" i="490"/>
  <c r="F618" i="490"/>
  <c r="F670" i="490"/>
  <c r="F695" i="490"/>
  <c r="H695" i="490"/>
  <c r="E723" i="490"/>
  <c r="G723" i="490"/>
  <c r="E736" i="490"/>
  <c r="F749" i="490"/>
  <c r="E793" i="490"/>
  <c r="G793" i="490"/>
  <c r="E815" i="490"/>
  <c r="G815" i="490"/>
  <c r="F838" i="490"/>
  <c r="H838" i="490"/>
  <c r="F877" i="490"/>
  <c r="H877" i="490"/>
  <c r="E930" i="490"/>
  <c r="G930" i="490"/>
  <c r="E954" i="490"/>
  <c r="G954" i="490"/>
  <c r="F977" i="490"/>
  <c r="H977" i="490"/>
  <c r="F1325" i="490"/>
  <c r="I1325" i="490" s="1"/>
  <c r="I1326" i="490" s="1"/>
  <c r="E1011" i="490"/>
  <c r="G1011" i="490"/>
  <c r="I1230" i="490"/>
  <c r="F1268" i="490"/>
  <c r="I1268" i="490" s="1"/>
  <c r="I1269" i="490" s="1"/>
  <c r="D1363" i="490"/>
  <c r="I1376" i="490"/>
  <c r="I1377" i="490" s="1"/>
  <c r="I1378" i="490" s="1"/>
  <c r="F1602" i="490"/>
  <c r="I1602" i="490" s="1"/>
  <c r="I1603" i="490" s="1"/>
  <c r="F1011" i="490"/>
  <c r="F1329" i="490"/>
  <c r="I1329" i="490" s="1"/>
  <c r="I1330" i="490" s="1"/>
  <c r="I1461" i="490"/>
  <c r="F1548" i="490"/>
  <c r="I1548" i="490" s="1"/>
  <c r="I1549" i="490" s="1"/>
  <c r="I1550" i="490" s="1"/>
  <c r="F1583" i="490"/>
  <c r="I1583" i="490" s="1"/>
  <c r="I1584" i="490" s="1"/>
  <c r="F1320" i="490"/>
  <c r="I1320" i="490" s="1"/>
  <c r="I1321" i="490" s="1"/>
  <c r="F1221" i="490" l="1"/>
  <c r="I1221" i="490" s="1"/>
  <c r="I1222" i="490" s="1"/>
  <c r="F1223" i="490" s="1"/>
  <c r="I1223" i="490" s="1"/>
  <c r="I1224" i="490" s="1"/>
  <c r="G632" i="490"/>
  <c r="F1297" i="490"/>
  <c r="I1297" i="490" s="1"/>
  <c r="I1298" i="490" s="1"/>
  <c r="F1299" i="490" s="1"/>
  <c r="I1299" i="490" s="1"/>
  <c r="I1300" i="490" s="1"/>
  <c r="I1301" i="490" s="1"/>
  <c r="I1302" i="490" s="1"/>
  <c r="I1263" i="490"/>
  <c r="F1264" i="490" s="1"/>
  <c r="I1264" i="490" s="1"/>
  <c r="I1265" i="490" s="1"/>
  <c r="H632" i="490"/>
  <c r="F1363" i="490"/>
  <c r="F1351" i="490"/>
  <c r="I1351" i="490" s="1"/>
  <c r="I1352" i="490" s="1"/>
  <c r="F1231" i="490"/>
  <c r="I1231" i="490" s="1"/>
  <c r="I1232" i="490" s="1"/>
  <c r="I696" i="490"/>
  <c r="G696" i="490"/>
  <c r="J696" i="490"/>
  <c r="H696" i="490"/>
  <c r="F696" i="490"/>
  <c r="I1146" i="490"/>
  <c r="G1146" i="490"/>
  <c r="H1146" i="490"/>
  <c r="F1146" i="490"/>
  <c r="F1443" i="490"/>
  <c r="I1443" i="490" s="1"/>
  <c r="I1416" i="490"/>
  <c r="H1125" i="490"/>
  <c r="F1125" i="490"/>
  <c r="I1125" i="490"/>
  <c r="G1125" i="490"/>
  <c r="H1249" i="490"/>
  <c r="F1249" i="490"/>
  <c r="I1249" i="490"/>
  <c r="G1249" i="490"/>
  <c r="D224" i="490"/>
  <c r="I224" i="490" s="1"/>
  <c r="I225" i="490" s="1"/>
  <c r="G928" i="490"/>
  <c r="J87" i="490"/>
  <c r="F88" i="490"/>
  <c r="F1310" i="490"/>
  <c r="I1310" i="490" s="1"/>
  <c r="F1285" i="490"/>
  <c r="I1285" i="490" s="1"/>
  <c r="I1282" i="490"/>
  <c r="A407" i="490"/>
  <c r="A441" i="490" s="1"/>
  <c r="A470" i="490" s="1"/>
  <c r="A383" i="490"/>
  <c r="A397" i="490" s="1"/>
  <c r="I332" i="490"/>
  <c r="G332" i="490"/>
  <c r="J332" i="490"/>
  <c r="H332" i="490"/>
  <c r="F332" i="490"/>
  <c r="F166" i="490"/>
  <c r="I158" i="490"/>
  <c r="G1009" i="490"/>
  <c r="G992" i="490"/>
  <c r="G975" i="490"/>
  <c r="G952" i="490"/>
  <c r="F81" i="490"/>
  <c r="J80" i="490"/>
  <c r="I902" i="490"/>
  <c r="H763" i="490"/>
  <c r="F763" i="490"/>
  <c r="H750" i="490"/>
  <c r="F750" i="490"/>
  <c r="H737" i="490"/>
  <c r="F737" i="490"/>
  <c r="J724" i="490"/>
  <c r="H724" i="490"/>
  <c r="F724" i="490"/>
  <c r="I763" i="490"/>
  <c r="G763" i="490"/>
  <c r="I750" i="490"/>
  <c r="G750" i="490"/>
  <c r="G737" i="490"/>
  <c r="I724" i="490"/>
  <c r="G724" i="490"/>
  <c r="H1166" i="490"/>
  <c r="F1166" i="490"/>
  <c r="I1166" i="490"/>
  <c r="G1166" i="490"/>
  <c r="G1067" i="490"/>
  <c r="H1067" i="490"/>
  <c r="F1067" i="490"/>
  <c r="F1444" i="490"/>
  <c r="I1444" i="490" s="1"/>
  <c r="I1417" i="490"/>
  <c r="F1286" i="490"/>
  <c r="I1286" i="490" s="1"/>
  <c r="I1283" i="490"/>
  <c r="F1311" i="490"/>
  <c r="I1311" i="490" s="1"/>
  <c r="J816" i="490"/>
  <c r="H816" i="490"/>
  <c r="F816" i="490"/>
  <c r="I816" i="490"/>
  <c r="G816" i="490"/>
  <c r="I878" i="490"/>
  <c r="G878" i="490"/>
  <c r="J878" i="490"/>
  <c r="H878" i="490"/>
  <c r="F878" i="490"/>
  <c r="I978" i="490"/>
  <c r="G978" i="490"/>
  <c r="J955" i="490"/>
  <c r="H955" i="490"/>
  <c r="F955" i="490"/>
  <c r="J931" i="490"/>
  <c r="H931" i="490"/>
  <c r="F931" i="490"/>
  <c r="J978" i="490"/>
  <c r="H978" i="490"/>
  <c r="F978" i="490"/>
  <c r="I955" i="490"/>
  <c r="G955" i="490"/>
  <c r="I931" i="490"/>
  <c r="G931" i="490"/>
  <c r="J995" i="490"/>
  <c r="H995" i="490"/>
  <c r="F995" i="490"/>
  <c r="I995" i="490"/>
  <c r="G995" i="490"/>
  <c r="G1012" i="490"/>
  <c r="H1012" i="490"/>
  <c r="F1012" i="490"/>
  <c r="I1086" i="490"/>
  <c r="G1086" i="490"/>
  <c r="H1086" i="490"/>
  <c r="F1086" i="490"/>
  <c r="I377" i="490"/>
  <c r="G377" i="490"/>
  <c r="H377" i="490"/>
  <c r="F377" i="490"/>
  <c r="I354" i="490"/>
  <c r="G354" i="490"/>
  <c r="H354" i="490"/>
  <c r="F354" i="490"/>
  <c r="I310" i="490"/>
  <c r="G310" i="490"/>
  <c r="J310" i="490"/>
  <c r="H310" i="490"/>
  <c r="F310" i="490"/>
  <c r="F215" i="490"/>
  <c r="I215" i="490" s="1"/>
  <c r="G875" i="490"/>
  <c r="G836" i="490"/>
  <c r="G813" i="490"/>
  <c r="G791" i="490"/>
  <c r="J71" i="490"/>
  <c r="F72" i="490"/>
  <c r="I1500" i="490"/>
  <c r="F1503" i="490"/>
  <c r="I1503" i="490" s="1"/>
  <c r="F892" i="490"/>
  <c r="J892" i="490"/>
  <c r="I892" i="490"/>
  <c r="I1363" i="490"/>
  <c r="I1364" i="490" s="1"/>
  <c r="I1365" i="490" s="1"/>
  <c r="I1366" i="490" s="1"/>
  <c r="I749" i="490"/>
  <c r="I751" i="490" s="1"/>
  <c r="J632" i="490"/>
  <c r="F632" i="490"/>
  <c r="I632" i="490"/>
  <c r="H892" i="490"/>
  <c r="G492" i="490"/>
  <c r="G505" i="490"/>
  <c r="I518" i="490"/>
  <c r="G543" i="490"/>
  <c r="H556" i="490"/>
  <c r="H492" i="490"/>
  <c r="F505" i="490"/>
  <c r="F518" i="490"/>
  <c r="F530" i="490"/>
  <c r="F543" i="490"/>
  <c r="G556" i="490"/>
  <c r="I568" i="490"/>
  <c r="G593" i="490"/>
  <c r="H606" i="490"/>
  <c r="F619" i="490"/>
  <c r="F645" i="490"/>
  <c r="F658" i="490"/>
  <c r="F671" i="490"/>
  <c r="F568" i="490"/>
  <c r="J568" i="490"/>
  <c r="H580" i="490"/>
  <c r="H593" i="490"/>
  <c r="I606" i="490"/>
  <c r="G645" i="490"/>
  <c r="G671" i="490"/>
  <c r="F1543" i="490"/>
  <c r="I1543" i="490" s="1"/>
  <c r="I1544" i="490" s="1"/>
  <c r="I464" i="490"/>
  <c r="G464" i="490"/>
  <c r="J464" i="490"/>
  <c r="H464" i="490"/>
  <c r="F464" i="490"/>
  <c r="J794" i="490"/>
  <c r="H794" i="490"/>
  <c r="F794" i="490"/>
  <c r="I794" i="490"/>
  <c r="G794" i="490"/>
  <c r="H1049" i="490"/>
  <c r="F1049" i="490"/>
  <c r="I1049" i="490"/>
  <c r="G1049" i="490"/>
  <c r="G1473" i="490"/>
  <c r="H1473" i="490"/>
  <c r="F1473" i="490"/>
  <c r="I1501" i="490"/>
  <c r="F1504" i="490"/>
  <c r="I1504" i="490" s="1"/>
  <c r="H1196" i="490"/>
  <c r="F1196" i="490"/>
  <c r="I1196" i="490"/>
  <c r="G1196" i="490"/>
  <c r="I839" i="490"/>
  <c r="G839" i="490"/>
  <c r="J839" i="490"/>
  <c r="H839" i="490"/>
  <c r="F839" i="490"/>
  <c r="J1028" i="490"/>
  <c r="H1028" i="490"/>
  <c r="F1028" i="490"/>
  <c r="I1028" i="490"/>
  <c r="G1028" i="490"/>
  <c r="I1213" i="490"/>
  <c r="G1213" i="490"/>
  <c r="H1213" i="490"/>
  <c r="F1213" i="490"/>
  <c r="I1105" i="490"/>
  <c r="G1105" i="490"/>
  <c r="H1105" i="490"/>
  <c r="F1105" i="490"/>
  <c r="F1442" i="490"/>
  <c r="F1418" i="490"/>
  <c r="I1418" i="490" s="1"/>
  <c r="I1415" i="490"/>
  <c r="F238" i="490"/>
  <c r="I238" i="490" s="1"/>
  <c r="I239" i="490" s="1"/>
  <c r="I240" i="490" s="1"/>
  <c r="I241" i="490" s="1"/>
  <c r="I492" i="490"/>
  <c r="G518" i="490"/>
  <c r="G530" i="490"/>
  <c r="F556" i="490"/>
  <c r="F492" i="490"/>
  <c r="J492" i="490"/>
  <c r="H505" i="490"/>
  <c r="H518" i="490"/>
  <c r="H530" i="490"/>
  <c r="H543" i="490"/>
  <c r="G568" i="490"/>
  <c r="G580" i="490"/>
  <c r="F606" i="490"/>
  <c r="J606" i="490"/>
  <c r="H619" i="490"/>
  <c r="H645" i="490"/>
  <c r="H658" i="490"/>
  <c r="H671" i="490"/>
  <c r="H568" i="490"/>
  <c r="F580" i="490"/>
  <c r="F593" i="490"/>
  <c r="G606" i="490"/>
  <c r="G619" i="490"/>
  <c r="C314" i="383"/>
  <c r="I752" i="490" l="1"/>
  <c r="I753" i="490" s="1"/>
  <c r="I875" i="490"/>
  <c r="I836" i="490"/>
  <c r="J813" i="490"/>
  <c r="H813" i="490"/>
  <c r="J791" i="490"/>
  <c r="H791" i="490"/>
  <c r="J875" i="490"/>
  <c r="H875" i="490"/>
  <c r="J836" i="490"/>
  <c r="H836" i="490"/>
  <c r="I813" i="490"/>
  <c r="I791" i="490"/>
  <c r="J72" i="490"/>
  <c r="F73" i="490"/>
  <c r="A676" i="490"/>
  <c r="A701" i="490" s="1"/>
  <c r="A548" i="490"/>
  <c r="I1353" i="490"/>
  <c r="I1354" i="490"/>
  <c r="I1367" i="490" s="1"/>
  <c r="D217" i="490"/>
  <c r="I217" i="490" s="1"/>
  <c r="I218" i="490" s="1"/>
  <c r="H906" i="490"/>
  <c r="G906" i="490"/>
  <c r="H1424" i="490"/>
  <c r="H1425" i="490" s="1"/>
  <c r="F1424" i="490"/>
  <c r="F1425" i="490" s="1"/>
  <c r="I1424" i="490"/>
  <c r="I1425" i="490" s="1"/>
  <c r="G1424" i="490"/>
  <c r="G1425" i="490" s="1"/>
  <c r="F1445" i="490"/>
  <c r="I1445" i="490" s="1"/>
  <c r="I1442" i="490"/>
  <c r="F1505" i="490"/>
  <c r="I1505" i="490" s="1"/>
  <c r="I1506" i="490" s="1"/>
  <c r="H1009" i="490"/>
  <c r="I992" i="490"/>
  <c r="I975" i="490"/>
  <c r="J952" i="490"/>
  <c r="H952" i="490"/>
  <c r="J992" i="490"/>
  <c r="H992" i="490"/>
  <c r="J975" i="490"/>
  <c r="H975" i="490"/>
  <c r="I952" i="490"/>
  <c r="F82" i="490"/>
  <c r="J81" i="490"/>
  <c r="F174" i="490"/>
  <c r="I166" i="490"/>
  <c r="J928" i="490"/>
  <c r="H928" i="490"/>
  <c r="I928" i="490"/>
  <c r="F89" i="490"/>
  <c r="J88" i="490"/>
  <c r="I1287" i="490"/>
  <c r="I1313" i="490"/>
  <c r="F906" i="490"/>
  <c r="J906" i="490"/>
  <c r="I906" i="490"/>
  <c r="C325" i="383"/>
  <c r="H321" i="383"/>
  <c r="H320" i="383"/>
  <c r="H319" i="383"/>
  <c r="H318" i="383"/>
  <c r="H317" i="383"/>
  <c r="H316" i="383"/>
  <c r="H315" i="383"/>
  <c r="F1507" i="490" l="1"/>
  <c r="I1507" i="490" s="1"/>
  <c r="I1508" i="490" s="1"/>
  <c r="I1509" i="490" s="1"/>
  <c r="I1510" i="490" s="1"/>
  <c r="F1314" i="490"/>
  <c r="I1314" i="490" s="1"/>
  <c r="I1315" i="490" s="1"/>
  <c r="F190" i="490"/>
  <c r="F182" i="490"/>
  <c r="I182" i="490" s="1"/>
  <c r="I174" i="490"/>
  <c r="F83" i="490"/>
  <c r="J83" i="490" s="1"/>
  <c r="J82" i="490"/>
  <c r="J73" i="490"/>
  <c r="F74" i="490"/>
  <c r="J74" i="490" s="1"/>
  <c r="F1288" i="490"/>
  <c r="I1288" i="490" s="1"/>
  <c r="I1289" i="490" s="1"/>
  <c r="F90" i="490"/>
  <c r="J90" i="490" s="1"/>
  <c r="J89" i="490"/>
  <c r="H1451" i="490"/>
  <c r="H1452" i="490" s="1"/>
  <c r="F1451" i="490"/>
  <c r="F1452" i="490" s="1"/>
  <c r="I1451" i="490"/>
  <c r="I1452" i="490" s="1"/>
  <c r="G1451" i="490"/>
  <c r="G1452" i="490" s="1"/>
  <c r="A820" i="490"/>
  <c r="A768" i="490"/>
  <c r="A776" i="490" s="1"/>
  <c r="A798" i="490" s="1"/>
  <c r="E304" i="383"/>
  <c r="E303" i="383"/>
  <c r="H301" i="383"/>
  <c r="C324" i="383" s="1"/>
  <c r="H324" i="383" s="1"/>
  <c r="E325" i="383" s="1"/>
  <c r="H325" i="383" s="1"/>
  <c r="E305" i="383" l="1"/>
  <c r="C312" i="383" s="1"/>
  <c r="A861" i="490"/>
  <c r="A882" i="490" s="1"/>
  <c r="A896" i="490" s="1"/>
  <c r="A911" i="490" s="1"/>
  <c r="A935" i="490" s="1"/>
  <c r="A844" i="490"/>
  <c r="F198" i="490"/>
  <c r="I198" i="490" s="1"/>
  <c r="I190" i="490"/>
  <c r="A1016" i="490" l="1"/>
  <c r="A1033" i="490" s="1"/>
  <c r="A959" i="490"/>
  <c r="A982" i="490" s="1"/>
  <c r="A999" i="490" s="1"/>
  <c r="A1054" i="490" l="1"/>
  <c r="A1072" i="490"/>
  <c r="A1090" i="490" s="1"/>
  <c r="A1129" i="490" l="1"/>
  <c r="A1110" i="490"/>
  <c r="K143" i="485"/>
  <c r="H140" i="485"/>
  <c r="H139" i="485"/>
  <c r="H138" i="485"/>
  <c r="H137" i="485"/>
  <c r="H134" i="485"/>
  <c r="H133" i="485"/>
  <c r="H130" i="485"/>
  <c r="H129" i="485"/>
  <c r="H127" i="485"/>
  <c r="H126" i="485"/>
  <c r="H125" i="485"/>
  <c r="H124" i="485"/>
  <c r="H123" i="485"/>
  <c r="H122" i="485"/>
  <c r="H121" i="485"/>
  <c r="H120" i="485"/>
  <c r="H119" i="485"/>
  <c r="H118" i="485"/>
  <c r="H117" i="485"/>
  <c r="H116" i="485"/>
  <c r="H115" i="485"/>
  <c r="H114" i="485"/>
  <c r="H113" i="485"/>
  <c r="H112" i="485"/>
  <c r="H111" i="485"/>
  <c r="H110" i="485"/>
  <c r="H107" i="485"/>
  <c r="H106" i="485"/>
  <c r="B99" i="485"/>
  <c r="H98" i="485"/>
  <c r="H95" i="485"/>
  <c r="H94" i="485"/>
  <c r="H86" i="485"/>
  <c r="H85" i="485"/>
  <c r="H83" i="485"/>
  <c r="H82" i="485"/>
  <c r="H81" i="485"/>
  <c r="H80" i="485"/>
  <c r="H79" i="485"/>
  <c r="H78" i="485"/>
  <c r="H77" i="485"/>
  <c r="H74" i="485"/>
  <c r="H73" i="485"/>
  <c r="H72" i="485"/>
  <c r="H70" i="485"/>
  <c r="H69" i="485"/>
  <c r="H68" i="485"/>
  <c r="H67" i="485"/>
  <c r="H66" i="485"/>
  <c r="H65" i="485"/>
  <c r="H64" i="485"/>
  <c r="H63" i="485"/>
  <c r="H62" i="485"/>
  <c r="H61" i="485"/>
  <c r="H60" i="485"/>
  <c r="F57" i="485"/>
  <c r="E57" i="485"/>
  <c r="H54" i="485"/>
  <c r="H55" i="485" s="1"/>
  <c r="H50" i="485"/>
  <c r="H49" i="485"/>
  <c r="H46" i="485"/>
  <c r="H45" i="485"/>
  <c r="H42" i="485"/>
  <c r="H41" i="485"/>
  <c r="H39" i="485"/>
  <c r="H38" i="485"/>
  <c r="H37" i="485"/>
  <c r="H36" i="485"/>
  <c r="H35" i="485"/>
  <c r="H34" i="485"/>
  <c r="H33" i="485"/>
  <c r="H32" i="485"/>
  <c r="H29" i="485"/>
  <c r="H28" i="485"/>
  <c r="H25" i="485"/>
  <c r="H24" i="485"/>
  <c r="H23" i="485"/>
  <c r="H22" i="485"/>
  <c r="H18" i="485"/>
  <c r="H17" i="485"/>
  <c r="H15" i="485"/>
  <c r="H14" i="485"/>
  <c r="H13" i="485"/>
  <c r="H12" i="485"/>
  <c r="H9" i="485"/>
  <c r="H8" i="485"/>
  <c r="H7" i="485"/>
  <c r="H6" i="485"/>
  <c r="H108" i="485" l="1"/>
  <c r="H16" i="485"/>
  <c r="H43" i="485"/>
  <c r="H26" i="485"/>
  <c r="H57" i="485"/>
  <c r="A1181" i="490"/>
  <c r="A1200" i="490" s="1"/>
  <c r="A1150" i="490"/>
  <c r="A1170" i="490" s="1"/>
  <c r="H19" i="485"/>
  <c r="H75" i="485"/>
  <c r="H87" i="485"/>
  <c r="H10" i="485"/>
  <c r="H30" i="485"/>
  <c r="H47" i="485"/>
  <c r="H51" i="485"/>
  <c r="H52" i="485" s="1"/>
  <c r="H96" i="485"/>
  <c r="H104" i="485"/>
  <c r="K104" i="485" s="1"/>
  <c r="H131" i="485"/>
  <c r="H135" i="485"/>
  <c r="H141" i="485"/>
  <c r="H58" i="485"/>
  <c r="H20" i="485" l="1"/>
  <c r="A1217" i="490"/>
  <c r="A1226" i="490"/>
  <c r="A1234" i="490" s="1"/>
  <c r="A1253" i="490" s="1"/>
  <c r="A1278" i="490" l="1"/>
  <c r="A1266" i="490"/>
  <c r="A1270" i="490" s="1"/>
  <c r="A1303" i="490" l="1"/>
  <c r="A1290" i="490"/>
  <c r="A1332" i="490" l="1"/>
  <c r="A1341" i="490" s="1"/>
  <c r="A1318" i="490"/>
  <c r="A1322" i="490" s="1"/>
  <c r="A1327" i="490" s="1"/>
  <c r="A1355" i="490" l="1"/>
  <c r="A1369" i="490" s="1"/>
  <c r="A1380" i="490" s="1"/>
  <c r="A1390" i="490" s="1"/>
  <c r="A1405" i="490"/>
  <c r="A1432" i="490" s="1"/>
  <c r="A1460" i="490" l="1"/>
  <c r="A1478" i="490" s="1"/>
  <c r="A1496" i="490" s="1"/>
  <c r="A1512" i="490"/>
  <c r="A1528" i="490" s="1"/>
  <c r="A1533" i="490" s="1"/>
  <c r="A1546" i="490" s="1"/>
  <c r="A1551" i="490" s="1"/>
  <c r="B9" i="476"/>
  <c r="I73" i="475" l="1"/>
  <c r="I72" i="475"/>
  <c r="I71" i="475"/>
  <c r="I66" i="475"/>
  <c r="I67" i="475" s="1"/>
  <c r="I68" i="475" s="1"/>
  <c r="A65" i="475"/>
  <c r="I62" i="475"/>
  <c r="I61" i="475"/>
  <c r="I56" i="475"/>
  <c r="I55" i="475"/>
  <c r="I53" i="475"/>
  <c r="I52" i="475"/>
  <c r="I51" i="475"/>
  <c r="I50" i="475"/>
  <c r="I45" i="475"/>
  <c r="I44" i="475"/>
  <c r="I43" i="475"/>
  <c r="I41" i="475"/>
  <c r="I39" i="475"/>
  <c r="I38" i="475"/>
  <c r="F37" i="475"/>
  <c r="I37" i="475" s="1"/>
  <c r="F36" i="475"/>
  <c r="I36" i="475" s="1"/>
  <c r="I31" i="475"/>
  <c r="I30" i="475"/>
  <c r="I26" i="475"/>
  <c r="I25" i="475"/>
  <c r="I21" i="475"/>
  <c r="I20" i="475"/>
  <c r="I15" i="475"/>
  <c r="I14" i="475"/>
  <c r="A13" i="475"/>
  <c r="A18" i="475" s="1"/>
  <c r="A34" i="475" s="1"/>
  <c r="I10" i="475"/>
  <c r="I9" i="475"/>
  <c r="I8" i="475"/>
  <c r="AB7" i="475"/>
  <c r="Q7" i="475"/>
  <c r="I7" i="475"/>
  <c r="U5" i="475"/>
  <c r="T5" i="475"/>
  <c r="S5" i="475"/>
  <c r="R5" i="475"/>
  <c r="I5" i="475"/>
  <c r="Y4" i="475"/>
  <c r="U4" i="475"/>
  <c r="T4" i="475"/>
  <c r="S4" i="475"/>
  <c r="R4" i="475"/>
  <c r="I4" i="475"/>
  <c r="F270" i="475"/>
  <c r="I270" i="475" s="1"/>
  <c r="I269" i="475"/>
  <c r="I268" i="475"/>
  <c r="I267" i="475"/>
  <c r="I266" i="475"/>
  <c r="F265" i="475"/>
  <c r="I265" i="475" s="1"/>
  <c r="F264" i="475"/>
  <c r="I264" i="475" s="1"/>
  <c r="F263" i="475"/>
  <c r="I263" i="475" s="1"/>
  <c r="F262" i="475"/>
  <c r="I262" i="475" s="1"/>
  <c r="H261" i="475"/>
  <c r="I261" i="475" s="1"/>
  <c r="F260" i="475"/>
  <c r="I260" i="475" s="1"/>
  <c r="F259" i="475"/>
  <c r="I259" i="475" s="1"/>
  <c r="F258" i="475"/>
  <c r="I258" i="475" s="1"/>
  <c r="I253" i="475"/>
  <c r="I252" i="475"/>
  <c r="I251" i="475"/>
  <c r="I250" i="475"/>
  <c r="H248" i="475"/>
  <c r="I248" i="475" s="1"/>
  <c r="I247" i="475"/>
  <c r="I246" i="475"/>
  <c r="F245" i="475"/>
  <c r="I245" i="475" s="1"/>
  <c r="F244" i="475"/>
  <c r="I244" i="475" s="1"/>
  <c r="F243" i="475"/>
  <c r="I243" i="475" s="1"/>
  <c r="H242" i="475"/>
  <c r="I242" i="475" s="1"/>
  <c r="H241" i="475"/>
  <c r="I241" i="475" s="1"/>
  <c r="I239" i="475"/>
  <c r="I238" i="475"/>
  <c r="I237" i="475"/>
  <c r="G236" i="475"/>
  <c r="I236" i="475" s="1"/>
  <c r="F235" i="475"/>
  <c r="I235" i="475" s="1"/>
  <c r="I234" i="475"/>
  <c r="I231" i="475"/>
  <c r="I228" i="475"/>
  <c r="I225" i="475"/>
  <c r="I222" i="475"/>
  <c r="I217" i="475"/>
  <c r="I216" i="475"/>
  <c r="I214" i="475"/>
  <c r="I210" i="475"/>
  <c r="I211" i="475" s="1"/>
  <c r="F205" i="475"/>
  <c r="I205" i="475" s="1"/>
  <c r="I204" i="475"/>
  <c r="I203" i="475"/>
  <c r="I202" i="475"/>
  <c r="I201" i="475"/>
  <c r="F200" i="475"/>
  <c r="I200" i="475" s="1"/>
  <c r="F199" i="475"/>
  <c r="I199" i="475" s="1"/>
  <c r="F197" i="475"/>
  <c r="I197" i="475" s="1"/>
  <c r="H196" i="475"/>
  <c r="I196" i="475" s="1"/>
  <c r="F195" i="475"/>
  <c r="I195" i="475" s="1"/>
  <c r="F193" i="475"/>
  <c r="I193" i="475" s="1"/>
  <c r="I191" i="475"/>
  <c r="I190" i="475"/>
  <c r="I189" i="475"/>
  <c r="I188" i="475"/>
  <c r="H186" i="475"/>
  <c r="I186" i="475" s="1"/>
  <c r="I185" i="475"/>
  <c r="I184" i="475"/>
  <c r="F182" i="475"/>
  <c r="I182" i="475" s="1"/>
  <c r="F181" i="475"/>
  <c r="I181" i="475" s="1"/>
  <c r="H180" i="475"/>
  <c r="I180" i="475" s="1"/>
  <c r="H179" i="475"/>
  <c r="I179" i="475" s="1"/>
  <c r="I175" i="475"/>
  <c r="I174" i="475"/>
  <c r="I173" i="475"/>
  <c r="G172" i="475"/>
  <c r="I172" i="475" s="1"/>
  <c r="F171" i="475"/>
  <c r="F215" i="475" s="1"/>
  <c r="I215" i="475" s="1"/>
  <c r="I170" i="475"/>
  <c r="I167" i="475"/>
  <c r="I164" i="475"/>
  <c r="I160" i="475"/>
  <c r="I159" i="475"/>
  <c r="I158" i="475"/>
  <c r="I154" i="475"/>
  <c r="I153" i="475"/>
  <c r="I149" i="475"/>
  <c r="I145" i="475"/>
  <c r="I144" i="475"/>
  <c r="I140" i="475"/>
  <c r="I135" i="475"/>
  <c r="I134" i="475"/>
  <c r="I133" i="475"/>
  <c r="I132" i="475"/>
  <c r="I131" i="475"/>
  <c r="I130" i="475"/>
  <c r="I129" i="475"/>
  <c r="F127" i="475"/>
  <c r="I127" i="475" s="1"/>
  <c r="F126" i="475"/>
  <c r="I126" i="475" s="1"/>
  <c r="I125" i="475"/>
  <c r="H124" i="475"/>
  <c r="I124" i="475" s="1"/>
  <c r="H123" i="475"/>
  <c r="I123" i="475" s="1"/>
  <c r="H122" i="475"/>
  <c r="F122" i="475"/>
  <c r="I109" i="475"/>
  <c r="I105" i="475"/>
  <c r="I104" i="475"/>
  <c r="F99" i="475"/>
  <c r="I99" i="475" s="1"/>
  <c r="G98" i="475"/>
  <c r="F194" i="475" s="1"/>
  <c r="I194" i="475" s="1"/>
  <c r="F98" i="475"/>
  <c r="G97" i="475"/>
  <c r="F97" i="475"/>
  <c r="I94" i="475"/>
  <c r="F93" i="475"/>
  <c r="I93" i="475" s="1"/>
  <c r="H92" i="475"/>
  <c r="F92" i="475"/>
  <c r="H91" i="475"/>
  <c r="F91" i="475"/>
  <c r="H90" i="475"/>
  <c r="F90" i="475"/>
  <c r="H89" i="475"/>
  <c r="F89" i="475"/>
  <c r="H88" i="475"/>
  <c r="I88" i="475" s="1"/>
  <c r="I87" i="475"/>
  <c r="I86" i="475"/>
  <c r="I85" i="475"/>
  <c r="I84" i="475"/>
  <c r="I83" i="475"/>
  <c r="I80" i="475"/>
  <c r="I79" i="475"/>
  <c r="I78" i="475"/>
  <c r="I77" i="475"/>
  <c r="B69" i="475"/>
  <c r="B65" i="475"/>
  <c r="B59" i="475"/>
  <c r="B48" i="475"/>
  <c r="B34" i="475"/>
  <c r="B18" i="475"/>
  <c r="B13" i="475"/>
  <c r="B3" i="475"/>
  <c r="E32" i="471"/>
  <c r="E68" i="471" s="1"/>
  <c r="E104" i="471" s="1"/>
  <c r="E140" i="471" s="1"/>
  <c r="D22" i="471"/>
  <c r="E22" i="471" s="1"/>
  <c r="C143" i="471"/>
  <c r="B143" i="471"/>
  <c r="C141" i="471"/>
  <c r="B137" i="471"/>
  <c r="B136" i="471"/>
  <c r="D127" i="471"/>
  <c r="D120" i="471"/>
  <c r="E117" i="471"/>
  <c r="D116" i="471"/>
  <c r="D124" i="471" s="1"/>
  <c r="E124" i="471" s="1"/>
  <c r="D115" i="471"/>
  <c r="D123" i="471" s="1"/>
  <c r="E123" i="471" s="1"/>
  <c r="E112" i="471"/>
  <c r="C139" i="471" s="1"/>
  <c r="C107" i="471"/>
  <c r="B107" i="471"/>
  <c r="C105" i="471"/>
  <c r="B101" i="471"/>
  <c r="B100" i="471"/>
  <c r="D91" i="471"/>
  <c r="D88" i="471"/>
  <c r="E88" i="471" s="1"/>
  <c r="D87" i="471"/>
  <c r="E87" i="471" s="1"/>
  <c r="D84" i="471"/>
  <c r="E81" i="471"/>
  <c r="D80" i="471"/>
  <c r="E80" i="471" s="1"/>
  <c r="D79" i="471"/>
  <c r="E79" i="471" s="1"/>
  <c r="E76" i="471"/>
  <c r="C103" i="471" s="1"/>
  <c r="C71" i="471"/>
  <c r="B71" i="471"/>
  <c r="C69" i="471"/>
  <c r="B65" i="471"/>
  <c r="B64" i="471"/>
  <c r="D55" i="471"/>
  <c r="D48" i="471"/>
  <c r="E45" i="471"/>
  <c r="D44" i="471"/>
  <c r="D52" i="471" s="1"/>
  <c r="E52" i="471" s="1"/>
  <c r="D43" i="471"/>
  <c r="D51" i="471" s="1"/>
  <c r="E51" i="471" s="1"/>
  <c r="E40" i="471"/>
  <c r="C67" i="471" s="1"/>
  <c r="C35" i="471"/>
  <c r="B35" i="471"/>
  <c r="C33" i="471"/>
  <c r="B29" i="471"/>
  <c r="B28" i="471"/>
  <c r="D19" i="471"/>
  <c r="D12" i="471"/>
  <c r="E9" i="471"/>
  <c r="D8" i="471"/>
  <c r="E8" i="471" s="1"/>
  <c r="D7" i="471"/>
  <c r="E7" i="471" s="1"/>
  <c r="E4" i="471"/>
  <c r="C31" i="471" s="1"/>
  <c r="I89" i="475" l="1"/>
  <c r="E10" i="471"/>
  <c r="C12" i="471" s="1"/>
  <c r="F12" i="471" s="1"/>
  <c r="C28" i="471" s="1"/>
  <c r="D16" i="471"/>
  <c r="E16" i="471" s="1"/>
  <c r="E125" i="471"/>
  <c r="C127" i="471" s="1"/>
  <c r="F127" i="471" s="1"/>
  <c r="C137" i="471" s="1"/>
  <c r="D15" i="471"/>
  <c r="E15" i="471" s="1"/>
  <c r="D58" i="471"/>
  <c r="E89" i="471"/>
  <c r="C91" i="471" s="1"/>
  <c r="F91" i="471" s="1"/>
  <c r="C101" i="471" s="1"/>
  <c r="E82" i="471"/>
  <c r="C84" i="471" s="1"/>
  <c r="F84" i="471" s="1"/>
  <c r="C100" i="471" s="1"/>
  <c r="C102" i="471" s="1"/>
  <c r="I63" i="475"/>
  <c r="I74" i="475"/>
  <c r="I27" i="475"/>
  <c r="I11" i="475"/>
  <c r="I92" i="475"/>
  <c r="I57" i="475"/>
  <c r="C116" i="475"/>
  <c r="I116" i="475" s="1"/>
  <c r="I32" i="475"/>
  <c r="I46" i="475"/>
  <c r="I161" i="475"/>
  <c r="I81" i="475"/>
  <c r="I91" i="475"/>
  <c r="I146" i="475"/>
  <c r="C115" i="475" s="1"/>
  <c r="I115" i="475" s="1"/>
  <c r="I155" i="475"/>
  <c r="F183" i="475"/>
  <c r="I183" i="475" s="1"/>
  <c r="I16" i="475"/>
  <c r="I17" i="475" s="1"/>
  <c r="I22" i="475"/>
  <c r="I90" i="475"/>
  <c r="F198" i="475"/>
  <c r="I198" i="475" s="1"/>
  <c r="I106" i="475"/>
  <c r="I122" i="475"/>
  <c r="I136" i="475" s="1"/>
  <c r="I137" i="475" s="1"/>
  <c r="I171" i="475"/>
  <c r="I176" i="475" s="1"/>
  <c r="I218" i="475"/>
  <c r="I271" i="475"/>
  <c r="I272" i="475" s="1"/>
  <c r="I98" i="475"/>
  <c r="I100" i="475" s="1"/>
  <c r="I101" i="475" s="1"/>
  <c r="F249" i="475"/>
  <c r="I249" i="475" s="1"/>
  <c r="I254" i="475" s="1"/>
  <c r="E53" i="471"/>
  <c r="C55" i="471" s="1"/>
  <c r="F55" i="471" s="1"/>
  <c r="C65" i="471" s="1"/>
  <c r="E17" i="471"/>
  <c r="C19" i="471" s="1"/>
  <c r="F19" i="471" s="1"/>
  <c r="C29" i="471" s="1"/>
  <c r="C30" i="471" s="1"/>
  <c r="E44" i="471"/>
  <c r="E115" i="471"/>
  <c r="E43" i="471"/>
  <c r="E116" i="471"/>
  <c r="F45" i="467"/>
  <c r="E669" i="382"/>
  <c r="H668" i="382"/>
  <c r="G668" i="382"/>
  <c r="F668" i="382"/>
  <c r="E668" i="382"/>
  <c r="E656" i="382"/>
  <c r="H655" i="382"/>
  <c r="G655" i="382"/>
  <c r="F655" i="382"/>
  <c r="E655" i="382"/>
  <c r="E643" i="382"/>
  <c r="H642" i="382"/>
  <c r="G642" i="382"/>
  <c r="F642" i="382"/>
  <c r="E642" i="382"/>
  <c r="E630" i="382"/>
  <c r="J629" i="382"/>
  <c r="I629" i="382"/>
  <c r="H629" i="382"/>
  <c r="G629" i="382"/>
  <c r="F629" i="382"/>
  <c r="E629" i="382"/>
  <c r="E617" i="382"/>
  <c r="H616" i="382"/>
  <c r="G616" i="382"/>
  <c r="F616" i="382"/>
  <c r="E616" i="382"/>
  <c r="E604" i="382"/>
  <c r="J603" i="382"/>
  <c r="I603" i="382"/>
  <c r="H603" i="382"/>
  <c r="G603" i="382"/>
  <c r="F603" i="382"/>
  <c r="E603" i="382"/>
  <c r="H590" i="382"/>
  <c r="G590" i="382"/>
  <c r="F590" i="382"/>
  <c r="E591" i="382"/>
  <c r="E590" i="382"/>
  <c r="H577" i="382"/>
  <c r="G577" i="382"/>
  <c r="F577" i="382"/>
  <c r="E578" i="382"/>
  <c r="E577" i="382"/>
  <c r="J565" i="382"/>
  <c r="I565" i="382"/>
  <c r="H565" i="382"/>
  <c r="G565" i="382"/>
  <c r="F565" i="382"/>
  <c r="E566" i="382"/>
  <c r="E565" i="382"/>
  <c r="H553" i="382"/>
  <c r="G553" i="382"/>
  <c r="F553" i="382"/>
  <c r="E554" i="382"/>
  <c r="E553" i="382"/>
  <c r="H540" i="382"/>
  <c r="G540" i="382"/>
  <c r="F540" i="382"/>
  <c r="E541" i="382"/>
  <c r="E540" i="382"/>
  <c r="H527" i="382"/>
  <c r="G527" i="382"/>
  <c r="F527" i="382"/>
  <c r="E528" i="382"/>
  <c r="E527" i="382"/>
  <c r="I515" i="382"/>
  <c r="H515" i="382"/>
  <c r="G515" i="382"/>
  <c r="F515" i="382"/>
  <c r="E516" i="382"/>
  <c r="E515" i="382"/>
  <c r="H502" i="382"/>
  <c r="G502" i="382"/>
  <c r="F502" i="382"/>
  <c r="E503" i="382"/>
  <c r="E502" i="382"/>
  <c r="J489" i="382"/>
  <c r="I489" i="382"/>
  <c r="H489" i="382"/>
  <c r="G489" i="382"/>
  <c r="F489" i="382"/>
  <c r="E490" i="382"/>
  <c r="E489" i="382"/>
  <c r="J461" i="382"/>
  <c r="I461" i="382"/>
  <c r="H461" i="382"/>
  <c r="G461" i="382"/>
  <c r="F461" i="382"/>
  <c r="E462" i="382"/>
  <c r="E461" i="382"/>
  <c r="E118" i="471" l="1"/>
  <c r="C120" i="471" s="1"/>
  <c r="F120" i="471" s="1"/>
  <c r="C136" i="471" s="1"/>
  <c r="C138" i="471" s="1"/>
  <c r="C140" i="471" s="1"/>
  <c r="G140" i="471" s="1"/>
  <c r="E141" i="471" s="1"/>
  <c r="G141" i="471" s="1"/>
  <c r="E58" i="471"/>
  <c r="D94" i="471"/>
  <c r="I95" i="475"/>
  <c r="C113" i="475" s="1"/>
  <c r="I113" i="475" s="1"/>
  <c r="C112" i="475"/>
  <c r="I112" i="475" s="1"/>
  <c r="F187" i="475"/>
  <c r="I187" i="475" s="1"/>
  <c r="I206" i="475" s="1"/>
  <c r="I207" i="475" s="1"/>
  <c r="C114" i="475"/>
  <c r="I114" i="475" s="1"/>
  <c r="C32" i="471"/>
  <c r="G32" i="471" s="1"/>
  <c r="E33" i="471" s="1"/>
  <c r="G33" i="471" s="1"/>
  <c r="E46" i="471"/>
  <c r="C48" i="471" s="1"/>
  <c r="F48" i="471" s="1"/>
  <c r="C64" i="471" s="1"/>
  <c r="C66" i="471" s="1"/>
  <c r="C104" i="471"/>
  <c r="G104" i="471" s="1"/>
  <c r="E105" i="471" s="1"/>
  <c r="G105" i="471" s="1"/>
  <c r="E94" i="471" l="1"/>
  <c r="D130" i="471"/>
  <c r="E130" i="471" s="1"/>
  <c r="I117" i="475"/>
  <c r="I118" i="475" s="1"/>
  <c r="J275" i="475" s="1"/>
  <c r="C68" i="471"/>
  <c r="G68" i="471" s="1"/>
  <c r="E69" i="471" s="1"/>
  <c r="G69" i="471" s="1"/>
  <c r="C27" i="467"/>
  <c r="F5" i="467"/>
  <c r="F48" i="467" l="1"/>
  <c r="F47" i="467"/>
  <c r="F46" i="467"/>
  <c r="F43" i="467"/>
  <c r="I42" i="467"/>
  <c r="F37" i="467"/>
  <c r="C30" i="467"/>
  <c r="F36" i="467" s="1"/>
  <c r="C28" i="467"/>
  <c r="F42" i="467" s="1"/>
  <c r="F25" i="467"/>
  <c r="F24" i="467"/>
  <c r="F23" i="467"/>
  <c r="F22" i="467"/>
  <c r="F21" i="467"/>
  <c r="F20" i="467"/>
  <c r="F19" i="467"/>
  <c r="F18" i="467"/>
  <c r="F17" i="467"/>
  <c r="F16" i="467"/>
  <c r="F15" i="467"/>
  <c r="F14" i="467"/>
  <c r="F13" i="467"/>
  <c r="F12" i="467"/>
  <c r="F11" i="467"/>
  <c r="F10" i="467"/>
  <c r="F9" i="467"/>
  <c r="F8" i="467"/>
  <c r="F7" i="467"/>
  <c r="F6" i="467"/>
  <c r="F4" i="467"/>
  <c r="A4" i="467"/>
  <c r="G1007" i="461"/>
  <c r="G1006" i="461"/>
  <c r="G1000" i="461"/>
  <c r="G999" i="461"/>
  <c r="G991" i="461"/>
  <c r="F990" i="461"/>
  <c r="G990" i="461" s="1"/>
  <c r="G989" i="461"/>
  <c r="F986" i="461"/>
  <c r="G986" i="461" s="1"/>
  <c r="F985" i="461"/>
  <c r="G985" i="461" s="1"/>
  <c r="F984" i="461"/>
  <c r="G984" i="461" s="1"/>
  <c r="G975" i="461"/>
  <c r="F974" i="461"/>
  <c r="G974" i="461" s="1"/>
  <c r="G973" i="461"/>
  <c r="F970" i="461"/>
  <c r="G970" i="461" s="1"/>
  <c r="F969" i="461"/>
  <c r="G969" i="461" s="1"/>
  <c r="F968" i="461"/>
  <c r="G968" i="461" s="1"/>
  <c r="G959" i="461"/>
  <c r="F958" i="461"/>
  <c r="G958" i="461" s="1"/>
  <c r="F957" i="461"/>
  <c r="G957" i="461" s="1"/>
  <c r="F954" i="461"/>
  <c r="G954" i="461" s="1"/>
  <c r="F953" i="461"/>
  <c r="G953" i="461" s="1"/>
  <c r="F952" i="461"/>
  <c r="G952" i="461" s="1"/>
  <c r="G943" i="461"/>
  <c r="F942" i="461"/>
  <c r="G942" i="461" s="1"/>
  <c r="F941" i="461"/>
  <c r="G941" i="461" s="1"/>
  <c r="F938" i="461"/>
  <c r="G938" i="461" s="1"/>
  <c r="F937" i="461"/>
  <c r="G937" i="461" s="1"/>
  <c r="F936" i="461"/>
  <c r="G936" i="461" s="1"/>
  <c r="G927" i="461"/>
  <c r="G926" i="461"/>
  <c r="G925" i="461"/>
  <c r="F922" i="461"/>
  <c r="G922" i="461" s="1"/>
  <c r="F921" i="461"/>
  <c r="G921" i="461" s="1"/>
  <c r="F920" i="461"/>
  <c r="G920" i="461" s="1"/>
  <c r="G911" i="461"/>
  <c r="G910" i="461"/>
  <c r="F907" i="461"/>
  <c r="G907" i="461" s="1"/>
  <c r="F906" i="461"/>
  <c r="G906" i="461" s="1"/>
  <c r="F905" i="461"/>
  <c r="G905" i="461" s="1"/>
  <c r="D896" i="461"/>
  <c r="F895" i="461"/>
  <c r="G895" i="461" s="1"/>
  <c r="F894" i="461"/>
  <c r="G894" i="461" s="1"/>
  <c r="G889" i="461"/>
  <c r="G888" i="461"/>
  <c r="G887" i="461"/>
  <c r="G886" i="461"/>
  <c r="D878" i="461"/>
  <c r="J877" i="461"/>
  <c r="J876" i="461"/>
  <c r="F876" i="461"/>
  <c r="F877" i="461" s="1"/>
  <c r="G877" i="461" s="1"/>
  <c r="J875" i="461"/>
  <c r="F875" i="461"/>
  <c r="G875" i="461" s="1"/>
  <c r="G869" i="461"/>
  <c r="G868" i="461"/>
  <c r="G867" i="461"/>
  <c r="G866" i="461"/>
  <c r="G865" i="461"/>
  <c r="D857" i="461"/>
  <c r="J856" i="461"/>
  <c r="J855" i="461"/>
  <c r="F855" i="461"/>
  <c r="F856" i="461" s="1"/>
  <c r="G856" i="461" s="1"/>
  <c r="J854" i="461"/>
  <c r="F854" i="461"/>
  <c r="G854" i="461" s="1"/>
  <c r="G848" i="461"/>
  <c r="G847" i="461"/>
  <c r="G846" i="461"/>
  <c r="G845" i="461"/>
  <c r="G844" i="461"/>
  <c r="G837" i="461"/>
  <c r="G833" i="461"/>
  <c r="G829" i="461"/>
  <c r="G825" i="461"/>
  <c r="G821" i="461"/>
  <c r="G797" i="461"/>
  <c r="G796" i="461"/>
  <c r="G794" i="461"/>
  <c r="G793" i="461"/>
  <c r="G792" i="461"/>
  <c r="G791" i="461"/>
  <c r="G790" i="461"/>
  <c r="G789" i="461"/>
  <c r="G788" i="461"/>
  <c r="G787" i="461"/>
  <c r="G785" i="461"/>
  <c r="D773" i="461"/>
  <c r="F772" i="461"/>
  <c r="G772" i="461" s="1"/>
  <c r="F771" i="461"/>
  <c r="G771" i="461" s="1"/>
  <c r="F770" i="461"/>
  <c r="G770" i="461" s="1"/>
  <c r="G766" i="461"/>
  <c r="D757" i="461"/>
  <c r="F756" i="461"/>
  <c r="G756" i="461" s="1"/>
  <c r="F755" i="461"/>
  <c r="G755" i="461" s="1"/>
  <c r="F754" i="461"/>
  <c r="G754" i="461" s="1"/>
  <c r="G750" i="461"/>
  <c r="D741" i="461"/>
  <c r="F740" i="461"/>
  <c r="G740" i="461" s="1"/>
  <c r="F739" i="461"/>
  <c r="G739" i="461" s="1"/>
  <c r="F738" i="461"/>
  <c r="G738" i="461" s="1"/>
  <c r="G734" i="461"/>
  <c r="D725" i="461"/>
  <c r="F724" i="461"/>
  <c r="G724" i="461" s="1"/>
  <c r="F723" i="461"/>
  <c r="G723" i="461" s="1"/>
  <c r="F722" i="461"/>
  <c r="G722" i="461" s="1"/>
  <c r="G718" i="461"/>
  <c r="D709" i="461"/>
  <c r="F708" i="461"/>
  <c r="G708" i="461" s="1"/>
  <c r="F707" i="461"/>
  <c r="G707" i="461" s="1"/>
  <c r="F706" i="461"/>
  <c r="G706" i="461" s="1"/>
  <c r="G702" i="461"/>
  <c r="G693" i="461"/>
  <c r="G694" i="461" s="1"/>
  <c r="G685" i="461"/>
  <c r="G686" i="461" s="1"/>
  <c r="D677" i="461"/>
  <c r="F676" i="461"/>
  <c r="G676" i="461" s="1"/>
  <c r="F675" i="461"/>
  <c r="G675" i="461" s="1"/>
  <c r="F674" i="461"/>
  <c r="G674" i="461" s="1"/>
  <c r="G669" i="461"/>
  <c r="F668" i="461"/>
  <c r="G668" i="461" s="1"/>
  <c r="G667" i="461"/>
  <c r="D659" i="461"/>
  <c r="F658" i="461"/>
  <c r="G658" i="461" s="1"/>
  <c r="F657" i="461"/>
  <c r="G657" i="461" s="1"/>
  <c r="F656" i="461"/>
  <c r="G656" i="461" s="1"/>
  <c r="G651" i="461"/>
  <c r="G650" i="461"/>
  <c r="G649" i="461"/>
  <c r="D639" i="461"/>
  <c r="F638" i="461"/>
  <c r="G638" i="461" s="1"/>
  <c r="F637" i="461"/>
  <c r="G637" i="461" s="1"/>
  <c r="F636" i="461"/>
  <c r="G636" i="461" s="1"/>
  <c r="G632" i="461"/>
  <c r="D621" i="461"/>
  <c r="F620" i="461"/>
  <c r="G620" i="461" s="1"/>
  <c r="F619" i="461"/>
  <c r="G619" i="461" s="1"/>
  <c r="F618" i="461"/>
  <c r="G618" i="461" s="1"/>
  <c r="G614" i="461"/>
  <c r="D603" i="461"/>
  <c r="G602" i="461"/>
  <c r="K601" i="461"/>
  <c r="F601" i="461"/>
  <c r="G601" i="461" s="1"/>
  <c r="K600" i="461"/>
  <c r="K599" i="461"/>
  <c r="F599" i="461"/>
  <c r="G599" i="461" s="1"/>
  <c r="G594" i="461"/>
  <c r="G593" i="461"/>
  <c r="G592" i="461"/>
  <c r="G591" i="461"/>
  <c r="G583" i="461"/>
  <c r="D581" i="461"/>
  <c r="F580" i="461"/>
  <c r="G580" i="461" s="1"/>
  <c r="K579" i="461"/>
  <c r="F579" i="461"/>
  <c r="G579" i="461" s="1"/>
  <c r="K578" i="461"/>
  <c r="F578" i="461"/>
  <c r="G578" i="461" s="1"/>
  <c r="K577" i="461"/>
  <c r="G573" i="461"/>
  <c r="G572" i="461"/>
  <c r="F565" i="461"/>
  <c r="G565" i="461" s="1"/>
  <c r="G564" i="461"/>
  <c r="F557" i="461"/>
  <c r="G557" i="461" s="1"/>
  <c r="G556" i="461"/>
  <c r="D549" i="461"/>
  <c r="J548" i="461"/>
  <c r="F548" i="461"/>
  <c r="G548" i="461" s="1"/>
  <c r="J547" i="461"/>
  <c r="F547" i="461"/>
  <c r="G547" i="461" s="1"/>
  <c r="J546" i="461"/>
  <c r="G542" i="461"/>
  <c r="G541" i="461"/>
  <c r="D535" i="461"/>
  <c r="K534" i="461"/>
  <c r="F534" i="461"/>
  <c r="G534" i="461" s="1"/>
  <c r="K533" i="461"/>
  <c r="F533" i="461"/>
  <c r="G533" i="461" s="1"/>
  <c r="K532" i="461"/>
  <c r="G528" i="461"/>
  <c r="G527" i="461"/>
  <c r="D520" i="461"/>
  <c r="J518" i="461"/>
  <c r="F518" i="461"/>
  <c r="G518" i="461" s="1"/>
  <c r="J517" i="461"/>
  <c r="J516" i="461"/>
  <c r="G514" i="461"/>
  <c r="F507" i="461"/>
  <c r="G507" i="461" s="1"/>
  <c r="G506" i="461"/>
  <c r="D501" i="461"/>
  <c r="F500" i="461"/>
  <c r="G500" i="461" s="1"/>
  <c r="F499" i="461"/>
  <c r="G499" i="461" s="1"/>
  <c r="G494" i="461"/>
  <c r="G493" i="461"/>
  <c r="D484" i="461"/>
  <c r="K483" i="461"/>
  <c r="F483" i="461"/>
  <c r="G483" i="461" s="1"/>
  <c r="K482" i="461"/>
  <c r="F482" i="461"/>
  <c r="G482" i="461" s="1"/>
  <c r="K481" i="461"/>
  <c r="G477" i="461"/>
  <c r="G476" i="461"/>
  <c r="G475" i="461"/>
  <c r="G467" i="461"/>
  <c r="G466" i="461"/>
  <c r="D458" i="461"/>
  <c r="F456" i="461"/>
  <c r="G456" i="461" s="1"/>
  <c r="G451" i="461"/>
  <c r="G450" i="461"/>
  <c r="D441" i="461"/>
  <c r="F440" i="461"/>
  <c r="G440" i="461" s="1"/>
  <c r="F439" i="461"/>
  <c r="G439" i="461" s="1"/>
  <c r="G435" i="461"/>
  <c r="D427" i="461"/>
  <c r="F426" i="461"/>
  <c r="G426" i="461" s="1"/>
  <c r="F425" i="461"/>
  <c r="G425" i="461" s="1"/>
  <c r="G421" i="461"/>
  <c r="D412" i="461"/>
  <c r="F411" i="461"/>
  <c r="G411" i="461" s="1"/>
  <c r="F410" i="461"/>
  <c r="G410" i="461" s="1"/>
  <c r="G406" i="461"/>
  <c r="G398" i="461"/>
  <c r="G399" i="461" s="1"/>
  <c r="F400" i="461" s="1"/>
  <c r="G389" i="461"/>
  <c r="G390" i="461" s="1"/>
  <c r="F391" i="461" s="1"/>
  <c r="D378" i="461"/>
  <c r="F377" i="461"/>
  <c r="G377" i="461" s="1"/>
  <c r="F376" i="461"/>
  <c r="G376" i="461" s="1"/>
  <c r="F375" i="461"/>
  <c r="G375" i="461" s="1"/>
  <c r="G370" i="461"/>
  <c r="G369" i="461"/>
  <c r="G368" i="461"/>
  <c r="D360" i="461"/>
  <c r="F359" i="461"/>
  <c r="G359" i="461" s="1"/>
  <c r="F358" i="461"/>
  <c r="G358" i="461" s="1"/>
  <c r="F357" i="461"/>
  <c r="G357" i="461" s="1"/>
  <c r="B352" i="461"/>
  <c r="G351" i="461"/>
  <c r="F350" i="461"/>
  <c r="G350" i="461" s="1"/>
  <c r="B350" i="461"/>
  <c r="D341" i="461"/>
  <c r="F340" i="461"/>
  <c r="G340" i="461" s="1"/>
  <c r="F339" i="461"/>
  <c r="G339" i="461" s="1"/>
  <c r="F338" i="461"/>
  <c r="G338" i="461" s="1"/>
  <c r="F333" i="461"/>
  <c r="F352" i="461" s="1"/>
  <c r="G352" i="461" s="1"/>
  <c r="G332" i="461"/>
  <c r="G331" i="461"/>
  <c r="D322" i="461"/>
  <c r="F321" i="461"/>
  <c r="G321" i="461" s="1"/>
  <c r="F320" i="461"/>
  <c r="G320" i="461" s="1"/>
  <c r="F319" i="461"/>
  <c r="G319" i="461" s="1"/>
  <c r="G314" i="461"/>
  <c r="G313" i="461"/>
  <c r="G312" i="461"/>
  <c r="D300" i="461"/>
  <c r="F299" i="461"/>
  <c r="G299" i="461" s="1"/>
  <c r="F298" i="461"/>
  <c r="G298" i="461" s="1"/>
  <c r="F297" i="461"/>
  <c r="G297" i="461" s="1"/>
  <c r="G292" i="461"/>
  <c r="G291" i="461"/>
  <c r="D283" i="461"/>
  <c r="F282" i="461"/>
  <c r="E282" i="461"/>
  <c r="F281" i="461"/>
  <c r="E281" i="461"/>
  <c r="F280" i="461"/>
  <c r="E280" i="461"/>
  <c r="F275" i="461"/>
  <c r="G275" i="461" s="1"/>
  <c r="G274" i="461"/>
  <c r="D263" i="461"/>
  <c r="F262" i="461"/>
  <c r="E262" i="461"/>
  <c r="F261" i="461"/>
  <c r="G261" i="461" s="1"/>
  <c r="E261" i="461"/>
  <c r="F260" i="461"/>
  <c r="E260" i="461"/>
  <c r="F255" i="461"/>
  <c r="G255" i="461" s="1"/>
  <c r="F254" i="461"/>
  <c r="G254" i="461" s="1"/>
  <c r="D245" i="461"/>
  <c r="F244" i="461"/>
  <c r="E244" i="461"/>
  <c r="F243" i="461"/>
  <c r="E243" i="461"/>
  <c r="F242" i="461"/>
  <c r="E242" i="461"/>
  <c r="G236" i="461"/>
  <c r="D227" i="461"/>
  <c r="F226" i="461"/>
  <c r="E226" i="461"/>
  <c r="F225" i="461"/>
  <c r="E225" i="461"/>
  <c r="F224" i="461"/>
  <c r="E224" i="461"/>
  <c r="F219" i="461"/>
  <c r="F237" i="461" s="1"/>
  <c r="G237" i="461" s="1"/>
  <c r="G218" i="461"/>
  <c r="D209" i="461"/>
  <c r="F208" i="461"/>
  <c r="E208" i="461"/>
  <c r="F207" i="461"/>
  <c r="G207" i="461" s="1"/>
  <c r="F206" i="461"/>
  <c r="E206" i="461"/>
  <c r="G201" i="461"/>
  <c r="G200" i="461"/>
  <c r="D191" i="461"/>
  <c r="F190" i="461"/>
  <c r="G190" i="461" s="1"/>
  <c r="F189" i="461"/>
  <c r="G189" i="461" s="1"/>
  <c r="F188" i="461"/>
  <c r="G188" i="461" s="1"/>
  <c r="G184" i="461"/>
  <c r="D174" i="461"/>
  <c r="F173" i="461"/>
  <c r="G173" i="461" s="1"/>
  <c r="F172" i="461"/>
  <c r="G172" i="461" s="1"/>
  <c r="G167" i="461"/>
  <c r="G166" i="461"/>
  <c r="D158" i="461"/>
  <c r="F157" i="461"/>
  <c r="E157" i="461"/>
  <c r="F156" i="461"/>
  <c r="E156" i="461"/>
  <c r="G151" i="461"/>
  <c r="G150" i="461"/>
  <c r="G149" i="461"/>
  <c r="D141" i="461"/>
  <c r="F140" i="461"/>
  <c r="G140" i="461" s="1"/>
  <c r="F139" i="461"/>
  <c r="G139" i="461" s="1"/>
  <c r="F138" i="461"/>
  <c r="G138" i="461" s="1"/>
  <c r="G133" i="461"/>
  <c r="G132" i="461"/>
  <c r="G131" i="461"/>
  <c r="G130" i="461"/>
  <c r="J122" i="461"/>
  <c r="D122" i="461"/>
  <c r="J121" i="461"/>
  <c r="F121" i="461"/>
  <c r="G121" i="461" s="1"/>
  <c r="J120" i="461"/>
  <c r="F120" i="461"/>
  <c r="G120" i="461" s="1"/>
  <c r="G114" i="461"/>
  <c r="G113" i="461"/>
  <c r="A127" i="461"/>
  <c r="A163" i="461" s="1"/>
  <c r="A181" i="461" s="1"/>
  <c r="A197" i="461" s="1"/>
  <c r="A215" i="461" s="1"/>
  <c r="A233" i="461" s="1"/>
  <c r="A251" i="461" s="1"/>
  <c r="A271" i="461" s="1"/>
  <c r="A289" i="461" s="1"/>
  <c r="A327" i="461" s="1"/>
  <c r="A346" i="461" s="1"/>
  <c r="A387" i="461" s="1"/>
  <c r="A396" i="461" s="1"/>
  <c r="A419" i="461" s="1"/>
  <c r="A433" i="461" s="1"/>
  <c r="A463" i="461" s="1"/>
  <c r="A472" i="461" s="1"/>
  <c r="A490" i="461" s="1"/>
  <c r="A512" i="461" s="1"/>
  <c r="A525" i="461" s="1"/>
  <c r="A539" i="461" s="1"/>
  <c r="A554" i="461" s="1"/>
  <c r="A562" i="461" s="1"/>
  <c r="A570" i="461" s="1"/>
  <c r="A589" i="461" s="1"/>
  <c r="A611" i="461" s="1"/>
  <c r="A629" i="461" s="1"/>
  <c r="A646" i="461" s="1"/>
  <c r="A665" i="461" s="1"/>
  <c r="A683" i="461" s="1"/>
  <c r="A691" i="461" s="1"/>
  <c r="A699" i="461" s="1"/>
  <c r="A715" i="461" s="1"/>
  <c r="A731" i="461" s="1"/>
  <c r="A747" i="461" s="1"/>
  <c r="A763" i="461" s="1"/>
  <c r="A780" i="461" s="1"/>
  <c r="A842" i="461" s="1"/>
  <c r="A884" i="461" s="1"/>
  <c r="A902" i="461" s="1"/>
  <c r="A998" i="461" s="1"/>
  <c r="D99" i="461"/>
  <c r="F98" i="461"/>
  <c r="G98" i="461" s="1"/>
  <c r="F97" i="461"/>
  <c r="G97" i="461" s="1"/>
  <c r="F96" i="461"/>
  <c r="G96" i="461" s="1"/>
  <c r="G91" i="461"/>
  <c r="G90" i="461"/>
  <c r="G89" i="461"/>
  <c r="G88" i="461"/>
  <c r="G87" i="461"/>
  <c r="D75" i="461"/>
  <c r="F73" i="461"/>
  <c r="G73" i="461" s="1"/>
  <c r="F72" i="461"/>
  <c r="G72" i="461" s="1"/>
  <c r="G67" i="461"/>
  <c r="G66" i="461"/>
  <c r="G65" i="461"/>
  <c r="G64" i="461"/>
  <c r="F56" i="461"/>
  <c r="G56" i="461" s="1"/>
  <c r="F55" i="461"/>
  <c r="G55" i="461" s="1"/>
  <c r="G51" i="461"/>
  <c r="D44" i="461"/>
  <c r="D57" i="461" s="1"/>
  <c r="G43" i="461"/>
  <c r="F41" i="461"/>
  <c r="G41" i="461" s="1"/>
  <c r="F40" i="461"/>
  <c r="G40" i="461" s="1"/>
  <c r="G35" i="461"/>
  <c r="G34" i="461"/>
  <c r="G33" i="461"/>
  <c r="G32" i="461"/>
  <c r="G31" i="461"/>
  <c r="G30" i="461"/>
  <c r="A27" i="461"/>
  <c r="A49" i="461" s="1"/>
  <c r="D21" i="461"/>
  <c r="F20" i="461"/>
  <c r="F42" i="461" s="1"/>
  <c r="F19" i="461"/>
  <c r="G19" i="461" s="1"/>
  <c r="F18" i="461"/>
  <c r="G18" i="461" s="1"/>
  <c r="G13" i="461"/>
  <c r="G12" i="461"/>
  <c r="G11" i="461"/>
  <c r="D871" i="461"/>
  <c r="B2" i="461"/>
  <c r="G243" i="461" l="1"/>
  <c r="G280" i="461"/>
  <c r="G468" i="461"/>
  <c r="G282" i="461"/>
  <c r="F874" i="461"/>
  <c r="G874" i="461" s="1"/>
  <c r="G157" i="461"/>
  <c r="G242" i="461"/>
  <c r="G156" i="461"/>
  <c r="G244" i="461"/>
  <c r="G276" i="461"/>
  <c r="G226" i="461"/>
  <c r="G260" i="461"/>
  <c r="G206" i="461"/>
  <c r="G224" i="461"/>
  <c r="G208" i="461"/>
  <c r="G262" i="461"/>
  <c r="G263" i="461" s="1"/>
  <c r="F264" i="461" s="1"/>
  <c r="G315" i="461"/>
  <c r="G928" i="461"/>
  <c r="G116" i="461"/>
  <c r="G238" i="461"/>
  <c r="G14" i="461"/>
  <c r="G520" i="461"/>
  <c r="G652" i="461"/>
  <c r="G876" i="461"/>
  <c r="G412" i="461"/>
  <c r="F413" i="461" s="1"/>
  <c r="G202" i="461"/>
  <c r="F203" i="461" s="1"/>
  <c r="G219" i="461"/>
  <c r="G220" i="461" s="1"/>
  <c r="G452" i="461"/>
  <c r="G855" i="461"/>
  <c r="G912" i="461"/>
  <c r="G1001" i="461"/>
  <c r="G849" i="461"/>
  <c r="G670" i="461"/>
  <c r="G293" i="461"/>
  <c r="G353" i="461"/>
  <c r="G134" i="461"/>
  <c r="A5" i="467"/>
  <c r="A6" i="467" s="1"/>
  <c r="A7" i="467" s="1"/>
  <c r="A8" i="467" s="1"/>
  <c r="A9" i="467" s="1"/>
  <c r="A10" i="467" s="1"/>
  <c r="A11" i="467" s="1"/>
  <c r="A12" i="467" s="1"/>
  <c r="A13" i="467" s="1"/>
  <c r="A14" i="467" s="1"/>
  <c r="A15" i="467" s="1"/>
  <c r="A16" i="467" s="1"/>
  <c r="A17" i="467" s="1"/>
  <c r="A18" i="467" s="1"/>
  <c r="A19" i="467" s="1"/>
  <c r="A20" i="467" s="1"/>
  <c r="A21" i="467" s="1"/>
  <c r="A22" i="467" s="1"/>
  <c r="A23" i="467" s="1"/>
  <c r="A24" i="467" s="1"/>
  <c r="A25" i="467" s="1"/>
  <c r="A26" i="467" s="1"/>
  <c r="A27" i="467" s="1"/>
  <c r="A28" i="467" s="1"/>
  <c r="A29" i="467" s="1"/>
  <c r="A30" i="467" s="1"/>
  <c r="A31" i="467" s="1"/>
  <c r="A32" i="467" s="1"/>
  <c r="C29" i="467"/>
  <c r="F44" i="467" s="1"/>
  <c r="G870" i="461"/>
  <c r="G871" i="461" s="1"/>
  <c r="G872" i="461" s="1"/>
  <c r="D962" i="461"/>
  <c r="G68" i="461"/>
  <c r="G152" i="461"/>
  <c r="G191" i="461"/>
  <c r="F192" i="461" s="1"/>
  <c r="G225" i="461"/>
  <c r="G281" i="461"/>
  <c r="G333" i="461"/>
  <c r="G334" i="461" s="1"/>
  <c r="G341" i="461"/>
  <c r="F342" i="461" s="1"/>
  <c r="G478" i="461"/>
  <c r="G484" i="461"/>
  <c r="F485" i="461" s="1"/>
  <c r="G529" i="461"/>
  <c r="G535" i="461"/>
  <c r="F536" i="461" s="1"/>
  <c r="G566" i="461"/>
  <c r="G757" i="461"/>
  <c r="F758" i="461" s="1"/>
  <c r="G896" i="461"/>
  <c r="F897" i="461" s="1"/>
  <c r="G923" i="461"/>
  <c r="G944" i="461"/>
  <c r="G955" i="461"/>
  <c r="G122" i="461"/>
  <c r="F123" i="461" s="1"/>
  <c r="G371" i="461"/>
  <c r="G495" i="461"/>
  <c r="G543" i="461"/>
  <c r="G595" i="461"/>
  <c r="G939" i="461"/>
  <c r="G976" i="461"/>
  <c r="G1008" i="461"/>
  <c r="F3" i="467"/>
  <c r="F32" i="467" s="1"/>
  <c r="F49" i="467" s="1"/>
  <c r="F52" i="467" s="1"/>
  <c r="G36" i="461"/>
  <c r="G57" i="461"/>
  <c r="G92" i="461"/>
  <c r="G168" i="461"/>
  <c r="G256" i="461"/>
  <c r="G441" i="461"/>
  <c r="F442" i="461" s="1"/>
  <c r="G501" i="461"/>
  <c r="F502" i="461" s="1"/>
  <c r="G558" i="461"/>
  <c r="G574" i="461"/>
  <c r="G677" i="461"/>
  <c r="F678" i="461" s="1"/>
  <c r="G799" i="461"/>
  <c r="G801" i="461" s="1"/>
  <c r="G890" i="461"/>
  <c r="G971" i="461"/>
  <c r="G987" i="461"/>
  <c r="G992" i="461"/>
  <c r="F74" i="461"/>
  <c r="G74" i="461" s="1"/>
  <c r="G75" i="461" s="1"/>
  <c r="F76" i="461" s="1"/>
  <c r="G42" i="461"/>
  <c r="G44" i="461" s="1"/>
  <c r="G141" i="461"/>
  <c r="F142" i="461" s="1"/>
  <c r="G300" i="461"/>
  <c r="F301" i="461" s="1"/>
  <c r="G378" i="461"/>
  <c r="F379" i="461" s="1"/>
  <c r="G581" i="461"/>
  <c r="F582" i="461" s="1"/>
  <c r="F58" i="461"/>
  <c r="G99" i="461"/>
  <c r="F100" i="461" s="1"/>
  <c r="G427" i="461"/>
  <c r="F428" i="461" s="1"/>
  <c r="G549" i="461"/>
  <c r="F550" i="461" s="1"/>
  <c r="G621" i="461"/>
  <c r="F622" i="461" s="1"/>
  <c r="G639" i="461"/>
  <c r="F640" i="461" s="1"/>
  <c r="G659" i="461"/>
  <c r="F660" i="461" s="1"/>
  <c r="G725" i="461"/>
  <c r="F726" i="461" s="1"/>
  <c r="G741" i="461"/>
  <c r="F742" i="461" s="1"/>
  <c r="G773" i="461"/>
  <c r="F774" i="461" s="1"/>
  <c r="G960" i="461"/>
  <c r="G174" i="461"/>
  <c r="F175" i="461" s="1"/>
  <c r="G322" i="461"/>
  <c r="F323" i="461" s="1"/>
  <c r="G508" i="461"/>
  <c r="G709" i="461"/>
  <c r="F710" i="461" s="1"/>
  <c r="G908" i="461"/>
  <c r="G458" i="461"/>
  <c r="F459" i="461" s="1"/>
  <c r="G360" i="461"/>
  <c r="F361" i="461" s="1"/>
  <c r="D15" i="461"/>
  <c r="G20" i="461"/>
  <c r="G21" i="461" s="1"/>
  <c r="D52" i="461"/>
  <c r="G52" i="461" s="1"/>
  <c r="G53" i="461" s="1"/>
  <c r="D93" i="461"/>
  <c r="D185" i="461"/>
  <c r="G185" i="461" s="1"/>
  <c r="G186" i="461" s="1"/>
  <c r="D203" i="461"/>
  <c r="D221" i="461"/>
  <c r="D239" i="461"/>
  <c r="D294" i="461"/>
  <c r="D316" i="461"/>
  <c r="D422" i="461"/>
  <c r="G422" i="461" s="1"/>
  <c r="G423" i="461" s="1"/>
  <c r="D453" i="461"/>
  <c r="D469" i="461"/>
  <c r="G469" i="461" s="1"/>
  <c r="G470" i="461" s="1"/>
  <c r="G471" i="461" s="1"/>
  <c r="D515" i="461"/>
  <c r="G515" i="461" s="1"/>
  <c r="G516" i="461" s="1"/>
  <c r="F600" i="461"/>
  <c r="G600" i="461" s="1"/>
  <c r="D653" i="461"/>
  <c r="D703" i="461"/>
  <c r="G703" i="461" s="1"/>
  <c r="G704" i="461" s="1"/>
  <c r="D767" i="461"/>
  <c r="G767" i="461" s="1"/>
  <c r="G768" i="461" s="1"/>
  <c r="D818" i="461"/>
  <c r="G818" i="461" s="1"/>
  <c r="G819" i="461" s="1"/>
  <c r="D822" i="461"/>
  <c r="G822" i="461" s="1"/>
  <c r="G823" i="461" s="1"/>
  <c r="D826" i="461"/>
  <c r="G826" i="461" s="1"/>
  <c r="G827" i="461" s="1"/>
  <c r="D830" i="461"/>
  <c r="G830" i="461" s="1"/>
  <c r="G831" i="461" s="1"/>
  <c r="D834" i="461"/>
  <c r="G834" i="461" s="1"/>
  <c r="G835" i="461" s="1"/>
  <c r="D838" i="461"/>
  <c r="G838" i="461" s="1"/>
  <c r="G839" i="461" s="1"/>
  <c r="D117" i="461"/>
  <c r="D407" i="461"/>
  <c r="G407" i="461" s="1"/>
  <c r="G408" i="461" s="1"/>
  <c r="D509" i="461"/>
  <c r="D633" i="461"/>
  <c r="G633" i="461" s="1"/>
  <c r="G634" i="461" s="1"/>
  <c r="D687" i="461"/>
  <c r="G687" i="461" s="1"/>
  <c r="G688" i="461" s="1"/>
  <c r="G689" i="461" s="1"/>
  <c r="D751" i="461"/>
  <c r="G751" i="461" s="1"/>
  <c r="G752" i="461" s="1"/>
  <c r="D891" i="461"/>
  <c r="D1002" i="461"/>
  <c r="D69" i="461"/>
  <c r="G69" i="461" s="1"/>
  <c r="G70" i="461" s="1"/>
  <c r="D153" i="461"/>
  <c r="D559" i="461"/>
  <c r="D567" i="461"/>
  <c r="D596" i="461"/>
  <c r="D695" i="461"/>
  <c r="G695" i="461" s="1"/>
  <c r="G696" i="461" s="1"/>
  <c r="G697" i="461" s="1"/>
  <c r="D735" i="461"/>
  <c r="G735" i="461" s="1"/>
  <c r="G736" i="461" s="1"/>
  <c r="D850" i="461"/>
  <c r="D1009" i="461"/>
  <c r="D37" i="461"/>
  <c r="D135" i="461"/>
  <c r="D169" i="461"/>
  <c r="D257" i="461"/>
  <c r="G257" i="461" s="1"/>
  <c r="G258" i="461" s="1"/>
  <c r="D277" i="461"/>
  <c r="D335" i="461"/>
  <c r="D354" i="461"/>
  <c r="D372" i="461"/>
  <c r="G372" i="461" s="1"/>
  <c r="G373" i="461" s="1"/>
  <c r="D436" i="461"/>
  <c r="G436" i="461" s="1"/>
  <c r="G437" i="461" s="1"/>
  <c r="D479" i="461"/>
  <c r="D496" i="461"/>
  <c r="D530" i="461"/>
  <c r="D544" i="461"/>
  <c r="D575" i="461"/>
  <c r="G575" i="461" s="1"/>
  <c r="G576" i="461" s="1"/>
  <c r="D604" i="461"/>
  <c r="D615" i="461"/>
  <c r="G615" i="461" s="1"/>
  <c r="G616" i="461" s="1"/>
  <c r="D671" i="461"/>
  <c r="D719" i="461"/>
  <c r="G719" i="461" s="1"/>
  <c r="G720" i="461" s="1"/>
  <c r="D742" i="461"/>
  <c r="D814" i="461"/>
  <c r="G814" i="461" s="1"/>
  <c r="G815" i="461" s="1"/>
  <c r="F853" i="461"/>
  <c r="G853" i="461" s="1"/>
  <c r="D879" i="461"/>
  <c r="G879" i="461" s="1"/>
  <c r="D930" i="461"/>
  <c r="G479" i="461" l="1"/>
  <c r="G480" i="461" s="1"/>
  <c r="G117" i="461"/>
  <c r="G118" i="461" s="1"/>
  <c r="G37" i="461"/>
  <c r="G38" i="461" s="1"/>
  <c r="G245" i="461"/>
  <c r="F246" i="461" s="1"/>
  <c r="G169" i="461"/>
  <c r="G170" i="461" s="1"/>
  <c r="G277" i="461"/>
  <c r="G278" i="461" s="1"/>
  <c r="G153" i="461"/>
  <c r="G154" i="461" s="1"/>
  <c r="G203" i="461"/>
  <c r="G204" i="461" s="1"/>
  <c r="G878" i="461"/>
  <c r="G881" i="461" s="1"/>
  <c r="G882" i="461" s="1"/>
  <c r="G158" i="461"/>
  <c r="F159" i="461" s="1"/>
  <c r="G530" i="461"/>
  <c r="G531" i="461" s="1"/>
  <c r="G850" i="461"/>
  <c r="G851" i="461" s="1"/>
  <c r="G961" i="461"/>
  <c r="G962" i="461" s="1"/>
  <c r="G963" i="461" s="1"/>
  <c r="G964" i="461" s="1"/>
  <c r="G239" i="461"/>
  <c r="G240" i="461" s="1"/>
  <c r="G283" i="461"/>
  <c r="F284" i="461" s="1"/>
  <c r="G857" i="461"/>
  <c r="G335" i="461"/>
  <c r="G336" i="461" s="1"/>
  <c r="G227" i="461"/>
  <c r="F228" i="461" s="1"/>
  <c r="G209" i="461"/>
  <c r="F210" i="461" s="1"/>
  <c r="G1002" i="461"/>
  <c r="G1003" i="461" s="1"/>
  <c r="G1004" i="461" s="1"/>
  <c r="G15" i="461"/>
  <c r="G16" i="461" s="1"/>
  <c r="G929" i="461"/>
  <c r="G354" i="461"/>
  <c r="G355" i="461" s="1"/>
  <c r="G1009" i="461"/>
  <c r="G1010" i="461" s="1"/>
  <c r="G1011" i="461" s="1"/>
  <c r="G316" i="461"/>
  <c r="G317" i="461" s="1"/>
  <c r="G803" i="461"/>
  <c r="G977" i="461"/>
  <c r="G913" i="461"/>
  <c r="D485" i="461"/>
  <c r="D301" i="461"/>
  <c r="D379" i="461"/>
  <c r="G379" i="461" s="1"/>
  <c r="G380" i="461" s="1"/>
  <c r="G381" i="461" s="1"/>
  <c r="D228" i="461"/>
  <c r="D758" i="461"/>
  <c r="G758" i="461" s="1"/>
  <c r="G760" i="461" s="1"/>
  <c r="D459" i="461"/>
  <c r="D774" i="461"/>
  <c r="G774" i="461" s="1"/>
  <c r="G776" i="461" s="1"/>
  <c r="D210" i="461"/>
  <c r="D660" i="461"/>
  <c r="G660" i="461" s="1"/>
  <c r="D678" i="461"/>
  <c r="G678" i="461" s="1"/>
  <c r="D914" i="461"/>
  <c r="D807" i="461"/>
  <c r="D536" i="461"/>
  <c r="G536" i="461" s="1"/>
  <c r="D159" i="461"/>
  <c r="G159" i="461" s="1"/>
  <c r="D640" i="461"/>
  <c r="G640" i="461" s="1"/>
  <c r="G642" i="461" s="1"/>
  <c r="G643" i="461" s="1"/>
  <c r="D521" i="461"/>
  <c r="G521" i="461" s="1"/>
  <c r="G522" i="461" s="1"/>
  <c r="D123" i="461"/>
  <c r="G123" i="461" s="1"/>
  <c r="D142" i="461"/>
  <c r="G142" i="461" s="1"/>
  <c r="G559" i="461"/>
  <c r="G560" i="461" s="1"/>
  <c r="G891" i="461"/>
  <c r="G892" i="461" s="1"/>
  <c r="D413" i="461"/>
  <c r="G413" i="461" s="1"/>
  <c r="G415" i="461" s="1"/>
  <c r="G416" i="461" s="1"/>
  <c r="G417" i="461" s="1"/>
  <c r="G596" i="461"/>
  <c r="G597" i="461" s="1"/>
  <c r="D502" i="461"/>
  <c r="G502" i="461" s="1"/>
  <c r="D284" i="461"/>
  <c r="G653" i="461"/>
  <c r="G654" i="461" s="1"/>
  <c r="D361" i="461"/>
  <c r="G361" i="461" s="1"/>
  <c r="G301" i="461"/>
  <c r="D58" i="461"/>
  <c r="G58" i="461" s="1"/>
  <c r="G59" i="461" s="1"/>
  <c r="D858" i="461"/>
  <c r="G858" i="461" s="1"/>
  <c r="D246" i="461"/>
  <c r="G246" i="461" s="1"/>
  <c r="D946" i="461"/>
  <c r="D710" i="461"/>
  <c r="G710" i="461" s="1"/>
  <c r="G712" i="461" s="1"/>
  <c r="D582" i="461"/>
  <c r="G582" i="461" s="1"/>
  <c r="G584" i="461" s="1"/>
  <c r="D323" i="461"/>
  <c r="G323" i="461" s="1"/>
  <c r="D192" i="461"/>
  <c r="G192" i="461" s="1"/>
  <c r="G193" i="461" s="1"/>
  <c r="G194" i="461" s="1"/>
  <c r="D897" i="461"/>
  <c r="G897" i="461" s="1"/>
  <c r="D726" i="461"/>
  <c r="G726" i="461" s="1"/>
  <c r="G728" i="461" s="1"/>
  <c r="D622" i="461"/>
  <c r="G622" i="461" s="1"/>
  <c r="G625" i="461" s="1"/>
  <c r="G626" i="461" s="1"/>
  <c r="G453" i="461"/>
  <c r="G454" i="461" s="1"/>
  <c r="D391" i="461"/>
  <c r="G391" i="461" s="1"/>
  <c r="G393" i="461" s="1"/>
  <c r="G394" i="461" s="1"/>
  <c r="D22" i="461"/>
  <c r="D45" i="461" s="1"/>
  <c r="G544" i="461"/>
  <c r="G545" i="461" s="1"/>
  <c r="G671" i="461"/>
  <c r="G672" i="461" s="1"/>
  <c r="D550" i="461"/>
  <c r="G550" i="461" s="1"/>
  <c r="D428" i="461"/>
  <c r="G428" i="461" s="1"/>
  <c r="G430" i="461" s="1"/>
  <c r="G431" i="461" s="1"/>
  <c r="G432" i="461" s="1"/>
  <c r="D978" i="461"/>
  <c r="G567" i="461"/>
  <c r="G568" i="461" s="1"/>
  <c r="D442" i="461"/>
  <c r="G442" i="461" s="1"/>
  <c r="G444" i="461" s="1"/>
  <c r="G445" i="461" s="1"/>
  <c r="G446" i="461" s="1"/>
  <c r="D175" i="461"/>
  <c r="G175" i="461" s="1"/>
  <c r="D994" i="461"/>
  <c r="D264" i="461"/>
  <c r="G264" i="461" s="1"/>
  <c r="G266" i="461" s="1"/>
  <c r="G267" i="461" s="1"/>
  <c r="D100" i="461"/>
  <c r="G100" i="461" s="1"/>
  <c r="D400" i="461"/>
  <c r="G400" i="461" s="1"/>
  <c r="G401" i="461" s="1"/>
  <c r="G402" i="461" s="1"/>
  <c r="D342" i="461"/>
  <c r="G342" i="461" s="1"/>
  <c r="G221" i="461"/>
  <c r="G222" i="461" s="1"/>
  <c r="G93" i="461"/>
  <c r="G94" i="461" s="1"/>
  <c r="G993" i="461"/>
  <c r="G742" i="461"/>
  <c r="G744" i="461" s="1"/>
  <c r="G496" i="461"/>
  <c r="G497" i="461" s="1"/>
  <c r="G135" i="461"/>
  <c r="G136" i="461" s="1"/>
  <c r="G294" i="461"/>
  <c r="G295" i="461" s="1"/>
  <c r="F35" i="467"/>
  <c r="F34" i="467"/>
  <c r="F50" i="467"/>
  <c r="G485" i="461"/>
  <c r="G486" i="461" s="1"/>
  <c r="G805" i="461"/>
  <c r="G800" i="461"/>
  <c r="G945" i="461"/>
  <c r="G946" i="461" s="1"/>
  <c r="G947" i="461" s="1"/>
  <c r="G948" i="461" s="1"/>
  <c r="F45" i="461"/>
  <c r="G930" i="461"/>
  <c r="G931" i="461" s="1"/>
  <c r="G932" i="461" s="1"/>
  <c r="G509" i="461"/>
  <c r="G510" i="461" s="1"/>
  <c r="F22" i="461"/>
  <c r="G459" i="461"/>
  <c r="G603" i="461"/>
  <c r="F604" i="461" s="1"/>
  <c r="G604" i="461" s="1"/>
  <c r="G248" i="461" l="1"/>
  <c r="G249" i="461" s="1"/>
  <c r="G176" i="461"/>
  <c r="G124" i="461"/>
  <c r="G284" i="461"/>
  <c r="G286" i="461" s="1"/>
  <c r="G287" i="461" s="1"/>
  <c r="G978" i="461"/>
  <c r="G979" i="461" s="1"/>
  <c r="G980" i="461" s="1"/>
  <c r="G160" i="461"/>
  <c r="G537" i="461"/>
  <c r="G210" i="461"/>
  <c r="G212" i="461" s="1"/>
  <c r="G213" i="461" s="1"/>
  <c r="G362" i="461"/>
  <c r="G860" i="461"/>
  <c r="G861" i="461" s="1"/>
  <c r="G343" i="461"/>
  <c r="G324" i="461"/>
  <c r="G228" i="461"/>
  <c r="G230" i="461" s="1"/>
  <c r="G231" i="461" s="1"/>
  <c r="G899" i="461"/>
  <c r="G900" i="461" s="1"/>
  <c r="G806" i="461"/>
  <c r="G807" i="461" s="1"/>
  <c r="G808" i="461" s="1"/>
  <c r="G914" i="461"/>
  <c r="G915" i="461" s="1"/>
  <c r="G916" i="461" s="1"/>
  <c r="G22" i="461"/>
  <c r="G23" i="461" s="1"/>
  <c r="G24" i="461" s="1"/>
  <c r="G994" i="461"/>
  <c r="G995" i="461" s="1"/>
  <c r="G996" i="461" s="1"/>
  <c r="G680" i="461"/>
  <c r="G101" i="461"/>
  <c r="G102" i="461" s="1"/>
  <c r="F106" i="461" s="1"/>
  <c r="G106" i="461" s="1"/>
  <c r="G143" i="461"/>
  <c r="G144" i="461" s="1"/>
  <c r="G503" i="461"/>
  <c r="G662" i="461"/>
  <c r="G302" i="461"/>
  <c r="G551" i="461"/>
  <c r="G460" i="461"/>
  <c r="G461" i="461" s="1"/>
  <c r="F38" i="467"/>
  <c r="F40" i="467" s="1"/>
  <c r="D76" i="461"/>
  <c r="G76" i="461" s="1"/>
  <c r="G77" i="461" s="1"/>
  <c r="G78" i="461" s="1"/>
  <c r="G45" i="461"/>
  <c r="G46" i="461" s="1"/>
  <c r="G47" i="461" s="1"/>
  <c r="G605" i="461"/>
  <c r="G606" i="461" s="1"/>
  <c r="G607" i="461" s="1"/>
  <c r="G593" i="99"/>
  <c r="E67" i="383"/>
  <c r="C105" i="461" l="1"/>
  <c r="F39" i="467"/>
  <c r="C81" i="461"/>
  <c r="F82" i="461"/>
  <c r="G82" i="461" s="1"/>
  <c r="A5" i="459"/>
  <c r="A6" i="459" s="1"/>
  <c r="A8" i="459" s="1"/>
  <c r="A9" i="459" s="1"/>
  <c r="A10" i="459" s="1"/>
  <c r="A11" i="459" s="1"/>
  <c r="A12" i="459" s="1"/>
  <c r="A13" i="459" s="1"/>
  <c r="A14" i="459" s="1"/>
  <c r="A15" i="459" s="1"/>
  <c r="A16" i="459" s="1"/>
  <c r="A2" i="459"/>
  <c r="C6" i="459" l="1"/>
  <c r="C45" i="454" l="1"/>
  <c r="C26" i="454"/>
  <c r="A27" i="454"/>
  <c r="A6" i="454"/>
  <c r="A7" i="454" s="1"/>
  <c r="A10" i="454" s="1"/>
  <c r="A11" i="454" s="1"/>
  <c r="A13" i="454" s="1"/>
  <c r="A14" i="454" s="1"/>
  <c r="A15" i="454" s="1"/>
  <c r="A16" i="454" s="1"/>
  <c r="A19" i="454" s="1"/>
  <c r="A20" i="454" s="1"/>
  <c r="A21" i="454" s="1"/>
  <c r="A22" i="454" s="1"/>
  <c r="A26" i="454" l="1"/>
  <c r="A23" i="454"/>
  <c r="E50" i="454" l="1"/>
  <c r="F50" i="454" s="1"/>
  <c r="E42" i="454"/>
  <c r="F42" i="454" s="1"/>
  <c r="A32" i="454"/>
  <c r="A33" i="454" s="1"/>
  <c r="A36" i="454" s="1"/>
  <c r="A37" i="454" s="1"/>
  <c r="A39" i="454" s="1"/>
  <c r="A40" i="454" s="1"/>
  <c r="A41" i="454" s="1"/>
  <c r="A42" i="454" s="1"/>
  <c r="A43" i="454" s="1"/>
  <c r="A45" i="454" s="1"/>
  <c r="A46" i="454" s="1"/>
  <c r="A49" i="454" s="1"/>
  <c r="A52" i="454" s="1"/>
  <c r="A53" i="454" s="1"/>
  <c r="A56" i="454" s="1"/>
  <c r="A28" i="454"/>
  <c r="A29" i="454" s="1"/>
  <c r="E14" i="454" l="1"/>
  <c r="F14" i="454" s="1"/>
  <c r="E19" i="454"/>
  <c r="F19" i="454" s="1"/>
  <c r="E27" i="454"/>
  <c r="F27" i="454" s="1"/>
  <c r="E26" i="454"/>
  <c r="F26" i="454" s="1"/>
  <c r="E7" i="454"/>
  <c r="F7" i="454" s="1"/>
  <c r="E23" i="454"/>
  <c r="F23" i="454" s="1"/>
  <c r="E38" i="454"/>
  <c r="F38" i="454" s="1"/>
  <c r="E41" i="454"/>
  <c r="F41" i="454" s="1"/>
  <c r="E57" i="454"/>
  <c r="F57" i="454" s="1"/>
  <c r="E45" i="454"/>
  <c r="F45" i="454" s="1"/>
  <c r="E53" i="454"/>
  <c r="F53" i="454" s="1"/>
  <c r="E52" i="454"/>
  <c r="F52" i="454" s="1"/>
  <c r="E20" i="454"/>
  <c r="F20" i="454" s="1"/>
  <c r="E37" i="454"/>
  <c r="F37" i="454" s="1"/>
  <c r="E33" i="454"/>
  <c r="F33" i="454" s="1"/>
  <c r="E43" i="454"/>
  <c r="F43" i="454" s="1"/>
  <c r="E16" i="454"/>
  <c r="F16" i="454" s="1"/>
  <c r="E15" i="454"/>
  <c r="F15" i="454" s="1"/>
  <c r="E36" i="454"/>
  <c r="F36" i="454" s="1"/>
  <c r="E40" i="454"/>
  <c r="F40" i="454" s="1"/>
  <c r="E29" i="454"/>
  <c r="F29" i="454" s="1"/>
  <c r="E46" i="454"/>
  <c r="F46" i="454" s="1"/>
  <c r="E39" i="454"/>
  <c r="F39" i="454" s="1"/>
  <c r="E13" i="454"/>
  <c r="F13" i="454" s="1"/>
  <c r="E21" i="454" l="1"/>
  <c r="F21" i="454" s="1"/>
  <c r="E11" i="454"/>
  <c r="F11" i="454" s="1"/>
  <c r="E5" i="454"/>
  <c r="F5" i="454" s="1"/>
  <c r="E32" i="454"/>
  <c r="F32" i="454" s="1"/>
  <c r="E28" i="454"/>
  <c r="F28" i="454" s="1"/>
  <c r="E22" i="454"/>
  <c r="F22" i="454" s="1"/>
  <c r="E6" i="454" l="1"/>
  <c r="F6" i="454" s="1"/>
  <c r="E10" i="454"/>
  <c r="F10" i="454" s="1"/>
  <c r="F60" i="454" s="1"/>
  <c r="A2" i="442" l="1"/>
  <c r="A2" i="441"/>
  <c r="Z592" i="99" l="1"/>
  <c r="AC592" i="99" s="1"/>
  <c r="AD591" i="99"/>
  <c r="U591" i="99"/>
  <c r="A591" i="99"/>
  <c r="G569" i="99"/>
  <c r="C47" i="446"/>
  <c r="C45" i="446"/>
  <c r="C40" i="446"/>
  <c r="C37" i="446"/>
  <c r="C35" i="446"/>
  <c r="C33" i="446"/>
  <c r="C31" i="446"/>
  <c r="C30" i="446"/>
  <c r="C27" i="446"/>
  <c r="C25" i="446"/>
  <c r="C23" i="446"/>
  <c r="C21" i="446"/>
  <c r="C19" i="446"/>
  <c r="C17" i="446"/>
  <c r="C15" i="446"/>
  <c r="C13" i="446"/>
  <c r="C11" i="446"/>
  <c r="C9" i="446"/>
  <c r="C7" i="446"/>
  <c r="C4" i="446"/>
  <c r="C121" i="444"/>
  <c r="C120" i="444"/>
  <c r="D1583" i="382"/>
  <c r="I1581" i="382"/>
  <c r="F1583" i="382" s="1"/>
  <c r="I1576" i="382"/>
  <c r="F1578" i="382" s="1"/>
  <c r="D1578" i="382"/>
  <c r="I1575" i="382"/>
  <c r="A1574" i="382"/>
  <c r="I1583" i="382" l="1"/>
  <c r="I1584" i="382" s="1"/>
  <c r="I1578" i="382"/>
  <c r="I1579" i="382" s="1"/>
  <c r="I122" i="444" s="1"/>
  <c r="AC594" i="99"/>
  <c r="Z593" i="99"/>
  <c r="AC593" i="99" s="1"/>
  <c r="AD593" i="99" s="1"/>
  <c r="AD592" i="99"/>
  <c r="AD594" i="99" l="1"/>
  <c r="AC595" i="99"/>
  <c r="AD595" i="99" s="1"/>
  <c r="H74" i="444"/>
  <c r="G74" i="444"/>
  <c r="C72" i="444"/>
  <c r="C133" i="444"/>
  <c r="C130" i="444"/>
  <c r="C127" i="444"/>
  <c r="C124" i="444"/>
  <c r="H109" i="444"/>
  <c r="G109" i="444"/>
  <c r="H350" i="445"/>
  <c r="E346" i="445"/>
  <c r="H346" i="445" s="1"/>
  <c r="H347" i="445" s="1"/>
  <c r="H348" i="445" s="1"/>
  <c r="D109" i="444" s="1"/>
  <c r="H112" i="444"/>
  <c r="C101" i="444"/>
  <c r="C98" i="444"/>
  <c r="C91" i="444"/>
  <c r="C89" i="444"/>
  <c r="C85" i="444"/>
  <c r="C82" i="444"/>
  <c r="E267" i="445"/>
  <c r="H267" i="445" s="1"/>
  <c r="H268" i="445" s="1"/>
  <c r="H269" i="445" s="1"/>
  <c r="C79" i="444"/>
  <c r="C76" i="444"/>
  <c r="C68" i="444"/>
  <c r="C65" i="444"/>
  <c r="C56" i="444"/>
  <c r="C62" i="444"/>
  <c r="C59" i="444"/>
  <c r="C53" i="444"/>
  <c r="C50" i="444"/>
  <c r="C47" i="444"/>
  <c r="C40" i="444"/>
  <c r="C36" i="444"/>
  <c r="C28" i="444"/>
  <c r="H26" i="444" l="1"/>
  <c r="G26" i="444"/>
  <c r="C21" i="444"/>
  <c r="C16" i="444" l="1"/>
  <c r="C14" i="444"/>
  <c r="C12" i="444"/>
  <c r="C10" i="444"/>
  <c r="C8" i="444"/>
  <c r="C6" i="444"/>
  <c r="A1" i="444"/>
  <c r="H77" i="447"/>
  <c r="H78" i="447" s="1"/>
  <c r="H79" i="447" s="1"/>
  <c r="D43" i="446" s="1"/>
  <c r="H72" i="447"/>
  <c r="H73" i="447" s="1"/>
  <c r="H74" i="447" s="1"/>
  <c r="D41" i="446" s="1"/>
  <c r="H65" i="447"/>
  <c r="H64" i="447"/>
  <c r="H59" i="447"/>
  <c r="H60" i="447" s="1"/>
  <c r="H61" i="447" s="1"/>
  <c r="D33" i="446" s="1"/>
  <c r="H53" i="447"/>
  <c r="H51" i="447"/>
  <c r="H48" i="447"/>
  <c r="H44" i="447"/>
  <c r="D28" i="446" s="1"/>
  <c r="H43" i="447"/>
  <c r="H39" i="447"/>
  <c r="D25" i="446" s="1"/>
  <c r="H36" i="447"/>
  <c r="D23" i="446" s="1"/>
  <c r="H33" i="447"/>
  <c r="H34" i="447" s="1"/>
  <c r="H30" i="447"/>
  <c r="H31" i="447" s="1"/>
  <c r="H27" i="447"/>
  <c r="H28" i="447" s="1"/>
  <c r="D17" i="446" s="1"/>
  <c r="H23" i="447"/>
  <c r="H24" i="447" s="1"/>
  <c r="D15" i="446" s="1"/>
  <c r="H21" i="447"/>
  <c r="A13" i="447"/>
  <c r="A16" i="447" s="1"/>
  <c r="A19" i="447" s="1"/>
  <c r="A22" i="447" s="1"/>
  <c r="A26" i="447" s="1"/>
  <c r="A29" i="447" s="1"/>
  <c r="A32" i="447" s="1"/>
  <c r="A35" i="447" s="1"/>
  <c r="A38" i="447" s="1"/>
  <c r="A41" i="447" s="1"/>
  <c r="A45" i="447" s="1"/>
  <c r="A69" i="447" s="1"/>
  <c r="A80" i="447" s="1"/>
  <c r="A85" i="447" s="1"/>
  <c r="A89" i="447" s="1"/>
  <c r="A91" i="447" s="1"/>
  <c r="H10" i="447"/>
  <c r="D7" i="446" s="1"/>
  <c r="H6" i="447"/>
  <c r="H5" i="447"/>
  <c r="D47" i="446"/>
  <c r="D45" i="446"/>
  <c r="D38" i="446"/>
  <c r="D21" i="446"/>
  <c r="D13" i="446"/>
  <c r="D11" i="446"/>
  <c r="D9" i="446"/>
  <c r="A9" i="446"/>
  <c r="A11" i="446" s="1"/>
  <c r="A13" i="446" s="1"/>
  <c r="A15" i="446" s="1"/>
  <c r="A17" i="446" s="1"/>
  <c r="A19" i="446" s="1"/>
  <c r="A21" i="446" s="1"/>
  <c r="A23" i="446" s="1"/>
  <c r="A25" i="446" s="1"/>
  <c r="A27" i="446" s="1"/>
  <c r="A30" i="446" s="1"/>
  <c r="A37" i="446" s="1"/>
  <c r="A40" i="446" s="1"/>
  <c r="A45" i="446" s="1"/>
  <c r="A47" i="446" s="1"/>
  <c r="E378" i="445"/>
  <c r="H378" i="445" s="1"/>
  <c r="H379" i="445" s="1"/>
  <c r="H374" i="445"/>
  <c r="H375" i="445" s="1"/>
  <c r="H376" i="445" s="1"/>
  <c r="G369" i="445"/>
  <c r="H369" i="445" s="1"/>
  <c r="G368" i="445"/>
  <c r="H368" i="445" s="1"/>
  <c r="H364" i="445"/>
  <c r="H363" i="445"/>
  <c r="H358" i="445"/>
  <c r="H359" i="445" s="1"/>
  <c r="H360" i="445" s="1"/>
  <c r="D118" i="444" s="1"/>
  <c r="H355" i="445"/>
  <c r="D115" i="444" s="1"/>
  <c r="H351" i="445"/>
  <c r="H352" i="445" s="1"/>
  <c r="D112" i="444" s="1"/>
  <c r="H342" i="445"/>
  <c r="H343" i="445" s="1"/>
  <c r="H344" i="445" s="1"/>
  <c r="H336" i="445"/>
  <c r="H337" i="445" s="1"/>
  <c r="H338" i="445" s="1"/>
  <c r="D134" i="444" s="1"/>
  <c r="H319" i="445"/>
  <c r="H320" i="445" s="1"/>
  <c r="H321" i="445" s="1"/>
  <c r="D96" i="444" s="1"/>
  <c r="H314" i="445"/>
  <c r="H315" i="445" s="1"/>
  <c r="H316" i="445" s="1"/>
  <c r="D93" i="444" s="1"/>
  <c r="H309" i="445"/>
  <c r="E307" i="445"/>
  <c r="H307" i="445" s="1"/>
  <c r="H302" i="445"/>
  <c r="H301" i="445"/>
  <c r="E300" i="445"/>
  <c r="H300" i="445" s="1"/>
  <c r="E299" i="445"/>
  <c r="H299" i="445" s="1"/>
  <c r="H294" i="445"/>
  <c r="H295" i="445" s="1"/>
  <c r="H296" i="445" s="1"/>
  <c r="D77" i="444" s="1"/>
  <c r="E290" i="445"/>
  <c r="H290" i="445" s="1"/>
  <c r="H291" i="445" s="1"/>
  <c r="H292" i="445" s="1"/>
  <c r="D89" i="444" s="1"/>
  <c r="E286" i="445"/>
  <c r="H286" i="445" s="1"/>
  <c r="H287" i="445" s="1"/>
  <c r="H288" i="445" s="1"/>
  <c r="D86" i="444" s="1"/>
  <c r="D87" i="444" s="1"/>
  <c r="H281" i="445"/>
  <c r="H280" i="445"/>
  <c r="H279" i="445"/>
  <c r="H278" i="445"/>
  <c r="H277" i="445"/>
  <c r="H272" i="445"/>
  <c r="H273" i="445" s="1"/>
  <c r="H261" i="445"/>
  <c r="H260" i="445"/>
  <c r="G258" i="445"/>
  <c r="E258" i="445"/>
  <c r="H257" i="445"/>
  <c r="H256" i="445"/>
  <c r="G255" i="445"/>
  <c r="E255" i="445"/>
  <c r="G254" i="445"/>
  <c r="E254" i="445"/>
  <c r="H245" i="445"/>
  <c r="H244" i="445"/>
  <c r="H243" i="445"/>
  <c r="G241" i="445"/>
  <c r="E241" i="445"/>
  <c r="G239" i="445"/>
  <c r="H239" i="445" s="1"/>
  <c r="G238" i="445"/>
  <c r="E238" i="445"/>
  <c r="D215" i="445"/>
  <c r="H214" i="445"/>
  <c r="H215" i="445" s="1"/>
  <c r="D222" i="445" s="1"/>
  <c r="H222" i="445" s="1"/>
  <c r="H210" i="445"/>
  <c r="H209" i="445"/>
  <c r="H208" i="445"/>
  <c r="H207" i="445"/>
  <c r="H205" i="445"/>
  <c r="H204" i="445"/>
  <c r="H203" i="445"/>
  <c r="H202" i="445"/>
  <c r="H201" i="445"/>
  <c r="E195" i="445"/>
  <c r="H195" i="445" s="1"/>
  <c r="H193" i="445"/>
  <c r="E191" i="445"/>
  <c r="H191" i="445" s="1"/>
  <c r="H189" i="445"/>
  <c r="G188" i="445"/>
  <c r="H188" i="445" s="1"/>
  <c r="G187" i="445"/>
  <c r="E187" i="445"/>
  <c r="G185" i="445"/>
  <c r="H185" i="445" s="1"/>
  <c r="G184" i="445"/>
  <c r="H184" i="445" s="1"/>
  <c r="E179" i="445"/>
  <c r="H179" i="445" s="1"/>
  <c r="E178" i="445"/>
  <c r="H178" i="445" s="1"/>
  <c r="E177" i="445"/>
  <c r="H177" i="445" s="1"/>
  <c r="E176" i="445"/>
  <c r="H176" i="445" s="1"/>
  <c r="E175" i="445"/>
  <c r="H175" i="445" s="1"/>
  <c r="H173" i="445"/>
  <c r="H172" i="445"/>
  <c r="H171" i="445"/>
  <c r="H170" i="445"/>
  <c r="H169" i="445"/>
  <c r="H167" i="445"/>
  <c r="H166" i="445"/>
  <c r="H165" i="445"/>
  <c r="G164" i="445"/>
  <c r="H164" i="445" s="1"/>
  <c r="G163" i="445"/>
  <c r="H163" i="445" s="1"/>
  <c r="G162" i="445"/>
  <c r="H162" i="445" s="1"/>
  <c r="G161" i="445"/>
  <c r="H161" i="445" s="1"/>
  <c r="G160" i="445"/>
  <c r="E160" i="445"/>
  <c r="H156" i="445"/>
  <c r="H155" i="445"/>
  <c r="H148" i="445"/>
  <c r="H147" i="445"/>
  <c r="E143" i="445"/>
  <c r="H143" i="445" s="1"/>
  <c r="H144" i="445" s="1"/>
  <c r="D229" i="445" s="1"/>
  <c r="H229" i="445" s="1"/>
  <c r="D138" i="445"/>
  <c r="E137" i="445"/>
  <c r="H137" i="445" s="1"/>
  <c r="E136" i="445"/>
  <c r="H136" i="445" s="1"/>
  <c r="E135" i="445"/>
  <c r="H135" i="445" s="1"/>
  <c r="E134" i="445"/>
  <c r="H134" i="445" s="1"/>
  <c r="E133" i="445"/>
  <c r="H133" i="445" s="1"/>
  <c r="E132" i="445"/>
  <c r="H132" i="445" s="1"/>
  <c r="H127" i="445"/>
  <c r="H128" i="445" s="1"/>
  <c r="H129" i="445" s="1"/>
  <c r="G121" i="445"/>
  <c r="H121" i="445" s="1"/>
  <c r="G120" i="445"/>
  <c r="H120" i="445" s="1"/>
  <c r="G118" i="445"/>
  <c r="H118" i="445" s="1"/>
  <c r="D108" i="445"/>
  <c r="G107" i="445"/>
  <c r="H107" i="445" s="1"/>
  <c r="H108" i="445" s="1"/>
  <c r="H113" i="445" s="1"/>
  <c r="D103" i="445"/>
  <c r="H102" i="445"/>
  <c r="H103" i="445" s="1"/>
  <c r="H112" i="445" s="1"/>
  <c r="D98" i="445"/>
  <c r="G97" i="445"/>
  <c r="H97" i="445" s="1"/>
  <c r="H98" i="445" s="1"/>
  <c r="H99" i="445" s="1"/>
  <c r="E37" i="445" s="1"/>
  <c r="H91" i="445"/>
  <c r="H90" i="445"/>
  <c r="H88" i="445"/>
  <c r="H82" i="445"/>
  <c r="H83" i="445" s="1"/>
  <c r="H84" i="445" s="1"/>
  <c r="D17" i="444" s="1"/>
  <c r="G71" i="445"/>
  <c r="H71" i="445" s="1"/>
  <c r="G68" i="445"/>
  <c r="E68" i="445"/>
  <c r="H63" i="445"/>
  <c r="E61" i="445"/>
  <c r="H61" i="445" s="1"/>
  <c r="H23" i="445"/>
  <c r="H20" i="445"/>
  <c r="E18" i="445"/>
  <c r="H18" i="445" s="1"/>
  <c r="F13" i="445"/>
  <c r="E13" i="445"/>
  <c r="A11" i="445"/>
  <c r="A17" i="445" s="1"/>
  <c r="A30" i="445" s="1"/>
  <c r="A41" i="445" s="1"/>
  <c r="A47" i="445" s="1"/>
  <c r="A53" i="445" s="1"/>
  <c r="A56" i="445" s="1"/>
  <c r="A59" i="445" s="1"/>
  <c r="A80" i="445" s="1"/>
  <c r="A95" i="445" s="1"/>
  <c r="A116" i="445" s="1"/>
  <c r="A125" i="445" s="1"/>
  <c r="A131" i="445" s="1"/>
  <c r="A141" i="445" s="1"/>
  <c r="A159" i="445" s="1"/>
  <c r="A183" i="445" s="1"/>
  <c r="A199" i="445" s="1"/>
  <c r="A213" i="445" s="1"/>
  <c r="A218" i="445" s="1"/>
  <c r="A228" i="445" s="1"/>
  <c r="A237" i="445" s="1"/>
  <c r="A248" i="445" s="1"/>
  <c r="A253" i="445" s="1"/>
  <c r="E7" i="445"/>
  <c r="H7" i="445" s="1"/>
  <c r="E5" i="445"/>
  <c r="H5" i="445" s="1"/>
  <c r="F4" i="445"/>
  <c r="E4" i="445"/>
  <c r="H134" i="444"/>
  <c r="G134" i="444"/>
  <c r="H131" i="444"/>
  <c r="G131" i="444"/>
  <c r="H128" i="444"/>
  <c r="G128" i="444"/>
  <c r="H125" i="444"/>
  <c r="G125" i="444"/>
  <c r="H122" i="444"/>
  <c r="G122" i="444"/>
  <c r="H118" i="444"/>
  <c r="G118" i="444"/>
  <c r="H115" i="444"/>
  <c r="G115" i="444"/>
  <c r="G112" i="444"/>
  <c r="H106" i="444"/>
  <c r="G106" i="444"/>
  <c r="H102" i="444"/>
  <c r="G102" i="444"/>
  <c r="H99" i="444"/>
  <c r="G99" i="444"/>
  <c r="H96" i="444"/>
  <c r="G96" i="444"/>
  <c r="H93" i="444"/>
  <c r="G93" i="444"/>
  <c r="G91" i="444"/>
  <c r="H89" i="444"/>
  <c r="G89" i="444"/>
  <c r="H87" i="444"/>
  <c r="G87" i="444"/>
  <c r="H83" i="444"/>
  <c r="G83" i="444"/>
  <c r="H80" i="444"/>
  <c r="G80" i="444"/>
  <c r="G79" i="444"/>
  <c r="H77" i="444"/>
  <c r="G77" i="444"/>
  <c r="H70" i="444"/>
  <c r="G70" i="444"/>
  <c r="H66" i="444"/>
  <c r="G66" i="444"/>
  <c r="G63" i="444"/>
  <c r="G60" i="444"/>
  <c r="H57" i="444"/>
  <c r="G57" i="444"/>
  <c r="H54" i="444"/>
  <c r="G54" i="444"/>
  <c r="G51" i="444"/>
  <c r="H48" i="444"/>
  <c r="G48" i="444"/>
  <c r="H45" i="444"/>
  <c r="G45" i="444"/>
  <c r="H42" i="444"/>
  <c r="G42" i="444"/>
  <c r="H38" i="444"/>
  <c r="G38" i="444"/>
  <c r="H34" i="444"/>
  <c r="G34" i="444"/>
  <c r="H30" i="444"/>
  <c r="G30" i="444"/>
  <c r="H23" i="444"/>
  <c r="G23" i="444"/>
  <c r="H19" i="444"/>
  <c r="G19" i="444"/>
  <c r="H17" i="444"/>
  <c r="G17" i="444"/>
  <c r="G16" i="444"/>
  <c r="H14" i="444"/>
  <c r="G14" i="444"/>
  <c r="H12" i="444"/>
  <c r="G12" i="444"/>
  <c r="H10" i="444"/>
  <c r="G10" i="444"/>
  <c r="H8" i="444"/>
  <c r="G8" i="444"/>
  <c r="A8" i="444"/>
  <c r="A10" i="444" s="1"/>
  <c r="A12" i="444" s="1"/>
  <c r="A14" i="444" s="1"/>
  <c r="H6" i="444"/>
  <c r="G6" i="444"/>
  <c r="I1588" i="382"/>
  <c r="F1589" i="382" s="1"/>
  <c r="I1589" i="382" s="1"/>
  <c r="H1588" i="382"/>
  <c r="H1587" i="382"/>
  <c r="I1586" i="382"/>
  <c r="H1586" i="382"/>
  <c r="A1585" i="382"/>
  <c r="H37" i="447" l="1"/>
  <c r="H11" i="447"/>
  <c r="H12" i="447" s="1"/>
  <c r="H40" i="447"/>
  <c r="D19" i="446"/>
  <c r="H7" i="447"/>
  <c r="H8" i="447" s="1"/>
  <c r="D5" i="446" s="1"/>
  <c r="H54" i="447"/>
  <c r="H55" i="447" s="1"/>
  <c r="D31" i="446" s="1"/>
  <c r="H66" i="447"/>
  <c r="H67" i="447" s="1"/>
  <c r="D35" i="446" s="1"/>
  <c r="H92" i="445"/>
  <c r="D220" i="445" s="1"/>
  <c r="H220" i="445" s="1"/>
  <c r="D105" i="444"/>
  <c r="D106" i="444" s="1"/>
  <c r="H187" i="445"/>
  <c r="H149" i="445"/>
  <c r="H150" i="445" s="1"/>
  <c r="H160" i="445"/>
  <c r="H13" i="445"/>
  <c r="H14" i="445" s="1"/>
  <c r="H15" i="445" s="1"/>
  <c r="D8" i="444" s="1"/>
  <c r="H241" i="445"/>
  <c r="E42" i="445"/>
  <c r="H42" i="445" s="1"/>
  <c r="H249" i="445"/>
  <c r="D224" i="445"/>
  <c r="H224" i="445" s="1"/>
  <c r="D34" i="444"/>
  <c r="J137" i="444" s="1"/>
  <c r="J138" i="444" s="1"/>
  <c r="H157" i="445"/>
  <c r="H158" i="445" s="1"/>
  <c r="D45" i="444" s="1"/>
  <c r="H254" i="445"/>
  <c r="H365" i="445"/>
  <c r="H366" i="445" s="1"/>
  <c r="H196" i="445"/>
  <c r="H197" i="445" s="1"/>
  <c r="D51" i="444" s="1"/>
  <c r="A266" i="445"/>
  <c r="A270" i="445" s="1"/>
  <c r="A297" i="445" s="1"/>
  <c r="A306" i="445" s="1"/>
  <c r="A312" i="445" s="1"/>
  <c r="A322" i="445" s="1"/>
  <c r="A326" i="445" s="1"/>
  <c r="A330" i="445" s="1"/>
  <c r="A335" i="445" s="1"/>
  <c r="A340" i="445" s="1"/>
  <c r="A354" i="445" s="1"/>
  <c r="A357" i="445" s="1"/>
  <c r="H255" i="445"/>
  <c r="H4" i="445"/>
  <c r="H8" i="445" s="1"/>
  <c r="H68" i="445"/>
  <c r="H72" i="445" s="1"/>
  <c r="H73" i="445" s="1"/>
  <c r="H211" i="445"/>
  <c r="H212" i="445" s="1"/>
  <c r="D54" i="444" s="1"/>
  <c r="H238" i="445"/>
  <c r="H282" i="445"/>
  <c r="E26" i="445" s="1"/>
  <c r="H26" i="445" s="1"/>
  <c r="H310" i="445"/>
  <c r="H311" i="445" s="1"/>
  <c r="D99" i="444" s="1"/>
  <c r="H216" i="445"/>
  <c r="H274" i="445"/>
  <c r="D80" i="444" s="1"/>
  <c r="H258" i="445"/>
  <c r="H303" i="445"/>
  <c r="H304" i="445" s="1"/>
  <c r="D102" i="444" s="1"/>
  <c r="H370" i="445"/>
  <c r="H371" i="445" s="1"/>
  <c r="H122" i="445"/>
  <c r="H123" i="445" s="1"/>
  <c r="D223" i="445" s="1"/>
  <c r="H223" i="445" s="1"/>
  <c r="H180" i="445"/>
  <c r="H181" i="445" s="1"/>
  <c r="D48" i="444" s="1"/>
  <c r="E33" i="445"/>
  <c r="D57" i="444"/>
  <c r="H111" i="445"/>
  <c r="H114" i="445" s="1"/>
  <c r="D221" i="445" s="1"/>
  <c r="H221" i="445" s="1"/>
  <c r="H380" i="445"/>
  <c r="E25" i="445"/>
  <c r="H25" i="445" s="1"/>
  <c r="H104" i="445"/>
  <c r="H145" i="445"/>
  <c r="H152" i="445" s="1"/>
  <c r="D42" i="444" s="1"/>
  <c r="H138" i="445"/>
  <c r="H139" i="445" s="1"/>
  <c r="D38" i="444" s="1"/>
  <c r="A16" i="444"/>
  <c r="A21" i="444" s="1"/>
  <c r="H64" i="445"/>
  <c r="E36" i="445" s="1"/>
  <c r="D219" i="445"/>
  <c r="H219" i="445" s="1"/>
  <c r="E35" i="445"/>
  <c r="H109" i="445"/>
  <c r="C72" i="383"/>
  <c r="I68" i="383"/>
  <c r="I67" i="383"/>
  <c r="E64" i="383"/>
  <c r="C71" i="383" s="1"/>
  <c r="H71" i="383" s="1"/>
  <c r="H73" i="383"/>
  <c r="E82" i="383"/>
  <c r="D82" i="383"/>
  <c r="C83" i="383"/>
  <c r="H79" i="383"/>
  <c r="H78" i="383"/>
  <c r="H77" i="383"/>
  <c r="H76" i="383"/>
  <c r="H75" i="383"/>
  <c r="H74" i="383"/>
  <c r="E63" i="383"/>
  <c r="H61" i="383"/>
  <c r="B60" i="383"/>
  <c r="H93" i="445" l="1"/>
  <c r="D19" i="444" s="1"/>
  <c r="H250" i="445"/>
  <c r="D231" i="445"/>
  <c r="H231" i="445" s="1"/>
  <c r="H283" i="445"/>
  <c r="D83" i="444" s="1"/>
  <c r="D30" i="444"/>
  <c r="H72" i="383"/>
  <c r="E43" i="445"/>
  <c r="H43" i="445" s="1"/>
  <c r="H44" i="445" s="1"/>
  <c r="H45" i="445" s="1"/>
  <c r="C232" i="445"/>
  <c r="H232" i="445" s="1"/>
  <c r="D230" i="445"/>
  <c r="H230" i="445" s="1"/>
  <c r="D122" i="444"/>
  <c r="J122" i="444" s="1"/>
  <c r="H246" i="445"/>
  <c r="H331" i="445" s="1"/>
  <c r="H332" i="445" s="1"/>
  <c r="H333" i="445" s="1"/>
  <c r="D131" i="444" s="1"/>
  <c r="H262" i="445"/>
  <c r="H263" i="445" s="1"/>
  <c r="H75" i="445"/>
  <c r="H76" i="445"/>
  <c r="H65" i="445"/>
  <c r="H251" i="445"/>
  <c r="H252" i="445" s="1"/>
  <c r="D66" i="444" s="1"/>
  <c r="H115" i="445"/>
  <c r="D23" i="444" s="1"/>
  <c r="H27" i="445"/>
  <c r="H28" i="445" s="1"/>
  <c r="E34" i="445" s="1"/>
  <c r="H38" i="445" s="1"/>
  <c r="H9" i="445"/>
  <c r="D6" i="444" s="1"/>
  <c r="E53" i="445"/>
  <c r="H53" i="445" s="1"/>
  <c r="H54" i="445" s="1"/>
  <c r="D12" i="444" s="1"/>
  <c r="A362" i="445"/>
  <c r="A367" i="445"/>
  <c r="A373" i="445" s="1"/>
  <c r="A378" i="445" s="1"/>
  <c r="D225" i="445"/>
  <c r="H225" i="445" s="1"/>
  <c r="H226" i="445" s="1"/>
  <c r="H227" i="445" s="1"/>
  <c r="D60" i="444" s="1"/>
  <c r="D233" i="445"/>
  <c r="H233" i="445" s="1"/>
  <c r="D125" i="444"/>
  <c r="A36" i="444"/>
  <c r="A40" i="444" s="1"/>
  <c r="A28" i="444"/>
  <c r="C82" i="383"/>
  <c r="H82" i="383" s="1"/>
  <c r="E83" i="383" s="1"/>
  <c r="H83" i="383" s="1"/>
  <c r="E65" i="383"/>
  <c r="C70" i="383"/>
  <c r="H70" i="383" s="1"/>
  <c r="E31" i="445" l="1"/>
  <c r="H234" i="445"/>
  <c r="H235" i="445" s="1"/>
  <c r="D63" i="444" s="1"/>
  <c r="H264" i="445"/>
  <c r="D70" i="444" s="1"/>
  <c r="H327" i="445"/>
  <c r="H328" i="445" s="1"/>
  <c r="H48" i="445"/>
  <c r="H77" i="445"/>
  <c r="H78" i="445" s="1"/>
  <c r="D26" i="444" s="1"/>
  <c r="H247" i="445"/>
  <c r="D74" i="444" s="1"/>
  <c r="H84" i="383"/>
  <c r="H85" i="383" s="1"/>
  <c r="H86" i="383" s="1"/>
  <c r="H323" i="445"/>
  <c r="H324" i="445" s="1"/>
  <c r="D10" i="444"/>
  <c r="A47" i="444"/>
  <c r="A50" i="444" s="1"/>
  <c r="A53" i="444" s="1"/>
  <c r="A56" i="444" s="1"/>
  <c r="A59" i="444" s="1"/>
  <c r="A62" i="444" s="1"/>
  <c r="A65" i="444" s="1"/>
  <c r="A68" i="444" s="1"/>
  <c r="A72" i="444" s="1"/>
  <c r="A76" i="444" s="1"/>
  <c r="E38" i="445"/>
  <c r="H31" i="445"/>
  <c r="H39" i="445" s="1"/>
  <c r="H40" i="445" s="1"/>
  <c r="H49" i="445" s="1"/>
  <c r="H50" i="445" s="1"/>
  <c r="H51" i="445" s="1"/>
  <c r="H56" i="445" s="1"/>
  <c r="H57" i="445" s="1"/>
  <c r="D14" i="444" s="1"/>
  <c r="J140" i="444"/>
  <c r="J141" i="444" s="1"/>
  <c r="D1602" i="382"/>
  <c r="I1600" i="382"/>
  <c r="A1598" i="382"/>
  <c r="C245" i="383"/>
  <c r="C218" i="383"/>
  <c r="C191" i="383"/>
  <c r="C165" i="383"/>
  <c r="C138" i="383"/>
  <c r="C111" i="383"/>
  <c r="C55" i="383"/>
  <c r="C27" i="383"/>
  <c r="E164" i="383"/>
  <c r="D156" i="383"/>
  <c r="E155" i="383"/>
  <c r="D155" i="383"/>
  <c r="D154" i="383"/>
  <c r="D153" i="383"/>
  <c r="E150" i="383"/>
  <c r="C155" i="383" s="1"/>
  <c r="H155" i="383" s="1"/>
  <c r="I150" i="383"/>
  <c r="E147" i="383"/>
  <c r="C154" i="383" s="1"/>
  <c r="H162" i="383"/>
  <c r="H161" i="383"/>
  <c r="H160" i="383"/>
  <c r="H159" i="383"/>
  <c r="H158" i="383"/>
  <c r="H157" i="383"/>
  <c r="H156" i="383"/>
  <c r="E154" i="383"/>
  <c r="E153" i="383"/>
  <c r="E146" i="383"/>
  <c r="D145" i="383"/>
  <c r="H144" i="383"/>
  <c r="C164" i="383" s="1"/>
  <c r="D128" i="444" l="1"/>
  <c r="I1601" i="382"/>
  <c r="F1602" i="382" s="1"/>
  <c r="I1602" i="382" s="1"/>
  <c r="I1603" i="382" s="1"/>
  <c r="H154" i="383"/>
  <c r="E148" i="383"/>
  <c r="H164" i="383"/>
  <c r="E165" i="383" s="1"/>
  <c r="H165" i="383" s="1"/>
  <c r="A79" i="444"/>
  <c r="A82" i="444" s="1"/>
  <c r="A85" i="444" s="1"/>
  <c r="A89" i="444" s="1"/>
  <c r="A91" i="444" s="1"/>
  <c r="A98" i="444" s="1"/>
  <c r="A101" i="444" s="1"/>
  <c r="H87" i="383"/>
  <c r="C153" i="383"/>
  <c r="H153" i="383" s="1"/>
  <c r="Q16" i="442"/>
  <c r="P16" i="442"/>
  <c r="O16" i="442"/>
  <c r="N16" i="442"/>
  <c r="M16" i="442"/>
  <c r="J16" i="442"/>
  <c r="L16" i="442" s="1"/>
  <c r="Q15" i="442"/>
  <c r="P15" i="442"/>
  <c r="O15" i="442"/>
  <c r="N15" i="442"/>
  <c r="M15" i="442"/>
  <c r="J15" i="442"/>
  <c r="L15" i="442" s="1"/>
  <c r="Q13" i="442"/>
  <c r="P13" i="442"/>
  <c r="O13" i="442"/>
  <c r="N13" i="442"/>
  <c r="M13" i="442"/>
  <c r="J13" i="442"/>
  <c r="L13" i="442" s="1"/>
  <c r="Q12" i="442"/>
  <c r="P12" i="442"/>
  <c r="O12" i="442"/>
  <c r="N12" i="442"/>
  <c r="L12" i="442"/>
  <c r="J12" i="442"/>
  <c r="M12" i="442" s="1"/>
  <c r="Q11" i="442"/>
  <c r="P11" i="442"/>
  <c r="O11" i="442"/>
  <c r="N11" i="442"/>
  <c r="L11" i="442"/>
  <c r="J11" i="442"/>
  <c r="M11" i="442" s="1"/>
  <c r="Q9" i="442"/>
  <c r="P9" i="442"/>
  <c r="O9" i="442"/>
  <c r="N9" i="442"/>
  <c r="M9" i="442"/>
  <c r="J9" i="442"/>
  <c r="L9" i="442" s="1"/>
  <c r="Q8" i="442"/>
  <c r="P8" i="442"/>
  <c r="O8" i="442"/>
  <c r="M8" i="442"/>
  <c r="L8" i="442"/>
  <c r="J8" i="442"/>
  <c r="N8" i="442" s="1"/>
  <c r="Q7" i="442"/>
  <c r="P7" i="442"/>
  <c r="O7" i="442"/>
  <c r="N7" i="442"/>
  <c r="L7" i="442"/>
  <c r="G7" i="442"/>
  <c r="I81" i="441"/>
  <c r="I80" i="441"/>
  <c r="I71" i="441"/>
  <c r="I70" i="441"/>
  <c r="I64" i="441"/>
  <c r="I63" i="441"/>
  <c r="I62" i="441"/>
  <c r="I57" i="441"/>
  <c r="I56" i="441"/>
  <c r="I46" i="441"/>
  <c r="H45" i="441"/>
  <c r="I45" i="441" s="1"/>
  <c r="I43" i="441"/>
  <c r="I42" i="441"/>
  <c r="I36" i="441"/>
  <c r="I37" i="441" s="1"/>
  <c r="I30" i="441"/>
  <c r="I29" i="441"/>
  <c r="I23" i="441"/>
  <c r="I22" i="441"/>
  <c r="I16" i="441"/>
  <c r="I15" i="441"/>
  <c r="F14" i="441"/>
  <c r="I14" i="441" s="1"/>
  <c r="I8" i="441"/>
  <c r="F7" i="441"/>
  <c r="I7" i="441" s="1"/>
  <c r="H166" i="383" l="1"/>
  <c r="H168" i="383" s="1"/>
  <c r="P17" i="442"/>
  <c r="P19" i="442" s="1"/>
  <c r="Q17" i="442"/>
  <c r="Q19" i="442" s="1"/>
  <c r="O17" i="442"/>
  <c r="O19" i="442" s="1"/>
  <c r="I82" i="441"/>
  <c r="I83" i="441" s="1"/>
  <c r="I72" i="441"/>
  <c r="I47" i="441"/>
  <c r="I48" i="441" s="1"/>
  <c r="I24" i="441"/>
  <c r="I25" i="441" s="1"/>
  <c r="I31" i="441"/>
  <c r="I32" i="441" s="1"/>
  <c r="J7" i="442"/>
  <c r="M7" i="442" s="1"/>
  <c r="M17" i="442" s="1"/>
  <c r="M19" i="442" s="1"/>
  <c r="I17" i="441"/>
  <c r="I18" i="441" s="1"/>
  <c r="I65" i="441"/>
  <c r="I66" i="441" s="1"/>
  <c r="A104" i="444"/>
  <c r="I9" i="441"/>
  <c r="I10" i="441" s="1"/>
  <c r="I58" i="441"/>
  <c r="I59" i="441" s="1"/>
  <c r="N17" i="442"/>
  <c r="N19" i="442" s="1"/>
  <c r="L17" i="442"/>
  <c r="L19" i="442" s="1"/>
  <c r="I73" i="441"/>
  <c r="I77" i="441" l="1"/>
  <c r="L20" i="442"/>
  <c r="L21" i="442" s="1"/>
  <c r="I51" i="441" s="1"/>
  <c r="I52" i="441" s="1"/>
  <c r="A111" i="444"/>
  <c r="A114" i="444" s="1"/>
  <c r="A117" i="444" s="1"/>
  <c r="A120" i="444" s="1"/>
  <c r="A108" i="444"/>
  <c r="B2" i="383"/>
  <c r="C1570" i="382"/>
  <c r="A124" i="444" l="1"/>
  <c r="A127" i="444" s="1"/>
  <c r="A130" i="444" s="1"/>
  <c r="A133" i="444" s="1"/>
  <c r="I100" i="99"/>
  <c r="F1558" i="382"/>
  <c r="G408" i="99" l="1"/>
  <c r="G353" i="99"/>
  <c r="G352" i="99"/>
  <c r="D352" i="99"/>
  <c r="G14" i="99"/>
  <c r="H286" i="383"/>
  <c r="E190" i="383"/>
  <c r="E217" i="383" s="1"/>
  <c r="D180" i="383"/>
  <c r="E137" i="383"/>
  <c r="D110" i="383"/>
  <c r="D164" i="383" s="1"/>
  <c r="D54" i="383"/>
  <c r="E110" i="383"/>
  <c r="E54" i="383"/>
  <c r="I129" i="385"/>
  <c r="I128" i="385"/>
  <c r="I82" i="385"/>
  <c r="F417" i="382"/>
  <c r="F234" i="382"/>
  <c r="J19" i="381"/>
  <c r="J18" i="381"/>
  <c r="J17" i="381"/>
  <c r="J16" i="381"/>
  <c r="J15" i="381"/>
  <c r="H10" i="381" l="1"/>
  <c r="H9" i="381"/>
  <c r="H8" i="381"/>
  <c r="H7" i="381"/>
  <c r="D340" i="383" l="1"/>
  <c r="E334" i="383"/>
  <c r="D334" i="383"/>
  <c r="G601" i="99"/>
  <c r="G600" i="99"/>
  <c r="D601" i="99"/>
  <c r="D600" i="99"/>
  <c r="E4" i="385"/>
  <c r="A2" i="382"/>
  <c r="L28" i="381" l="1"/>
  <c r="P28" i="381" s="1"/>
  <c r="D4" i="99" l="1"/>
  <c r="D3" i="99" l="1"/>
  <c r="E100" i="99" l="1"/>
  <c r="J100" i="99" s="1"/>
  <c r="E574" i="99"/>
  <c r="E571" i="99"/>
  <c r="D1570" i="382"/>
  <c r="I1558" i="382"/>
  <c r="I1555" i="382"/>
  <c r="E230" i="383"/>
  <c r="E91" i="383"/>
  <c r="E35" i="383"/>
  <c r="E7" i="383"/>
  <c r="J459" i="99"/>
  <c r="I760" i="382" l="1"/>
  <c r="H760" i="382"/>
  <c r="G760" i="382"/>
  <c r="F760" i="382"/>
  <c r="E761" i="382"/>
  <c r="E760" i="382"/>
  <c r="I747" i="382"/>
  <c r="H747" i="382"/>
  <c r="G747" i="382"/>
  <c r="F747" i="382"/>
  <c r="E748" i="382"/>
  <c r="E747" i="382"/>
  <c r="H734" i="382"/>
  <c r="G734" i="382"/>
  <c r="F734" i="382"/>
  <c r="E735" i="382"/>
  <c r="E734" i="382"/>
  <c r="I721" i="382"/>
  <c r="H721" i="382"/>
  <c r="G721" i="382"/>
  <c r="F721" i="382"/>
  <c r="E722" i="382"/>
  <c r="E721" i="382"/>
  <c r="I693" i="382"/>
  <c r="H693" i="382"/>
  <c r="G693" i="382"/>
  <c r="F693" i="382"/>
  <c r="E694" i="382"/>
  <c r="E693" i="382"/>
  <c r="E308" i="382" l="1"/>
  <c r="I307" i="382"/>
  <c r="H307" i="382"/>
  <c r="G307" i="382"/>
  <c r="F307" i="382"/>
  <c r="E307" i="382"/>
  <c r="S47" i="382"/>
  <c r="T47" i="382" s="1"/>
  <c r="Q47" i="382"/>
  <c r="R47" i="382" s="1"/>
  <c r="O47" i="382"/>
  <c r="P47" i="382" s="1"/>
  <c r="M47" i="382"/>
  <c r="N47" i="382" s="1"/>
  <c r="K47" i="382"/>
  <c r="L47" i="382" s="1"/>
  <c r="S46" i="382"/>
  <c r="T46" i="382" s="1"/>
  <c r="Q46" i="382"/>
  <c r="R46" i="382" s="1"/>
  <c r="O46" i="382"/>
  <c r="P46" i="382" s="1"/>
  <c r="M46" i="382"/>
  <c r="N46" i="382" s="1"/>
  <c r="K46" i="382"/>
  <c r="L46" i="382" s="1"/>
  <c r="J46" i="382"/>
  <c r="S45" i="382"/>
  <c r="T45" i="382" s="1"/>
  <c r="Q45" i="382"/>
  <c r="R45" i="382" s="1"/>
  <c r="O45" i="382"/>
  <c r="P45" i="382" s="1"/>
  <c r="M45" i="382"/>
  <c r="N45" i="382" s="1"/>
  <c r="K45" i="382"/>
  <c r="L45" i="382" s="1"/>
  <c r="J45" i="382"/>
  <c r="S44" i="382"/>
  <c r="T44" i="382" s="1"/>
  <c r="Q44" i="382"/>
  <c r="R44" i="382" s="1"/>
  <c r="O44" i="382"/>
  <c r="P44" i="382" s="1"/>
  <c r="M44" i="382"/>
  <c r="N44" i="382" s="1"/>
  <c r="K44" i="382"/>
  <c r="L44" i="382" s="1"/>
  <c r="J44" i="382"/>
  <c r="S43" i="382"/>
  <c r="T43" i="382" s="1"/>
  <c r="Q43" i="382"/>
  <c r="R43" i="382" s="1"/>
  <c r="O43" i="382"/>
  <c r="P43" i="382" s="1"/>
  <c r="M43" i="382"/>
  <c r="N43" i="382" s="1"/>
  <c r="K43" i="382"/>
  <c r="L43" i="382" s="1"/>
  <c r="J43" i="382"/>
  <c r="S42" i="382"/>
  <c r="T42" i="382" s="1"/>
  <c r="Q42" i="382"/>
  <c r="R42" i="382" s="1"/>
  <c r="O42" i="382"/>
  <c r="P42" i="382" s="1"/>
  <c r="M42" i="382"/>
  <c r="N42" i="382" s="1"/>
  <c r="K42" i="382"/>
  <c r="L42" i="382" s="1"/>
  <c r="J42" i="382"/>
  <c r="S41" i="382"/>
  <c r="T41" i="382" s="1"/>
  <c r="Q41" i="382"/>
  <c r="R41" i="382" s="1"/>
  <c r="O41" i="382"/>
  <c r="P41" i="382" s="1"/>
  <c r="M41" i="382"/>
  <c r="N41" i="382" s="1"/>
  <c r="K41" i="382"/>
  <c r="L41" i="382" s="1"/>
  <c r="J41" i="382"/>
  <c r="S40" i="382"/>
  <c r="T40" i="382" s="1"/>
  <c r="Q40" i="382"/>
  <c r="R40" i="382" s="1"/>
  <c r="O40" i="382"/>
  <c r="P40" i="382" s="1"/>
  <c r="M40" i="382"/>
  <c r="N40" i="382" s="1"/>
  <c r="K40" i="382"/>
  <c r="L40" i="382" s="1"/>
  <c r="J40" i="382"/>
  <c r="S39" i="382"/>
  <c r="Q39" i="382"/>
  <c r="O39" i="382"/>
  <c r="M39" i="382"/>
  <c r="K39" i="382"/>
  <c r="J39" i="382"/>
  <c r="S38" i="382"/>
  <c r="Q38" i="382"/>
  <c r="O38" i="382"/>
  <c r="M38" i="382"/>
  <c r="K38" i="382"/>
  <c r="J38" i="382"/>
  <c r="S37" i="382"/>
  <c r="T37" i="382" s="1"/>
  <c r="Q37" i="382"/>
  <c r="R37" i="382" s="1"/>
  <c r="O37" i="382"/>
  <c r="M37" i="382"/>
  <c r="K37" i="382"/>
  <c r="J37" i="382"/>
  <c r="S36" i="382"/>
  <c r="T36" i="382" s="1"/>
  <c r="Q36" i="382"/>
  <c r="R36" i="382" s="1"/>
  <c r="O36" i="382"/>
  <c r="M36" i="382"/>
  <c r="K36" i="382"/>
  <c r="J36" i="382"/>
  <c r="S35" i="382"/>
  <c r="T35" i="382" s="1"/>
  <c r="Q35" i="382"/>
  <c r="O35" i="382"/>
  <c r="M35" i="382"/>
  <c r="K35" i="382"/>
  <c r="J35" i="382"/>
  <c r="S34" i="382"/>
  <c r="T34" i="382" s="1"/>
  <c r="Q34" i="382"/>
  <c r="R34" i="382" s="1"/>
  <c r="O34" i="382"/>
  <c r="M34" i="382"/>
  <c r="K34" i="382"/>
  <c r="J34" i="382"/>
  <c r="S33" i="382"/>
  <c r="T33" i="382" s="1"/>
  <c r="Q33" i="382"/>
  <c r="R33" i="382" s="1"/>
  <c r="O33" i="382"/>
  <c r="P33" i="382" s="1"/>
  <c r="M33" i="382"/>
  <c r="N33" i="382" s="1"/>
  <c r="K33" i="382"/>
  <c r="L33" i="382" s="1"/>
  <c r="J33" i="382"/>
  <c r="S32" i="382"/>
  <c r="T32" i="382" s="1"/>
  <c r="Q32" i="382"/>
  <c r="R32" i="382" s="1"/>
  <c r="O32" i="382"/>
  <c r="P32" i="382" s="1"/>
  <c r="M32" i="382"/>
  <c r="N32" i="382" s="1"/>
  <c r="K32" i="382"/>
  <c r="L32" i="382" s="1"/>
  <c r="J32" i="382"/>
  <c r="S31" i="382"/>
  <c r="T31" i="382" s="1"/>
  <c r="Q31" i="382"/>
  <c r="R31" i="382" s="1"/>
  <c r="O31" i="382"/>
  <c r="P31" i="382" s="1"/>
  <c r="M31" i="382"/>
  <c r="N31" i="382" s="1"/>
  <c r="K31" i="382"/>
  <c r="L31" i="382" s="1"/>
  <c r="J31" i="382"/>
  <c r="S30" i="382"/>
  <c r="T30" i="382" s="1"/>
  <c r="Q30" i="382"/>
  <c r="R30" i="382" s="1"/>
  <c r="O30" i="382"/>
  <c r="P30" i="382" s="1"/>
  <c r="M30" i="382"/>
  <c r="N30" i="382" s="1"/>
  <c r="K30" i="382"/>
  <c r="L30" i="382" s="1"/>
  <c r="J30" i="382"/>
  <c r="N37" i="382" l="1"/>
  <c r="G490" i="382"/>
  <c r="I566" i="382"/>
  <c r="I604" i="382"/>
  <c r="I516" i="382"/>
  <c r="N39" i="382"/>
  <c r="G630" i="382"/>
  <c r="G669" i="382"/>
  <c r="G656" i="382"/>
  <c r="G643" i="382"/>
  <c r="G617" i="382"/>
  <c r="P36" i="382"/>
  <c r="H462" i="382"/>
  <c r="L37" i="382"/>
  <c r="F490" i="382"/>
  <c r="H591" i="382"/>
  <c r="H541" i="382"/>
  <c r="H604" i="382"/>
  <c r="H516" i="382"/>
  <c r="H503" i="382"/>
  <c r="H578" i="382"/>
  <c r="H554" i="382"/>
  <c r="H528" i="382"/>
  <c r="H566" i="382"/>
  <c r="L39" i="382"/>
  <c r="F669" i="382"/>
  <c r="F656" i="382"/>
  <c r="F643" i="382"/>
  <c r="F617" i="382"/>
  <c r="F630" i="382"/>
  <c r="T39" i="382"/>
  <c r="J630" i="382"/>
  <c r="N36" i="382"/>
  <c r="G462" i="382"/>
  <c r="G604" i="382"/>
  <c r="G578" i="382"/>
  <c r="G566" i="382"/>
  <c r="G554" i="382"/>
  <c r="G541" i="382"/>
  <c r="G528" i="382"/>
  <c r="G516" i="382"/>
  <c r="G591" i="382"/>
  <c r="G503" i="382"/>
  <c r="R39" i="382"/>
  <c r="I630" i="382"/>
  <c r="L36" i="382"/>
  <c r="F462" i="382"/>
  <c r="P37" i="382"/>
  <c r="H490" i="382"/>
  <c r="F578" i="382"/>
  <c r="F566" i="382"/>
  <c r="F528" i="382"/>
  <c r="F591" i="382"/>
  <c r="F516" i="382"/>
  <c r="F503" i="382"/>
  <c r="F604" i="382"/>
  <c r="F554" i="382"/>
  <c r="F541" i="382"/>
  <c r="T38" i="382"/>
  <c r="J604" i="382"/>
  <c r="J566" i="382"/>
  <c r="P39" i="382"/>
  <c r="H630" i="382"/>
  <c r="H643" i="382"/>
  <c r="H617" i="382"/>
  <c r="H669" i="382"/>
  <c r="H656" i="382"/>
  <c r="L34" i="382"/>
  <c r="F694" i="382"/>
  <c r="P35" i="382"/>
  <c r="H722" i="382"/>
  <c r="L38" i="382"/>
  <c r="F761" i="382"/>
  <c r="F748" i="382"/>
  <c r="F735" i="382"/>
  <c r="F308" i="382"/>
  <c r="N35" i="382"/>
  <c r="G722" i="382"/>
  <c r="R38" i="382"/>
  <c r="I748" i="382"/>
  <c r="I761" i="382"/>
  <c r="I308" i="382"/>
  <c r="P34" i="382"/>
  <c r="H694" i="382"/>
  <c r="L35" i="382"/>
  <c r="F722" i="382"/>
  <c r="P38" i="382"/>
  <c r="H748" i="382"/>
  <c r="H735" i="382"/>
  <c r="H761" i="382"/>
  <c r="H308" i="382"/>
  <c r="N34" i="382"/>
  <c r="G694" i="382"/>
  <c r="R35" i="382"/>
  <c r="I722" i="382"/>
  <c r="N38" i="382"/>
  <c r="G748" i="382"/>
  <c r="G735" i="382"/>
  <c r="G761" i="382"/>
  <c r="G308" i="382"/>
  <c r="F285" i="382"/>
  <c r="G149" i="99" l="1"/>
  <c r="G155" i="99" s="1"/>
  <c r="G161" i="99" s="1"/>
  <c r="G87" i="99"/>
  <c r="I1529" i="382"/>
  <c r="D23" i="381"/>
  <c r="F1557" i="490" l="1"/>
  <c r="I1557" i="490" s="1"/>
  <c r="F1556" i="490"/>
  <c r="I1556" i="490" s="1"/>
  <c r="F1518" i="490"/>
  <c r="I1518" i="490" s="1"/>
  <c r="F1517" i="490"/>
  <c r="I1517" i="490" s="1"/>
  <c r="F1516" i="490"/>
  <c r="I1516" i="490" s="1"/>
  <c r="F1483" i="490"/>
  <c r="I1483" i="490" s="1"/>
  <c r="F1482" i="490"/>
  <c r="I1482" i="490" s="1"/>
  <c r="F1410" i="490"/>
  <c r="F1393" i="490"/>
  <c r="I1393" i="490" s="1"/>
  <c r="F1334" i="490"/>
  <c r="I1334" i="490" s="1"/>
  <c r="I1337" i="490" s="1"/>
  <c r="F1237" i="490"/>
  <c r="I1237" i="490" s="1"/>
  <c r="F1202" i="490"/>
  <c r="F1186" i="490"/>
  <c r="I1186" i="490" s="1"/>
  <c r="F1185" i="490"/>
  <c r="I1185" i="490" s="1"/>
  <c r="F1173" i="490"/>
  <c r="I1173" i="490" s="1"/>
  <c r="F1153" i="490"/>
  <c r="I1153" i="490" s="1"/>
  <c r="F1132" i="490"/>
  <c r="I1132" i="490" s="1"/>
  <c r="F1116" i="490"/>
  <c r="I1116" i="490" s="1"/>
  <c r="F1115" i="490"/>
  <c r="I1115" i="490" s="1"/>
  <c r="F1096" i="490"/>
  <c r="I1096" i="490" s="1"/>
  <c r="F1095" i="490"/>
  <c r="I1095" i="490" s="1"/>
  <c r="F1077" i="490"/>
  <c r="I1077" i="490" s="1"/>
  <c r="F1076" i="490"/>
  <c r="I1076" i="490" s="1"/>
  <c r="F1056" i="490"/>
  <c r="I1056" i="490" s="1"/>
  <c r="F1036" i="490"/>
  <c r="I1036" i="490" s="1"/>
  <c r="F1017" i="490"/>
  <c r="I1017" i="490" s="1"/>
  <c r="F1000" i="490"/>
  <c r="I1000" i="490" s="1"/>
  <c r="F983" i="490"/>
  <c r="I983" i="490" s="1"/>
  <c r="F964" i="490"/>
  <c r="I964" i="490" s="1"/>
  <c r="F961" i="490"/>
  <c r="I961" i="490" s="1"/>
  <c r="F941" i="490"/>
  <c r="I941" i="490" s="1"/>
  <c r="F938" i="490"/>
  <c r="I938" i="490" s="1"/>
  <c r="F917" i="490"/>
  <c r="I917" i="490" s="1"/>
  <c r="F914" i="490"/>
  <c r="I914" i="490" s="1"/>
  <c r="F864" i="490"/>
  <c r="I864" i="490" s="1"/>
  <c r="F848" i="490"/>
  <c r="I848" i="490" s="1"/>
  <c r="F824" i="490"/>
  <c r="I824" i="490" s="1"/>
  <c r="F801" i="490"/>
  <c r="I801" i="490" s="1"/>
  <c r="F779" i="490"/>
  <c r="I779" i="490" s="1"/>
  <c r="F769" i="490"/>
  <c r="I769" i="490" s="1"/>
  <c r="I775" i="490" s="1"/>
  <c r="F706" i="490"/>
  <c r="I706" i="490" s="1"/>
  <c r="F680" i="490"/>
  <c r="I680" i="490" s="1"/>
  <c r="F475" i="490"/>
  <c r="I475" i="490" s="1"/>
  <c r="F446" i="490"/>
  <c r="I446" i="490" s="1"/>
  <c r="F412" i="490"/>
  <c r="I412" i="490" s="1"/>
  <c r="F398" i="490"/>
  <c r="I398" i="490" s="1"/>
  <c r="F384" i="490"/>
  <c r="I384" i="490" s="1"/>
  <c r="F362" i="490"/>
  <c r="I362" i="490" s="1"/>
  <c r="F340" i="490"/>
  <c r="I340" i="490" s="1"/>
  <c r="F295" i="490"/>
  <c r="I295" i="490" s="1"/>
  <c r="F281" i="490"/>
  <c r="F267" i="490"/>
  <c r="I267" i="490" s="1"/>
  <c r="F156" i="490"/>
  <c r="F1557" i="382"/>
  <c r="I1557" i="382" s="1"/>
  <c r="F1556" i="382"/>
  <c r="I1556" i="382" s="1"/>
  <c r="J67" i="382"/>
  <c r="J50" i="382"/>
  <c r="C601" i="99"/>
  <c r="C600" i="99"/>
  <c r="A1" i="99"/>
  <c r="F164" i="490" l="1"/>
  <c r="I156" i="490"/>
  <c r="I281" i="490"/>
  <c r="F318" i="490"/>
  <c r="I318" i="490" s="1"/>
  <c r="F1464" i="490"/>
  <c r="I1464" i="490" s="1"/>
  <c r="F1058" i="490"/>
  <c r="I1058" i="490" s="1"/>
  <c r="F1204" i="490"/>
  <c r="I1204" i="490" s="1"/>
  <c r="I1202" i="490"/>
  <c r="I1338" i="490"/>
  <c r="I1339" i="490" s="1"/>
  <c r="F1437" i="490"/>
  <c r="I1410" i="490"/>
  <c r="F1411" i="490"/>
  <c r="K129" i="385"/>
  <c r="K128" i="385"/>
  <c r="I107" i="385"/>
  <c r="I157" i="385" s="1"/>
  <c r="K157" i="385" s="1"/>
  <c r="K106" i="385" s="1"/>
  <c r="K103" i="385" s="1"/>
  <c r="K81" i="385"/>
  <c r="K57" i="385"/>
  <c r="I54" i="385"/>
  <c r="K54" i="385" s="1"/>
  <c r="I53" i="385"/>
  <c r="K82" i="385" s="1"/>
  <c r="I52" i="385"/>
  <c r="K52" i="385" s="1"/>
  <c r="K51" i="385"/>
  <c r="K49" i="385"/>
  <c r="K50" i="385" s="1"/>
  <c r="K48" i="385"/>
  <c r="K27" i="385"/>
  <c r="K24" i="385"/>
  <c r="K23" i="385"/>
  <c r="K22" i="385"/>
  <c r="H294" i="383"/>
  <c r="H295" i="383" s="1"/>
  <c r="H278" i="383"/>
  <c r="H271" i="383"/>
  <c r="H280" i="383" s="1"/>
  <c r="H288" i="383" s="1"/>
  <c r="D271" i="383"/>
  <c r="H270" i="383"/>
  <c r="D270" i="383"/>
  <c r="H260" i="383"/>
  <c r="H263" i="383" s="1"/>
  <c r="H255" i="383"/>
  <c r="H250" i="383"/>
  <c r="H242" i="383"/>
  <c r="H241" i="383"/>
  <c r="H240" i="383"/>
  <c r="H239" i="383"/>
  <c r="H238" i="383"/>
  <c r="H237" i="383"/>
  <c r="H236" i="383"/>
  <c r="E235" i="383"/>
  <c r="E314" i="383" s="1"/>
  <c r="H314" i="383" s="1"/>
  <c r="E234" i="383"/>
  <c r="E313" i="383" s="1"/>
  <c r="H313" i="383" s="1"/>
  <c r="E233" i="383"/>
  <c r="E312" i="383" s="1"/>
  <c r="H312" i="383" s="1"/>
  <c r="H326" i="383" s="1"/>
  <c r="H327" i="383" s="1"/>
  <c r="H328" i="383" s="1"/>
  <c r="H329" i="383" s="1"/>
  <c r="C235" i="383"/>
  <c r="E227" i="383"/>
  <c r="C234" i="383" s="1"/>
  <c r="E226" i="383"/>
  <c r="H224" i="383"/>
  <c r="C244" i="383" s="1"/>
  <c r="H215" i="383"/>
  <c r="D215" i="383"/>
  <c r="H214" i="383"/>
  <c r="D214" i="383"/>
  <c r="H213" i="383"/>
  <c r="D213" i="383"/>
  <c r="H212" i="383"/>
  <c r="D212" i="383"/>
  <c r="H211" i="383"/>
  <c r="D211" i="383"/>
  <c r="H210" i="383"/>
  <c r="D210" i="383"/>
  <c r="E208" i="383"/>
  <c r="E206" i="383"/>
  <c r="E203" i="383"/>
  <c r="C208" i="383" s="1"/>
  <c r="E200" i="383"/>
  <c r="C207" i="383" s="1"/>
  <c r="E199" i="383"/>
  <c r="C206" i="383" s="1"/>
  <c r="H197" i="383"/>
  <c r="C217" i="383" s="1"/>
  <c r="D190" i="383"/>
  <c r="D244" i="383" s="1"/>
  <c r="H188" i="383"/>
  <c r="H187" i="383"/>
  <c r="H186" i="383"/>
  <c r="H185" i="383"/>
  <c r="H184" i="383"/>
  <c r="H183" i="383"/>
  <c r="H209" i="383"/>
  <c r="D182" i="383"/>
  <c r="D236" i="383" s="1"/>
  <c r="E181" i="383"/>
  <c r="D181" i="383"/>
  <c r="D235" i="383" s="1"/>
  <c r="E180" i="383"/>
  <c r="E207" i="383" s="1"/>
  <c r="D207" i="383"/>
  <c r="E179" i="383"/>
  <c r="D179" i="383"/>
  <c r="D233" i="383" s="1"/>
  <c r="E176" i="383"/>
  <c r="C181" i="383" s="1"/>
  <c r="E173" i="383"/>
  <c r="C180" i="383" s="1"/>
  <c r="E172" i="383"/>
  <c r="C179" i="383" s="1"/>
  <c r="H179" i="383" s="1"/>
  <c r="D171" i="383"/>
  <c r="D198" i="383" s="1"/>
  <c r="H170" i="383"/>
  <c r="C190" i="383" s="1"/>
  <c r="H135" i="383"/>
  <c r="H134" i="383"/>
  <c r="H133" i="383"/>
  <c r="H132" i="383"/>
  <c r="H131" i="383"/>
  <c r="H130" i="383"/>
  <c r="H129" i="383"/>
  <c r="E123" i="383"/>
  <c r="C128" i="383" s="1"/>
  <c r="H128" i="383" s="1"/>
  <c r="E120" i="383"/>
  <c r="C127" i="383" s="1"/>
  <c r="H127" i="383" s="1"/>
  <c r="E119" i="383"/>
  <c r="C126" i="383" s="1"/>
  <c r="H126" i="383" s="1"/>
  <c r="H117" i="383"/>
  <c r="C137" i="383" s="1"/>
  <c r="H137" i="383" s="1"/>
  <c r="E138" i="383" s="1"/>
  <c r="H138" i="383" s="1"/>
  <c r="H107" i="383"/>
  <c r="H106" i="383"/>
  <c r="H105" i="383"/>
  <c r="H104" i="383"/>
  <c r="H103" i="383"/>
  <c r="H102" i="383"/>
  <c r="H101" i="383"/>
  <c r="C98" i="383"/>
  <c r="H98" i="383" s="1"/>
  <c r="E95" i="383"/>
  <c r="C100" i="383" s="1"/>
  <c r="E92" i="383"/>
  <c r="C99" i="383" s="1"/>
  <c r="H99" i="383" s="1"/>
  <c r="H89" i="383"/>
  <c r="C110" i="383" s="1"/>
  <c r="H110" i="383" s="1"/>
  <c r="E111" i="383" s="1"/>
  <c r="H111" i="383" s="1"/>
  <c r="H51" i="383"/>
  <c r="H50" i="383"/>
  <c r="H49" i="383"/>
  <c r="H48" i="383"/>
  <c r="H47" i="383"/>
  <c r="H46" i="383"/>
  <c r="H45" i="383"/>
  <c r="C42" i="383"/>
  <c r="H42" i="383" s="1"/>
  <c r="E39" i="383"/>
  <c r="E36" i="383"/>
  <c r="C43" i="383" s="1"/>
  <c r="H43" i="383" s="1"/>
  <c r="H33" i="383"/>
  <c r="C54" i="383" s="1"/>
  <c r="H54" i="383" s="1"/>
  <c r="E55" i="383" s="1"/>
  <c r="H55" i="383" s="1"/>
  <c r="B32" i="383"/>
  <c r="B88" i="383" s="1"/>
  <c r="H23" i="383"/>
  <c r="H22" i="383"/>
  <c r="H21" i="383"/>
  <c r="H20" i="383"/>
  <c r="H19" i="383"/>
  <c r="H18" i="383"/>
  <c r="H17" i="383"/>
  <c r="C14" i="383"/>
  <c r="H14" i="383" s="1"/>
  <c r="E11" i="383"/>
  <c r="C16" i="383" s="1"/>
  <c r="H16" i="383" s="1"/>
  <c r="E8" i="383"/>
  <c r="C15" i="383" s="1"/>
  <c r="H15" i="383" s="1"/>
  <c r="H5" i="383"/>
  <c r="C26" i="383" s="1"/>
  <c r="H26" i="383" s="1"/>
  <c r="E27" i="383" s="1"/>
  <c r="H27" i="383" s="1"/>
  <c r="D1618" i="382"/>
  <c r="C1618" i="382"/>
  <c r="D1617" i="382"/>
  <c r="C1617" i="382"/>
  <c r="I1547" i="382"/>
  <c r="F1548" i="382" s="1"/>
  <c r="D1543" i="382"/>
  <c r="D1548" i="382" s="1"/>
  <c r="I1537" i="382"/>
  <c r="I1536" i="382"/>
  <c r="I1535" i="382"/>
  <c r="F1534" i="382"/>
  <c r="I1534" i="382" s="1"/>
  <c r="D1530" i="382"/>
  <c r="H1529" i="382"/>
  <c r="D1525" i="382"/>
  <c r="H1522" i="382"/>
  <c r="H1521" i="382"/>
  <c r="H1520" i="382"/>
  <c r="H1518" i="382"/>
  <c r="H1517" i="382"/>
  <c r="H1516" i="382"/>
  <c r="H1515" i="382"/>
  <c r="D1515" i="382"/>
  <c r="H1514" i="382"/>
  <c r="C1507" i="382"/>
  <c r="F1502" i="382"/>
  <c r="I1502" i="382" s="1"/>
  <c r="F1499" i="382"/>
  <c r="I1499" i="382" s="1"/>
  <c r="D1494" i="382"/>
  <c r="D1507" i="382" s="1"/>
  <c r="H1487" i="382"/>
  <c r="H1486" i="382"/>
  <c r="H1485" i="382"/>
  <c r="H1483" i="382"/>
  <c r="H1482" i="382"/>
  <c r="H1481" i="382"/>
  <c r="D1481" i="382"/>
  <c r="H1480" i="382"/>
  <c r="C1480" i="382"/>
  <c r="D1475" i="382"/>
  <c r="H1468" i="382"/>
  <c r="H1467" i="382"/>
  <c r="H1466" i="382"/>
  <c r="H1465" i="382"/>
  <c r="H1464" i="382"/>
  <c r="H1463" i="382"/>
  <c r="D1463" i="382"/>
  <c r="H1462" i="382"/>
  <c r="H1461" i="382"/>
  <c r="F1461" i="382"/>
  <c r="I1461" i="382" s="1"/>
  <c r="D1454" i="382"/>
  <c r="C1454" i="382"/>
  <c r="E1452" i="382"/>
  <c r="D1452" i="382"/>
  <c r="D1436" i="382"/>
  <c r="D1425" i="382"/>
  <c r="E1425" i="382" s="1"/>
  <c r="C1425" i="382"/>
  <c r="D1413" i="382"/>
  <c r="F1409" i="382"/>
  <c r="F1435" i="382" s="1"/>
  <c r="I1435" i="382" s="1"/>
  <c r="C1409" i="382"/>
  <c r="D1401" i="382"/>
  <c r="D1427" i="382" s="1"/>
  <c r="D1392" i="382"/>
  <c r="I1384" i="382"/>
  <c r="I1383" i="382"/>
  <c r="D1376" i="382"/>
  <c r="D1386" i="382" s="1"/>
  <c r="I1373" i="382"/>
  <c r="I1372" i="382"/>
  <c r="I1371" i="382"/>
  <c r="I1358" i="382"/>
  <c r="I1357" i="382"/>
  <c r="I1345" i="382"/>
  <c r="D1338" i="382"/>
  <c r="D1351" i="382" s="1"/>
  <c r="H1334" i="382"/>
  <c r="I1333" i="382"/>
  <c r="D1329" i="382"/>
  <c r="I1328" i="382"/>
  <c r="F1329" i="382" s="1"/>
  <c r="D1325" i="382"/>
  <c r="I1323" i="382"/>
  <c r="I1324" i="382" s="1"/>
  <c r="D1320" i="382"/>
  <c r="I1319" i="382"/>
  <c r="F1320" i="382" s="1"/>
  <c r="H1319" i="382"/>
  <c r="D1314" i="382"/>
  <c r="H1312" i="382"/>
  <c r="D1312" i="382"/>
  <c r="H1311" i="382"/>
  <c r="H1310" i="382"/>
  <c r="H1308" i="382"/>
  <c r="H1307" i="382"/>
  <c r="H1305" i="382"/>
  <c r="F1305" i="382"/>
  <c r="I1305" i="382" s="1"/>
  <c r="H1304" i="382"/>
  <c r="F1304" i="382"/>
  <c r="I1304" i="382" s="1"/>
  <c r="D1299" i="382"/>
  <c r="H1296" i="382"/>
  <c r="H1295" i="382"/>
  <c r="H1294" i="382"/>
  <c r="I1293" i="382"/>
  <c r="H1293" i="382"/>
  <c r="D1288" i="382"/>
  <c r="H1286" i="382"/>
  <c r="H1285" i="382"/>
  <c r="H1283" i="382"/>
  <c r="H1282" i="382"/>
  <c r="H1280" i="382"/>
  <c r="F1280" i="382"/>
  <c r="I1280" i="382" s="1"/>
  <c r="H1279" i="382"/>
  <c r="F1279" i="382"/>
  <c r="I1279" i="382" s="1"/>
  <c r="D1274" i="382"/>
  <c r="I1272" i="382"/>
  <c r="H1272" i="382"/>
  <c r="I1271" i="382"/>
  <c r="H1271" i="382"/>
  <c r="D1268" i="382"/>
  <c r="H1267" i="382"/>
  <c r="F1267" i="382"/>
  <c r="I1267" i="382" s="1"/>
  <c r="F1268" i="382" s="1"/>
  <c r="D1264" i="382"/>
  <c r="H1260" i="382"/>
  <c r="F1260" i="382"/>
  <c r="F1256" i="382"/>
  <c r="F1255" i="382"/>
  <c r="D1251" i="382"/>
  <c r="I1243" i="382"/>
  <c r="H1243" i="382"/>
  <c r="H1242" i="382"/>
  <c r="H1241" i="382"/>
  <c r="H1240" i="382"/>
  <c r="H1237" i="382"/>
  <c r="F1236" i="382"/>
  <c r="I1236" i="382" s="1"/>
  <c r="D1231" i="382"/>
  <c r="H1229" i="382"/>
  <c r="H1228" i="382"/>
  <c r="H1227" i="382"/>
  <c r="F1227" i="382"/>
  <c r="I1227" i="382" s="1"/>
  <c r="D1223" i="382"/>
  <c r="H1220" i="382"/>
  <c r="H1219" i="382"/>
  <c r="H1218" i="382"/>
  <c r="F1218" i="382"/>
  <c r="I1218" i="382" s="1"/>
  <c r="D1215" i="382"/>
  <c r="H1208" i="382"/>
  <c r="H1207" i="382"/>
  <c r="H1205" i="382"/>
  <c r="D1205" i="382"/>
  <c r="H1204" i="382"/>
  <c r="H1203" i="382"/>
  <c r="F1203" i="382"/>
  <c r="I1203" i="382" s="1"/>
  <c r="H1202" i="382"/>
  <c r="H1201" i="382"/>
  <c r="F1201" i="382"/>
  <c r="I1201" i="382" s="1"/>
  <c r="D1198" i="382"/>
  <c r="H1191" i="382"/>
  <c r="H1190" i="382"/>
  <c r="H1189" i="382"/>
  <c r="H1187" i="382"/>
  <c r="F1187" i="382"/>
  <c r="I1187" i="382" s="1"/>
  <c r="H1186" i="382"/>
  <c r="H1185" i="382"/>
  <c r="H1184" i="382"/>
  <c r="D1184" i="382"/>
  <c r="H1183" i="382"/>
  <c r="F1183" i="382"/>
  <c r="I1183" i="382" s="1"/>
  <c r="D1179" i="382"/>
  <c r="H1177" i="382"/>
  <c r="H1176" i="382"/>
  <c r="H1175" i="382"/>
  <c r="H1174" i="382"/>
  <c r="H1173" i="382"/>
  <c r="H1172" i="382"/>
  <c r="D1172" i="382"/>
  <c r="H1171" i="382"/>
  <c r="D1168" i="382"/>
  <c r="H1161" i="382"/>
  <c r="H1160" i="382"/>
  <c r="H1159" i="382"/>
  <c r="D1157" i="382"/>
  <c r="I1157" i="382" s="1"/>
  <c r="I1156" i="382"/>
  <c r="H1154" i="382"/>
  <c r="H1153" i="382"/>
  <c r="H1152" i="382"/>
  <c r="D1148" i="382"/>
  <c r="H1141" i="382"/>
  <c r="D1141" i="382"/>
  <c r="I1141" i="382" s="1"/>
  <c r="H1140" i="382"/>
  <c r="H1139" i="382"/>
  <c r="H1138" i="382"/>
  <c r="D1136" i="382"/>
  <c r="I1136" i="382" s="1"/>
  <c r="I1135" i="382"/>
  <c r="H1133" i="382"/>
  <c r="D1133" i="382"/>
  <c r="H1132" i="382"/>
  <c r="H1131" i="382"/>
  <c r="C1131" i="382"/>
  <c r="D1127" i="382"/>
  <c r="H1120" i="382"/>
  <c r="H1119" i="382"/>
  <c r="H1118" i="382"/>
  <c r="H1116" i="382"/>
  <c r="H1115" i="382"/>
  <c r="H1114" i="382"/>
  <c r="H1113" i="382"/>
  <c r="D1107" i="382"/>
  <c r="H1100" i="382"/>
  <c r="H1099" i="382"/>
  <c r="H1098" i="382"/>
  <c r="H1096" i="382"/>
  <c r="H1095" i="382"/>
  <c r="H1094" i="382"/>
  <c r="D1094" i="382"/>
  <c r="H1093" i="382"/>
  <c r="D1088" i="382"/>
  <c r="H1081" i="382"/>
  <c r="H1080" i="382"/>
  <c r="H1079" i="382"/>
  <c r="H1077" i="382"/>
  <c r="H1076" i="382"/>
  <c r="H1075" i="382"/>
  <c r="H1074" i="382"/>
  <c r="C1072" i="382"/>
  <c r="D1069" i="382"/>
  <c r="H1062" i="382"/>
  <c r="H1061" i="382"/>
  <c r="H1060" i="382"/>
  <c r="H1059" i="382"/>
  <c r="H1058" i="382"/>
  <c r="H1057" i="382"/>
  <c r="H1056" i="382"/>
  <c r="H1055" i="382"/>
  <c r="C1054" i="382"/>
  <c r="D1051" i="382"/>
  <c r="H1044" i="382"/>
  <c r="H1043" i="382"/>
  <c r="H1042" i="382"/>
  <c r="D1040" i="382"/>
  <c r="I1040" i="382" s="1"/>
  <c r="I1039" i="382"/>
  <c r="H1037" i="382"/>
  <c r="D1037" i="382"/>
  <c r="H1036" i="382"/>
  <c r="H1035" i="382"/>
  <c r="C1035" i="382"/>
  <c r="C1074" i="382" s="1"/>
  <c r="C1093" i="382" s="1"/>
  <c r="D1030" i="382"/>
  <c r="H1022" i="382"/>
  <c r="H1021" i="382"/>
  <c r="H1020" i="382"/>
  <c r="H1019" i="382"/>
  <c r="F1019" i="382"/>
  <c r="I1019" i="382" s="1"/>
  <c r="H1018" i="382"/>
  <c r="H1017" i="382"/>
  <c r="D1014" i="382"/>
  <c r="D1011" i="382"/>
  <c r="H1010" i="382"/>
  <c r="G1010" i="382"/>
  <c r="F1010" i="382"/>
  <c r="E1010" i="382"/>
  <c r="E1009" i="382"/>
  <c r="H1003" i="382"/>
  <c r="H1002" i="382"/>
  <c r="H1001" i="382"/>
  <c r="H1000" i="382"/>
  <c r="D1000" i="382"/>
  <c r="D997" i="382"/>
  <c r="D994" i="382"/>
  <c r="J993" i="382"/>
  <c r="I993" i="382"/>
  <c r="H993" i="382"/>
  <c r="G993" i="382"/>
  <c r="F993" i="382"/>
  <c r="E993" i="382"/>
  <c r="E992" i="382"/>
  <c r="H986" i="382"/>
  <c r="H985" i="382"/>
  <c r="H984" i="382"/>
  <c r="D984" i="382"/>
  <c r="H983" i="382"/>
  <c r="D983" i="382"/>
  <c r="D980" i="382"/>
  <c r="D977" i="382"/>
  <c r="J976" i="382"/>
  <c r="I976" i="382"/>
  <c r="H976" i="382"/>
  <c r="G976" i="382"/>
  <c r="F976" i="382"/>
  <c r="E976" i="382"/>
  <c r="E975" i="382"/>
  <c r="H969" i="382"/>
  <c r="H968" i="382"/>
  <c r="H967" i="382"/>
  <c r="H965" i="382"/>
  <c r="H964" i="382"/>
  <c r="H962" i="382"/>
  <c r="H961" i="382"/>
  <c r="D957" i="382"/>
  <c r="D954" i="382"/>
  <c r="J953" i="382"/>
  <c r="I953" i="382"/>
  <c r="H953" i="382"/>
  <c r="G953" i="382"/>
  <c r="F953" i="382"/>
  <c r="E953" i="382"/>
  <c r="E952" i="382"/>
  <c r="H946" i="382"/>
  <c r="D946" i="382"/>
  <c r="H945" i="382"/>
  <c r="D945" i="382"/>
  <c r="H944" i="382"/>
  <c r="D944" i="382"/>
  <c r="H942" i="382"/>
  <c r="D942" i="382"/>
  <c r="H941" i="382"/>
  <c r="H939" i="382"/>
  <c r="D939" i="382"/>
  <c r="H938" i="382"/>
  <c r="D933" i="382"/>
  <c r="D930" i="382"/>
  <c r="J929" i="382"/>
  <c r="I929" i="382"/>
  <c r="H929" i="382"/>
  <c r="G929" i="382"/>
  <c r="F929" i="382"/>
  <c r="E929" i="382"/>
  <c r="E928" i="382"/>
  <c r="H922" i="382"/>
  <c r="H921" i="382"/>
  <c r="H920" i="382"/>
  <c r="H918" i="382"/>
  <c r="D918" i="382"/>
  <c r="H917" i="382"/>
  <c r="H915" i="382"/>
  <c r="D915" i="382"/>
  <c r="H914" i="382"/>
  <c r="D908" i="382"/>
  <c r="H902" i="382"/>
  <c r="H901" i="382"/>
  <c r="H899" i="382"/>
  <c r="H898" i="382"/>
  <c r="D894" i="382"/>
  <c r="H888" i="382"/>
  <c r="H887" i="382"/>
  <c r="H885" i="382"/>
  <c r="H884" i="382"/>
  <c r="D880" i="382"/>
  <c r="D877" i="382"/>
  <c r="J876" i="382"/>
  <c r="I876" i="382"/>
  <c r="H876" i="382"/>
  <c r="G876" i="382"/>
  <c r="F876" i="382"/>
  <c r="E876" i="382"/>
  <c r="E875" i="382"/>
  <c r="D865" i="382"/>
  <c r="H864" i="382"/>
  <c r="D858" i="382"/>
  <c r="D849" i="382"/>
  <c r="H848" i="382"/>
  <c r="D848" i="382"/>
  <c r="D841" i="382"/>
  <c r="D838" i="382"/>
  <c r="J837" i="382"/>
  <c r="I837" i="382"/>
  <c r="H837" i="382"/>
  <c r="G837" i="382"/>
  <c r="F837" i="382"/>
  <c r="E837" i="382"/>
  <c r="E836" i="382"/>
  <c r="D825" i="382"/>
  <c r="H824" i="382"/>
  <c r="D824" i="382"/>
  <c r="D818" i="382"/>
  <c r="D815" i="382"/>
  <c r="J814" i="382"/>
  <c r="I814" i="382"/>
  <c r="H814" i="382"/>
  <c r="G814" i="382"/>
  <c r="F814" i="382"/>
  <c r="E814" i="382"/>
  <c r="E813" i="382"/>
  <c r="H807" i="382"/>
  <c r="H806" i="382"/>
  <c r="H805" i="382"/>
  <c r="H803" i="382"/>
  <c r="H802" i="382"/>
  <c r="H801" i="382"/>
  <c r="D796" i="382"/>
  <c r="D793" i="382"/>
  <c r="J792" i="382"/>
  <c r="I792" i="382"/>
  <c r="H792" i="382"/>
  <c r="G792" i="382"/>
  <c r="F792" i="382"/>
  <c r="H785" i="382"/>
  <c r="H784" i="382"/>
  <c r="H783" i="382"/>
  <c r="H781" i="382"/>
  <c r="H780" i="382"/>
  <c r="H779" i="382"/>
  <c r="H774" i="382"/>
  <c r="H773" i="382"/>
  <c r="H772" i="382"/>
  <c r="H771" i="382"/>
  <c r="H770" i="382"/>
  <c r="H769" i="382"/>
  <c r="D769" i="382"/>
  <c r="D765" i="382"/>
  <c r="D762" i="382"/>
  <c r="H756" i="382"/>
  <c r="D752" i="382"/>
  <c r="D749" i="382"/>
  <c r="I746" i="382"/>
  <c r="H743" i="382"/>
  <c r="D739" i="382"/>
  <c r="D736" i="382"/>
  <c r="H730" i="382"/>
  <c r="D726" i="382"/>
  <c r="D723" i="382"/>
  <c r="J721" i="382"/>
  <c r="H717" i="382"/>
  <c r="H714" i="382"/>
  <c r="H713" i="382"/>
  <c r="H712" i="382"/>
  <c r="H710" i="382"/>
  <c r="F710" i="382"/>
  <c r="D710" i="382"/>
  <c r="H709" i="382"/>
  <c r="H707" i="382"/>
  <c r="H706" i="382"/>
  <c r="H705" i="382"/>
  <c r="D705" i="382"/>
  <c r="H704" i="382"/>
  <c r="D698" i="382"/>
  <c r="D695" i="382"/>
  <c r="J693" i="382"/>
  <c r="H688" i="382"/>
  <c r="H687" i="382"/>
  <c r="H686" i="382"/>
  <c r="H684" i="382"/>
  <c r="F684" i="382"/>
  <c r="D684" i="382"/>
  <c r="H683" i="382"/>
  <c r="H681" i="382"/>
  <c r="H680" i="382"/>
  <c r="H679" i="382"/>
  <c r="D679" i="382"/>
  <c r="H678" i="382"/>
  <c r="D673" i="382"/>
  <c r="D670" i="382"/>
  <c r="H664" i="382"/>
  <c r="D660" i="382"/>
  <c r="D657" i="382"/>
  <c r="H651" i="382"/>
  <c r="D647" i="382"/>
  <c r="D644" i="382"/>
  <c r="H638" i="382"/>
  <c r="D634" i="382"/>
  <c r="D631" i="382"/>
  <c r="H625" i="382"/>
  <c r="D625" i="382"/>
  <c r="D621" i="382"/>
  <c r="D618" i="382"/>
  <c r="H612" i="382"/>
  <c r="D608" i="382"/>
  <c r="D605" i="382"/>
  <c r="H599" i="382"/>
  <c r="D595" i="382"/>
  <c r="D592" i="382"/>
  <c r="H586" i="382"/>
  <c r="D582" i="382"/>
  <c r="D579" i="382"/>
  <c r="H573" i="382"/>
  <c r="D570" i="382"/>
  <c r="D567" i="382"/>
  <c r="H562" i="382"/>
  <c r="D558" i="382"/>
  <c r="D555" i="382"/>
  <c r="H549" i="382"/>
  <c r="D545" i="382"/>
  <c r="D542" i="382"/>
  <c r="H536" i="382"/>
  <c r="D532" i="382"/>
  <c r="D529" i="382"/>
  <c r="H523" i="382"/>
  <c r="D520" i="382"/>
  <c r="D517" i="382"/>
  <c r="H511" i="382"/>
  <c r="D507" i="382"/>
  <c r="D504" i="382"/>
  <c r="H498" i="382"/>
  <c r="D494" i="382"/>
  <c r="D491" i="382"/>
  <c r="I490" i="382"/>
  <c r="H484" i="382"/>
  <c r="H483" i="382"/>
  <c r="H482" i="382"/>
  <c r="H480" i="382"/>
  <c r="F480" i="382"/>
  <c r="D480" i="382"/>
  <c r="H479" i="382"/>
  <c r="H478" i="382"/>
  <c r="H476" i="382"/>
  <c r="H475" i="382"/>
  <c r="H474" i="382"/>
  <c r="D474" i="382"/>
  <c r="H473" i="382"/>
  <c r="D466" i="382"/>
  <c r="D463" i="382"/>
  <c r="E309" i="382" s="1"/>
  <c r="H455" i="382"/>
  <c r="H454" i="382"/>
  <c r="H453" i="382"/>
  <c r="H451" i="382"/>
  <c r="F451" i="382"/>
  <c r="D451" i="382"/>
  <c r="H450" i="382"/>
  <c r="H449" i="382"/>
  <c r="H447" i="382"/>
  <c r="H446" i="382"/>
  <c r="H445" i="382"/>
  <c r="H444" i="382"/>
  <c r="F439" i="382"/>
  <c r="F438" i="382"/>
  <c r="D438" i="382"/>
  <c r="H437" i="382"/>
  <c r="H436" i="382"/>
  <c r="F433" i="382"/>
  <c r="F432" i="382"/>
  <c r="D432" i="382"/>
  <c r="H431" i="382"/>
  <c r="H430" i="382"/>
  <c r="F427" i="382"/>
  <c r="F426" i="382"/>
  <c r="D426" i="382"/>
  <c r="H425" i="382"/>
  <c r="H424" i="382"/>
  <c r="H421" i="382"/>
  <c r="H420" i="382"/>
  <c r="H419" i="382"/>
  <c r="H417" i="382"/>
  <c r="D417" i="382"/>
  <c r="H416" i="382"/>
  <c r="H415" i="382"/>
  <c r="H413" i="382"/>
  <c r="H412" i="382"/>
  <c r="H411" i="382"/>
  <c r="H410" i="382"/>
  <c r="F405" i="382"/>
  <c r="H401" i="382"/>
  <c r="H400" i="382"/>
  <c r="H399" i="382"/>
  <c r="H398" i="382"/>
  <c r="F394" i="382"/>
  <c r="H388" i="382"/>
  <c r="H384" i="382"/>
  <c r="D379" i="382"/>
  <c r="D376" i="382"/>
  <c r="E375" i="382"/>
  <c r="I375" i="382" s="1"/>
  <c r="I374" i="382"/>
  <c r="H374" i="382"/>
  <c r="G374" i="382"/>
  <c r="F374" i="382"/>
  <c r="E374" i="382"/>
  <c r="H370" i="382"/>
  <c r="H369" i="382"/>
  <c r="H367" i="382"/>
  <c r="F367" i="382"/>
  <c r="D367" i="382"/>
  <c r="H366" i="382"/>
  <c r="H365" i="382"/>
  <c r="H363" i="382"/>
  <c r="H362" i="382"/>
  <c r="H361" i="382"/>
  <c r="D361" i="382"/>
  <c r="H360" i="382"/>
  <c r="D356" i="382"/>
  <c r="D353" i="382"/>
  <c r="E352" i="382"/>
  <c r="I352" i="382" s="1"/>
  <c r="I351" i="382"/>
  <c r="H351" i="382"/>
  <c r="G351" i="382"/>
  <c r="F351" i="382"/>
  <c r="E351" i="382"/>
  <c r="H347" i="382"/>
  <c r="H346" i="382"/>
  <c r="H344" i="382"/>
  <c r="F344" i="382"/>
  <c r="D344" i="382"/>
  <c r="H343" i="382"/>
  <c r="H341" i="382"/>
  <c r="H340" i="382"/>
  <c r="H339" i="382"/>
  <c r="H338" i="382"/>
  <c r="D334" i="382"/>
  <c r="D331" i="382"/>
  <c r="E330" i="382"/>
  <c r="I330" i="382" s="1"/>
  <c r="J329" i="382"/>
  <c r="I329" i="382"/>
  <c r="H329" i="382"/>
  <c r="G329" i="382"/>
  <c r="F329" i="382"/>
  <c r="E329" i="382"/>
  <c r="H325" i="382"/>
  <c r="H322" i="382"/>
  <c r="F322" i="382"/>
  <c r="D322" i="382"/>
  <c r="H321" i="382"/>
  <c r="H319" i="382"/>
  <c r="H318" i="382"/>
  <c r="H317" i="382"/>
  <c r="D317" i="382"/>
  <c r="H316" i="382"/>
  <c r="D312" i="382"/>
  <c r="D309" i="382"/>
  <c r="J307" i="382"/>
  <c r="H302" i="382"/>
  <c r="H301" i="382"/>
  <c r="H299" i="382"/>
  <c r="F299" i="382"/>
  <c r="D299" i="382"/>
  <c r="H298" i="382"/>
  <c r="H296" i="382"/>
  <c r="H295" i="382"/>
  <c r="H294" i="382"/>
  <c r="D294" i="382"/>
  <c r="H293" i="382"/>
  <c r="B291" i="382"/>
  <c r="F289" i="382"/>
  <c r="H288" i="382"/>
  <c r="H287" i="382"/>
  <c r="H285" i="382"/>
  <c r="D285" i="382"/>
  <c r="H284" i="382"/>
  <c r="H282" i="382"/>
  <c r="H281" i="382"/>
  <c r="H280" i="382"/>
  <c r="D280" i="382"/>
  <c r="H279" i="382"/>
  <c r="F275" i="382"/>
  <c r="H274" i="382"/>
  <c r="H273" i="382"/>
  <c r="H271" i="382"/>
  <c r="F271" i="382"/>
  <c r="D271" i="382"/>
  <c r="H270" i="382"/>
  <c r="H268" i="382"/>
  <c r="H267" i="382"/>
  <c r="H266" i="382"/>
  <c r="D266" i="382"/>
  <c r="H265" i="382"/>
  <c r="F261" i="382"/>
  <c r="H259" i="382"/>
  <c r="H258" i="382"/>
  <c r="H257" i="382"/>
  <c r="F254" i="382"/>
  <c r="H252" i="382"/>
  <c r="D252" i="382"/>
  <c r="H251" i="382"/>
  <c r="D251" i="382"/>
  <c r="H250" i="382"/>
  <c r="F247" i="382"/>
  <c r="H245" i="382"/>
  <c r="D245" i="382"/>
  <c r="H244" i="382"/>
  <c r="F236" i="382"/>
  <c r="D236" i="382"/>
  <c r="I235" i="382"/>
  <c r="I234" i="382"/>
  <c r="H229" i="382"/>
  <c r="F224" i="382"/>
  <c r="D238" i="382" s="1"/>
  <c r="I222" i="382"/>
  <c r="H222" i="382"/>
  <c r="H221" i="382"/>
  <c r="A220" i="382"/>
  <c r="F217" i="382"/>
  <c r="I216" i="382"/>
  <c r="H216" i="382"/>
  <c r="H215" i="382"/>
  <c r="H210" i="382"/>
  <c r="H209" i="382"/>
  <c r="H208" i="382"/>
  <c r="H204" i="382"/>
  <c r="H203" i="382"/>
  <c r="H202" i="382"/>
  <c r="H201" i="382"/>
  <c r="H196" i="382"/>
  <c r="H195" i="382"/>
  <c r="H188" i="382"/>
  <c r="H187" i="382"/>
  <c r="H180" i="382"/>
  <c r="H179" i="382"/>
  <c r="H172" i="382"/>
  <c r="H171" i="382"/>
  <c r="H164" i="382"/>
  <c r="H163" i="382"/>
  <c r="H156" i="382"/>
  <c r="H155" i="382"/>
  <c r="G149" i="382"/>
  <c r="G148" i="382"/>
  <c r="A122" i="382"/>
  <c r="A123" i="382" s="1"/>
  <c r="A124" i="382" s="1"/>
  <c r="A125" i="382" s="1"/>
  <c r="A126" i="382" s="1"/>
  <c r="A127" i="382" s="1"/>
  <c r="A128" i="382" s="1"/>
  <c r="A129" i="382" s="1"/>
  <c r="A130" i="382" s="1"/>
  <c r="Q110" i="382"/>
  <c r="P110" i="382"/>
  <c r="O110" i="382"/>
  <c r="N110" i="382"/>
  <c r="M110" i="382"/>
  <c r="L110" i="382"/>
  <c r="K110" i="382"/>
  <c r="J110" i="382"/>
  <c r="I110" i="382"/>
  <c r="H110" i="382"/>
  <c r="G110" i="382"/>
  <c r="F110" i="382"/>
  <c r="E110" i="382"/>
  <c r="Q98" i="382"/>
  <c r="P98" i="382"/>
  <c r="O98" i="382"/>
  <c r="N98" i="382"/>
  <c r="M98" i="382"/>
  <c r="L98" i="382"/>
  <c r="K98" i="382"/>
  <c r="J98" i="382"/>
  <c r="I98" i="382"/>
  <c r="H98" i="382"/>
  <c r="G98" i="382"/>
  <c r="F98" i="382"/>
  <c r="E98" i="382"/>
  <c r="F86" i="382"/>
  <c r="F87" i="382" s="1"/>
  <c r="G928" i="382" s="1"/>
  <c r="J85" i="382"/>
  <c r="F79" i="382"/>
  <c r="J78" i="382"/>
  <c r="F70" i="382"/>
  <c r="F71" i="382" s="1"/>
  <c r="J69" i="382"/>
  <c r="S67" i="382"/>
  <c r="T67" i="382" s="1"/>
  <c r="Q67" i="382"/>
  <c r="R67" i="382" s="1"/>
  <c r="O67" i="382"/>
  <c r="P67" i="382" s="1"/>
  <c r="M67" i="382"/>
  <c r="N67" i="382" s="1"/>
  <c r="K67" i="382"/>
  <c r="L67" i="382" s="1"/>
  <c r="S66" i="382"/>
  <c r="T66" i="382" s="1"/>
  <c r="Q66" i="382"/>
  <c r="R66" i="382" s="1"/>
  <c r="O66" i="382"/>
  <c r="P66" i="382" s="1"/>
  <c r="M66" i="382"/>
  <c r="N66" i="382" s="1"/>
  <c r="K66" i="382"/>
  <c r="L66" i="382" s="1"/>
  <c r="J66" i="382"/>
  <c r="S65" i="382"/>
  <c r="T65" i="382" s="1"/>
  <c r="Q65" i="382"/>
  <c r="R65" i="382" s="1"/>
  <c r="O65" i="382"/>
  <c r="P65" i="382" s="1"/>
  <c r="M65" i="382"/>
  <c r="N65" i="382" s="1"/>
  <c r="K65" i="382"/>
  <c r="L65" i="382" s="1"/>
  <c r="J65" i="382"/>
  <c r="S64" i="382"/>
  <c r="T64" i="382" s="1"/>
  <c r="Q64" i="382"/>
  <c r="R64" i="382" s="1"/>
  <c r="O64" i="382"/>
  <c r="P64" i="382" s="1"/>
  <c r="M64" i="382"/>
  <c r="N64" i="382" s="1"/>
  <c r="K64" i="382"/>
  <c r="L64" i="382" s="1"/>
  <c r="J64" i="382"/>
  <c r="S63" i="382"/>
  <c r="T63" i="382" s="1"/>
  <c r="Q63" i="382"/>
  <c r="R63" i="382" s="1"/>
  <c r="O63" i="382"/>
  <c r="P63" i="382" s="1"/>
  <c r="M63" i="382"/>
  <c r="N63" i="382" s="1"/>
  <c r="K63" i="382"/>
  <c r="L63" i="382" s="1"/>
  <c r="J63" i="382"/>
  <c r="S62" i="382"/>
  <c r="T62" i="382" s="1"/>
  <c r="Q62" i="382"/>
  <c r="R62" i="382" s="1"/>
  <c r="O62" i="382"/>
  <c r="P62" i="382" s="1"/>
  <c r="M62" i="382"/>
  <c r="N62" i="382" s="1"/>
  <c r="K62" i="382"/>
  <c r="L62" i="382" s="1"/>
  <c r="J62" i="382"/>
  <c r="S61" i="382"/>
  <c r="T61" i="382" s="1"/>
  <c r="Q61" i="382"/>
  <c r="R61" i="382" s="1"/>
  <c r="O61" i="382"/>
  <c r="P61" i="382" s="1"/>
  <c r="M61" i="382"/>
  <c r="N61" i="382" s="1"/>
  <c r="K61" i="382"/>
  <c r="L61" i="382" s="1"/>
  <c r="J61" i="382"/>
  <c r="S60" i="382"/>
  <c r="T60" i="382" s="1"/>
  <c r="Q60" i="382"/>
  <c r="R60" i="382" s="1"/>
  <c r="O60" i="382"/>
  <c r="P60" i="382" s="1"/>
  <c r="M60" i="382"/>
  <c r="N60" i="382" s="1"/>
  <c r="K60" i="382"/>
  <c r="L60" i="382" s="1"/>
  <c r="J60" i="382"/>
  <c r="S59" i="382"/>
  <c r="Q59" i="382"/>
  <c r="O59" i="382"/>
  <c r="M59" i="382"/>
  <c r="K59" i="382"/>
  <c r="L59" i="382" s="1"/>
  <c r="J59" i="382"/>
  <c r="S58" i="382"/>
  <c r="Q58" i="382"/>
  <c r="O58" i="382"/>
  <c r="M58" i="382"/>
  <c r="K58" i="382"/>
  <c r="J58" i="382"/>
  <c r="S57" i="382"/>
  <c r="T57" i="382" s="1"/>
  <c r="Q57" i="382"/>
  <c r="R57" i="382" s="1"/>
  <c r="O57" i="382"/>
  <c r="M57" i="382"/>
  <c r="N57" i="382" s="1"/>
  <c r="K57" i="382"/>
  <c r="J57" i="382"/>
  <c r="S56" i="382"/>
  <c r="J308" i="382" s="1"/>
  <c r="Q56" i="382"/>
  <c r="O56" i="382"/>
  <c r="M56" i="382"/>
  <c r="K56" i="382"/>
  <c r="J56" i="382"/>
  <c r="S55" i="382"/>
  <c r="J722" i="382" s="1"/>
  <c r="Q55" i="382"/>
  <c r="O55" i="382"/>
  <c r="M55" i="382"/>
  <c r="K55" i="382"/>
  <c r="J55" i="382"/>
  <c r="S54" i="382"/>
  <c r="T54" i="382" s="1"/>
  <c r="Q54" i="382"/>
  <c r="R54" i="382" s="1"/>
  <c r="O54" i="382"/>
  <c r="M54" i="382"/>
  <c r="K54" i="382"/>
  <c r="J54" i="382"/>
  <c r="S53" i="382"/>
  <c r="T53" i="382" s="1"/>
  <c r="Q53" i="382"/>
  <c r="R53" i="382" s="1"/>
  <c r="O53" i="382"/>
  <c r="P53" i="382" s="1"/>
  <c r="M53" i="382"/>
  <c r="N53" i="382" s="1"/>
  <c r="K53" i="382"/>
  <c r="L53" i="382" s="1"/>
  <c r="J53" i="382"/>
  <c r="S52" i="382"/>
  <c r="T52" i="382" s="1"/>
  <c r="Q52" i="382"/>
  <c r="R52" i="382" s="1"/>
  <c r="O52" i="382"/>
  <c r="P52" i="382" s="1"/>
  <c r="M52" i="382"/>
  <c r="N52" i="382" s="1"/>
  <c r="K52" i="382"/>
  <c r="L52" i="382" s="1"/>
  <c r="J52" i="382"/>
  <c r="S51" i="382"/>
  <c r="T51" i="382" s="1"/>
  <c r="Q51" i="382"/>
  <c r="R51" i="382" s="1"/>
  <c r="O51" i="382"/>
  <c r="P51" i="382" s="1"/>
  <c r="M51" i="382"/>
  <c r="N51" i="382" s="1"/>
  <c r="K51" i="382"/>
  <c r="L51" i="382" s="1"/>
  <c r="J51" i="382"/>
  <c r="S50" i="382"/>
  <c r="T50" i="382" s="1"/>
  <c r="Q50" i="382"/>
  <c r="R50" i="382" s="1"/>
  <c r="O50" i="382"/>
  <c r="P50" i="382" s="1"/>
  <c r="M50" i="382"/>
  <c r="N50" i="382" s="1"/>
  <c r="K50" i="382"/>
  <c r="L50" i="382" s="1"/>
  <c r="F425" i="382"/>
  <c r="I425" i="382" s="1"/>
  <c r="F24" i="382"/>
  <c r="F23" i="382"/>
  <c r="F774" i="382" s="1"/>
  <c r="I774" i="382" s="1"/>
  <c r="F22" i="382"/>
  <c r="F21" i="382"/>
  <c r="F20" i="382"/>
  <c r="F19" i="382"/>
  <c r="D23" i="471" s="1"/>
  <c r="F18" i="382"/>
  <c r="F17" i="382"/>
  <c r="F16" i="382"/>
  <c r="F15" i="382"/>
  <c r="F1539" i="382" s="1"/>
  <c r="I1539" i="382" s="1"/>
  <c r="F14" i="382"/>
  <c r="F1538" i="382" s="1"/>
  <c r="I1538" i="382" s="1"/>
  <c r="F13" i="382"/>
  <c r="F12" i="382"/>
  <c r="F11" i="382"/>
  <c r="F10" i="382"/>
  <c r="A10" i="382"/>
  <c r="F9" i="382"/>
  <c r="E112" i="381"/>
  <c r="D112" i="381"/>
  <c r="I108" i="381"/>
  <c r="H108" i="381"/>
  <c r="E108" i="381"/>
  <c r="D108" i="381"/>
  <c r="K79" i="381"/>
  <c r="J79" i="381"/>
  <c r="I79" i="381"/>
  <c r="H79" i="381"/>
  <c r="G79" i="381"/>
  <c r="F79" i="381"/>
  <c r="E79" i="381"/>
  <c r="D79" i="381"/>
  <c r="C79" i="381"/>
  <c r="C87" i="381" s="1"/>
  <c r="C94" i="381" s="1"/>
  <c r="C78" i="381"/>
  <c r="C86" i="381" s="1"/>
  <c r="C93" i="381" s="1"/>
  <c r="K77" i="381"/>
  <c r="K96" i="381" s="1"/>
  <c r="J77" i="381"/>
  <c r="J96" i="381" s="1"/>
  <c r="I77" i="381"/>
  <c r="I96" i="381" s="1"/>
  <c r="H77" i="381"/>
  <c r="H96" i="381" s="1"/>
  <c r="G77" i="381"/>
  <c r="G96" i="381" s="1"/>
  <c r="F77" i="381"/>
  <c r="F96" i="381" s="1"/>
  <c r="E77" i="381"/>
  <c r="E96" i="381" s="1"/>
  <c r="D77" i="381"/>
  <c r="D96" i="381" s="1"/>
  <c r="C77" i="381"/>
  <c r="C85" i="381" s="1"/>
  <c r="C92" i="381" s="1"/>
  <c r="K76" i="381"/>
  <c r="J76" i="381"/>
  <c r="I76" i="381"/>
  <c r="H76" i="381"/>
  <c r="G76" i="381"/>
  <c r="F76" i="381"/>
  <c r="E76" i="381"/>
  <c r="D76" i="381"/>
  <c r="C76" i="381"/>
  <c r="C84" i="381" s="1"/>
  <c r="C91" i="381" s="1"/>
  <c r="D65" i="381"/>
  <c r="D64" i="381"/>
  <c r="D24" i="381" s="1"/>
  <c r="N57" i="381"/>
  <c r="G57" i="381"/>
  <c r="C57" i="381"/>
  <c r="N56" i="381"/>
  <c r="L56" i="381"/>
  <c r="G56" i="381"/>
  <c r="C56" i="381"/>
  <c r="P53" i="381"/>
  <c r="P51" i="381"/>
  <c r="M51" i="381"/>
  <c r="M50" i="381"/>
  <c r="N48" i="381"/>
  <c r="C48" i="381"/>
  <c r="H32" i="381"/>
  <c r="H31" i="381"/>
  <c r="H30" i="381"/>
  <c r="H29" i="381"/>
  <c r="H28" i="381"/>
  <c r="P27" i="381"/>
  <c r="B26" i="381"/>
  <c r="B25" i="381"/>
  <c r="K24" i="381"/>
  <c r="K23" i="381"/>
  <c r="H21" i="381"/>
  <c r="H19" i="381"/>
  <c r="H18" i="381"/>
  <c r="H17" i="381"/>
  <c r="H16" i="381"/>
  <c r="H15" i="381"/>
  <c r="T13" i="381"/>
  <c r="S13" i="381"/>
  <c r="H13" i="381"/>
  <c r="H12" i="381"/>
  <c r="H11" i="381"/>
  <c r="A9" i="381"/>
  <c r="A10" i="381" s="1"/>
  <c r="A11" i="381" s="1"/>
  <c r="A12" i="381" s="1"/>
  <c r="A13" i="381" s="1"/>
  <c r="B6" i="381"/>
  <c r="C6" i="381" s="1"/>
  <c r="D6" i="381" s="1"/>
  <c r="E6" i="381" s="1"/>
  <c r="F6" i="381" s="1"/>
  <c r="G6" i="381" s="1"/>
  <c r="H6" i="381" s="1"/>
  <c r="I6" i="381" s="1"/>
  <c r="J6" i="381" s="1"/>
  <c r="K6" i="381" s="1"/>
  <c r="L6" i="381" s="1"/>
  <c r="M6" i="381" s="1"/>
  <c r="N6" i="381" s="1"/>
  <c r="O6" i="381" s="1"/>
  <c r="P6" i="381" s="1"/>
  <c r="Q6" i="381" s="1"/>
  <c r="O4" i="381"/>
  <c r="A14" i="381" l="1"/>
  <c r="A15" i="381" s="1"/>
  <c r="A16" i="381" s="1"/>
  <c r="A17" i="381" s="1"/>
  <c r="A18" i="381" s="1"/>
  <c r="A19" i="381" s="1"/>
  <c r="A20" i="381" s="1"/>
  <c r="A21" i="381" s="1"/>
  <c r="A22" i="381" s="1"/>
  <c r="A23" i="381" s="1"/>
  <c r="A24" i="381" s="1"/>
  <c r="A25" i="381" s="1"/>
  <c r="A26" i="381" s="1"/>
  <c r="A27" i="381" s="1"/>
  <c r="A28" i="381" s="1"/>
  <c r="A29" i="381" s="1"/>
  <c r="A30" i="381" s="1"/>
  <c r="A31" i="381" s="1"/>
  <c r="A32" i="381" s="1"/>
  <c r="C1152" i="490"/>
  <c r="C1113" i="490"/>
  <c r="F341" i="490"/>
  <c r="I341" i="490" s="1"/>
  <c r="F319" i="490"/>
  <c r="I319" i="490" s="1"/>
  <c r="F282" i="490"/>
  <c r="I282" i="490" s="1"/>
  <c r="F259" i="490"/>
  <c r="I259" i="490" s="1"/>
  <c r="F413" i="490"/>
  <c r="I413" i="490" s="1"/>
  <c r="F245" i="490"/>
  <c r="I245" i="490" s="1"/>
  <c r="I246" i="490" s="1"/>
  <c r="F476" i="490"/>
  <c r="I476" i="490" s="1"/>
  <c r="F447" i="490"/>
  <c r="I447" i="490" s="1"/>
  <c r="F296" i="490"/>
  <c r="I296" i="490" s="1"/>
  <c r="F681" i="490"/>
  <c r="I681" i="490" s="1"/>
  <c r="F252" i="490"/>
  <c r="I252" i="490" s="1"/>
  <c r="F707" i="490"/>
  <c r="I707" i="490" s="1"/>
  <c r="F268" i="490"/>
  <c r="I268" i="490" s="1"/>
  <c r="F363" i="490"/>
  <c r="I363" i="490" s="1"/>
  <c r="I1411" i="490"/>
  <c r="F1412" i="490"/>
  <c r="I1412" i="490" s="1"/>
  <c r="F1462" i="490"/>
  <c r="I1462" i="490" s="1"/>
  <c r="I1437" i="490"/>
  <c r="F1438" i="490"/>
  <c r="I1438" i="490" s="1"/>
  <c r="I164" i="490"/>
  <c r="F172" i="490"/>
  <c r="O60" i="381"/>
  <c r="O59" i="381" s="1"/>
  <c r="P59" i="381" s="1"/>
  <c r="E23" i="471"/>
  <c r="D59" i="471"/>
  <c r="F1308" i="382"/>
  <c r="I1308" i="382" s="1"/>
  <c r="D24" i="471"/>
  <c r="A226" i="382"/>
  <c r="A243" i="382"/>
  <c r="A249" i="382" s="1"/>
  <c r="A263" i="382" s="1"/>
  <c r="C44" i="383"/>
  <c r="H44" i="383" s="1"/>
  <c r="H56" i="383" s="1"/>
  <c r="H58" i="383" s="1"/>
  <c r="H59" i="383" s="1"/>
  <c r="U13" i="381"/>
  <c r="B169" i="383"/>
  <c r="B196" i="383" s="1"/>
  <c r="B223" i="383" s="1"/>
  <c r="B253" i="383" s="1"/>
  <c r="B259" i="383" s="1"/>
  <c r="B268" i="383" s="1"/>
  <c r="B277" i="383" s="1"/>
  <c r="B143" i="383"/>
  <c r="I309" i="382"/>
  <c r="H234" i="383"/>
  <c r="J309" i="382"/>
  <c r="J723" i="382"/>
  <c r="F1139" i="382"/>
  <c r="I1139" i="382" s="1"/>
  <c r="F1565" i="382"/>
  <c r="I1565" i="382" s="1"/>
  <c r="F1566" i="382"/>
  <c r="I1566" i="382" s="1"/>
  <c r="F1567" i="382"/>
  <c r="I1567" i="382" s="1"/>
  <c r="K53" i="385"/>
  <c r="K55" i="385" s="1"/>
  <c r="K107" i="385"/>
  <c r="K108" i="385" s="1"/>
  <c r="K130" i="385"/>
  <c r="H181" i="383"/>
  <c r="H206" i="383"/>
  <c r="H180" i="383"/>
  <c r="H208" i="383"/>
  <c r="H100" i="383"/>
  <c r="H112" i="383" s="1"/>
  <c r="H207" i="383"/>
  <c r="E37" i="383"/>
  <c r="H182" i="383"/>
  <c r="E201" i="383"/>
  <c r="E228" i="383"/>
  <c r="D234" i="383"/>
  <c r="H272" i="383"/>
  <c r="H273" i="383" s="1"/>
  <c r="H274" i="383" s="1"/>
  <c r="H279" i="383"/>
  <c r="C233" i="383"/>
  <c r="H233" i="383" s="1"/>
  <c r="E9" i="383"/>
  <c r="E93" i="383"/>
  <c r="E174" i="383"/>
  <c r="D206" i="383"/>
  <c r="D208" i="383"/>
  <c r="D217" i="383"/>
  <c r="D225" i="383"/>
  <c r="D209" i="383"/>
  <c r="H235" i="383"/>
  <c r="H257" i="383"/>
  <c r="H28" i="383"/>
  <c r="H30" i="383" s="1"/>
  <c r="H31" i="383" s="1"/>
  <c r="E121" i="383"/>
  <c r="I353" i="382"/>
  <c r="I376" i="382"/>
  <c r="I331" i="382"/>
  <c r="I1268" i="382"/>
  <c r="I1269" i="382" s="1"/>
  <c r="E815" i="382"/>
  <c r="I815" i="382"/>
  <c r="I1329" i="382"/>
  <c r="I1330" i="382" s="1"/>
  <c r="I299" i="382"/>
  <c r="F321" i="382"/>
  <c r="I321" i="382" s="1"/>
  <c r="H211" i="382"/>
  <c r="I80" i="385"/>
  <c r="K80" i="385" s="1"/>
  <c r="K83" i="385" s="1"/>
  <c r="I156" i="385"/>
  <c r="K156" i="385" s="1"/>
  <c r="K158" i="385" s="1"/>
  <c r="I124" i="385"/>
  <c r="I145" i="385" s="1"/>
  <c r="K145" i="385" s="1"/>
  <c r="I71" i="385"/>
  <c r="I95" i="385" s="1"/>
  <c r="K95" i="385" s="1"/>
  <c r="F1336" i="382"/>
  <c r="I1336" i="382" s="1"/>
  <c r="I125" i="385"/>
  <c r="K125" i="385" s="1"/>
  <c r="I72" i="385"/>
  <c r="I96" i="385" s="1"/>
  <c r="K96" i="385" s="1"/>
  <c r="I146" i="385"/>
  <c r="K146" i="385" s="1"/>
  <c r="H352" i="382"/>
  <c r="H353" i="382" s="1"/>
  <c r="E463" i="382"/>
  <c r="E529" i="382"/>
  <c r="E793" i="382"/>
  <c r="I17" i="385"/>
  <c r="I123" i="385"/>
  <c r="K123" i="385" s="1"/>
  <c r="I70" i="385"/>
  <c r="K70" i="385" s="1"/>
  <c r="H297" i="383"/>
  <c r="H264" i="383"/>
  <c r="H265" i="383" s="1"/>
  <c r="H252" i="383"/>
  <c r="E244" i="383"/>
  <c r="H244" i="383" s="1"/>
  <c r="E245" i="383" s="1"/>
  <c r="H245" i="383" s="1"/>
  <c r="H217" i="383"/>
  <c r="E218" i="383" s="1"/>
  <c r="H218" i="383" s="1"/>
  <c r="H190" i="383"/>
  <c r="E191" i="383" s="1"/>
  <c r="H191" i="383" s="1"/>
  <c r="I285" i="382"/>
  <c r="I1255" i="382"/>
  <c r="G793" i="382"/>
  <c r="H463" i="382"/>
  <c r="N56" i="382"/>
  <c r="F309" i="382"/>
  <c r="R58" i="382"/>
  <c r="H330" i="382"/>
  <c r="H331" i="382" s="1"/>
  <c r="F431" i="382"/>
  <c r="I431" i="382" s="1"/>
  <c r="F437" i="382"/>
  <c r="I437" i="382" s="1"/>
  <c r="F887" i="382"/>
  <c r="I887" i="382" s="1"/>
  <c r="I438" i="382"/>
  <c r="G815" i="382"/>
  <c r="H977" i="382"/>
  <c r="F815" i="382"/>
  <c r="I877" i="382"/>
  <c r="H994" i="382"/>
  <c r="I1273" i="382"/>
  <c r="F1274" i="382" s="1"/>
  <c r="I1274" i="382" s="1"/>
  <c r="I1275" i="382" s="1"/>
  <c r="J96" i="485" s="1"/>
  <c r="K96" i="485" s="1"/>
  <c r="I1530" i="382"/>
  <c r="I1531" i="382" s="1"/>
  <c r="N54" i="382"/>
  <c r="I1256" i="382"/>
  <c r="T55" i="382"/>
  <c r="F88" i="382"/>
  <c r="F89" i="382" s="1"/>
  <c r="H375" i="382"/>
  <c r="H376" i="382" s="1"/>
  <c r="E504" i="382"/>
  <c r="E555" i="382"/>
  <c r="I1409" i="382"/>
  <c r="E1011" i="382"/>
  <c r="E749" i="382"/>
  <c r="G838" i="382"/>
  <c r="I1320" i="382"/>
  <c r="I1321" i="382" s="1"/>
  <c r="F1480" i="382"/>
  <c r="I1480" i="382" s="1"/>
  <c r="I417" i="382"/>
  <c r="I426" i="382"/>
  <c r="I462" i="382"/>
  <c r="I463" i="382" s="1"/>
  <c r="E618" i="382"/>
  <c r="E977" i="382"/>
  <c r="I977" i="382"/>
  <c r="I1374" i="382"/>
  <c r="I1375" i="382" s="1"/>
  <c r="I1376" i="382" s="1"/>
  <c r="I1548" i="382"/>
  <c r="I1549" i="382" s="1"/>
  <c r="I1550" i="382" s="1"/>
  <c r="J98" i="485" s="1"/>
  <c r="K98" i="485" s="1"/>
  <c r="I567" i="382"/>
  <c r="F605" i="382"/>
  <c r="E631" i="382"/>
  <c r="H644" i="382"/>
  <c r="I793" i="382"/>
  <c r="F838" i="382"/>
  <c r="L56" i="382"/>
  <c r="P56" i="382"/>
  <c r="T56" i="382"/>
  <c r="P59" i="382"/>
  <c r="J87" i="382"/>
  <c r="G330" i="382"/>
  <c r="G331" i="382" s="1"/>
  <c r="E331" i="382"/>
  <c r="I344" i="382"/>
  <c r="G352" i="382"/>
  <c r="G353" i="382" s="1"/>
  <c r="I367" i="382"/>
  <c r="G375" i="382"/>
  <c r="G376" i="382" s="1"/>
  <c r="I432" i="382"/>
  <c r="F463" i="382"/>
  <c r="I480" i="382"/>
  <c r="F483" i="382"/>
  <c r="I483" i="382" s="1"/>
  <c r="G504" i="382"/>
  <c r="G542" i="382"/>
  <c r="F772" i="382"/>
  <c r="I772" i="382" s="1"/>
  <c r="F994" i="382"/>
  <c r="H1011" i="382"/>
  <c r="F1062" i="382"/>
  <c r="I1062" i="382" s="1"/>
  <c r="F270" i="382"/>
  <c r="I270" i="382" s="1"/>
  <c r="H309" i="382"/>
  <c r="F330" i="382"/>
  <c r="F331" i="382" s="1"/>
  <c r="F352" i="382"/>
  <c r="F353" i="382" s="1"/>
  <c r="E353" i="382"/>
  <c r="F375" i="382"/>
  <c r="F376" i="382" s="1"/>
  <c r="E376" i="382"/>
  <c r="J490" i="382"/>
  <c r="J491" i="382" s="1"/>
  <c r="G529" i="382"/>
  <c r="E592" i="382"/>
  <c r="H670" i="382"/>
  <c r="E695" i="382"/>
  <c r="G930" i="382"/>
  <c r="F968" i="382"/>
  <c r="I968" i="382" s="1"/>
  <c r="I1439" i="382"/>
  <c r="P55" i="382"/>
  <c r="R56" i="382"/>
  <c r="N58" i="382"/>
  <c r="I236" i="382"/>
  <c r="J330" i="382"/>
  <c r="J331" i="382" s="1"/>
  <c r="I451" i="382"/>
  <c r="F454" i="382"/>
  <c r="I454" i="382" s="1"/>
  <c r="J462" i="382"/>
  <c r="J463" i="382" s="1"/>
  <c r="G491" i="382"/>
  <c r="I517" i="382"/>
  <c r="E542" i="382"/>
  <c r="H657" i="382"/>
  <c r="G736" i="382"/>
  <c r="E762" i="382"/>
  <c r="J815" i="382"/>
  <c r="F868" i="382"/>
  <c r="I868" i="382" s="1"/>
  <c r="H877" i="382"/>
  <c r="G1011" i="382"/>
  <c r="F1011" i="382"/>
  <c r="K100" i="385"/>
  <c r="K102" i="385"/>
  <c r="I77" i="385"/>
  <c r="H139" i="383"/>
  <c r="F232" i="382"/>
  <c r="I232" i="382" s="1"/>
  <c r="F369" i="382"/>
  <c r="I369" i="382" s="1"/>
  <c r="F401" i="382"/>
  <c r="I401" i="382" s="1"/>
  <c r="F421" i="382"/>
  <c r="I421" i="382" s="1"/>
  <c r="F258" i="382"/>
  <c r="I258" i="382" s="1"/>
  <c r="F274" i="382"/>
  <c r="I274" i="382" s="1"/>
  <c r="F346" i="382"/>
  <c r="I346" i="382" s="1"/>
  <c r="F888" i="382"/>
  <c r="I888" i="382" s="1"/>
  <c r="F946" i="382"/>
  <c r="I946" i="382" s="1"/>
  <c r="F1003" i="382"/>
  <c r="I1003" i="382" s="1"/>
  <c r="F1417" i="382"/>
  <c r="I1417" i="382" s="1"/>
  <c r="F244" i="382"/>
  <c r="I244" i="382" s="1"/>
  <c r="F301" i="382"/>
  <c r="I301" i="382" s="1"/>
  <c r="F370" i="382"/>
  <c r="I370" i="382" s="1"/>
  <c r="F390" i="382"/>
  <c r="I390" i="382" s="1"/>
  <c r="F400" i="382"/>
  <c r="I400" i="382" s="1"/>
  <c r="F420" i="382"/>
  <c r="I420" i="382" s="1"/>
  <c r="E723" i="382"/>
  <c r="E736" i="382"/>
  <c r="F762" i="382"/>
  <c r="J793" i="382"/>
  <c r="F828" i="382"/>
  <c r="I828" i="382" s="1"/>
  <c r="F921" i="382"/>
  <c r="I921" i="382" s="1"/>
  <c r="H930" i="382"/>
  <c r="J994" i="382"/>
  <c r="F1208" i="382"/>
  <c r="I1208" i="382" s="1"/>
  <c r="F214" i="382"/>
  <c r="I214" i="382" s="1"/>
  <c r="F215" i="382" s="1"/>
  <c r="I215" i="382" s="1"/>
  <c r="F221" i="382"/>
  <c r="I221" i="382" s="1"/>
  <c r="I223" i="382" s="1"/>
  <c r="F287" i="382"/>
  <c r="I287" i="382" s="1"/>
  <c r="F1079" i="382"/>
  <c r="I1079" i="382" s="1"/>
  <c r="F1159" i="382"/>
  <c r="I1159" i="382" s="1"/>
  <c r="F783" i="382"/>
  <c r="I783" i="382" s="1"/>
  <c r="G670" i="382"/>
  <c r="J631" i="382"/>
  <c r="F251" i="382"/>
  <c r="I251" i="382" s="1"/>
  <c r="F273" i="382"/>
  <c r="I273" i="382" s="1"/>
  <c r="F324" i="382"/>
  <c r="I324" i="382" s="1"/>
  <c r="F455" i="382"/>
  <c r="I455" i="382" s="1"/>
  <c r="F482" i="382"/>
  <c r="I482" i="382" s="1"/>
  <c r="E517" i="382"/>
  <c r="E567" i="382"/>
  <c r="F793" i="382"/>
  <c r="F807" i="382"/>
  <c r="I807" i="382" s="1"/>
  <c r="F869" i="382"/>
  <c r="I869" i="382" s="1"/>
  <c r="G994" i="382"/>
  <c r="F1022" i="382"/>
  <c r="I1022" i="382" s="1"/>
  <c r="F1120" i="382"/>
  <c r="I1120" i="382" s="1"/>
  <c r="F1518" i="382"/>
  <c r="I1518" i="382" s="1"/>
  <c r="F1482" i="382"/>
  <c r="I1482" i="382" s="1"/>
  <c r="F1237" i="382"/>
  <c r="I1237" i="382" s="1"/>
  <c r="F1185" i="382"/>
  <c r="I1185" i="382" s="1"/>
  <c r="F1173" i="382"/>
  <c r="I1173" i="382" s="1"/>
  <c r="F1517" i="382"/>
  <c r="I1517" i="382" s="1"/>
  <c r="F1393" i="382"/>
  <c r="I1393" i="382" s="1"/>
  <c r="F1116" i="382"/>
  <c r="I1116" i="382" s="1"/>
  <c r="F1153" i="382"/>
  <c r="I1153" i="382" s="1"/>
  <c r="F1096" i="382"/>
  <c r="I1096" i="382" s="1"/>
  <c r="F1077" i="382"/>
  <c r="I1077" i="382" s="1"/>
  <c r="F1056" i="382"/>
  <c r="I1056" i="382" s="1"/>
  <c r="F1036" i="382"/>
  <c r="I1036" i="382" s="1"/>
  <c r="F1516" i="382"/>
  <c r="I1516" i="382" s="1"/>
  <c r="F1132" i="382"/>
  <c r="I1132" i="382" s="1"/>
  <c r="F1076" i="382"/>
  <c r="I1076" i="382" s="1"/>
  <c r="F1000" i="382"/>
  <c r="I1000" i="382" s="1"/>
  <c r="F964" i="382"/>
  <c r="I964" i="382" s="1"/>
  <c r="F917" i="382"/>
  <c r="I917" i="382" s="1"/>
  <c r="F801" i="382"/>
  <c r="I801" i="382" s="1"/>
  <c r="F779" i="382"/>
  <c r="I779" i="382" s="1"/>
  <c r="F706" i="382"/>
  <c r="I706" i="382" s="1"/>
  <c r="F680" i="382"/>
  <c r="I680" i="382" s="1"/>
  <c r="F1115" i="382"/>
  <c r="I1115" i="382" s="1"/>
  <c r="F1017" i="382"/>
  <c r="I1017" i="382" s="1"/>
  <c r="F961" i="382"/>
  <c r="I961" i="382" s="1"/>
  <c r="F824" i="382"/>
  <c r="I824" i="382" s="1"/>
  <c r="F769" i="382"/>
  <c r="I769" i="382" s="1"/>
  <c r="F446" i="382"/>
  <c r="I446" i="382" s="1"/>
  <c r="F412" i="382"/>
  <c r="I412" i="382" s="1"/>
  <c r="F384" i="382"/>
  <c r="I384" i="382" s="1"/>
  <c r="F340" i="382"/>
  <c r="I340" i="382" s="1"/>
  <c r="F295" i="382"/>
  <c r="I295" i="382" s="1"/>
  <c r="F281" i="382"/>
  <c r="F1202" i="382"/>
  <c r="F1186" i="382"/>
  <c r="I1186" i="382" s="1"/>
  <c r="F1095" i="382"/>
  <c r="I1095" i="382" s="1"/>
  <c r="F398" i="382"/>
  <c r="I398" i="382" s="1"/>
  <c r="F1483" i="382"/>
  <c r="I1483" i="382" s="1"/>
  <c r="F1334" i="382"/>
  <c r="I1334" i="382" s="1"/>
  <c r="F848" i="382"/>
  <c r="F267" i="382"/>
  <c r="I267" i="382" s="1"/>
  <c r="F1410" i="382"/>
  <c r="F983" i="382"/>
  <c r="I983" i="382" s="1"/>
  <c r="F914" i="382"/>
  <c r="I914" i="382" s="1"/>
  <c r="F864" i="382"/>
  <c r="F362" i="382"/>
  <c r="I362" i="382" s="1"/>
  <c r="F941" i="382"/>
  <c r="I941" i="382" s="1"/>
  <c r="F938" i="382"/>
  <c r="I938" i="382" s="1"/>
  <c r="F475" i="382"/>
  <c r="F156" i="382"/>
  <c r="F319" i="382"/>
  <c r="I319" i="382" s="1"/>
  <c r="F268" i="382"/>
  <c r="I268" i="382" s="1"/>
  <c r="F476" i="382"/>
  <c r="I476" i="382" s="1"/>
  <c r="F413" i="382"/>
  <c r="I413" i="382" s="1"/>
  <c r="F363" i="382"/>
  <c r="I363" i="382" s="1"/>
  <c r="F245" i="382"/>
  <c r="I245" i="382" s="1"/>
  <c r="F447" i="382"/>
  <c r="I447" i="382" s="1"/>
  <c r="F341" i="382"/>
  <c r="I341" i="382" s="1"/>
  <c r="F259" i="382"/>
  <c r="I259" i="382" s="1"/>
  <c r="F707" i="382"/>
  <c r="I707" i="382" s="1"/>
  <c r="F681" i="382"/>
  <c r="I681" i="382" s="1"/>
  <c r="F252" i="382"/>
  <c r="I252" i="382" s="1"/>
  <c r="F282" i="382"/>
  <c r="I282" i="382" s="1"/>
  <c r="F296" i="382"/>
  <c r="I296" i="382" s="1"/>
  <c r="F952" i="382"/>
  <c r="F992" i="382"/>
  <c r="F80" i="382"/>
  <c r="F1009" i="382"/>
  <c r="F478" i="382"/>
  <c r="F709" i="382"/>
  <c r="I709" i="382" s="1"/>
  <c r="F683" i="382"/>
  <c r="I683" i="382" s="1"/>
  <c r="F449" i="382"/>
  <c r="I449" i="382" s="1"/>
  <c r="F415" i="382"/>
  <c r="I415" i="382" s="1"/>
  <c r="F365" i="382"/>
  <c r="I365" i="382" s="1"/>
  <c r="F1325" i="382"/>
  <c r="I1325" i="382" s="1"/>
  <c r="I1326" i="382" s="1"/>
  <c r="G463" i="382"/>
  <c r="G309" i="382"/>
  <c r="F975" i="382"/>
  <c r="F723" i="382"/>
  <c r="L55" i="382"/>
  <c r="H605" i="382"/>
  <c r="H762" i="382"/>
  <c r="H542" i="382"/>
  <c r="H529" i="382"/>
  <c r="H504" i="382"/>
  <c r="H555" i="382"/>
  <c r="H592" i="382"/>
  <c r="P58" i="382"/>
  <c r="H736" i="382"/>
  <c r="H579" i="382"/>
  <c r="H567" i="382"/>
  <c r="H517" i="382"/>
  <c r="G836" i="382"/>
  <c r="G813" i="382"/>
  <c r="G791" i="382"/>
  <c r="G875" i="382"/>
  <c r="J71" i="382"/>
  <c r="F72" i="382"/>
  <c r="E579" i="382"/>
  <c r="C1152" i="382"/>
  <c r="C1113" i="382"/>
  <c r="L57" i="382"/>
  <c r="F491" i="382"/>
  <c r="J567" i="382"/>
  <c r="J605" i="382"/>
  <c r="T58" i="382"/>
  <c r="F836" i="382"/>
  <c r="F791" i="382"/>
  <c r="J70" i="382"/>
  <c r="F875" i="382"/>
  <c r="F813" i="382"/>
  <c r="D864" i="382"/>
  <c r="F1311" i="382"/>
  <c r="R59" i="382"/>
  <c r="I631" i="382"/>
  <c r="H491" i="382"/>
  <c r="P57" i="382"/>
  <c r="F592" i="382"/>
  <c r="F579" i="382"/>
  <c r="F567" i="382"/>
  <c r="F517" i="382"/>
  <c r="F749" i="382"/>
  <c r="F736" i="382"/>
  <c r="L58" i="382"/>
  <c r="F555" i="382"/>
  <c r="F542" i="382"/>
  <c r="F529" i="382"/>
  <c r="F504" i="382"/>
  <c r="F670" i="382"/>
  <c r="F657" i="382"/>
  <c r="F644" i="382"/>
  <c r="F631" i="382"/>
  <c r="F618" i="382"/>
  <c r="F1382" i="490"/>
  <c r="I1382" i="490" s="1"/>
  <c r="I1385" i="490" s="1"/>
  <c r="F1386" i="490" s="1"/>
  <c r="I1386" i="490" s="1"/>
  <c r="I1387" i="490" s="1"/>
  <c r="I1388" i="490" s="1"/>
  <c r="H749" i="382"/>
  <c r="I848" i="382"/>
  <c r="I271" i="382"/>
  <c r="J79" i="382"/>
  <c r="A131" i="382"/>
  <c r="I322" i="382"/>
  <c r="G695" i="382"/>
  <c r="F695" i="382"/>
  <c r="H695" i="382"/>
  <c r="D1363" i="382"/>
  <c r="F1465" i="382"/>
  <c r="I1465" i="382" s="1"/>
  <c r="F1241" i="382"/>
  <c r="I1241" i="382" s="1"/>
  <c r="F1138" i="382"/>
  <c r="I1138" i="382" s="1"/>
  <c r="F1118" i="382"/>
  <c r="I1118" i="382" s="1"/>
  <c r="F1395" i="382"/>
  <c r="I1395" i="382" s="1"/>
  <c r="F1335" i="382"/>
  <c r="I1335" i="382" s="1"/>
  <c r="F1240" i="382"/>
  <c r="I1240" i="382" s="1"/>
  <c r="F1189" i="382"/>
  <c r="I1189" i="382" s="1"/>
  <c r="F1098" i="382"/>
  <c r="I1098" i="382" s="1"/>
  <c r="F1415" i="382"/>
  <c r="F1020" i="382"/>
  <c r="I1020" i="382" s="1"/>
  <c r="F920" i="382"/>
  <c r="I920" i="382" s="1"/>
  <c r="F901" i="382"/>
  <c r="I901" i="382" s="1"/>
  <c r="F1485" i="382"/>
  <c r="I1485" i="382" s="1"/>
  <c r="F1207" i="382"/>
  <c r="I1207" i="382" s="1"/>
  <c r="F1175" i="382"/>
  <c r="I1175" i="382" s="1"/>
  <c r="F1059" i="382"/>
  <c r="I1059" i="382" s="1"/>
  <c r="F851" i="382"/>
  <c r="I851" i="382" s="1"/>
  <c r="F1520" i="382"/>
  <c r="I1520" i="382" s="1"/>
  <c r="F1002" i="382"/>
  <c r="I1002" i="382" s="1"/>
  <c r="F967" i="382"/>
  <c r="I967" i="382" s="1"/>
  <c r="F867" i="382"/>
  <c r="I867" i="382" s="1"/>
  <c r="F771" i="382"/>
  <c r="I771" i="382" s="1"/>
  <c r="F453" i="382"/>
  <c r="I453" i="382" s="1"/>
  <c r="F419" i="382"/>
  <c r="I419" i="382" s="1"/>
  <c r="F389" i="382"/>
  <c r="I389" i="382" s="1"/>
  <c r="F1042" i="382"/>
  <c r="I1042" i="382" s="1"/>
  <c r="F944" i="382"/>
  <c r="I944" i="382" s="1"/>
  <c r="F827" i="382"/>
  <c r="I827" i="382" s="1"/>
  <c r="F1282" i="382"/>
  <c r="F1261" i="382"/>
  <c r="F1219" i="382"/>
  <c r="I1219" i="382" s="1"/>
  <c r="F1500" i="382"/>
  <c r="F1294" i="382"/>
  <c r="I1294" i="382" s="1"/>
  <c r="F1228" i="382"/>
  <c r="I1228" i="382" s="1"/>
  <c r="F1307" i="382"/>
  <c r="F1347" i="382"/>
  <c r="I1347" i="382" s="1"/>
  <c r="F1257" i="382"/>
  <c r="F1468" i="382"/>
  <c r="I1468" i="382" s="1"/>
  <c r="F1398" i="382"/>
  <c r="I1398" i="382" s="1"/>
  <c r="F854" i="382"/>
  <c r="I854" i="382" s="1"/>
  <c r="G723" i="382"/>
  <c r="N55" i="382"/>
  <c r="I491" i="382"/>
  <c r="E491" i="382"/>
  <c r="I605" i="382"/>
  <c r="E605" i="382"/>
  <c r="H618" i="382"/>
  <c r="F284" i="382"/>
  <c r="I284" i="382" s="1"/>
  <c r="F298" i="382"/>
  <c r="I298" i="382" s="1"/>
  <c r="H723" i="382"/>
  <c r="H793" i="382"/>
  <c r="L54" i="382"/>
  <c r="P54" i="382"/>
  <c r="T59" i="382"/>
  <c r="F343" i="382"/>
  <c r="I343" i="382" s="1"/>
  <c r="H631" i="382"/>
  <c r="G644" i="382"/>
  <c r="G657" i="382"/>
  <c r="F686" i="382"/>
  <c r="I686" i="382" s="1"/>
  <c r="F712" i="382"/>
  <c r="I712" i="382" s="1"/>
  <c r="F805" i="382"/>
  <c r="I805" i="382" s="1"/>
  <c r="F830" i="382"/>
  <c r="I830" i="382" s="1"/>
  <c r="F985" i="382"/>
  <c r="I985" i="382" s="1"/>
  <c r="R55" i="382"/>
  <c r="I723" i="382"/>
  <c r="N59" i="382"/>
  <c r="G631" i="382"/>
  <c r="G618" i="382"/>
  <c r="F928" i="382"/>
  <c r="J86" i="382"/>
  <c r="F479" i="382"/>
  <c r="F366" i="382"/>
  <c r="I366" i="382" s="1"/>
  <c r="F450" i="382"/>
  <c r="I450" i="382" s="1"/>
  <c r="F416" i="382"/>
  <c r="I416" i="382" s="1"/>
  <c r="J694" i="382"/>
  <c r="J695" i="382" s="1"/>
  <c r="I694" i="382"/>
  <c r="I695" i="382" s="1"/>
  <c r="G877" i="382"/>
  <c r="J877" i="382"/>
  <c r="E877" i="382"/>
  <c r="F877" i="382"/>
  <c r="I954" i="382"/>
  <c r="E954" i="382"/>
  <c r="J954" i="382"/>
  <c r="F954" i="382"/>
  <c r="G954" i="382"/>
  <c r="H954" i="382"/>
  <c r="F1360" i="382"/>
  <c r="I1360" i="382" s="1"/>
  <c r="I1362" i="382" s="1"/>
  <c r="I838" i="382"/>
  <c r="E838" i="382"/>
  <c r="I930" i="382"/>
  <c r="E930" i="382"/>
  <c r="J930" i="382"/>
  <c r="F930" i="382"/>
  <c r="F484" i="382"/>
  <c r="G517" i="382"/>
  <c r="G567" i="382"/>
  <c r="G579" i="382"/>
  <c r="G592" i="382"/>
  <c r="G762" i="382"/>
  <c r="H815" i="382"/>
  <c r="J838" i="382"/>
  <c r="F852" i="382"/>
  <c r="I852" i="382" s="1"/>
  <c r="F922" i="382"/>
  <c r="I922" i="382" s="1"/>
  <c r="F1021" i="382"/>
  <c r="I1021" i="382" s="1"/>
  <c r="F1262" i="382"/>
  <c r="F1190" i="382"/>
  <c r="I1190" i="382" s="1"/>
  <c r="F1486" i="382"/>
  <c r="I1486" i="382" s="1"/>
  <c r="F1416" i="382"/>
  <c r="F1176" i="382"/>
  <c r="I1176" i="382" s="1"/>
  <c r="F1466" i="382"/>
  <c r="I1466" i="382" s="1"/>
  <c r="F1119" i="382"/>
  <c r="I1119" i="382" s="1"/>
  <c r="F1060" i="382"/>
  <c r="I1060" i="382" s="1"/>
  <c r="F1521" i="382"/>
  <c r="I1521" i="382" s="1"/>
  <c r="F1396" i="382"/>
  <c r="I1396" i="382" s="1"/>
  <c r="F1160" i="382"/>
  <c r="I1160" i="382" s="1"/>
  <c r="F1099" i="382"/>
  <c r="I1099" i="382" s="1"/>
  <c r="F1043" i="382"/>
  <c r="I1043" i="382" s="1"/>
  <c r="F806" i="382"/>
  <c r="I806" i="382" s="1"/>
  <c r="F784" i="382"/>
  <c r="I784" i="382" s="1"/>
  <c r="F713" i="382"/>
  <c r="I713" i="382" s="1"/>
  <c r="F687" i="382"/>
  <c r="I687" i="382" s="1"/>
  <c r="F1501" i="382"/>
  <c r="F1283" i="382"/>
  <c r="F1258" i="382"/>
  <c r="F1348" i="382"/>
  <c r="I1348" i="382" s="1"/>
  <c r="F1295" i="382"/>
  <c r="I1295" i="382" s="1"/>
  <c r="F1229" i="382"/>
  <c r="I1229" i="382" s="1"/>
  <c r="F1540" i="382"/>
  <c r="I1540" i="382" s="1"/>
  <c r="I1541" i="382" s="1"/>
  <c r="I1542" i="382" s="1"/>
  <c r="F1487" i="382"/>
  <c r="I1487" i="382" s="1"/>
  <c r="F1312" i="382"/>
  <c r="F1296" i="382"/>
  <c r="I1296" i="382" s="1"/>
  <c r="F1220" i="382"/>
  <c r="I1220" i="382" s="1"/>
  <c r="F1177" i="382"/>
  <c r="I1177" i="382" s="1"/>
  <c r="F1522" i="382"/>
  <c r="I1522" i="382" s="1"/>
  <c r="F1397" i="382"/>
  <c r="I1397" i="382" s="1"/>
  <c r="F1161" i="382"/>
  <c r="I1161" i="382" s="1"/>
  <c r="F1349" i="382"/>
  <c r="I1349" i="382" s="1"/>
  <c r="F1242" i="382"/>
  <c r="I1242" i="382" s="1"/>
  <c r="F1100" i="382"/>
  <c r="I1100" i="382" s="1"/>
  <c r="F1044" i="382"/>
  <c r="I1044" i="382" s="1"/>
  <c r="F1140" i="382"/>
  <c r="I1140" i="382" s="1"/>
  <c r="F1081" i="382"/>
  <c r="I1081" i="382" s="1"/>
  <c r="F986" i="382"/>
  <c r="I986" i="382" s="1"/>
  <c r="F969" i="382"/>
  <c r="I969" i="382" s="1"/>
  <c r="F853" i="382"/>
  <c r="I853" i="382" s="1"/>
  <c r="F773" i="382"/>
  <c r="I773" i="382" s="1"/>
  <c r="F899" i="382"/>
  <c r="I899" i="382" s="1"/>
  <c r="F885" i="382"/>
  <c r="I885" i="382" s="1"/>
  <c r="I762" i="382"/>
  <c r="I749" i="382"/>
  <c r="G749" i="382"/>
  <c r="J977" i="382"/>
  <c r="F977" i="382"/>
  <c r="G977" i="382"/>
  <c r="F158" i="382"/>
  <c r="F288" i="382"/>
  <c r="I288" i="382" s="1"/>
  <c r="F302" i="382"/>
  <c r="I302" i="382" s="1"/>
  <c r="F325" i="382"/>
  <c r="I325" i="382" s="1"/>
  <c r="F347" i="382"/>
  <c r="I347" i="382" s="1"/>
  <c r="G555" i="382"/>
  <c r="G605" i="382"/>
  <c r="E644" i="382"/>
  <c r="E657" i="382"/>
  <c r="E670" i="382"/>
  <c r="I684" i="382"/>
  <c r="F688" i="382"/>
  <c r="I688" i="382" s="1"/>
  <c r="I710" i="382"/>
  <c r="F714" i="382"/>
  <c r="I714" i="382" s="1"/>
  <c r="F785" i="382"/>
  <c r="I785" i="382" s="1"/>
  <c r="F829" i="382"/>
  <c r="I829" i="382" s="1"/>
  <c r="H838" i="382"/>
  <c r="F902" i="382"/>
  <c r="F945" i="382"/>
  <c r="I945" i="382" s="1"/>
  <c r="F1061" i="382"/>
  <c r="I1061" i="382" s="1"/>
  <c r="F1080" i="382"/>
  <c r="I1080" i="382" s="1"/>
  <c r="F1191" i="382"/>
  <c r="I1191" i="382" s="1"/>
  <c r="F1467" i="382"/>
  <c r="I1467" i="382" s="1"/>
  <c r="E994" i="382"/>
  <c r="I994" i="382"/>
  <c r="I1260" i="382"/>
  <c r="V13" i="381" l="1"/>
  <c r="J13" i="381" s="1"/>
  <c r="P60" i="381"/>
  <c r="D247" i="490"/>
  <c r="I247" i="490" s="1"/>
  <c r="I248" i="490" s="1"/>
  <c r="F898" i="382"/>
  <c r="I898" i="382" s="1"/>
  <c r="F898" i="490"/>
  <c r="I898" i="490" s="1"/>
  <c r="I903" i="490" s="1"/>
  <c r="F884" i="382"/>
  <c r="I884" i="382" s="1"/>
  <c r="I889" i="382" s="1"/>
  <c r="E891" i="382" s="1"/>
  <c r="E893" i="382" s="1"/>
  <c r="F884" i="490"/>
  <c r="I884" i="490" s="1"/>
  <c r="I889" i="490" s="1"/>
  <c r="F180" i="490"/>
  <c r="I172" i="490"/>
  <c r="F1382" i="382"/>
  <c r="I1382" i="382" s="1"/>
  <c r="I1385" i="382" s="1"/>
  <c r="F1386" i="382" s="1"/>
  <c r="I1386" i="382" s="1"/>
  <c r="I1387" i="382" s="1"/>
  <c r="I1388" i="382" s="1"/>
  <c r="E30" i="471"/>
  <c r="E59" i="471"/>
  <c r="D95" i="471"/>
  <c r="E24" i="471"/>
  <c r="E25" i="471" s="1"/>
  <c r="E31" i="471" s="1"/>
  <c r="G31" i="471" s="1"/>
  <c r="D60" i="471"/>
  <c r="G573" i="99"/>
  <c r="H310" i="382"/>
  <c r="A256" i="382"/>
  <c r="A277" i="382"/>
  <c r="A291" i="382" s="1"/>
  <c r="A314" i="382" s="1"/>
  <c r="A336" i="382" s="1"/>
  <c r="A358" i="382" s="1"/>
  <c r="I118" i="444"/>
  <c r="J118" i="444" s="1"/>
  <c r="I112" i="444"/>
  <c r="J112" i="444" s="1"/>
  <c r="I109" i="444"/>
  <c r="J109" i="444" s="1"/>
  <c r="I89" i="444"/>
  <c r="J89" i="444" s="1"/>
  <c r="F892" i="382"/>
  <c r="I246" i="382"/>
  <c r="D247" i="382" s="1"/>
  <c r="I247" i="382" s="1"/>
  <c r="I248" i="382" s="1"/>
  <c r="I94" i="385"/>
  <c r="I144" i="385" s="1"/>
  <c r="K144" i="385" s="1"/>
  <c r="K147" i="385" s="1"/>
  <c r="K71" i="385"/>
  <c r="O65" i="381"/>
  <c r="P65" i="381" s="1"/>
  <c r="H219" i="383"/>
  <c r="H221" i="383" s="1"/>
  <c r="H222" i="383" s="1"/>
  <c r="I237" i="382"/>
  <c r="F238" i="382" s="1"/>
  <c r="I238" i="382" s="1"/>
  <c r="I928" i="382"/>
  <c r="F332" i="382"/>
  <c r="F1444" i="382"/>
  <c r="I1444" i="382" s="1"/>
  <c r="J928" i="382"/>
  <c r="K72" i="385"/>
  <c r="K124" i="385"/>
  <c r="K126" i="385" s="1"/>
  <c r="J88" i="382"/>
  <c r="K77" i="385"/>
  <c r="I153" i="385"/>
  <c r="K153" i="385" s="1"/>
  <c r="I44" i="385"/>
  <c r="K44" i="385" s="1"/>
  <c r="I18" i="385"/>
  <c r="H281" i="383"/>
  <c r="H282" i="383" s="1"/>
  <c r="H283" i="383" s="1"/>
  <c r="H287" i="383"/>
  <c r="H289" i="383" s="1"/>
  <c r="H290" i="383" s="1"/>
  <c r="H291" i="383" s="1"/>
  <c r="J92" i="485" s="1"/>
  <c r="H192" i="383"/>
  <c r="H194" i="383" s="1"/>
  <c r="H195" i="383" s="1"/>
  <c r="H246" i="383"/>
  <c r="H248" i="383" s="1"/>
  <c r="I106" i="444" s="1"/>
  <c r="J106" i="444" s="1"/>
  <c r="I1086" i="382"/>
  <c r="G892" i="382"/>
  <c r="H377" i="382"/>
  <c r="G354" i="382"/>
  <c r="H928" i="382"/>
  <c r="K17" i="385"/>
  <c r="I377" i="382"/>
  <c r="I1377" i="382"/>
  <c r="I1378" i="382" s="1"/>
  <c r="F1418" i="382"/>
  <c r="I1418" i="382" s="1"/>
  <c r="F1086" i="382"/>
  <c r="H114" i="383"/>
  <c r="H115" i="383" s="1"/>
  <c r="H140" i="383"/>
  <c r="H141" i="383" s="1"/>
  <c r="H142" i="383" s="1"/>
  <c r="J89" i="485" s="1"/>
  <c r="I892" i="382"/>
  <c r="F377" i="382"/>
  <c r="D217" i="382"/>
  <c r="I217" i="382" s="1"/>
  <c r="I218" i="382" s="1"/>
  <c r="H892" i="382"/>
  <c r="F310" i="382"/>
  <c r="J892" i="382"/>
  <c r="D224" i="382"/>
  <c r="I224" i="382" s="1"/>
  <c r="I225" i="382" s="1"/>
  <c r="I332" i="382"/>
  <c r="J310" i="382"/>
  <c r="I1350" i="382"/>
  <c r="F1351" i="382" s="1"/>
  <c r="I1351" i="382" s="1"/>
  <c r="I1352" i="382" s="1"/>
  <c r="F1221" i="382"/>
  <c r="I1221" i="382" s="1"/>
  <c r="I1222" i="382" s="1"/>
  <c r="I1230" i="382"/>
  <c r="F1231" i="382" s="1"/>
  <c r="I1231" i="382" s="1"/>
  <c r="I1232" i="382" s="1"/>
  <c r="H1086" i="382"/>
  <c r="G377" i="382"/>
  <c r="F1543" i="382"/>
  <c r="I1543" i="382" s="1"/>
  <c r="I1544" i="382" s="1"/>
  <c r="F1363" i="382"/>
  <c r="I1363" i="382" s="1"/>
  <c r="I1364" i="382" s="1"/>
  <c r="I1365" i="382" s="1"/>
  <c r="I1366" i="382" s="1"/>
  <c r="G1049" i="382"/>
  <c r="H1049" i="382"/>
  <c r="I1049" i="382"/>
  <c r="F1049" i="382"/>
  <c r="I479" i="382"/>
  <c r="G995" i="382"/>
  <c r="H995" i="382"/>
  <c r="J995" i="382"/>
  <c r="F995" i="382"/>
  <c r="I995" i="382"/>
  <c r="I1261" i="382"/>
  <c r="G464" i="382"/>
  <c r="H464" i="382"/>
  <c r="F464" i="382"/>
  <c r="I464" i="382"/>
  <c r="J464" i="382"/>
  <c r="H1012" i="382"/>
  <c r="F1012" i="382"/>
  <c r="G1012" i="382"/>
  <c r="I978" i="382"/>
  <c r="H955" i="382"/>
  <c r="H931" i="382"/>
  <c r="J978" i="382"/>
  <c r="F978" i="382"/>
  <c r="I955" i="382"/>
  <c r="I931" i="382"/>
  <c r="G978" i="382"/>
  <c r="J955" i="382"/>
  <c r="F931" i="382"/>
  <c r="H978" i="382"/>
  <c r="G931" i="382"/>
  <c r="J931" i="382"/>
  <c r="F955" i="382"/>
  <c r="G955" i="382"/>
  <c r="K21" i="385"/>
  <c r="K25" i="385" s="1"/>
  <c r="H875" i="382"/>
  <c r="J836" i="382"/>
  <c r="I813" i="382"/>
  <c r="I791" i="382"/>
  <c r="J875" i="382"/>
  <c r="J72" i="382"/>
  <c r="H836" i="382"/>
  <c r="H813" i="382"/>
  <c r="I875" i="382"/>
  <c r="J813" i="382"/>
  <c r="H791" i="382"/>
  <c r="J791" i="382"/>
  <c r="F73" i="382"/>
  <c r="I836" i="382"/>
  <c r="I478" i="382"/>
  <c r="I475" i="382"/>
  <c r="F1067" i="382"/>
  <c r="G1067" i="382"/>
  <c r="H1067" i="382"/>
  <c r="I902" i="382"/>
  <c r="I906" i="382" s="1"/>
  <c r="F1146" i="382"/>
  <c r="G1146" i="382"/>
  <c r="H1146" i="382"/>
  <c r="I1146" i="382"/>
  <c r="F1286" i="382"/>
  <c r="I1286" i="382" s="1"/>
  <c r="I1283" i="382"/>
  <c r="H1196" i="382"/>
  <c r="I1196" i="382"/>
  <c r="F1196" i="382"/>
  <c r="G1196" i="382"/>
  <c r="F1310" i="382"/>
  <c r="I1307" i="382"/>
  <c r="H839" i="382"/>
  <c r="I839" i="382"/>
  <c r="J839" i="382"/>
  <c r="F839" i="382"/>
  <c r="G839" i="382"/>
  <c r="H1105" i="382"/>
  <c r="I1105" i="382"/>
  <c r="G1105" i="382"/>
  <c r="F1105" i="382"/>
  <c r="G975" i="382"/>
  <c r="G952" i="382"/>
  <c r="J80" i="382"/>
  <c r="G1009" i="382"/>
  <c r="G992" i="382"/>
  <c r="F81" i="382"/>
  <c r="I156" i="382"/>
  <c r="F164" i="382"/>
  <c r="F1411" i="382"/>
  <c r="F1437" i="382"/>
  <c r="I1410" i="382"/>
  <c r="F1204" i="382"/>
  <c r="I1204" i="382" s="1"/>
  <c r="I1202" i="382"/>
  <c r="G794" i="382"/>
  <c r="F794" i="382"/>
  <c r="H794" i="382"/>
  <c r="J794" i="382"/>
  <c r="I794" i="382"/>
  <c r="I1312" i="382"/>
  <c r="I1258" i="382"/>
  <c r="I1262" i="382"/>
  <c r="I484" i="382"/>
  <c r="G816" i="382"/>
  <c r="H816" i="382"/>
  <c r="I816" i="382"/>
  <c r="F816" i="382"/>
  <c r="J816" i="382"/>
  <c r="F1503" i="382"/>
  <c r="I1503" i="382" s="1"/>
  <c r="I1500" i="382"/>
  <c r="J878" i="382"/>
  <c r="F878" i="382"/>
  <c r="G878" i="382"/>
  <c r="I878" i="382"/>
  <c r="H878" i="382"/>
  <c r="F1442" i="382"/>
  <c r="I1415" i="382"/>
  <c r="I1125" i="382"/>
  <c r="F1125" i="382"/>
  <c r="G1125" i="382"/>
  <c r="H1125" i="382"/>
  <c r="F90" i="382"/>
  <c r="J90" i="382" s="1"/>
  <c r="J89" i="382"/>
  <c r="H354" i="382"/>
  <c r="G332" i="382"/>
  <c r="I354" i="382"/>
  <c r="J332" i="382"/>
  <c r="G310" i="382"/>
  <c r="G1086" i="382"/>
  <c r="I864" i="382"/>
  <c r="I1337" i="382"/>
  <c r="F166" i="382"/>
  <c r="I158" i="382"/>
  <c r="I1249" i="382"/>
  <c r="F1249" i="382"/>
  <c r="G1249" i="382"/>
  <c r="H1249" i="382"/>
  <c r="J696" i="382"/>
  <c r="F696" i="382"/>
  <c r="G696" i="382"/>
  <c r="H696" i="382"/>
  <c r="I696" i="382"/>
  <c r="G1473" i="382"/>
  <c r="H1473" i="382"/>
  <c r="F1473" i="382"/>
  <c r="G763" i="382"/>
  <c r="G750" i="382"/>
  <c r="G737" i="382"/>
  <c r="G724" i="382"/>
  <c r="I763" i="382"/>
  <c r="F737" i="382"/>
  <c r="J724" i="382"/>
  <c r="F750" i="382"/>
  <c r="H737" i="382"/>
  <c r="F724" i="382"/>
  <c r="F763" i="382"/>
  <c r="H750" i="382"/>
  <c r="H763" i="382"/>
  <c r="I750" i="382"/>
  <c r="I751" i="382" s="1"/>
  <c r="H724" i="382"/>
  <c r="I724" i="382"/>
  <c r="F1166" i="382"/>
  <c r="G1166" i="382"/>
  <c r="H1166" i="382"/>
  <c r="I1166" i="382"/>
  <c r="I1501" i="382"/>
  <c r="F1504" i="382"/>
  <c r="I1504" i="382" s="1"/>
  <c r="F1443" i="382"/>
  <c r="I1443" i="382" s="1"/>
  <c r="I1416" i="382"/>
  <c r="I1257" i="382"/>
  <c r="F1297" i="382"/>
  <c r="I1297" i="382" s="1"/>
  <c r="I1298" i="382" s="1"/>
  <c r="I1282" i="382"/>
  <c r="F1285" i="382"/>
  <c r="I1285" i="382" s="1"/>
  <c r="I1213" i="382"/>
  <c r="F1213" i="382"/>
  <c r="G1213" i="382"/>
  <c r="H1213" i="382"/>
  <c r="G1028" i="382"/>
  <c r="H1028" i="382"/>
  <c r="J1028" i="382"/>
  <c r="I1028" i="382"/>
  <c r="F1028" i="382"/>
  <c r="I1311" i="382"/>
  <c r="F318" i="382"/>
  <c r="I318" i="382" s="1"/>
  <c r="I281" i="382"/>
  <c r="F354" i="382"/>
  <c r="H332" i="382"/>
  <c r="I310" i="382"/>
  <c r="J141" i="485" l="1"/>
  <c r="K141" i="485" s="1"/>
  <c r="K10" i="485"/>
  <c r="I180" i="490"/>
  <c r="F188" i="490"/>
  <c r="H891" i="490"/>
  <c r="F891" i="490"/>
  <c r="F893" i="490" s="1"/>
  <c r="F894" i="490" s="1"/>
  <c r="F895" i="490" s="1"/>
  <c r="G891" i="490"/>
  <c r="G893" i="490" s="1"/>
  <c r="E891" i="490"/>
  <c r="E893" i="490" s="1"/>
  <c r="J905" i="490"/>
  <c r="J907" i="490" s="1"/>
  <c r="J908" i="490" s="1"/>
  <c r="J909" i="490" s="1"/>
  <c r="H905" i="490"/>
  <c r="H907" i="490" s="1"/>
  <c r="F905" i="490"/>
  <c r="F907" i="490" s="1"/>
  <c r="F908" i="490" s="1"/>
  <c r="F909" i="490" s="1"/>
  <c r="I905" i="490"/>
  <c r="I907" i="490" s="1"/>
  <c r="G905" i="490"/>
  <c r="G907" i="490" s="1"/>
  <c r="G908" i="490" s="1"/>
  <c r="G909" i="490" s="1"/>
  <c r="E905" i="490"/>
  <c r="E907" i="490" s="1"/>
  <c r="E908" i="490" s="1"/>
  <c r="E909" i="490" s="1"/>
  <c r="K92" i="485"/>
  <c r="K89" i="485"/>
  <c r="E66" i="471"/>
  <c r="G30" i="471"/>
  <c r="G34" i="471" s="1"/>
  <c r="G35" i="471" s="1"/>
  <c r="G36" i="471" s="1"/>
  <c r="G37" i="471" s="1"/>
  <c r="E60" i="471"/>
  <c r="E61" i="471" s="1"/>
  <c r="E67" i="471" s="1"/>
  <c r="G67" i="471" s="1"/>
  <c r="D96" i="471"/>
  <c r="E95" i="471"/>
  <c r="D131" i="471"/>
  <c r="E131" i="471" s="1"/>
  <c r="K12" i="475"/>
  <c r="N12" i="475" s="1"/>
  <c r="K68" i="475"/>
  <c r="N68" i="475" s="1"/>
  <c r="A383" i="382"/>
  <c r="A397" i="382" s="1"/>
  <c r="A407" i="382"/>
  <c r="K94" i="385"/>
  <c r="K97" i="385" s="1"/>
  <c r="J73" i="441"/>
  <c r="K73" i="441" s="1"/>
  <c r="I115" i="444"/>
  <c r="J115" i="444" s="1"/>
  <c r="I12" i="444"/>
  <c r="J12" i="444" s="1"/>
  <c r="I6" i="444"/>
  <c r="J6" i="444" s="1"/>
  <c r="J10" i="441"/>
  <c r="K10" i="441" s="1"/>
  <c r="J83" i="441"/>
  <c r="K83" i="441" s="1"/>
  <c r="J88" i="441"/>
  <c r="K88" i="441" s="1"/>
  <c r="K73" i="385"/>
  <c r="K18" i="385"/>
  <c r="K19" i="385" s="1"/>
  <c r="K29" i="385" s="1"/>
  <c r="I45" i="385"/>
  <c r="K45" i="385" s="1"/>
  <c r="K46" i="385" s="1"/>
  <c r="K59" i="385" s="1"/>
  <c r="K60" i="385" s="1"/>
  <c r="K61" i="385" s="1"/>
  <c r="K62" i="385" s="1"/>
  <c r="K63" i="385" s="1"/>
  <c r="K64" i="385" s="1"/>
  <c r="I1411" i="382"/>
  <c r="F1412" i="382"/>
  <c r="I1412" i="382" s="1"/>
  <c r="H891" i="382"/>
  <c r="H893" i="382" s="1"/>
  <c r="G906" i="382"/>
  <c r="F891" i="382"/>
  <c r="F893" i="382" s="1"/>
  <c r="F894" i="382" s="1"/>
  <c r="F895" i="382" s="1"/>
  <c r="I903" i="382"/>
  <c r="J905" i="382" s="1"/>
  <c r="J906" i="382"/>
  <c r="G891" i="382"/>
  <c r="G893" i="382" s="1"/>
  <c r="G894" i="382" s="1"/>
  <c r="G895" i="382" s="1"/>
  <c r="I1263" i="382"/>
  <c r="F1264" i="382" s="1"/>
  <c r="I1264" i="382" s="1"/>
  <c r="I1265" i="382" s="1"/>
  <c r="F906" i="382"/>
  <c r="I239" i="382"/>
  <c r="I240" i="382" s="1"/>
  <c r="I241" i="382" s="1"/>
  <c r="I752" i="382"/>
  <c r="I753" i="382" s="1"/>
  <c r="I1338" i="382"/>
  <c r="I1339" i="382" s="1"/>
  <c r="I1442" i="382"/>
  <c r="F1445" i="382"/>
  <c r="I1445" i="382" s="1"/>
  <c r="F1438" i="382"/>
  <c r="I1438" i="382" s="1"/>
  <c r="I1437" i="382"/>
  <c r="F1462" i="382"/>
  <c r="I1462" i="382" s="1"/>
  <c r="I1354" i="382"/>
  <c r="I1367" i="382" s="1"/>
  <c r="I1353" i="382"/>
  <c r="F1299" i="382"/>
  <c r="I1299" i="382" s="1"/>
  <c r="I1300" i="382" s="1"/>
  <c r="I1301" i="382" s="1"/>
  <c r="G1424" i="382"/>
  <c r="G1425" i="382" s="1"/>
  <c r="H1424" i="382"/>
  <c r="H1425" i="382" s="1"/>
  <c r="F1424" i="382"/>
  <c r="F1425" i="382" s="1"/>
  <c r="I1424" i="382"/>
  <c r="I1425" i="382" s="1"/>
  <c r="F74" i="382"/>
  <c r="J74" i="382" s="1"/>
  <c r="J73" i="382"/>
  <c r="F671" i="382"/>
  <c r="F658" i="382"/>
  <c r="F645" i="382"/>
  <c r="H619" i="382"/>
  <c r="H606" i="382"/>
  <c r="G671" i="382"/>
  <c r="G658" i="382"/>
  <c r="G645" i="382"/>
  <c r="F606" i="382"/>
  <c r="G593" i="382"/>
  <c r="F580" i="382"/>
  <c r="J568" i="382"/>
  <c r="F568" i="382"/>
  <c r="G556" i="382"/>
  <c r="H543" i="382"/>
  <c r="H530" i="382"/>
  <c r="H518" i="382"/>
  <c r="H505" i="382"/>
  <c r="H492" i="382"/>
  <c r="H671" i="382"/>
  <c r="H658" i="382"/>
  <c r="H645" i="382"/>
  <c r="G606" i="382"/>
  <c r="H593" i="382"/>
  <c r="G580" i="382"/>
  <c r="G568" i="382"/>
  <c r="H556" i="382"/>
  <c r="I518" i="382"/>
  <c r="I492" i="382"/>
  <c r="G619" i="382"/>
  <c r="I606" i="382"/>
  <c r="F593" i="382"/>
  <c r="G530" i="382"/>
  <c r="G518" i="382"/>
  <c r="G505" i="382"/>
  <c r="F492" i="382"/>
  <c r="J606" i="382"/>
  <c r="H568" i="382"/>
  <c r="F556" i="382"/>
  <c r="G492" i="382"/>
  <c r="H580" i="382"/>
  <c r="I568" i="382"/>
  <c r="F543" i="382"/>
  <c r="J492" i="382"/>
  <c r="G632" i="382"/>
  <c r="G543" i="382"/>
  <c r="F505" i="382"/>
  <c r="F619" i="382"/>
  <c r="F530" i="382"/>
  <c r="F518" i="382"/>
  <c r="I632" i="382"/>
  <c r="F632" i="382"/>
  <c r="J632" i="382"/>
  <c r="H632" i="382"/>
  <c r="I164" i="382"/>
  <c r="F172" i="382"/>
  <c r="H1009" i="382"/>
  <c r="I992" i="382"/>
  <c r="J952" i="382"/>
  <c r="J992" i="382"/>
  <c r="H975" i="382"/>
  <c r="I975" i="382"/>
  <c r="I952" i="382"/>
  <c r="F82" i="382"/>
  <c r="J975" i="382"/>
  <c r="H952" i="382"/>
  <c r="H992" i="382"/>
  <c r="J81" i="382"/>
  <c r="E894" i="382"/>
  <c r="E895" i="382" s="1"/>
  <c r="J52" i="485" s="1"/>
  <c r="H906" i="382"/>
  <c r="F174" i="382"/>
  <c r="I166" i="382"/>
  <c r="F1223" i="382"/>
  <c r="I1223" i="382" s="1"/>
  <c r="I1224" i="382" s="1"/>
  <c r="F1505" i="382"/>
  <c r="I1505" i="382" s="1"/>
  <c r="I1506" i="382" s="1"/>
  <c r="I1310" i="382"/>
  <c r="I1313" i="382" s="1"/>
  <c r="I1287" i="382"/>
  <c r="J135" i="485" l="1"/>
  <c r="K135" i="485" s="1"/>
  <c r="K52" i="485"/>
  <c r="I908" i="490"/>
  <c r="I909" i="490" s="1"/>
  <c r="H908" i="490"/>
  <c r="H909" i="490" s="1"/>
  <c r="E894" i="490"/>
  <c r="E895" i="490" s="1"/>
  <c r="G894" i="490"/>
  <c r="G895" i="490" s="1"/>
  <c r="H893" i="490"/>
  <c r="H894" i="490" s="1"/>
  <c r="H895" i="490" s="1"/>
  <c r="I891" i="490"/>
  <c r="F196" i="490"/>
  <c r="I196" i="490" s="1"/>
  <c r="I188" i="490"/>
  <c r="E102" i="471"/>
  <c r="G66" i="471"/>
  <c r="G70" i="471" s="1"/>
  <c r="G71" i="471" s="1"/>
  <c r="G72" i="471" s="1"/>
  <c r="G73" i="471" s="1"/>
  <c r="D132" i="471"/>
  <c r="E132" i="471" s="1"/>
  <c r="E133" i="471" s="1"/>
  <c r="E139" i="471" s="1"/>
  <c r="G139" i="471" s="1"/>
  <c r="E96" i="471"/>
  <c r="E97" i="471" s="1"/>
  <c r="E103" i="471" s="1"/>
  <c r="G103" i="471" s="1"/>
  <c r="I1451" i="382"/>
  <c r="I1452" i="382" s="1"/>
  <c r="F1451" i="382"/>
  <c r="F1452" i="382" s="1"/>
  <c r="G1451" i="382"/>
  <c r="G1452" i="382" s="1"/>
  <c r="H1451" i="382"/>
  <c r="H1452" i="382" s="1"/>
  <c r="A441" i="382"/>
  <c r="A470" i="382" s="1"/>
  <c r="I891" i="382"/>
  <c r="I893" i="382" s="1"/>
  <c r="I60" i="444"/>
  <c r="J60" i="444" s="1"/>
  <c r="I134" i="444"/>
  <c r="J134" i="444" s="1"/>
  <c r="J52" i="441"/>
  <c r="K52" i="441" s="1"/>
  <c r="K30" i="385"/>
  <c r="K31" i="385" s="1"/>
  <c r="K32" i="385" s="1"/>
  <c r="K33" i="385" s="1"/>
  <c r="I1302" i="382"/>
  <c r="F905" i="382"/>
  <c r="F907" i="382" s="1"/>
  <c r="F908" i="382" s="1"/>
  <c r="F909" i="382" s="1"/>
  <c r="G905" i="382"/>
  <c r="G907" i="382" s="1"/>
  <c r="G908" i="382" s="1"/>
  <c r="G909" i="382" s="1"/>
  <c r="E905" i="382"/>
  <c r="E907" i="382" s="1"/>
  <c r="E908" i="382" s="1"/>
  <c r="E909" i="382" s="1"/>
  <c r="J907" i="382"/>
  <c r="J908" i="382" s="1"/>
  <c r="J909" i="382" s="1"/>
  <c r="H905" i="382"/>
  <c r="H907" i="382" s="1"/>
  <c r="I905" i="382"/>
  <c r="I907" i="382" s="1"/>
  <c r="I908" i="382" s="1"/>
  <c r="I909" i="382" s="1"/>
  <c r="F1314" i="382"/>
  <c r="I1314" i="382" s="1"/>
  <c r="I1315" i="382" s="1"/>
  <c r="H894" i="382"/>
  <c r="H895" i="382" s="1"/>
  <c r="F83" i="382"/>
  <c r="J83" i="382" s="1"/>
  <c r="J82" i="382"/>
  <c r="F180" i="382"/>
  <c r="I172" i="382"/>
  <c r="F190" i="382"/>
  <c r="I174" i="382"/>
  <c r="F182" i="382"/>
  <c r="I182" i="382" s="1"/>
  <c r="F1288" i="382"/>
  <c r="I1288" i="382" s="1"/>
  <c r="I1289" i="382" s="1"/>
  <c r="F1507" i="382"/>
  <c r="I1507" i="382" s="1"/>
  <c r="I1508" i="382" s="1"/>
  <c r="I1509" i="382" s="1"/>
  <c r="I1510" i="382" s="1"/>
  <c r="J131" i="485" l="1"/>
  <c r="K131" i="485" s="1"/>
  <c r="I893" i="490"/>
  <c r="J891" i="490"/>
  <c r="J893" i="490" s="1"/>
  <c r="J894" i="490" s="1"/>
  <c r="J895" i="490" s="1"/>
  <c r="E138" i="471"/>
  <c r="G138" i="471" s="1"/>
  <c r="G142" i="471" s="1"/>
  <c r="G143" i="471" s="1"/>
  <c r="G144" i="471" s="1"/>
  <c r="G145" i="471" s="1"/>
  <c r="G102" i="471"/>
  <c r="G106" i="471" s="1"/>
  <c r="G107" i="471" s="1"/>
  <c r="G108" i="471" s="1"/>
  <c r="G109" i="471" s="1"/>
  <c r="J891" i="382"/>
  <c r="J893" i="382" s="1"/>
  <c r="J894" i="382" s="1"/>
  <c r="J895" i="382" s="1"/>
  <c r="A548" i="382"/>
  <c r="A598" i="382" s="1"/>
  <c r="A624" i="382" s="1"/>
  <c r="A676" i="382"/>
  <c r="I63" i="444"/>
  <c r="J63" i="444" s="1"/>
  <c r="I128" i="444"/>
  <c r="J128" i="444" s="1"/>
  <c r="J77" i="441"/>
  <c r="K77" i="441" s="1"/>
  <c r="I131" i="444"/>
  <c r="J131" i="444" s="1"/>
  <c r="I180" i="382"/>
  <c r="F188" i="382"/>
  <c r="I894" i="382"/>
  <c r="I895" i="382" s="1"/>
  <c r="H908" i="382"/>
  <c r="H909" i="382" s="1"/>
  <c r="F198" i="382"/>
  <c r="I198" i="382" s="1"/>
  <c r="I190" i="382"/>
  <c r="I894" i="490" l="1"/>
  <c r="I895" i="490" s="1"/>
  <c r="A701" i="382"/>
  <c r="A820" i="382" s="1"/>
  <c r="A861" i="382" s="1"/>
  <c r="I188" i="382"/>
  <c r="F196" i="382"/>
  <c r="I196" i="382" s="1"/>
  <c r="A768" i="382" l="1"/>
  <c r="A776" i="382" s="1"/>
  <c r="A798" i="382" s="1"/>
  <c r="A844" i="382" s="1"/>
  <c r="A882" i="382" s="1"/>
  <c r="A896" i="382" s="1"/>
  <c r="A911" i="382" s="1"/>
  <c r="A935" i="382" s="1"/>
  <c r="A1016" i="382" s="1"/>
  <c r="AD31" i="82"/>
  <c r="AE31" i="82"/>
  <c r="AF31" i="82"/>
  <c r="AG31" i="82"/>
  <c r="AD32" i="82"/>
  <c r="AE32" i="82"/>
  <c r="AF32" i="82"/>
  <c r="AG32" i="82"/>
  <c r="N21" i="381" s="1"/>
  <c r="AC32" i="82"/>
  <c r="AC31" i="82"/>
  <c r="N25" i="381" l="1"/>
  <c r="N26" i="381"/>
  <c r="O26" i="381" s="1"/>
  <c r="N23" i="381"/>
  <c r="O23" i="381" s="1"/>
  <c r="N24" i="381"/>
  <c r="O24" i="381" s="1"/>
  <c r="O21" i="381"/>
  <c r="N22" i="381"/>
  <c r="O22" i="381" s="1"/>
  <c r="N20" i="381"/>
  <c r="O20" i="381" s="1"/>
  <c r="A959" i="382"/>
  <c r="A982" i="382" s="1"/>
  <c r="A999" i="382" s="1"/>
  <c r="A1033" i="382" s="1"/>
  <c r="A1072" i="382" s="1"/>
  <c r="A1054" i="382" l="1"/>
  <c r="A1090" i="382" s="1"/>
  <c r="A1129" i="382" s="1"/>
  <c r="A1181" i="382" s="1"/>
  <c r="O25" i="381"/>
  <c r="P25" i="381" s="1"/>
  <c r="C306" i="99"/>
  <c r="G298" i="99"/>
  <c r="G234" i="99"/>
  <c r="G240" i="99" s="1"/>
  <c r="G247" i="99" s="1"/>
  <c r="G254" i="99" s="1"/>
  <c r="G46" i="99"/>
  <c r="G53" i="99" s="1"/>
  <c r="G59" i="99" s="1"/>
  <c r="A1110" i="382" l="1"/>
  <c r="A1150" i="382"/>
  <c r="A1170" i="382" s="1"/>
  <c r="A1200" i="382" s="1"/>
  <c r="A1226" i="382" s="1"/>
  <c r="AC8" i="82"/>
  <c r="K4" i="83" s="1"/>
  <c r="D4" i="83" s="1"/>
  <c r="AD8" i="82"/>
  <c r="L4" i="83" s="1"/>
  <c r="E4" i="83" s="1"/>
  <c r="AE8" i="82"/>
  <c r="M4" i="83" s="1"/>
  <c r="F4" i="83" s="1"/>
  <c r="AF8" i="82"/>
  <c r="N4" i="83" s="1"/>
  <c r="G4" i="83" s="1"/>
  <c r="AG8" i="82"/>
  <c r="O4" i="83" s="1"/>
  <c r="H4" i="83" s="1"/>
  <c r="AH8" i="82"/>
  <c r="P4" i="83" s="1"/>
  <c r="I4" i="83" s="1"/>
  <c r="AC9" i="82"/>
  <c r="K5" i="83" s="1"/>
  <c r="D5" i="83" s="1"/>
  <c r="AD9" i="82"/>
  <c r="L5" i="83" s="1"/>
  <c r="E5" i="83" s="1"/>
  <c r="AE9" i="82"/>
  <c r="M5" i="83" s="1"/>
  <c r="F5" i="83" s="1"/>
  <c r="AF9" i="82"/>
  <c r="N5" i="83" s="1"/>
  <c r="G5" i="83" s="1"/>
  <c r="AG9" i="82"/>
  <c r="O5" i="83" s="1"/>
  <c r="H5" i="83" s="1"/>
  <c r="AH9" i="82"/>
  <c r="P5" i="83" s="1"/>
  <c r="I5" i="83" s="1"/>
  <c r="AC10" i="82"/>
  <c r="K6" i="83" s="1"/>
  <c r="D6" i="83" s="1"/>
  <c r="AD10" i="82"/>
  <c r="L6" i="83" s="1"/>
  <c r="E6" i="83" s="1"/>
  <c r="AE10" i="82"/>
  <c r="M6" i="83" s="1"/>
  <c r="F6" i="83" s="1"/>
  <c r="AF10" i="82"/>
  <c r="N6" i="83" s="1"/>
  <c r="G6" i="83" s="1"/>
  <c r="AG10" i="82"/>
  <c r="O6" i="83" s="1"/>
  <c r="H6" i="83" s="1"/>
  <c r="AH10" i="82"/>
  <c r="P6" i="83" s="1"/>
  <c r="I6" i="83" s="1"/>
  <c r="AC11" i="82"/>
  <c r="K7" i="83" s="1"/>
  <c r="D7" i="83" s="1"/>
  <c r="AD11" i="82"/>
  <c r="L7" i="83" s="1"/>
  <c r="E7" i="83" s="1"/>
  <c r="AE11" i="82"/>
  <c r="M7" i="83" s="1"/>
  <c r="F7" i="83" s="1"/>
  <c r="AF11" i="82"/>
  <c r="N7" i="83" s="1"/>
  <c r="G7" i="83" s="1"/>
  <c r="AG11" i="82"/>
  <c r="O7" i="83" s="1"/>
  <c r="H7" i="83" s="1"/>
  <c r="AH11" i="82"/>
  <c r="P7" i="83" s="1"/>
  <c r="I7" i="83" s="1"/>
  <c r="AC12" i="82"/>
  <c r="AD12" i="82"/>
  <c r="AE12" i="82"/>
  <c r="AF12" i="82"/>
  <c r="AG12" i="82"/>
  <c r="AH12" i="82"/>
  <c r="AC13" i="82"/>
  <c r="AD13" i="82"/>
  <c r="AE13" i="82"/>
  <c r="AF13" i="82"/>
  <c r="AG13" i="82"/>
  <c r="AH13" i="82"/>
  <c r="AD7" i="82"/>
  <c r="L3" i="83" s="1"/>
  <c r="E3" i="83" s="1"/>
  <c r="AE7" i="82"/>
  <c r="M3" i="83" s="1"/>
  <c r="F3" i="83" s="1"/>
  <c r="AF7" i="82"/>
  <c r="N3" i="83" s="1"/>
  <c r="G3" i="83" s="1"/>
  <c r="AG7" i="82"/>
  <c r="O3" i="83" s="1"/>
  <c r="H3" i="83" s="1"/>
  <c r="AH7" i="82"/>
  <c r="P3" i="83" s="1"/>
  <c r="I3" i="83" s="1"/>
  <c r="AC7" i="82"/>
  <c r="K3" i="83" s="1"/>
  <c r="D3" i="83" s="1"/>
  <c r="A1217" i="382" l="1"/>
  <c r="A1234" i="382" s="1"/>
  <c r="A1253" i="382" s="1"/>
  <c r="A1278" i="382" s="1"/>
  <c r="A1303" i="382" s="1"/>
  <c r="A1332" i="382" s="1"/>
  <c r="A1341" i="382" s="1"/>
  <c r="O8" i="83"/>
  <c r="K8" i="83"/>
  <c r="N8" i="83"/>
  <c r="M8" i="83"/>
  <c r="P8" i="83"/>
  <c r="L8" i="83"/>
  <c r="H407" i="82"/>
  <c r="M9" i="83" l="1"/>
  <c r="F8" i="83"/>
  <c r="L9" i="83"/>
  <c r="E8" i="83"/>
  <c r="K9" i="83"/>
  <c r="D8" i="83"/>
  <c r="P9" i="83"/>
  <c r="I8" i="83"/>
  <c r="O9" i="83"/>
  <c r="H8" i="83"/>
  <c r="N9" i="83"/>
  <c r="G8" i="83"/>
  <c r="A1266" i="382"/>
  <c r="A1270" i="382" s="1"/>
  <c r="A1290" i="382"/>
  <c r="A1318" i="382" s="1"/>
  <c r="A1322" i="382" s="1"/>
  <c r="A1327" i="382" s="1"/>
  <c r="A1355" i="382"/>
  <c r="A1369" i="382" s="1"/>
  <c r="A1380" i="382" s="1"/>
  <c r="A1390" i="382" s="1"/>
  <c r="A1405" i="382"/>
  <c r="F870" i="82"/>
  <c r="D869" i="82"/>
  <c r="C869" i="82"/>
  <c r="F868" i="82"/>
  <c r="G870" i="82" s="1"/>
  <c r="F867" i="82"/>
  <c r="E867" i="82"/>
  <c r="C865" i="82"/>
  <c r="I864" i="82"/>
  <c r="H864" i="82"/>
  <c r="C864" i="82"/>
  <c r="I863" i="82"/>
  <c r="H863" i="82"/>
  <c r="C863" i="82"/>
  <c r="I862" i="82"/>
  <c r="H862" i="82"/>
  <c r="K862" i="82" s="1"/>
  <c r="I861" i="82"/>
  <c r="H861" i="82"/>
  <c r="C861" i="82"/>
  <c r="I860" i="82"/>
  <c r="H860" i="82"/>
  <c r="C860" i="82"/>
  <c r="I859" i="82"/>
  <c r="H859" i="82"/>
  <c r="K859" i="82" s="1"/>
  <c r="F853" i="82"/>
  <c r="D852" i="82"/>
  <c r="C852" i="82"/>
  <c r="F851" i="82"/>
  <c r="G853" i="82" s="1"/>
  <c r="F850" i="82"/>
  <c r="E850" i="82"/>
  <c r="C848" i="82"/>
  <c r="I847" i="82"/>
  <c r="H847" i="82"/>
  <c r="C847" i="82"/>
  <c r="I846" i="82"/>
  <c r="H846" i="82"/>
  <c r="C846" i="82"/>
  <c r="I845" i="82"/>
  <c r="H845" i="82"/>
  <c r="K845" i="82" s="1"/>
  <c r="F840" i="82"/>
  <c r="D839" i="82"/>
  <c r="C839" i="82"/>
  <c r="F838" i="82"/>
  <c r="G840" i="82" s="1"/>
  <c r="F837" i="82"/>
  <c r="E837" i="82"/>
  <c r="C835" i="82"/>
  <c r="I834" i="82"/>
  <c r="H834" i="82"/>
  <c r="C834" i="82"/>
  <c r="I833" i="82"/>
  <c r="H833" i="82"/>
  <c r="C833" i="82"/>
  <c r="I832" i="82"/>
  <c r="H832" i="82"/>
  <c r="K832" i="82" s="1"/>
  <c r="I831" i="82"/>
  <c r="H831" i="82"/>
  <c r="C831" i="82"/>
  <c r="I830" i="82"/>
  <c r="H830" i="82"/>
  <c r="C830" i="82"/>
  <c r="I829" i="82"/>
  <c r="H829" i="82"/>
  <c r="K829" i="82" s="1"/>
  <c r="F822" i="82"/>
  <c r="D821" i="82"/>
  <c r="C821" i="82"/>
  <c r="F820" i="82"/>
  <c r="G822" i="82" s="1"/>
  <c r="F819" i="82"/>
  <c r="E819" i="82"/>
  <c r="C816" i="82"/>
  <c r="I815" i="82"/>
  <c r="H815" i="82"/>
  <c r="C815" i="82"/>
  <c r="I814" i="82"/>
  <c r="H814" i="82"/>
  <c r="C814" i="82"/>
  <c r="I813" i="82"/>
  <c r="H813" i="82"/>
  <c r="K813" i="82" s="1"/>
  <c r="C810" i="82"/>
  <c r="H808" i="82"/>
  <c r="K808" i="82" s="1"/>
  <c r="H807" i="82"/>
  <c r="K807" i="82" s="1"/>
  <c r="F802" i="82"/>
  <c r="D801" i="82"/>
  <c r="C801" i="82"/>
  <c r="F800" i="82"/>
  <c r="G802" i="82" s="1"/>
  <c r="F799" i="82"/>
  <c r="E799" i="82"/>
  <c r="C796" i="82"/>
  <c r="I795" i="82"/>
  <c r="H795" i="82"/>
  <c r="C795" i="82"/>
  <c r="I794" i="82"/>
  <c r="H794" i="82"/>
  <c r="C794" i="82"/>
  <c r="I793" i="82"/>
  <c r="H793" i="82"/>
  <c r="K793" i="82" s="1"/>
  <c r="C790" i="82"/>
  <c r="H788" i="82"/>
  <c r="K788" i="82" s="1"/>
  <c r="H787" i="82"/>
  <c r="K787" i="82" s="1"/>
  <c r="F781" i="82"/>
  <c r="D780" i="82"/>
  <c r="C780" i="82"/>
  <c r="F779" i="82"/>
  <c r="G781" i="82" s="1"/>
  <c r="F778" i="82"/>
  <c r="E778" i="82"/>
  <c r="C775" i="82"/>
  <c r="I774" i="82"/>
  <c r="H774" i="82"/>
  <c r="C774" i="82"/>
  <c r="I773" i="82"/>
  <c r="H773" i="82"/>
  <c r="C773" i="82"/>
  <c r="I772" i="82"/>
  <c r="H772" i="82"/>
  <c r="K772" i="82" s="1"/>
  <c r="C769" i="82"/>
  <c r="H767" i="82"/>
  <c r="K767" i="82" s="1"/>
  <c r="H766" i="82"/>
  <c r="K766" i="82" s="1"/>
  <c r="F761" i="82"/>
  <c r="D760" i="82"/>
  <c r="C760" i="82"/>
  <c r="F759" i="82"/>
  <c r="G761" i="82" s="1"/>
  <c r="F758" i="82"/>
  <c r="E758" i="82"/>
  <c r="C755" i="82"/>
  <c r="I754" i="82"/>
  <c r="H754" i="82"/>
  <c r="C754" i="82"/>
  <c r="I753" i="82"/>
  <c r="H753" i="82"/>
  <c r="C753" i="82"/>
  <c r="I752" i="82"/>
  <c r="H752" i="82"/>
  <c r="K752" i="82" s="1"/>
  <c r="C749" i="82"/>
  <c r="H747" i="82"/>
  <c r="K747" i="82" s="1"/>
  <c r="H746" i="82"/>
  <c r="K746" i="82" s="1"/>
  <c r="F740" i="82"/>
  <c r="D739" i="82"/>
  <c r="C739" i="82"/>
  <c r="F738" i="82"/>
  <c r="G740" i="82" s="1"/>
  <c r="F737" i="82"/>
  <c r="E737" i="82"/>
  <c r="C734" i="82"/>
  <c r="I733" i="82"/>
  <c r="H733" i="82"/>
  <c r="C733" i="82"/>
  <c r="I732" i="82"/>
  <c r="H732" i="82"/>
  <c r="C732" i="82"/>
  <c r="I731" i="82"/>
  <c r="H731" i="82"/>
  <c r="K731" i="82" s="1"/>
  <c r="C728" i="82"/>
  <c r="H726" i="82"/>
  <c r="K726" i="82" s="1"/>
  <c r="H725" i="82"/>
  <c r="K725" i="82" s="1"/>
  <c r="F720" i="82"/>
  <c r="D719" i="82"/>
  <c r="C719" i="82"/>
  <c r="F718" i="82"/>
  <c r="G720" i="82" s="1"/>
  <c r="F717" i="82"/>
  <c r="E717" i="82"/>
  <c r="C714" i="82"/>
  <c r="I713" i="82"/>
  <c r="H713" i="82"/>
  <c r="C713" i="82"/>
  <c r="I712" i="82"/>
  <c r="H712" i="82"/>
  <c r="C712" i="82"/>
  <c r="I711" i="82"/>
  <c r="H711" i="82"/>
  <c r="K711" i="82" s="1"/>
  <c r="C708" i="82"/>
  <c r="H706" i="82"/>
  <c r="K706" i="82" s="1"/>
  <c r="H705" i="82"/>
  <c r="K705" i="82" s="1"/>
  <c r="F699" i="82"/>
  <c r="D698" i="82"/>
  <c r="C698" i="82"/>
  <c r="F697" i="82"/>
  <c r="G699" i="82" s="1"/>
  <c r="F696" i="82"/>
  <c r="E696" i="82"/>
  <c r="C693" i="82"/>
  <c r="I692" i="82"/>
  <c r="H692" i="82"/>
  <c r="C692" i="82"/>
  <c r="I691" i="82"/>
  <c r="H691" i="82"/>
  <c r="C691" i="82"/>
  <c r="I690" i="82"/>
  <c r="H690" i="82"/>
  <c r="K690" i="82" s="1"/>
  <c r="C687" i="82"/>
  <c r="H685" i="82"/>
  <c r="K685" i="82" s="1"/>
  <c r="H684" i="82"/>
  <c r="K684" i="82" s="1"/>
  <c r="F679" i="82"/>
  <c r="D678" i="82"/>
  <c r="C678" i="82"/>
  <c r="F677" i="82"/>
  <c r="G679" i="82" s="1"/>
  <c r="F676" i="82"/>
  <c r="E676" i="82"/>
  <c r="C673" i="82"/>
  <c r="I672" i="82"/>
  <c r="H672" i="82"/>
  <c r="C672" i="82"/>
  <c r="I671" i="82"/>
  <c r="H671" i="82"/>
  <c r="C671" i="82"/>
  <c r="I670" i="82"/>
  <c r="H670" i="82"/>
  <c r="K670" i="82" s="1"/>
  <c r="C667" i="82"/>
  <c r="H665" i="82"/>
  <c r="K665" i="82" s="1"/>
  <c r="H664" i="82"/>
  <c r="K664" i="82" s="1"/>
  <c r="F658" i="82"/>
  <c r="D657" i="82"/>
  <c r="C657" i="82"/>
  <c r="F656" i="82"/>
  <c r="G658" i="82" s="1"/>
  <c r="F655" i="82"/>
  <c r="E655" i="82"/>
  <c r="C652" i="82"/>
  <c r="I651" i="82"/>
  <c r="H651" i="82"/>
  <c r="C651" i="82"/>
  <c r="I650" i="82"/>
  <c r="H650" i="82"/>
  <c r="C650" i="82"/>
  <c r="I649" i="82"/>
  <c r="H649" i="82"/>
  <c r="K649" i="82" s="1"/>
  <c r="C646" i="82"/>
  <c r="H644" i="82"/>
  <c r="K644" i="82" s="1"/>
  <c r="H643" i="82"/>
  <c r="K643" i="82" s="1"/>
  <c r="F638" i="82"/>
  <c r="D637" i="82"/>
  <c r="C637" i="82"/>
  <c r="F636" i="82"/>
  <c r="G638" i="82" s="1"/>
  <c r="F635" i="82"/>
  <c r="E635" i="82"/>
  <c r="C632" i="82"/>
  <c r="I631" i="82"/>
  <c r="H631" i="82"/>
  <c r="C631" i="82"/>
  <c r="I630" i="82"/>
  <c r="H630" i="82"/>
  <c r="C630" i="82"/>
  <c r="I629" i="82"/>
  <c r="H629" i="82"/>
  <c r="K629" i="82" s="1"/>
  <c r="C626" i="82"/>
  <c r="H624" i="82"/>
  <c r="K624" i="82" s="1"/>
  <c r="H623" i="82"/>
  <c r="K623" i="82" s="1"/>
  <c r="F616" i="82"/>
  <c r="D615" i="82"/>
  <c r="C615" i="82"/>
  <c r="F614" i="82"/>
  <c r="G616" i="82" s="1"/>
  <c r="F613" i="82"/>
  <c r="E613" i="82"/>
  <c r="C611" i="82"/>
  <c r="H609" i="82"/>
  <c r="K609" i="82" s="1"/>
  <c r="H608" i="82"/>
  <c r="K608" i="82" s="1"/>
  <c r="F603" i="82"/>
  <c r="D602" i="82"/>
  <c r="C602" i="82"/>
  <c r="F601" i="82"/>
  <c r="G603" i="82" s="1"/>
  <c r="F600" i="82"/>
  <c r="E600" i="82"/>
  <c r="C598" i="82"/>
  <c r="H596" i="82"/>
  <c r="K596" i="82" s="1"/>
  <c r="H595" i="82"/>
  <c r="K595" i="82" s="1"/>
  <c r="F589" i="82"/>
  <c r="D588" i="82"/>
  <c r="C588" i="82"/>
  <c r="F587" i="82"/>
  <c r="G589" i="82" s="1"/>
  <c r="F586" i="82"/>
  <c r="E586" i="82"/>
  <c r="C584" i="82"/>
  <c r="H582" i="82"/>
  <c r="K582" i="82" s="1"/>
  <c r="H581" i="82"/>
  <c r="K581" i="82" s="1"/>
  <c r="F576" i="82"/>
  <c r="D575" i="82"/>
  <c r="C575" i="82"/>
  <c r="F574" i="82"/>
  <c r="G576" i="82" s="1"/>
  <c r="F573" i="82"/>
  <c r="E573" i="82"/>
  <c r="C571" i="82"/>
  <c r="H569" i="82"/>
  <c r="K569" i="82" s="1"/>
  <c r="H568" i="82"/>
  <c r="K568" i="82" s="1"/>
  <c r="F562" i="82"/>
  <c r="D561" i="82"/>
  <c r="C561" i="82"/>
  <c r="F560" i="82"/>
  <c r="G562" i="82" s="1"/>
  <c r="F559" i="82"/>
  <c r="E559" i="82"/>
  <c r="C557" i="82"/>
  <c r="H555" i="82"/>
  <c r="K555" i="82" s="1"/>
  <c r="H554" i="82"/>
  <c r="K554" i="82" s="1"/>
  <c r="F549" i="82"/>
  <c r="D548" i="82"/>
  <c r="C548" i="82"/>
  <c r="F547" i="82"/>
  <c r="G549" i="82" s="1"/>
  <c r="F546" i="82"/>
  <c r="E546" i="82"/>
  <c r="C544" i="82"/>
  <c r="H542" i="82"/>
  <c r="K542" i="82" s="1"/>
  <c r="H541" i="82"/>
  <c r="K541" i="82" s="1"/>
  <c r="F535" i="82"/>
  <c r="D534" i="82"/>
  <c r="C534" i="82"/>
  <c r="F533" i="82"/>
  <c r="G535" i="82" s="1"/>
  <c r="F532" i="82"/>
  <c r="E532" i="82"/>
  <c r="C530" i="82"/>
  <c r="H528" i="82"/>
  <c r="K528" i="82" s="1"/>
  <c r="H527" i="82"/>
  <c r="K527" i="82" s="1"/>
  <c r="F522" i="82"/>
  <c r="D521" i="82"/>
  <c r="C521" i="82"/>
  <c r="F520" i="82"/>
  <c r="G522" i="82" s="1"/>
  <c r="F519" i="82"/>
  <c r="E519" i="82"/>
  <c r="C517" i="82"/>
  <c r="H515" i="82"/>
  <c r="K515" i="82" s="1"/>
  <c r="H514" i="82"/>
  <c r="K514" i="82" s="1"/>
  <c r="F508" i="82"/>
  <c r="D507" i="82"/>
  <c r="C507" i="82"/>
  <c r="F506" i="82"/>
  <c r="G508" i="82" s="1"/>
  <c r="F505" i="82"/>
  <c r="E505" i="82"/>
  <c r="C503" i="82"/>
  <c r="H501" i="82"/>
  <c r="K501" i="82" s="1"/>
  <c r="H500" i="82"/>
  <c r="K500" i="82" s="1"/>
  <c r="F495" i="82"/>
  <c r="D494" i="82"/>
  <c r="C494" i="82"/>
  <c r="F493" i="82"/>
  <c r="G495" i="82" s="1"/>
  <c r="F492" i="82"/>
  <c r="E492" i="82"/>
  <c r="C490" i="82"/>
  <c r="H488" i="82"/>
  <c r="K488" i="82" s="1"/>
  <c r="H487" i="82"/>
  <c r="K487" i="82" s="1"/>
  <c r="F480" i="82"/>
  <c r="D479" i="82"/>
  <c r="C479" i="82"/>
  <c r="F478" i="82"/>
  <c r="G480" i="82" s="1"/>
  <c r="F477" i="82"/>
  <c r="E477" i="82"/>
  <c r="C476" i="82"/>
  <c r="I475" i="82"/>
  <c r="H475" i="82"/>
  <c r="C475" i="82"/>
  <c r="I474" i="82"/>
  <c r="H474" i="82"/>
  <c r="C474" i="82"/>
  <c r="I473" i="82"/>
  <c r="H473" i="82"/>
  <c r="K473" i="82" s="1"/>
  <c r="F469" i="82"/>
  <c r="D468" i="82"/>
  <c r="C468" i="82"/>
  <c r="F467" i="82"/>
  <c r="G469" i="82" s="1"/>
  <c r="F466" i="82"/>
  <c r="E466" i="82"/>
  <c r="C465" i="82"/>
  <c r="I464" i="82"/>
  <c r="H464" i="82"/>
  <c r="C464" i="82"/>
  <c r="I463" i="82"/>
  <c r="H463" i="82"/>
  <c r="C463" i="82"/>
  <c r="I462" i="82"/>
  <c r="H462" i="82"/>
  <c r="K462" i="82" s="1"/>
  <c r="F458" i="82"/>
  <c r="D457" i="82"/>
  <c r="C457" i="82"/>
  <c r="F456" i="82"/>
  <c r="G458" i="82" s="1"/>
  <c r="F455" i="82"/>
  <c r="E455" i="82"/>
  <c r="C454" i="82"/>
  <c r="I453" i="82"/>
  <c r="H453" i="82"/>
  <c r="C453" i="82"/>
  <c r="I452" i="82"/>
  <c r="H452" i="82"/>
  <c r="C452" i="82"/>
  <c r="I451" i="82"/>
  <c r="H451" i="82"/>
  <c r="K451" i="82" s="1"/>
  <c r="F447" i="82"/>
  <c r="D446" i="82"/>
  <c r="C446" i="82"/>
  <c r="F445" i="82"/>
  <c r="G447" i="82" s="1"/>
  <c r="F444" i="82"/>
  <c r="E444" i="82"/>
  <c r="C443" i="82"/>
  <c r="I442" i="82"/>
  <c r="H442" i="82"/>
  <c r="C442" i="82"/>
  <c r="I441" i="82"/>
  <c r="H441" i="82"/>
  <c r="C441" i="82"/>
  <c r="I440" i="82"/>
  <c r="H440" i="82"/>
  <c r="K440" i="82" s="1"/>
  <c r="F436" i="82"/>
  <c r="D435" i="82"/>
  <c r="C435" i="82"/>
  <c r="F434" i="82"/>
  <c r="G436" i="82" s="1"/>
  <c r="F433" i="82"/>
  <c r="E433" i="82"/>
  <c r="C432" i="82"/>
  <c r="I431" i="82"/>
  <c r="H431" i="82"/>
  <c r="C431" i="82"/>
  <c r="I430" i="82"/>
  <c r="H430" i="82"/>
  <c r="C430" i="82"/>
  <c r="I429" i="82"/>
  <c r="H429" i="82"/>
  <c r="K429" i="82" s="1"/>
  <c r="F425" i="82"/>
  <c r="D424" i="82"/>
  <c r="C424" i="82"/>
  <c r="F423" i="82"/>
  <c r="G425" i="82" s="1"/>
  <c r="F422" i="82"/>
  <c r="E422" i="82"/>
  <c r="C421" i="82"/>
  <c r="I420" i="82"/>
  <c r="H420" i="82"/>
  <c r="C420" i="82"/>
  <c r="I419" i="82"/>
  <c r="H419" i="82"/>
  <c r="C419" i="82"/>
  <c r="I418" i="82"/>
  <c r="H418" i="82"/>
  <c r="K418" i="82" s="1"/>
  <c r="F414" i="82"/>
  <c r="D413" i="82"/>
  <c r="C413" i="82"/>
  <c r="F412" i="82"/>
  <c r="G414" i="82" s="1"/>
  <c r="F411" i="82"/>
  <c r="E411" i="82"/>
  <c r="C410" i="82"/>
  <c r="I409" i="82"/>
  <c r="H409" i="82"/>
  <c r="C409" i="82"/>
  <c r="I408" i="82"/>
  <c r="H408" i="82"/>
  <c r="C408" i="82"/>
  <c r="I407" i="82"/>
  <c r="K407" i="82"/>
  <c r="F402" i="82"/>
  <c r="D401" i="82"/>
  <c r="C401" i="82"/>
  <c r="F400" i="82"/>
  <c r="G402" i="82" s="1"/>
  <c r="F399" i="82"/>
  <c r="E399" i="82"/>
  <c r="C398" i="82"/>
  <c r="I397" i="82"/>
  <c r="H397" i="82"/>
  <c r="C397" i="82"/>
  <c r="I396" i="82"/>
  <c r="H396" i="82"/>
  <c r="C396" i="82"/>
  <c r="I395" i="82"/>
  <c r="H395" i="82"/>
  <c r="K395" i="82" s="1"/>
  <c r="F391" i="82"/>
  <c r="D390" i="82"/>
  <c r="C390" i="82"/>
  <c r="F389" i="82"/>
  <c r="G391" i="82" s="1"/>
  <c r="F388" i="82"/>
  <c r="E388" i="82"/>
  <c r="C387" i="82"/>
  <c r="I386" i="82"/>
  <c r="H386" i="82"/>
  <c r="C386" i="82"/>
  <c r="I385" i="82"/>
  <c r="H385" i="82"/>
  <c r="C385" i="82"/>
  <c r="I384" i="82"/>
  <c r="H384" i="82"/>
  <c r="K384" i="82" s="1"/>
  <c r="F380" i="82"/>
  <c r="D379" i="82"/>
  <c r="C379" i="82"/>
  <c r="F378" i="82"/>
  <c r="G380" i="82" s="1"/>
  <c r="F377" i="82"/>
  <c r="E377" i="82"/>
  <c r="C376" i="82"/>
  <c r="I375" i="82"/>
  <c r="H375" i="82"/>
  <c r="C375" i="82"/>
  <c r="I374" i="82"/>
  <c r="H374" i="82"/>
  <c r="C374" i="82"/>
  <c r="I373" i="82"/>
  <c r="H373" i="82"/>
  <c r="K373" i="82" s="1"/>
  <c r="F369" i="82"/>
  <c r="D368" i="82"/>
  <c r="C368" i="82"/>
  <c r="F367" i="82"/>
  <c r="G369" i="82" s="1"/>
  <c r="F366" i="82"/>
  <c r="E366" i="82"/>
  <c r="C365" i="82"/>
  <c r="I364" i="82"/>
  <c r="H364" i="82"/>
  <c r="C364" i="82"/>
  <c r="I363" i="82"/>
  <c r="H363" i="82"/>
  <c r="C363" i="82"/>
  <c r="I362" i="82"/>
  <c r="H362" i="82"/>
  <c r="K362" i="82" s="1"/>
  <c r="F358" i="82"/>
  <c r="D357" i="82"/>
  <c r="C357" i="82"/>
  <c r="F356" i="82"/>
  <c r="G358" i="82" s="1"/>
  <c r="F355" i="82"/>
  <c r="E355" i="82"/>
  <c r="C354" i="82"/>
  <c r="I353" i="82"/>
  <c r="H353" i="82"/>
  <c r="C353" i="82"/>
  <c r="I352" i="82"/>
  <c r="H352" i="82"/>
  <c r="C352" i="82"/>
  <c r="I351" i="82"/>
  <c r="H351" i="82"/>
  <c r="K351" i="82" s="1"/>
  <c r="F347" i="82"/>
  <c r="D346" i="82"/>
  <c r="C346" i="82"/>
  <c r="F345" i="82"/>
  <c r="G347" i="82" s="1"/>
  <c r="F344" i="82"/>
  <c r="E344" i="82"/>
  <c r="C343" i="82"/>
  <c r="I342" i="82"/>
  <c r="H342" i="82"/>
  <c r="C342" i="82"/>
  <c r="I341" i="82"/>
  <c r="H341" i="82"/>
  <c r="C341" i="82"/>
  <c r="I340" i="82"/>
  <c r="H340" i="82"/>
  <c r="K340" i="82" s="1"/>
  <c r="F336" i="82"/>
  <c r="D335" i="82"/>
  <c r="C335" i="82"/>
  <c r="F334" i="82"/>
  <c r="G336" i="82" s="1"/>
  <c r="F333" i="82"/>
  <c r="E333" i="82"/>
  <c r="C332" i="82"/>
  <c r="I331" i="82"/>
  <c r="H331" i="82"/>
  <c r="C331" i="82"/>
  <c r="I330" i="82"/>
  <c r="H330" i="82"/>
  <c r="C330" i="82"/>
  <c r="I329" i="82"/>
  <c r="H329" i="82"/>
  <c r="K329" i="82" s="1"/>
  <c r="F324" i="82"/>
  <c r="D323" i="82"/>
  <c r="C323" i="82"/>
  <c r="F322" i="82"/>
  <c r="G324" i="82" s="1"/>
  <c r="F321" i="82"/>
  <c r="E321" i="82"/>
  <c r="C320" i="82"/>
  <c r="I319" i="82"/>
  <c r="H319" i="82"/>
  <c r="C319" i="82"/>
  <c r="I318" i="82"/>
  <c r="H318" i="82"/>
  <c r="C318" i="82"/>
  <c r="I317" i="82"/>
  <c r="H317" i="82"/>
  <c r="K317" i="82" s="1"/>
  <c r="F313" i="82"/>
  <c r="I312" i="82"/>
  <c r="D312" i="82"/>
  <c r="C312" i="82"/>
  <c r="F311" i="82"/>
  <c r="G313" i="82" s="1"/>
  <c r="F310" i="82"/>
  <c r="E310" i="82"/>
  <c r="C309" i="82"/>
  <c r="I308" i="82"/>
  <c r="H308" i="82"/>
  <c r="C308" i="82"/>
  <c r="I307" i="82"/>
  <c r="H307" i="82"/>
  <c r="C307" i="82"/>
  <c r="I306" i="82"/>
  <c r="H306" i="82"/>
  <c r="K306" i="82" s="1"/>
  <c r="F302" i="82"/>
  <c r="I301" i="82"/>
  <c r="D301" i="82"/>
  <c r="C301" i="82"/>
  <c r="F300" i="82"/>
  <c r="G302" i="82" s="1"/>
  <c r="F299" i="82"/>
  <c r="E299" i="82"/>
  <c r="C298" i="82"/>
  <c r="I297" i="82"/>
  <c r="H297" i="82"/>
  <c r="C297" i="82"/>
  <c r="I296" i="82"/>
  <c r="H296" i="82"/>
  <c r="C296" i="82"/>
  <c r="I295" i="82"/>
  <c r="H295" i="82"/>
  <c r="K295" i="82" s="1"/>
  <c r="F291" i="82"/>
  <c r="I290" i="82"/>
  <c r="D290" i="82"/>
  <c r="C290" i="82"/>
  <c r="F289" i="82"/>
  <c r="G291" i="82" s="1"/>
  <c r="F288" i="82"/>
  <c r="E288" i="82"/>
  <c r="C287" i="82"/>
  <c r="I286" i="82"/>
  <c r="H286" i="82"/>
  <c r="C286" i="82"/>
  <c r="I285" i="82"/>
  <c r="H285" i="82"/>
  <c r="C285" i="82"/>
  <c r="I284" i="82"/>
  <c r="H284" i="82"/>
  <c r="K284" i="82" s="1"/>
  <c r="F280" i="82"/>
  <c r="I279" i="82"/>
  <c r="D279" i="82"/>
  <c r="C279" i="82"/>
  <c r="F278" i="82"/>
  <c r="G280" i="82" s="1"/>
  <c r="F277" i="82"/>
  <c r="E277" i="82"/>
  <c r="C276" i="82"/>
  <c r="I275" i="82"/>
  <c r="H275" i="82"/>
  <c r="C275" i="82"/>
  <c r="I274" i="82"/>
  <c r="H274" i="82"/>
  <c r="C274" i="82"/>
  <c r="I273" i="82"/>
  <c r="H273" i="82"/>
  <c r="K273" i="82" s="1"/>
  <c r="F269" i="82"/>
  <c r="I268" i="82"/>
  <c r="D268" i="82"/>
  <c r="C268" i="82"/>
  <c r="F267" i="82"/>
  <c r="G269" i="82" s="1"/>
  <c r="F266" i="82"/>
  <c r="E266" i="82"/>
  <c r="C265" i="82"/>
  <c r="I264" i="82"/>
  <c r="H264" i="82"/>
  <c r="C264" i="82"/>
  <c r="I263" i="82"/>
  <c r="H263" i="82"/>
  <c r="C263" i="82"/>
  <c r="I262" i="82"/>
  <c r="H262" i="82"/>
  <c r="K262" i="82" s="1"/>
  <c r="F258" i="82"/>
  <c r="D257" i="82"/>
  <c r="C257" i="82"/>
  <c r="F256" i="82"/>
  <c r="G258" i="82" s="1"/>
  <c r="F255" i="82"/>
  <c r="E255" i="82"/>
  <c r="C254" i="82"/>
  <c r="I253" i="82"/>
  <c r="H253" i="82"/>
  <c r="C253" i="82"/>
  <c r="I252" i="82"/>
  <c r="H252" i="82"/>
  <c r="C252" i="82"/>
  <c r="I251" i="82"/>
  <c r="H251" i="82"/>
  <c r="K251" i="82" s="1"/>
  <c r="F246" i="82"/>
  <c r="D245" i="82"/>
  <c r="C245" i="82"/>
  <c r="F244" i="82"/>
  <c r="G246" i="82" s="1"/>
  <c r="F243" i="82"/>
  <c r="E243" i="82"/>
  <c r="C242" i="82"/>
  <c r="I241" i="82"/>
  <c r="H241" i="82"/>
  <c r="C241" i="82"/>
  <c r="I240" i="82"/>
  <c r="H240" i="82"/>
  <c r="C240" i="82"/>
  <c r="I239" i="82"/>
  <c r="H239" i="82"/>
  <c r="K239" i="82" s="1"/>
  <c r="F235" i="82"/>
  <c r="I234" i="82"/>
  <c r="D234" i="82"/>
  <c r="C234" i="82"/>
  <c r="F233" i="82"/>
  <c r="G235" i="82" s="1"/>
  <c r="F232" i="82"/>
  <c r="E232" i="82"/>
  <c r="C231" i="82"/>
  <c r="I230" i="82"/>
  <c r="H230" i="82"/>
  <c r="C230" i="82"/>
  <c r="I229" i="82"/>
  <c r="H229" i="82"/>
  <c r="C229" i="82"/>
  <c r="I228" i="82"/>
  <c r="H228" i="82"/>
  <c r="K228" i="82" s="1"/>
  <c r="F224" i="82"/>
  <c r="I223" i="82"/>
  <c r="D223" i="82"/>
  <c r="C223" i="82"/>
  <c r="F222" i="82"/>
  <c r="G224" i="82" s="1"/>
  <c r="F221" i="82"/>
  <c r="E221" i="82"/>
  <c r="C220" i="82"/>
  <c r="I219" i="82"/>
  <c r="H219" i="82"/>
  <c r="C219" i="82"/>
  <c r="I218" i="82"/>
  <c r="H218" i="82"/>
  <c r="C218" i="82"/>
  <c r="I217" i="82"/>
  <c r="H217" i="82"/>
  <c r="K217" i="82" s="1"/>
  <c r="F213" i="82"/>
  <c r="I212" i="82"/>
  <c r="D212" i="82"/>
  <c r="C212" i="82"/>
  <c r="F211" i="82"/>
  <c r="G213" i="82" s="1"/>
  <c r="F210" i="82"/>
  <c r="E210" i="82"/>
  <c r="C209" i="82"/>
  <c r="I208" i="82"/>
  <c r="H208" i="82"/>
  <c r="C208" i="82"/>
  <c r="I207" i="82"/>
  <c r="H207" i="82"/>
  <c r="C207" i="82"/>
  <c r="I206" i="82"/>
  <c r="H206" i="82"/>
  <c r="K206" i="82" s="1"/>
  <c r="F202" i="82"/>
  <c r="I201" i="82"/>
  <c r="D201" i="82"/>
  <c r="C201" i="82"/>
  <c r="F200" i="82"/>
  <c r="G202" i="82" s="1"/>
  <c r="F199" i="82"/>
  <c r="E199" i="82"/>
  <c r="C198" i="82"/>
  <c r="I197" i="82"/>
  <c r="H197" i="82"/>
  <c r="C197" i="82"/>
  <c r="I196" i="82"/>
  <c r="H196" i="82"/>
  <c r="C196" i="82"/>
  <c r="I195" i="82"/>
  <c r="H195" i="82"/>
  <c r="K195" i="82" s="1"/>
  <c r="F191" i="82"/>
  <c r="I190" i="82"/>
  <c r="D190" i="82"/>
  <c r="C190" i="82"/>
  <c r="F189" i="82"/>
  <c r="G191" i="82" s="1"/>
  <c r="F188" i="82"/>
  <c r="E188" i="82"/>
  <c r="C187" i="82"/>
  <c r="I186" i="82"/>
  <c r="H186" i="82"/>
  <c r="C186" i="82"/>
  <c r="I185" i="82"/>
  <c r="H185" i="82"/>
  <c r="C185" i="82"/>
  <c r="I184" i="82"/>
  <c r="H184" i="82"/>
  <c r="K184" i="82" s="1"/>
  <c r="F180" i="82"/>
  <c r="D179" i="82"/>
  <c r="C179" i="82"/>
  <c r="F178" i="82"/>
  <c r="G180" i="82" s="1"/>
  <c r="F177" i="82"/>
  <c r="E177" i="82"/>
  <c r="C176" i="82"/>
  <c r="I175" i="82"/>
  <c r="H175" i="82"/>
  <c r="C175" i="82"/>
  <c r="I174" i="82"/>
  <c r="H174" i="82"/>
  <c r="C174" i="82"/>
  <c r="I173" i="82"/>
  <c r="H173" i="82"/>
  <c r="K173" i="82" s="1"/>
  <c r="F168" i="82"/>
  <c r="D167" i="82"/>
  <c r="C167" i="82"/>
  <c r="F166" i="82"/>
  <c r="G168" i="82" s="1"/>
  <c r="F165" i="82"/>
  <c r="E165" i="82"/>
  <c r="C164" i="82"/>
  <c r="I163" i="82"/>
  <c r="H163" i="82"/>
  <c r="C163" i="82"/>
  <c r="I162" i="82"/>
  <c r="H162" i="82"/>
  <c r="C162" i="82"/>
  <c r="I161" i="82"/>
  <c r="H161" i="82"/>
  <c r="K161" i="82" s="1"/>
  <c r="F157" i="82"/>
  <c r="I156" i="82"/>
  <c r="D156" i="82"/>
  <c r="C156" i="82"/>
  <c r="F155" i="82"/>
  <c r="G157" i="82" s="1"/>
  <c r="F154" i="82"/>
  <c r="E154" i="82"/>
  <c r="C153" i="82"/>
  <c r="I152" i="82"/>
  <c r="H152" i="82"/>
  <c r="C152" i="82"/>
  <c r="I151" i="82"/>
  <c r="H151" i="82"/>
  <c r="C151" i="82"/>
  <c r="I150" i="82"/>
  <c r="H150" i="82"/>
  <c r="K150" i="82" s="1"/>
  <c r="F146" i="82"/>
  <c r="I145" i="82"/>
  <c r="D145" i="82"/>
  <c r="C145" i="82"/>
  <c r="F144" i="82"/>
  <c r="G146" i="82" s="1"/>
  <c r="F143" i="82"/>
  <c r="E143" i="82"/>
  <c r="C142" i="82"/>
  <c r="I141" i="82"/>
  <c r="H141" i="82"/>
  <c r="C141" i="82"/>
  <c r="I140" i="82"/>
  <c r="H140" i="82"/>
  <c r="C140" i="82"/>
  <c r="I139" i="82"/>
  <c r="H139" i="82"/>
  <c r="K139" i="82" s="1"/>
  <c r="F135" i="82"/>
  <c r="I134" i="82"/>
  <c r="D134" i="82"/>
  <c r="C134" i="82"/>
  <c r="F133" i="82"/>
  <c r="G135" i="82" s="1"/>
  <c r="F132" i="82"/>
  <c r="E132" i="82"/>
  <c r="C131" i="82"/>
  <c r="I130" i="82"/>
  <c r="H130" i="82"/>
  <c r="C130" i="82"/>
  <c r="I129" i="82"/>
  <c r="H129" i="82"/>
  <c r="C129" i="82"/>
  <c r="I128" i="82"/>
  <c r="H128" i="82"/>
  <c r="K128" i="82" s="1"/>
  <c r="F124" i="82"/>
  <c r="I123" i="82"/>
  <c r="D123" i="82"/>
  <c r="C123" i="82"/>
  <c r="F122" i="82"/>
  <c r="G124" i="82" s="1"/>
  <c r="F121" i="82"/>
  <c r="E121" i="82"/>
  <c r="C120" i="82"/>
  <c r="I119" i="82"/>
  <c r="H119" i="82"/>
  <c r="C119" i="82"/>
  <c r="I118" i="82"/>
  <c r="H118" i="82"/>
  <c r="C118" i="82"/>
  <c r="I117" i="82"/>
  <c r="H117" i="82"/>
  <c r="K117" i="82" s="1"/>
  <c r="F113" i="82"/>
  <c r="I112" i="82"/>
  <c r="D112" i="82"/>
  <c r="C112" i="82"/>
  <c r="F111" i="82"/>
  <c r="G113" i="82" s="1"/>
  <c r="F110" i="82"/>
  <c r="E110" i="82"/>
  <c r="C109" i="82"/>
  <c r="I108" i="82"/>
  <c r="H108" i="82"/>
  <c r="C108" i="82"/>
  <c r="I107" i="82"/>
  <c r="H107" i="82"/>
  <c r="C107" i="82"/>
  <c r="I106" i="82"/>
  <c r="H106" i="82"/>
  <c r="K106" i="82" s="1"/>
  <c r="F102" i="82"/>
  <c r="D101" i="82"/>
  <c r="C101" i="82"/>
  <c r="F100" i="82"/>
  <c r="G102" i="82" s="1"/>
  <c r="F99" i="82"/>
  <c r="E99" i="82"/>
  <c r="C98" i="82"/>
  <c r="I97" i="82"/>
  <c r="H97" i="82"/>
  <c r="C97" i="82"/>
  <c r="I96" i="82"/>
  <c r="H96" i="82"/>
  <c r="C96" i="82"/>
  <c r="I95" i="82"/>
  <c r="H95" i="82"/>
  <c r="K95" i="82" s="1"/>
  <c r="F90" i="82"/>
  <c r="D89" i="82"/>
  <c r="C89" i="82"/>
  <c r="F88" i="82"/>
  <c r="G90" i="82" s="1"/>
  <c r="F87" i="82"/>
  <c r="E87" i="82"/>
  <c r="C86" i="82"/>
  <c r="I85" i="82"/>
  <c r="H85" i="82"/>
  <c r="C85" i="82"/>
  <c r="I84" i="82"/>
  <c r="H84" i="82"/>
  <c r="C84" i="82"/>
  <c r="I83" i="82"/>
  <c r="H83" i="82"/>
  <c r="K83" i="82" s="1"/>
  <c r="F79" i="82"/>
  <c r="I78" i="82"/>
  <c r="D78" i="82"/>
  <c r="C78" i="82"/>
  <c r="F77" i="82"/>
  <c r="G79" i="82" s="1"/>
  <c r="F76" i="82"/>
  <c r="E76" i="82"/>
  <c r="C75" i="82"/>
  <c r="I74" i="82"/>
  <c r="H74" i="82"/>
  <c r="C74" i="82"/>
  <c r="I73" i="82"/>
  <c r="H73" i="82"/>
  <c r="C73" i="82"/>
  <c r="I72" i="82"/>
  <c r="H72" i="82"/>
  <c r="K72" i="82" s="1"/>
  <c r="F68" i="82"/>
  <c r="I67" i="82"/>
  <c r="D67" i="82"/>
  <c r="C67" i="82"/>
  <c r="F66" i="82"/>
  <c r="G68" i="82" s="1"/>
  <c r="F65" i="82"/>
  <c r="E65" i="82"/>
  <c r="C64" i="82"/>
  <c r="I63" i="82"/>
  <c r="H63" i="82"/>
  <c r="C63" i="82"/>
  <c r="I62" i="82"/>
  <c r="H62" i="82"/>
  <c r="C62" i="82"/>
  <c r="I61" i="82"/>
  <c r="H61" i="82"/>
  <c r="K61" i="82" s="1"/>
  <c r="F57" i="82"/>
  <c r="I56" i="82"/>
  <c r="D56" i="82"/>
  <c r="C56" i="82"/>
  <c r="F55" i="82"/>
  <c r="G57" i="82" s="1"/>
  <c r="F54" i="82"/>
  <c r="E54" i="82"/>
  <c r="C53" i="82"/>
  <c r="I52" i="82"/>
  <c r="H52" i="82"/>
  <c r="C52" i="82"/>
  <c r="I51" i="82"/>
  <c r="H51" i="82"/>
  <c r="C51" i="82"/>
  <c r="I50" i="82"/>
  <c r="H50" i="82"/>
  <c r="K50" i="82" s="1"/>
  <c r="F46" i="82"/>
  <c r="I45" i="82"/>
  <c r="D45" i="82"/>
  <c r="C45" i="82"/>
  <c r="F44" i="82"/>
  <c r="G46" i="82" s="1"/>
  <c r="F43" i="82"/>
  <c r="E43" i="82"/>
  <c r="C42" i="82"/>
  <c r="I41" i="82"/>
  <c r="H41" i="82"/>
  <c r="C41" i="82"/>
  <c r="I40" i="82"/>
  <c r="H40" i="82"/>
  <c r="C40" i="82"/>
  <c r="I39" i="82"/>
  <c r="H39" i="82"/>
  <c r="K39" i="82" s="1"/>
  <c r="F35" i="82"/>
  <c r="I34" i="82"/>
  <c r="D34" i="82"/>
  <c r="C34" i="82"/>
  <c r="F33" i="82"/>
  <c r="G35" i="82" s="1"/>
  <c r="F32" i="82"/>
  <c r="E32" i="82"/>
  <c r="C31" i="82"/>
  <c r="I30" i="82"/>
  <c r="H30" i="82"/>
  <c r="C30" i="82"/>
  <c r="I29" i="82"/>
  <c r="H29" i="82"/>
  <c r="C29" i="82"/>
  <c r="I28" i="82"/>
  <c r="H28" i="82"/>
  <c r="K28" i="82" s="1"/>
  <c r="F24" i="82"/>
  <c r="D23" i="82"/>
  <c r="C23" i="82"/>
  <c r="F22" i="82"/>
  <c r="G24" i="82" s="1"/>
  <c r="F21" i="82"/>
  <c r="E21" i="82"/>
  <c r="C20" i="82"/>
  <c r="I19" i="82"/>
  <c r="H19" i="82"/>
  <c r="C19" i="82"/>
  <c r="I18" i="82"/>
  <c r="H18" i="82"/>
  <c r="C18" i="82"/>
  <c r="I17" i="82"/>
  <c r="H17" i="82"/>
  <c r="K17" i="82" s="1"/>
  <c r="K12" i="82"/>
  <c r="D20" i="82" s="1"/>
  <c r="I7" i="82"/>
  <c r="I6" i="82"/>
  <c r="I5" i="82"/>
  <c r="I4" i="82"/>
  <c r="I3" i="82"/>
  <c r="AD596" i="99"/>
  <c r="Z587" i="99"/>
  <c r="AC587" i="99" s="1"/>
  <c r="J587" i="99"/>
  <c r="AD586" i="99"/>
  <c r="AD585" i="99"/>
  <c r="Z581" i="99"/>
  <c r="AC581" i="99" s="1"/>
  <c r="AC583" i="99" s="1"/>
  <c r="J581" i="99"/>
  <c r="AD580" i="99"/>
  <c r="U580" i="99"/>
  <c r="U586" i="99" s="1"/>
  <c r="AD579" i="99"/>
  <c r="X573" i="99"/>
  <c r="E573" i="99"/>
  <c r="Z572" i="99"/>
  <c r="AC572" i="99" s="1"/>
  <c r="AD572" i="99" s="1"/>
  <c r="J572" i="99" s="1"/>
  <c r="Z570" i="99"/>
  <c r="AC570" i="99" s="1"/>
  <c r="Z571" i="99" s="1"/>
  <c r="J570" i="99"/>
  <c r="G571" i="99" s="1"/>
  <c r="Z569" i="99"/>
  <c r="X569" i="99"/>
  <c r="E569" i="99"/>
  <c r="AD568" i="99"/>
  <c r="U568" i="99"/>
  <c r="J561" i="99"/>
  <c r="AD559" i="99"/>
  <c r="J553" i="99"/>
  <c r="I548" i="99"/>
  <c r="J547" i="99"/>
  <c r="I547" i="99"/>
  <c r="I541" i="99"/>
  <c r="J540" i="99"/>
  <c r="I540" i="99"/>
  <c r="I534" i="99"/>
  <c r="J533" i="99"/>
  <c r="I533" i="99"/>
  <c r="I527" i="99"/>
  <c r="J526" i="99"/>
  <c r="I526" i="99"/>
  <c r="I520" i="99"/>
  <c r="J519" i="99"/>
  <c r="I519" i="99"/>
  <c r="I513" i="99"/>
  <c r="J512" i="99"/>
  <c r="I512" i="99"/>
  <c r="I506" i="99"/>
  <c r="J505" i="99"/>
  <c r="I505" i="99"/>
  <c r="I499" i="99"/>
  <c r="J498" i="99"/>
  <c r="I498" i="99"/>
  <c r="I492" i="99"/>
  <c r="J491" i="99"/>
  <c r="I491" i="99"/>
  <c r="I485" i="99"/>
  <c r="J484" i="99"/>
  <c r="I484" i="99"/>
  <c r="I478" i="99"/>
  <c r="J477" i="99"/>
  <c r="I477" i="99"/>
  <c r="I471" i="99"/>
  <c r="J470" i="99"/>
  <c r="I470" i="99"/>
  <c r="J460" i="99"/>
  <c r="G461" i="99" s="1"/>
  <c r="I460" i="99"/>
  <c r="I459" i="99"/>
  <c r="I452" i="99"/>
  <c r="J451" i="99"/>
  <c r="I451" i="99"/>
  <c r="I445" i="99"/>
  <c r="J444" i="99"/>
  <c r="I444" i="99"/>
  <c r="I438" i="99"/>
  <c r="J437" i="99"/>
  <c r="I437" i="99"/>
  <c r="I436" i="99"/>
  <c r="J435" i="99"/>
  <c r="I435" i="99"/>
  <c r="I428" i="99"/>
  <c r="J427" i="99"/>
  <c r="I427" i="99"/>
  <c r="I421" i="99"/>
  <c r="J420" i="99"/>
  <c r="I420" i="99"/>
  <c r="I414" i="99"/>
  <c r="J413" i="99"/>
  <c r="I413" i="99"/>
  <c r="I408" i="99"/>
  <c r="J407" i="99"/>
  <c r="I407" i="99"/>
  <c r="I401" i="99"/>
  <c r="J400" i="99"/>
  <c r="I400" i="99"/>
  <c r="I394" i="99"/>
  <c r="J393" i="99"/>
  <c r="I393" i="99"/>
  <c r="I387" i="99"/>
  <c r="J386" i="99"/>
  <c r="I386" i="99"/>
  <c r="I380" i="99"/>
  <c r="J379" i="99"/>
  <c r="I379" i="99"/>
  <c r="I374" i="99"/>
  <c r="J373" i="99"/>
  <c r="I373" i="99"/>
  <c r="I367" i="99"/>
  <c r="J366" i="99"/>
  <c r="I366" i="99"/>
  <c r="I360" i="99"/>
  <c r="J359" i="99"/>
  <c r="I359" i="99"/>
  <c r="I353" i="99"/>
  <c r="J352" i="99"/>
  <c r="I352" i="99"/>
  <c r="I346" i="99"/>
  <c r="J345" i="99"/>
  <c r="I345" i="99"/>
  <c r="I344" i="99"/>
  <c r="J343" i="99"/>
  <c r="I343" i="99"/>
  <c r="I342" i="99"/>
  <c r="J341" i="99"/>
  <c r="I341" i="99"/>
  <c r="J335" i="99"/>
  <c r="I335" i="99"/>
  <c r="I332" i="99"/>
  <c r="J331" i="99"/>
  <c r="I331" i="99"/>
  <c r="I324" i="99"/>
  <c r="J323" i="99"/>
  <c r="I323" i="99"/>
  <c r="I318" i="99"/>
  <c r="J317" i="99"/>
  <c r="I317" i="99"/>
  <c r="I312" i="99"/>
  <c r="J311" i="99"/>
  <c r="I311" i="99"/>
  <c r="AD309" i="99"/>
  <c r="Z304" i="99"/>
  <c r="AC304" i="99" s="1"/>
  <c r="J304" i="99"/>
  <c r="J305" i="99" s="1"/>
  <c r="AD303" i="99"/>
  <c r="U303" i="99"/>
  <c r="A303" i="99"/>
  <c r="I298" i="99"/>
  <c r="J297" i="99"/>
  <c r="I297" i="99"/>
  <c r="I291" i="99"/>
  <c r="J290" i="99"/>
  <c r="I290" i="99"/>
  <c r="I285" i="99"/>
  <c r="J284" i="99"/>
  <c r="I284" i="99"/>
  <c r="I277" i="99"/>
  <c r="J276" i="99"/>
  <c r="I276" i="99"/>
  <c r="I270" i="99"/>
  <c r="J269" i="99"/>
  <c r="I269" i="99"/>
  <c r="I262" i="99"/>
  <c r="J261" i="99"/>
  <c r="I261" i="99"/>
  <c r="I254" i="99"/>
  <c r="J253" i="99"/>
  <c r="I253" i="99"/>
  <c r="I247" i="99"/>
  <c r="J246" i="99"/>
  <c r="I246" i="99"/>
  <c r="I240" i="99"/>
  <c r="J239" i="99"/>
  <c r="I239" i="99"/>
  <c r="I234" i="99"/>
  <c r="J233" i="99"/>
  <c r="I233" i="99"/>
  <c r="I226" i="99"/>
  <c r="J225" i="99"/>
  <c r="I225" i="99"/>
  <c r="I219" i="99"/>
  <c r="J218" i="99"/>
  <c r="I218" i="99"/>
  <c r="I212" i="99"/>
  <c r="J211" i="99"/>
  <c r="I211" i="99"/>
  <c r="I204" i="99"/>
  <c r="J203" i="99"/>
  <c r="I197" i="99"/>
  <c r="J196" i="99"/>
  <c r="I190" i="99"/>
  <c r="J189" i="99"/>
  <c r="I182" i="99"/>
  <c r="J181" i="99"/>
  <c r="I175" i="99"/>
  <c r="J174" i="99"/>
  <c r="I174" i="99"/>
  <c r="J167" i="99"/>
  <c r="I167" i="99"/>
  <c r="I161" i="99"/>
  <c r="J160" i="99"/>
  <c r="I155" i="99"/>
  <c r="J154" i="99"/>
  <c r="I149" i="99"/>
  <c r="J148" i="99"/>
  <c r="I143" i="99"/>
  <c r="J142" i="99"/>
  <c r="I135" i="99"/>
  <c r="J134" i="99"/>
  <c r="I134" i="99"/>
  <c r="I128" i="99"/>
  <c r="J127" i="99"/>
  <c r="I127" i="99"/>
  <c r="I120" i="99"/>
  <c r="J119" i="99"/>
  <c r="I119" i="99"/>
  <c r="I113" i="99"/>
  <c r="J112" i="99"/>
  <c r="I112" i="99"/>
  <c r="I106" i="99"/>
  <c r="J105" i="99"/>
  <c r="I105" i="99"/>
  <c r="J99" i="99"/>
  <c r="I99" i="99"/>
  <c r="A98" i="99"/>
  <c r="A104" i="99" s="1"/>
  <c r="A111" i="99" s="1"/>
  <c r="A117" i="99" s="1"/>
  <c r="A165" i="99" s="1"/>
  <c r="A209" i="99" s="1"/>
  <c r="A296" i="99" s="1"/>
  <c r="A316" i="99" s="1"/>
  <c r="A340" i="99" s="1"/>
  <c r="A351" i="99" s="1"/>
  <c r="A365" i="99" s="1"/>
  <c r="A372" i="99" s="1"/>
  <c r="A378" i="99" s="1"/>
  <c r="A385" i="99" s="1"/>
  <c r="A392" i="99" s="1"/>
  <c r="A399" i="99" s="1"/>
  <c r="A406" i="99" s="1"/>
  <c r="A419" i="99" s="1"/>
  <c r="A426" i="99" s="1"/>
  <c r="A434" i="99" s="1"/>
  <c r="A443" i="99" s="1"/>
  <c r="A450" i="99" s="1"/>
  <c r="A458" i="99" s="1"/>
  <c r="A552" i="99" s="1"/>
  <c r="A560" i="99" s="1"/>
  <c r="I92" i="99"/>
  <c r="J91" i="99"/>
  <c r="I91" i="99"/>
  <c r="I87" i="99"/>
  <c r="J86" i="99"/>
  <c r="I86" i="99"/>
  <c r="I82" i="99"/>
  <c r="J81" i="99"/>
  <c r="I81" i="99"/>
  <c r="I77" i="99"/>
  <c r="J76" i="99"/>
  <c r="I76" i="99"/>
  <c r="I72" i="99"/>
  <c r="J71" i="99"/>
  <c r="I71" i="99"/>
  <c r="I65" i="99"/>
  <c r="J64" i="99"/>
  <c r="I64" i="99"/>
  <c r="I59" i="99"/>
  <c r="J58" i="99"/>
  <c r="I58" i="99"/>
  <c r="I53" i="99"/>
  <c r="J52" i="99"/>
  <c r="I52" i="99"/>
  <c r="I46" i="99"/>
  <c r="J45" i="99"/>
  <c r="I45" i="99"/>
  <c r="I39" i="99"/>
  <c r="J38" i="99"/>
  <c r="I38" i="99"/>
  <c r="I33" i="99"/>
  <c r="J32" i="99"/>
  <c r="I32" i="99"/>
  <c r="A31" i="99"/>
  <c r="A37" i="99" s="1"/>
  <c r="I26" i="99"/>
  <c r="J25" i="99"/>
  <c r="I25" i="99"/>
  <c r="I20" i="99"/>
  <c r="J19" i="99"/>
  <c r="I19" i="99"/>
  <c r="I14" i="99"/>
  <c r="J13" i="99"/>
  <c r="I13" i="99"/>
  <c r="I8" i="99"/>
  <c r="J7" i="99"/>
  <c r="I7" i="99"/>
  <c r="P10" i="83" l="1"/>
  <c r="I9" i="83"/>
  <c r="K10" i="83"/>
  <c r="D9" i="83"/>
  <c r="N10" i="83"/>
  <c r="G9" i="83"/>
  <c r="L10" i="83"/>
  <c r="E9" i="83"/>
  <c r="O10" i="83"/>
  <c r="H9" i="83"/>
  <c r="M10" i="83"/>
  <c r="F9" i="83"/>
  <c r="A1432" i="382"/>
  <c r="A1512" i="382" s="1"/>
  <c r="A568" i="99"/>
  <c r="A580" i="99" s="1"/>
  <c r="K502" i="82"/>
  <c r="H503" i="82" s="1"/>
  <c r="K503" i="82" s="1"/>
  <c r="K504" i="82" s="1"/>
  <c r="K505" i="82" s="1"/>
  <c r="K506" i="82" s="1"/>
  <c r="AC569" i="99"/>
  <c r="AD569" i="99" s="1"/>
  <c r="K847" i="82"/>
  <c r="H848" i="82" s="1"/>
  <c r="K129" i="82"/>
  <c r="K140" i="82"/>
  <c r="K151" i="82"/>
  <c r="K162" i="82"/>
  <c r="K253" i="82"/>
  <c r="H254" i="82" s="1"/>
  <c r="K254" i="82" s="1"/>
  <c r="K353" i="82"/>
  <c r="H354" i="82" s="1"/>
  <c r="K354" i="82" s="1"/>
  <c r="K397" i="82"/>
  <c r="H398" i="82" s="1"/>
  <c r="K398" i="82" s="1"/>
  <c r="K409" i="82"/>
  <c r="H410" i="82" s="1"/>
  <c r="K442" i="82"/>
  <c r="H443" i="82" s="1"/>
  <c r="K443" i="82" s="1"/>
  <c r="K453" i="82"/>
  <c r="H454" i="82" s="1"/>
  <c r="K489" i="82"/>
  <c r="H490" i="82" s="1"/>
  <c r="K490" i="82" s="1"/>
  <c r="K491" i="82" s="1"/>
  <c r="K492" i="82" s="1"/>
  <c r="K493" i="82" s="1"/>
  <c r="K516" i="82"/>
  <c r="H517" i="82" s="1"/>
  <c r="K517" i="82" s="1"/>
  <c r="K518" i="82" s="1"/>
  <c r="K519" i="82" s="1"/>
  <c r="K520" i="82" s="1"/>
  <c r="K630" i="82"/>
  <c r="K645" i="82"/>
  <c r="K666" i="82"/>
  <c r="H667" i="82" s="1"/>
  <c r="K667" i="82" s="1"/>
  <c r="K668" i="82" s="1"/>
  <c r="K671" i="82"/>
  <c r="K686" i="82"/>
  <c r="H687" i="82" s="1"/>
  <c r="K687" i="82" s="1"/>
  <c r="K688" i="82" s="1"/>
  <c r="K707" i="82"/>
  <c r="H708" i="82" s="1"/>
  <c r="K708" i="82" s="1"/>
  <c r="K709" i="82" s="1"/>
  <c r="K712" i="82"/>
  <c r="K727" i="82"/>
  <c r="H728" i="82" s="1"/>
  <c r="K728" i="82" s="1"/>
  <c r="K729" i="82" s="1"/>
  <c r="K794" i="82"/>
  <c r="K831" i="82"/>
  <c r="K833" i="82"/>
  <c r="K860" i="82"/>
  <c r="K864" i="82"/>
  <c r="K186" i="82"/>
  <c r="H187" i="82" s="1"/>
  <c r="K187" i="82" s="1"/>
  <c r="K197" i="82"/>
  <c r="H198" i="82" s="1"/>
  <c r="K198" i="82" s="1"/>
  <c r="K208" i="82"/>
  <c r="H209" i="82" s="1"/>
  <c r="K209" i="82" s="1"/>
  <c r="K219" i="82"/>
  <c r="H220" i="82" s="1"/>
  <c r="K220" i="82" s="1"/>
  <c r="K230" i="82"/>
  <c r="H231" i="82" s="1"/>
  <c r="K231" i="82" s="1"/>
  <c r="K330" i="82"/>
  <c r="K374" i="82"/>
  <c r="K419" i="82"/>
  <c r="K430" i="82"/>
  <c r="K463" i="82"/>
  <c r="K474" i="82"/>
  <c r="K19" i="82"/>
  <c r="H20" i="82" s="1"/>
  <c r="K29" i="82"/>
  <c r="K40" i="82"/>
  <c r="K51" i="82"/>
  <c r="K62" i="82"/>
  <c r="K73" i="82"/>
  <c r="K84" i="82"/>
  <c r="K97" i="82"/>
  <c r="H98" i="82" s="1"/>
  <c r="K107" i="82"/>
  <c r="K118" i="82"/>
  <c r="K130" i="82"/>
  <c r="H131" i="82" s="1"/>
  <c r="K131" i="82" s="1"/>
  <c r="K141" i="82"/>
  <c r="H142" i="82" s="1"/>
  <c r="K142" i="82" s="1"/>
  <c r="K152" i="82"/>
  <c r="H153" i="82" s="1"/>
  <c r="K153" i="82" s="1"/>
  <c r="K163" i="82"/>
  <c r="H164" i="82" s="1"/>
  <c r="K164" i="82" s="1"/>
  <c r="K185" i="82"/>
  <c r="K196" i="82"/>
  <c r="K207" i="82"/>
  <c r="K218" i="82"/>
  <c r="K229" i="82"/>
  <c r="K232" i="82" s="1"/>
  <c r="K233" i="82" s="1"/>
  <c r="K252" i="82"/>
  <c r="K331" i="82"/>
  <c r="H332" i="82" s="1"/>
  <c r="K332" i="82" s="1"/>
  <c r="K342" i="82"/>
  <c r="H343" i="82" s="1"/>
  <c r="K343" i="82" s="1"/>
  <c r="K352" i="82"/>
  <c r="K355" i="82" s="1"/>
  <c r="K356" i="82" s="1"/>
  <c r="K363" i="82"/>
  <c r="K375" i="82"/>
  <c r="H376" i="82" s="1"/>
  <c r="K376" i="82" s="1"/>
  <c r="K396" i="82"/>
  <c r="K420" i="82"/>
  <c r="H421" i="82" s="1"/>
  <c r="K421" i="82" s="1"/>
  <c r="K441" i="82"/>
  <c r="K464" i="82"/>
  <c r="H465" i="82" s="1"/>
  <c r="K465" i="82" s="1"/>
  <c r="K631" i="82"/>
  <c r="H632" i="82" s="1"/>
  <c r="K632" i="82" s="1"/>
  <c r="K650" i="82"/>
  <c r="K672" i="82"/>
  <c r="H673" i="82" s="1"/>
  <c r="K673" i="82" s="1"/>
  <c r="K691" i="82"/>
  <c r="K713" i="82"/>
  <c r="H714" i="82" s="1"/>
  <c r="K714" i="82" s="1"/>
  <c r="K732" i="82"/>
  <c r="K733" i="82"/>
  <c r="H734" i="82" s="1"/>
  <c r="K734" i="82" s="1"/>
  <c r="K753" i="82"/>
  <c r="K773" i="82"/>
  <c r="K795" i="82"/>
  <c r="H796" i="82" s="1"/>
  <c r="K796" i="82" s="1"/>
  <c r="K814" i="82"/>
  <c r="K830" i="82"/>
  <c r="K863" i="82"/>
  <c r="K408" i="82"/>
  <c r="K410" i="82"/>
  <c r="K431" i="82"/>
  <c r="H432" i="82" s="1"/>
  <c r="K452" i="82"/>
  <c r="K454" i="82"/>
  <c r="K475" i="82"/>
  <c r="H476" i="82" s="1"/>
  <c r="K476" i="82" s="1"/>
  <c r="K477" i="82" s="1"/>
  <c r="K478" i="82" s="1"/>
  <c r="K651" i="82"/>
  <c r="H652" i="82" s="1"/>
  <c r="K652" i="82" s="1"/>
  <c r="K692" i="82"/>
  <c r="H693" i="82" s="1"/>
  <c r="K693" i="82" s="1"/>
  <c r="K754" i="82"/>
  <c r="H755" i="82" s="1"/>
  <c r="K755" i="82" s="1"/>
  <c r="K774" i="82"/>
  <c r="H775" i="82" s="1"/>
  <c r="K775" i="82" s="1"/>
  <c r="K815" i="82"/>
  <c r="H816" i="82" s="1"/>
  <c r="K816" i="82" s="1"/>
  <c r="K834" i="82"/>
  <c r="K846" i="82"/>
  <c r="K848" i="82"/>
  <c r="K861" i="82"/>
  <c r="H865" i="82" s="1"/>
  <c r="K865" i="82" s="1"/>
  <c r="K263" i="82"/>
  <c r="K274" i="82"/>
  <c r="K285" i="82"/>
  <c r="K296" i="82"/>
  <c r="K364" i="82"/>
  <c r="H365" i="82" s="1"/>
  <c r="K365" i="82" s="1"/>
  <c r="K386" i="82"/>
  <c r="H387" i="82" s="1"/>
  <c r="K387" i="82" s="1"/>
  <c r="K341" i="82"/>
  <c r="K385" i="82"/>
  <c r="K307" i="82"/>
  <c r="K30" i="82"/>
  <c r="H31" i="82" s="1"/>
  <c r="K31" i="82" s="1"/>
  <c r="K32" i="82" s="1"/>
  <c r="K33" i="82" s="1"/>
  <c r="K41" i="82"/>
  <c r="H42" i="82" s="1"/>
  <c r="K42" i="82" s="1"/>
  <c r="K52" i="82"/>
  <c r="H53" i="82" s="1"/>
  <c r="K53" i="82" s="1"/>
  <c r="K63" i="82"/>
  <c r="H64" i="82" s="1"/>
  <c r="K64" i="82" s="1"/>
  <c r="K65" i="82" s="1"/>
  <c r="K66" i="82" s="1"/>
  <c r="H67" i="82" s="1"/>
  <c r="K67" i="82" s="1"/>
  <c r="K68" i="82" s="1"/>
  <c r="K74" i="82"/>
  <c r="H75" i="82" s="1"/>
  <c r="K75" i="82" s="1"/>
  <c r="K76" i="82" s="1"/>
  <c r="K77" i="82" s="1"/>
  <c r="H78" i="82" s="1"/>
  <c r="K78" i="82" s="1"/>
  <c r="K79" i="82" s="1"/>
  <c r="K85" i="82"/>
  <c r="H86" i="82" s="1"/>
  <c r="K86" i="82" s="1"/>
  <c r="K108" i="82"/>
  <c r="H109" i="82" s="1"/>
  <c r="K109" i="82" s="1"/>
  <c r="K110" i="82" s="1"/>
  <c r="K111" i="82" s="1"/>
  <c r="H112" i="82" s="1"/>
  <c r="K112" i="82" s="1"/>
  <c r="K113" i="82" s="1"/>
  <c r="K119" i="82"/>
  <c r="H120" i="82" s="1"/>
  <c r="K120" i="82" s="1"/>
  <c r="K264" i="82"/>
  <c r="H265" i="82" s="1"/>
  <c r="K265" i="82" s="1"/>
  <c r="K266" i="82" s="1"/>
  <c r="K267" i="82" s="1"/>
  <c r="K275" i="82"/>
  <c r="H276" i="82" s="1"/>
  <c r="K276" i="82" s="1"/>
  <c r="K286" i="82"/>
  <c r="H287" i="82" s="1"/>
  <c r="K287" i="82" s="1"/>
  <c r="K297" i="82"/>
  <c r="H298" i="82" s="1"/>
  <c r="K298" i="82" s="1"/>
  <c r="K308" i="82"/>
  <c r="H309" i="82" s="1"/>
  <c r="K309" i="82" s="1"/>
  <c r="K310" i="82" s="1"/>
  <c r="K311" i="82" s="1"/>
  <c r="K319" i="82"/>
  <c r="H320" i="82" s="1"/>
  <c r="K320" i="82" s="1"/>
  <c r="K175" i="82"/>
  <c r="H176" i="82" s="1"/>
  <c r="K176" i="82" s="1"/>
  <c r="K241" i="82"/>
  <c r="H242" i="82" s="1"/>
  <c r="K242" i="82" s="1"/>
  <c r="K18" i="82"/>
  <c r="K96" i="82"/>
  <c r="K174" i="82"/>
  <c r="K240" i="82"/>
  <c r="K318" i="82"/>
  <c r="K529" i="82"/>
  <c r="H530" i="82" s="1"/>
  <c r="K530" i="82" s="1"/>
  <c r="K531" i="82" s="1"/>
  <c r="K532" i="82" s="1"/>
  <c r="K533" i="82" s="1"/>
  <c r="K543" i="82"/>
  <c r="H544" i="82" s="1"/>
  <c r="K544" i="82" s="1"/>
  <c r="K545" i="82" s="1"/>
  <c r="K546" i="82" s="1"/>
  <c r="K547" i="82" s="1"/>
  <c r="K556" i="82"/>
  <c r="H557" i="82" s="1"/>
  <c r="K557" i="82" s="1"/>
  <c r="K558" i="82" s="1"/>
  <c r="K559" i="82" s="1"/>
  <c r="K560" i="82" s="1"/>
  <c r="K570" i="82"/>
  <c r="H571" i="82" s="1"/>
  <c r="K571" i="82" s="1"/>
  <c r="K572" i="82" s="1"/>
  <c r="K573" i="82" s="1"/>
  <c r="K574" i="82" s="1"/>
  <c r="K768" i="82"/>
  <c r="H769" i="82" s="1"/>
  <c r="K769" i="82" s="1"/>
  <c r="K770" i="82" s="1"/>
  <c r="K597" i="82"/>
  <c r="H598" i="82" s="1"/>
  <c r="K598" i="82" s="1"/>
  <c r="K599" i="82" s="1"/>
  <c r="K600" i="82" s="1"/>
  <c r="K601" i="82" s="1"/>
  <c r="K625" i="82"/>
  <c r="H626" i="82" s="1"/>
  <c r="K626" i="82" s="1"/>
  <c r="K627" i="82" s="1"/>
  <c r="Z305" i="99"/>
  <c r="AD304" i="99"/>
  <c r="AC305" i="99"/>
  <c r="Z306" i="99" s="1"/>
  <c r="AC306" i="99" s="1"/>
  <c r="AD306" i="99" s="1"/>
  <c r="AC589" i="99"/>
  <c r="AD589" i="99" s="1"/>
  <c r="AD587" i="99"/>
  <c r="J569" i="99"/>
  <c r="AD570" i="99"/>
  <c r="J573" i="99"/>
  <c r="G574" i="99" s="1"/>
  <c r="J574" i="99" s="1"/>
  <c r="AC573" i="99"/>
  <c r="Z574" i="99" s="1"/>
  <c r="AC574" i="99" s="1"/>
  <c r="AD574" i="99" s="1"/>
  <c r="AD581" i="99"/>
  <c r="K20" i="82"/>
  <c r="K98" i="82"/>
  <c r="K221" i="82"/>
  <c r="K222" i="82" s="1"/>
  <c r="K255" i="82"/>
  <c r="K256" i="82" s="1"/>
  <c r="D865" i="82"/>
  <c r="D810" i="82"/>
  <c r="D796" i="82"/>
  <c r="D769" i="82"/>
  <c r="D749" i="82"/>
  <c r="D734" i="82"/>
  <c r="D708" i="82"/>
  <c r="D693" i="82"/>
  <c r="D667" i="82"/>
  <c r="D652" i="82"/>
  <c r="D626" i="82"/>
  <c r="D598" i="82"/>
  <c r="D571" i="82"/>
  <c r="D544" i="82"/>
  <c r="D517" i="82"/>
  <c r="D848" i="82"/>
  <c r="D835" i="82"/>
  <c r="D816" i="82"/>
  <c r="D790" i="82"/>
  <c r="D775" i="82"/>
  <c r="D755" i="82"/>
  <c r="D728" i="82"/>
  <c r="D714" i="82"/>
  <c r="D687" i="82"/>
  <c r="D673" i="82"/>
  <c r="D646" i="82"/>
  <c r="D632" i="82"/>
  <c r="D611" i="82"/>
  <c r="D584" i="82"/>
  <c r="D557" i="82"/>
  <c r="D530" i="82"/>
  <c r="D503" i="82"/>
  <c r="D465" i="82"/>
  <c r="D443" i="82"/>
  <c r="D421" i="82"/>
  <c r="D398" i="82"/>
  <c r="D376" i="82"/>
  <c r="D354" i="82"/>
  <c r="D332" i="82"/>
  <c r="D490" i="82"/>
  <c r="D476" i="82"/>
  <c r="D454" i="82"/>
  <c r="D432" i="82"/>
  <c r="D410" i="82"/>
  <c r="D387" i="82"/>
  <c r="D365" i="82"/>
  <c r="D343" i="82"/>
  <c r="D320" i="82"/>
  <c r="D309" i="82"/>
  <c r="D298" i="82"/>
  <c r="D287" i="82"/>
  <c r="D276" i="82"/>
  <c r="D265" i="82"/>
  <c r="D242" i="82"/>
  <c r="D231" i="82"/>
  <c r="D220" i="82"/>
  <c r="D209" i="82"/>
  <c r="D198" i="82"/>
  <c r="D187" i="82"/>
  <c r="D164" i="82"/>
  <c r="D153" i="82"/>
  <c r="D142" i="82"/>
  <c r="D131" i="82"/>
  <c r="D120" i="82"/>
  <c r="D109" i="82"/>
  <c r="D86" i="82"/>
  <c r="D75" i="82"/>
  <c r="D64" i="82"/>
  <c r="D53" i="82"/>
  <c r="D42" i="82"/>
  <c r="D31" i="82"/>
  <c r="D254" i="82"/>
  <c r="D176" i="82"/>
  <c r="D98" i="82"/>
  <c r="K432" i="82"/>
  <c r="K433" i="82" s="1"/>
  <c r="K434" i="82" s="1"/>
  <c r="H835" i="82"/>
  <c r="K835" i="82" s="1"/>
  <c r="K748" i="82"/>
  <c r="H749" i="82" s="1"/>
  <c r="K749" i="82" s="1"/>
  <c r="K750" i="82" s="1"/>
  <c r="K809" i="82"/>
  <c r="H810" i="82" s="1"/>
  <c r="K810" i="82" s="1"/>
  <c r="K811" i="82" s="1"/>
  <c r="E10" i="99"/>
  <c r="E16" i="99"/>
  <c r="E28" i="99"/>
  <c r="E41" i="99"/>
  <c r="E48" i="99"/>
  <c r="E55" i="99"/>
  <c r="E61" i="99"/>
  <c r="E67" i="99"/>
  <c r="E74" i="99"/>
  <c r="E79" i="99"/>
  <c r="E84" i="99"/>
  <c r="E102" i="99"/>
  <c r="E108" i="99"/>
  <c r="E115" i="99"/>
  <c r="E122" i="99"/>
  <c r="E130" i="99"/>
  <c r="E137" i="99"/>
  <c r="E151" i="99"/>
  <c r="E157" i="99"/>
  <c r="E170" i="99"/>
  <c r="E177" i="99"/>
  <c r="E192" i="99"/>
  <c r="E206" i="99"/>
  <c r="E214" i="99"/>
  <c r="E221" i="99"/>
  <c r="E228" i="99"/>
  <c r="E236" i="99"/>
  <c r="E242" i="99"/>
  <c r="E249" i="99"/>
  <c r="E256" i="99"/>
  <c r="E264" i="99"/>
  <c r="E272" i="99"/>
  <c r="E279" i="99"/>
  <c r="E287" i="99"/>
  <c r="E293" i="99"/>
  <c r="E320" i="99"/>
  <c r="E326" i="99"/>
  <c r="E333" i="99"/>
  <c r="E410" i="99"/>
  <c r="E416" i="99"/>
  <c r="E423" i="99"/>
  <c r="E430" i="99"/>
  <c r="E463" i="99"/>
  <c r="E22" i="99"/>
  <c r="E35" i="99"/>
  <c r="E89" i="99"/>
  <c r="E94" i="99"/>
  <c r="E145" i="99"/>
  <c r="E163" i="99"/>
  <c r="E184" i="99"/>
  <c r="E199" i="99"/>
  <c r="E300" i="99"/>
  <c r="E306" i="99" s="1"/>
  <c r="E314" i="99"/>
  <c r="E336" i="99"/>
  <c r="J336" i="99" s="1"/>
  <c r="J337" i="99" s="1"/>
  <c r="D348" i="99"/>
  <c r="E355" i="99"/>
  <c r="E362" i="99"/>
  <c r="E369" i="99"/>
  <c r="E376" i="99"/>
  <c r="E382" i="99"/>
  <c r="E389" i="99"/>
  <c r="E396" i="99"/>
  <c r="E403" i="99"/>
  <c r="E440" i="99"/>
  <c r="E447" i="99"/>
  <c r="E454" i="99"/>
  <c r="E473" i="99"/>
  <c r="E480" i="99"/>
  <c r="E487" i="99"/>
  <c r="E494" i="99"/>
  <c r="E501" i="99"/>
  <c r="E508" i="99"/>
  <c r="E556" i="99" s="1"/>
  <c r="E515" i="99"/>
  <c r="E522" i="99"/>
  <c r="E529" i="99"/>
  <c r="E536" i="99"/>
  <c r="E543" i="99"/>
  <c r="E550" i="99"/>
  <c r="K583" i="82"/>
  <c r="H584" i="82" s="1"/>
  <c r="K584" i="82" s="1"/>
  <c r="K585" i="82" s="1"/>
  <c r="K586" i="82" s="1"/>
  <c r="K587" i="82" s="1"/>
  <c r="J571" i="99"/>
  <c r="G582" i="99"/>
  <c r="AC571" i="99"/>
  <c r="AD571" i="99" s="1"/>
  <c r="G306" i="99"/>
  <c r="AC584" i="99"/>
  <c r="AD584" i="99" s="1"/>
  <c r="AD583" i="99"/>
  <c r="Z582" i="99"/>
  <c r="AC582" i="99" s="1"/>
  <c r="AD582" i="99" s="1"/>
  <c r="G588" i="99"/>
  <c r="Z588" i="99"/>
  <c r="AC588" i="99" s="1"/>
  <c r="AD588" i="99" s="1"/>
  <c r="G305" i="99"/>
  <c r="H646" i="82"/>
  <c r="K646" i="82" s="1"/>
  <c r="K647" i="82" s="1"/>
  <c r="K610" i="82"/>
  <c r="K789" i="82"/>
  <c r="L11" i="83" l="1"/>
  <c r="E10" i="83"/>
  <c r="K836" i="82"/>
  <c r="K837" i="82" s="1"/>
  <c r="K838" i="82" s="1"/>
  <c r="N11" i="83"/>
  <c r="G10" i="83"/>
  <c r="K188" i="82"/>
  <c r="K189" i="82" s="1"/>
  <c r="M11" i="83"/>
  <c r="F10" i="83"/>
  <c r="K11" i="83"/>
  <c r="D10" i="83"/>
  <c r="O11" i="83"/>
  <c r="H10" i="83"/>
  <c r="P11" i="83"/>
  <c r="I10" i="83"/>
  <c r="K21" i="82"/>
  <c r="K22" i="82" s="1"/>
  <c r="K444" i="82"/>
  <c r="K445" i="82" s="1"/>
  <c r="H446" i="82" s="1"/>
  <c r="K446" i="82" s="1"/>
  <c r="K447" i="82" s="1"/>
  <c r="A1460" i="382"/>
  <c r="A1478" i="382" s="1"/>
  <c r="A1496" i="382" s="1"/>
  <c r="A1528" i="382"/>
  <c r="A1533" i="382" s="1"/>
  <c r="A1546" i="382" s="1"/>
  <c r="A1551" i="382" s="1"/>
  <c r="E564" i="99"/>
  <c r="E582" i="99" s="1"/>
  <c r="E588" i="99" s="1"/>
  <c r="E593" i="99" s="1"/>
  <c r="J593" i="99" s="1"/>
  <c r="E576" i="99"/>
  <c r="K99" i="82"/>
  <c r="K100" i="82" s="1"/>
  <c r="K277" i="82"/>
  <c r="K278" i="82" s="1"/>
  <c r="H279" i="82" s="1"/>
  <c r="K279" i="82" s="1"/>
  <c r="K280" i="82" s="1"/>
  <c r="K288" i="82"/>
  <c r="K289" i="82" s="1"/>
  <c r="H290" i="82" s="1"/>
  <c r="K290" i="82" s="1"/>
  <c r="K291" i="82" s="1"/>
  <c r="K344" i="82"/>
  <c r="K345" i="82" s="1"/>
  <c r="H346" i="82" s="1"/>
  <c r="K346" i="82" s="1"/>
  <c r="K347" i="82" s="1"/>
  <c r="K210" i="82"/>
  <c r="K211" i="82" s="1"/>
  <c r="H212" i="82" s="1"/>
  <c r="K212" i="82" s="1"/>
  <c r="K213" i="82" s="1"/>
  <c r="K54" i="82"/>
  <c r="K55" i="82" s="1"/>
  <c r="H56" i="82" s="1"/>
  <c r="K56" i="82" s="1"/>
  <c r="K57" i="82" s="1"/>
  <c r="K466" i="82"/>
  <c r="K467" i="82" s="1"/>
  <c r="H468" i="82" s="1"/>
  <c r="K468" i="82" s="1"/>
  <c r="K469" i="82" s="1"/>
  <c r="K243" i="82"/>
  <c r="K244" i="82" s="1"/>
  <c r="H245" i="82" s="1"/>
  <c r="K245" i="82" s="1"/>
  <c r="K246" i="82" s="1"/>
  <c r="K43" i="82"/>
  <c r="K44" i="82" s="1"/>
  <c r="H45" i="82" s="1"/>
  <c r="K45" i="82" s="1"/>
  <c r="K46" i="82" s="1"/>
  <c r="K199" i="82"/>
  <c r="K200" i="82" s="1"/>
  <c r="H201" i="82" s="1"/>
  <c r="K201" i="82" s="1"/>
  <c r="K202" i="82" s="1"/>
  <c r="K399" i="82"/>
  <c r="K400" i="82" s="1"/>
  <c r="H401" i="82" s="1"/>
  <c r="K401" i="82" s="1"/>
  <c r="K402" i="82" s="1"/>
  <c r="K121" i="82"/>
  <c r="K122" i="82" s="1"/>
  <c r="H123" i="82" s="1"/>
  <c r="K123" i="82" s="1"/>
  <c r="K124" i="82" s="1"/>
  <c r="K422" i="82"/>
  <c r="K423" i="82" s="1"/>
  <c r="H424" i="82" s="1"/>
  <c r="K424" i="82" s="1"/>
  <c r="K425" i="82" s="1"/>
  <c r="K866" i="82"/>
  <c r="K867" i="82" s="1"/>
  <c r="K868" i="82" s="1"/>
  <c r="H869" i="82" s="1"/>
  <c r="K869" i="82" s="1"/>
  <c r="K870" i="82" s="1"/>
  <c r="K388" i="82"/>
  <c r="K389" i="82" s="1"/>
  <c r="H390" i="82" s="1"/>
  <c r="K390" i="82" s="1"/>
  <c r="K391" i="82" s="1"/>
  <c r="K299" i="82"/>
  <c r="K300" i="82" s="1"/>
  <c r="H301" i="82" s="1"/>
  <c r="K301" i="82" s="1"/>
  <c r="K302" i="82" s="1"/>
  <c r="K177" i="82"/>
  <c r="K178" i="82" s="1"/>
  <c r="AC575" i="99"/>
  <c r="AC577" i="99" s="1"/>
  <c r="AC578" i="99" s="1"/>
  <c r="AD578" i="99" s="1"/>
  <c r="AC590" i="99"/>
  <c r="AD590" i="99" s="1"/>
  <c r="J306" i="99"/>
  <c r="J307" i="99" s="1"/>
  <c r="J308" i="99" s="1"/>
  <c r="J575" i="99"/>
  <c r="G576" i="99" s="1"/>
  <c r="AD573" i="99"/>
  <c r="J582" i="99"/>
  <c r="J583" i="99" s="1"/>
  <c r="J584" i="99" s="1"/>
  <c r="K87" i="82"/>
  <c r="K88" i="82" s="1"/>
  <c r="H89" i="82" s="1"/>
  <c r="K89" i="82" s="1"/>
  <c r="K90" i="82" s="1"/>
  <c r="K321" i="82"/>
  <c r="K322" i="82" s="1"/>
  <c r="H323" i="82" s="1"/>
  <c r="K323" i="82" s="1"/>
  <c r="K324" i="82" s="1"/>
  <c r="K849" i="82"/>
  <c r="K850" i="82" s="1"/>
  <c r="K851" i="82" s="1"/>
  <c r="H852" i="82" s="1"/>
  <c r="K852" i="82" s="1"/>
  <c r="K853" i="82" s="1"/>
  <c r="K411" i="82"/>
  <c r="K412" i="82" s="1"/>
  <c r="H413" i="82" s="1"/>
  <c r="K413" i="82" s="1"/>
  <c r="K414" i="82" s="1"/>
  <c r="K797" i="82"/>
  <c r="K735" i="82"/>
  <c r="K736" i="82" s="1"/>
  <c r="K737" i="82" s="1"/>
  <c r="K738" i="82" s="1"/>
  <c r="H739" i="82" s="1"/>
  <c r="K739" i="82" s="1"/>
  <c r="K740" i="82" s="1"/>
  <c r="K674" i="82"/>
  <c r="K675" i="82" s="1"/>
  <c r="K676" i="82" s="1"/>
  <c r="K677" i="82" s="1"/>
  <c r="H678" i="82" s="1"/>
  <c r="K678" i="82" s="1"/>
  <c r="K679" i="82" s="1"/>
  <c r="K333" i="82"/>
  <c r="K334" i="82" s="1"/>
  <c r="H335" i="82" s="1"/>
  <c r="K335" i="82" s="1"/>
  <c r="K336" i="82" s="1"/>
  <c r="K165" i="82"/>
  <c r="K166" i="82" s="1"/>
  <c r="H167" i="82" s="1"/>
  <c r="K167" i="82" s="1"/>
  <c r="K168" i="82" s="1"/>
  <c r="K154" i="82"/>
  <c r="K155" i="82" s="1"/>
  <c r="H156" i="82" s="1"/>
  <c r="K156" i="82" s="1"/>
  <c r="K157" i="82" s="1"/>
  <c r="K143" i="82"/>
  <c r="K144" i="82" s="1"/>
  <c r="H145" i="82" s="1"/>
  <c r="K145" i="82" s="1"/>
  <c r="K146" i="82" s="1"/>
  <c r="K132" i="82"/>
  <c r="K133" i="82" s="1"/>
  <c r="H134" i="82" s="1"/>
  <c r="K134" i="82" s="1"/>
  <c r="K135" i="82" s="1"/>
  <c r="K455" i="82"/>
  <c r="K456" i="82" s="1"/>
  <c r="H457" i="82" s="1"/>
  <c r="K457" i="82" s="1"/>
  <c r="K458" i="82" s="1"/>
  <c r="K715" i="82"/>
  <c r="K716" i="82" s="1"/>
  <c r="K717" i="82" s="1"/>
  <c r="K718" i="82" s="1"/>
  <c r="H719" i="82" s="1"/>
  <c r="K719" i="82" s="1"/>
  <c r="K720" i="82" s="1"/>
  <c r="K633" i="82"/>
  <c r="K634" i="82" s="1"/>
  <c r="K635" i="82" s="1"/>
  <c r="K636" i="82" s="1"/>
  <c r="H637" i="82" s="1"/>
  <c r="K637" i="82" s="1"/>
  <c r="K638" i="82" s="1"/>
  <c r="K377" i="82"/>
  <c r="K378" i="82" s="1"/>
  <c r="H379" i="82" s="1"/>
  <c r="K379" i="82" s="1"/>
  <c r="K380" i="82" s="1"/>
  <c r="K817" i="82"/>
  <c r="K818" i="82" s="1"/>
  <c r="K819" i="82" s="1"/>
  <c r="K820" i="82" s="1"/>
  <c r="H821" i="82" s="1"/>
  <c r="K821" i="82" s="1"/>
  <c r="K822" i="82" s="1"/>
  <c r="K776" i="82"/>
  <c r="K777" i="82" s="1"/>
  <c r="K778" i="82" s="1"/>
  <c r="K779" i="82" s="1"/>
  <c r="H780" i="82" s="1"/>
  <c r="K780" i="82" s="1"/>
  <c r="K781" i="82" s="1"/>
  <c r="K756" i="82"/>
  <c r="K757" i="82" s="1"/>
  <c r="K758" i="82" s="1"/>
  <c r="K759" i="82" s="1"/>
  <c r="H760" i="82" s="1"/>
  <c r="K760" i="82" s="1"/>
  <c r="K761" i="82" s="1"/>
  <c r="K694" i="82"/>
  <c r="K695" i="82" s="1"/>
  <c r="K696" i="82" s="1"/>
  <c r="K697" i="82" s="1"/>
  <c r="H698" i="82" s="1"/>
  <c r="K698" i="82" s="1"/>
  <c r="K699" i="82" s="1"/>
  <c r="K653" i="82"/>
  <c r="K654" i="82" s="1"/>
  <c r="K655" i="82" s="1"/>
  <c r="K656" i="82" s="1"/>
  <c r="H657" i="82" s="1"/>
  <c r="K657" i="82" s="1"/>
  <c r="K658" i="82" s="1"/>
  <c r="K366" i="82"/>
  <c r="K367" i="82" s="1"/>
  <c r="H368" i="82" s="1"/>
  <c r="K368" i="82" s="1"/>
  <c r="K369" i="82" s="1"/>
  <c r="H839" i="82"/>
  <c r="K839" i="82" s="1"/>
  <c r="K840" i="82" s="1"/>
  <c r="H312" i="82"/>
  <c r="K312" i="82" s="1"/>
  <c r="K313" i="82" s="1"/>
  <c r="H268" i="82"/>
  <c r="K268" i="82" s="1"/>
  <c r="K269" i="82" s="1"/>
  <c r="H34" i="82"/>
  <c r="K34" i="82" s="1"/>
  <c r="K35" i="82" s="1"/>
  <c r="H179" i="82"/>
  <c r="K179" i="82" s="1"/>
  <c r="K180" i="82" s="1"/>
  <c r="H23" i="82"/>
  <c r="K23" i="82" s="1"/>
  <c r="K24" i="82" s="1"/>
  <c r="H257" i="82"/>
  <c r="K257" i="82" s="1"/>
  <c r="K258" i="82" s="1"/>
  <c r="H234" i="82"/>
  <c r="K234" i="82" s="1"/>
  <c r="K235" i="82" s="1"/>
  <c r="H223" i="82"/>
  <c r="K223" i="82" s="1"/>
  <c r="K224" i="82" s="1"/>
  <c r="H190" i="82"/>
  <c r="K190" i="82" s="1"/>
  <c r="K191" i="82" s="1"/>
  <c r="H479" i="82"/>
  <c r="K479" i="82" s="1"/>
  <c r="K480" i="82" s="1"/>
  <c r="H435" i="82"/>
  <c r="K435" i="82" s="1"/>
  <c r="K436" i="82" s="1"/>
  <c r="H357" i="82"/>
  <c r="K357" i="82" s="1"/>
  <c r="K358" i="82" s="1"/>
  <c r="H101" i="82"/>
  <c r="K101" i="82" s="1"/>
  <c r="K102" i="82" s="1"/>
  <c r="AC307" i="99"/>
  <c r="AD305" i="99"/>
  <c r="H561" i="82"/>
  <c r="K561" i="82" s="1"/>
  <c r="K562" i="82" s="1"/>
  <c r="H507" i="82"/>
  <c r="K507" i="82" s="1"/>
  <c r="K508" i="82" s="1"/>
  <c r="H602" i="82"/>
  <c r="K602" i="82" s="1"/>
  <c r="K603" i="82" s="1"/>
  <c r="H575" i="82"/>
  <c r="K575" i="82" s="1"/>
  <c r="K576" i="82" s="1"/>
  <c r="H534" i="82"/>
  <c r="K534" i="82" s="1"/>
  <c r="K535" i="82" s="1"/>
  <c r="H790" i="82"/>
  <c r="K790" i="82" s="1"/>
  <c r="K791" i="82" s="1"/>
  <c r="H611" i="82"/>
  <c r="K611" i="82" s="1"/>
  <c r="K612" i="82" s="1"/>
  <c r="K613" i="82" s="1"/>
  <c r="K614" i="82" s="1"/>
  <c r="H588" i="82"/>
  <c r="K588" i="82" s="1"/>
  <c r="K589" i="82" s="1"/>
  <c r="H548" i="82"/>
  <c r="K548" i="82" s="1"/>
  <c r="K549" i="82" s="1"/>
  <c r="H521" i="82"/>
  <c r="K521" i="82" s="1"/>
  <c r="K522" i="82" s="1"/>
  <c r="H494" i="82"/>
  <c r="K494" i="82" s="1"/>
  <c r="K495" i="82" s="1"/>
  <c r="J576" i="99" l="1"/>
  <c r="J577" i="99" s="1"/>
  <c r="J578" i="99" s="1"/>
  <c r="M12" i="83"/>
  <c r="F11" i="83"/>
  <c r="P12" i="83"/>
  <c r="I11" i="83"/>
  <c r="N12" i="83"/>
  <c r="G11" i="83"/>
  <c r="O12" i="83"/>
  <c r="H11" i="83"/>
  <c r="K12" i="83"/>
  <c r="D11" i="83"/>
  <c r="L12" i="83"/>
  <c r="E11" i="83"/>
  <c r="AD577" i="99"/>
  <c r="Z576" i="99"/>
  <c r="AC576" i="99" s="1"/>
  <c r="AD576" i="99" s="1"/>
  <c r="J588" i="99"/>
  <c r="J589" i="99" s="1"/>
  <c r="J590" i="99" s="1"/>
  <c r="J594" i="99"/>
  <c r="J595" i="99" s="1"/>
  <c r="AD575" i="99"/>
  <c r="K798" i="82"/>
  <c r="K799" i="82" s="1"/>
  <c r="K800" i="82" s="1"/>
  <c r="H801" i="82" s="1"/>
  <c r="K801" i="82" s="1"/>
  <c r="K802" i="82" s="1"/>
  <c r="AD307" i="99"/>
  <c r="AC308" i="99"/>
  <c r="AD308" i="99" s="1"/>
  <c r="H615" i="82"/>
  <c r="K615" i="82" s="1"/>
  <c r="K616" i="82" s="1"/>
  <c r="E548" i="99"/>
  <c r="J548" i="99" s="1"/>
  <c r="J549" i="99" s="1"/>
  <c r="J550" i="99" s="1"/>
  <c r="J551" i="99" s="1"/>
  <c r="E534" i="99"/>
  <c r="J534" i="99" s="1"/>
  <c r="J535" i="99" s="1"/>
  <c r="J536" i="99" s="1"/>
  <c r="J537" i="99" s="1"/>
  <c r="E520" i="99"/>
  <c r="J520" i="99" s="1"/>
  <c r="J521" i="99" s="1"/>
  <c r="J522" i="99" s="1"/>
  <c r="J523" i="99" s="1"/>
  <c r="E527" i="99"/>
  <c r="J527" i="99" s="1"/>
  <c r="J528" i="99" s="1"/>
  <c r="J529" i="99" s="1"/>
  <c r="J530" i="99" s="1"/>
  <c r="E506" i="99"/>
  <c r="E492" i="99"/>
  <c r="J492" i="99" s="1"/>
  <c r="J493" i="99" s="1"/>
  <c r="J494" i="99" s="1"/>
  <c r="J495" i="99" s="1"/>
  <c r="E478" i="99"/>
  <c r="J478" i="99" s="1"/>
  <c r="J479" i="99" s="1"/>
  <c r="J480" i="99" s="1"/>
  <c r="J481" i="99" s="1"/>
  <c r="E461" i="99"/>
  <c r="J461" i="99" s="1"/>
  <c r="J462" i="99" s="1"/>
  <c r="J463" i="99" s="1"/>
  <c r="J464" i="99" s="1"/>
  <c r="E436" i="99"/>
  <c r="J436" i="99" s="1"/>
  <c r="E421" i="99"/>
  <c r="J421" i="99" s="1"/>
  <c r="J422" i="99" s="1"/>
  <c r="J423" i="99" s="1"/>
  <c r="J424" i="99" s="1"/>
  <c r="E380" i="99"/>
  <c r="J380" i="99" s="1"/>
  <c r="J381" i="99" s="1"/>
  <c r="J382" i="99" s="1"/>
  <c r="J383" i="99" s="1"/>
  <c r="E541" i="99"/>
  <c r="J541" i="99" s="1"/>
  <c r="J542" i="99" s="1"/>
  <c r="J543" i="99" s="1"/>
  <c r="J544" i="99" s="1"/>
  <c r="E513" i="99"/>
  <c r="J513" i="99" s="1"/>
  <c r="J514" i="99" s="1"/>
  <c r="J515" i="99" s="1"/>
  <c r="J516" i="99" s="1"/>
  <c r="E499" i="99"/>
  <c r="J499" i="99" s="1"/>
  <c r="J500" i="99" s="1"/>
  <c r="J501" i="99" s="1"/>
  <c r="J502" i="99" s="1"/>
  <c r="E485" i="99"/>
  <c r="J485" i="99" s="1"/>
  <c r="J486" i="99" s="1"/>
  <c r="J487" i="99" s="1"/>
  <c r="J488" i="99" s="1"/>
  <c r="E471" i="99"/>
  <c r="J471" i="99" s="1"/>
  <c r="J472" i="99" s="1"/>
  <c r="J473" i="99" s="1"/>
  <c r="J474" i="99" s="1"/>
  <c r="E452" i="99"/>
  <c r="J452" i="99" s="1"/>
  <c r="J453" i="99" s="1"/>
  <c r="J454" i="99" s="1"/>
  <c r="J455" i="99" s="1"/>
  <c r="E445" i="99"/>
  <c r="J445" i="99" s="1"/>
  <c r="J446" i="99" s="1"/>
  <c r="J447" i="99" s="1"/>
  <c r="J448" i="99" s="1"/>
  <c r="E438" i="99"/>
  <c r="J438" i="99" s="1"/>
  <c r="E428" i="99"/>
  <c r="J428" i="99" s="1"/>
  <c r="J429" i="99" s="1"/>
  <c r="J430" i="99" s="1"/>
  <c r="J431" i="99" s="1"/>
  <c r="E414" i="99"/>
  <c r="J414" i="99" s="1"/>
  <c r="J415" i="99" s="1"/>
  <c r="J416" i="99" s="1"/>
  <c r="J417" i="99" s="1"/>
  <c r="E408" i="99"/>
  <c r="J408" i="99" s="1"/>
  <c r="J409" i="99" s="1"/>
  <c r="J410" i="99" s="1"/>
  <c r="J411" i="99" s="1"/>
  <c r="E401" i="99"/>
  <c r="J401" i="99" s="1"/>
  <c r="J402" i="99" s="1"/>
  <c r="J403" i="99" s="1"/>
  <c r="J404" i="99" s="1"/>
  <c r="E394" i="99"/>
  <c r="J394" i="99" s="1"/>
  <c r="J395" i="99" s="1"/>
  <c r="J396" i="99" s="1"/>
  <c r="J397" i="99" s="1"/>
  <c r="E387" i="99"/>
  <c r="J387" i="99" s="1"/>
  <c r="J388" i="99" s="1"/>
  <c r="J389" i="99" s="1"/>
  <c r="J390" i="99" s="1"/>
  <c r="E374" i="99"/>
  <c r="J374" i="99" s="1"/>
  <c r="J375" i="99" s="1"/>
  <c r="J376" i="99" s="1"/>
  <c r="J377" i="99" s="1"/>
  <c r="E367" i="99"/>
  <c r="J367" i="99" s="1"/>
  <c r="J368" i="99" s="1"/>
  <c r="J369" i="99" s="1"/>
  <c r="J370" i="99" s="1"/>
  <c r="E353" i="99"/>
  <c r="J353" i="99" s="1"/>
  <c r="J354" i="99" s="1"/>
  <c r="J355" i="99" s="1"/>
  <c r="J356" i="99" s="1"/>
  <c r="E344" i="99"/>
  <c r="J344" i="99" s="1"/>
  <c r="E318" i="99"/>
  <c r="J318" i="99" s="1"/>
  <c r="J319" i="99" s="1"/>
  <c r="J320" i="99" s="1"/>
  <c r="J321" i="99" s="1"/>
  <c r="E277" i="99"/>
  <c r="J277" i="99" s="1"/>
  <c r="J278" i="99" s="1"/>
  <c r="J279" i="99" s="1"/>
  <c r="J280" i="99" s="1"/>
  <c r="E262" i="99"/>
  <c r="J262" i="99" s="1"/>
  <c r="J263" i="99" s="1"/>
  <c r="J264" i="99" s="1"/>
  <c r="J265" i="99" s="1"/>
  <c r="E254" i="99"/>
  <c r="J254" i="99" s="1"/>
  <c r="J255" i="99" s="1"/>
  <c r="J256" i="99" s="1"/>
  <c r="J257" i="99" s="1"/>
  <c r="E240" i="99"/>
  <c r="J240" i="99" s="1"/>
  <c r="J241" i="99" s="1"/>
  <c r="J242" i="99" s="1"/>
  <c r="J243" i="99" s="1"/>
  <c r="E226" i="99"/>
  <c r="J226" i="99" s="1"/>
  <c r="J227" i="99" s="1"/>
  <c r="J228" i="99" s="1"/>
  <c r="J229" i="99" s="1"/>
  <c r="E212" i="99"/>
  <c r="J212" i="99" s="1"/>
  <c r="J213" i="99" s="1"/>
  <c r="J214" i="99" s="1"/>
  <c r="J215" i="99" s="1"/>
  <c r="E204" i="99"/>
  <c r="J204" i="99" s="1"/>
  <c r="J205" i="99" s="1"/>
  <c r="J206" i="99" s="1"/>
  <c r="J207" i="99" s="1"/>
  <c r="E197" i="99"/>
  <c r="J197" i="99" s="1"/>
  <c r="J198" i="99" s="1"/>
  <c r="J199" i="99" s="1"/>
  <c r="J200" i="99" s="1"/>
  <c r="E190" i="99"/>
  <c r="J190" i="99" s="1"/>
  <c r="J191" i="99" s="1"/>
  <c r="J192" i="99" s="1"/>
  <c r="J193" i="99" s="1"/>
  <c r="E182" i="99"/>
  <c r="J182" i="99" s="1"/>
  <c r="J183" i="99" s="1"/>
  <c r="J184" i="99" s="1"/>
  <c r="J185" i="99" s="1"/>
  <c r="E175" i="99"/>
  <c r="J175" i="99" s="1"/>
  <c r="J176" i="99" s="1"/>
  <c r="J177" i="99" s="1"/>
  <c r="J178" i="99" s="1"/>
  <c r="E168" i="99"/>
  <c r="J168" i="99" s="1"/>
  <c r="J169" i="99" s="1"/>
  <c r="J170" i="99" s="1"/>
  <c r="J171" i="99" s="1"/>
  <c r="E155" i="99"/>
  <c r="J155" i="99" s="1"/>
  <c r="J156" i="99" s="1"/>
  <c r="J157" i="99" s="1"/>
  <c r="J158" i="99" s="1"/>
  <c r="E149" i="99"/>
  <c r="J149" i="99" s="1"/>
  <c r="J150" i="99" s="1"/>
  <c r="J151" i="99" s="1"/>
  <c r="J152" i="99" s="1"/>
  <c r="E143" i="99"/>
  <c r="J143" i="99" s="1"/>
  <c r="J144" i="99" s="1"/>
  <c r="J145" i="99" s="1"/>
  <c r="J146" i="99" s="1"/>
  <c r="E128" i="99"/>
  <c r="J128" i="99" s="1"/>
  <c r="J129" i="99" s="1"/>
  <c r="J130" i="99" s="1"/>
  <c r="J131" i="99" s="1"/>
  <c r="E324" i="99"/>
  <c r="J324" i="99" s="1"/>
  <c r="J325" i="99" s="1"/>
  <c r="J326" i="99" s="1"/>
  <c r="J327" i="99" s="1"/>
  <c r="E270" i="99"/>
  <c r="J270" i="99" s="1"/>
  <c r="J271" i="99" s="1"/>
  <c r="J272" i="99" s="1"/>
  <c r="J273" i="99" s="1"/>
  <c r="E247" i="99"/>
  <c r="J247" i="99" s="1"/>
  <c r="J248" i="99" s="1"/>
  <c r="J249" i="99" s="1"/>
  <c r="J250" i="99" s="1"/>
  <c r="E219" i="99"/>
  <c r="J219" i="99" s="1"/>
  <c r="J220" i="99" s="1"/>
  <c r="J221" i="99" s="1"/>
  <c r="J222" i="99" s="1"/>
  <c r="E135" i="99"/>
  <c r="J135" i="99" s="1"/>
  <c r="J136" i="99" s="1"/>
  <c r="J137" i="99" s="1"/>
  <c r="J138" i="99" s="1"/>
  <c r="E92" i="99"/>
  <c r="J92" i="99" s="1"/>
  <c r="J93" i="99" s="1"/>
  <c r="J94" i="99" s="1"/>
  <c r="J95" i="99" s="1"/>
  <c r="E87" i="99"/>
  <c r="J87" i="99" s="1"/>
  <c r="J88" i="99" s="1"/>
  <c r="J89" i="99" s="1"/>
  <c r="J90" i="99" s="1"/>
  <c r="E77" i="99"/>
  <c r="J77" i="99" s="1"/>
  <c r="J78" i="99" s="1"/>
  <c r="J79" i="99" s="1"/>
  <c r="J80" i="99" s="1"/>
  <c r="E65" i="99"/>
  <c r="J65" i="99" s="1"/>
  <c r="J66" i="99" s="1"/>
  <c r="J67" i="99" s="1"/>
  <c r="J68" i="99" s="1"/>
  <c r="E53" i="99"/>
  <c r="J53" i="99" s="1"/>
  <c r="J54" i="99" s="1"/>
  <c r="J55" i="99" s="1"/>
  <c r="J56" i="99" s="1"/>
  <c r="E39" i="99"/>
  <c r="J39" i="99" s="1"/>
  <c r="J40" i="99" s="1"/>
  <c r="J41" i="99" s="1"/>
  <c r="J42" i="99" s="1"/>
  <c r="E33" i="99"/>
  <c r="J33" i="99" s="1"/>
  <c r="J34" i="99" s="1"/>
  <c r="J35" i="99" s="1"/>
  <c r="J36" i="99" s="1"/>
  <c r="E14" i="99"/>
  <c r="J14" i="99" s="1"/>
  <c r="J15" i="99" s="1"/>
  <c r="J16" i="99" s="1"/>
  <c r="J17" i="99" s="1"/>
  <c r="E360" i="99"/>
  <c r="J360" i="99" s="1"/>
  <c r="J361" i="99" s="1"/>
  <c r="J362" i="99" s="1"/>
  <c r="J363" i="99" s="1"/>
  <c r="E346" i="99"/>
  <c r="J346" i="99" s="1"/>
  <c r="E342" i="99"/>
  <c r="J342" i="99" s="1"/>
  <c r="E332" i="99"/>
  <c r="J332" i="99" s="1"/>
  <c r="E312" i="99"/>
  <c r="J312" i="99" s="1"/>
  <c r="J313" i="99" s="1"/>
  <c r="J314" i="99" s="1"/>
  <c r="J315" i="99" s="1"/>
  <c r="E298" i="99"/>
  <c r="J298" i="99" s="1"/>
  <c r="J299" i="99" s="1"/>
  <c r="J300" i="99" s="1"/>
  <c r="J301" i="99" s="1"/>
  <c r="E291" i="99"/>
  <c r="J291" i="99" s="1"/>
  <c r="J292" i="99" s="1"/>
  <c r="J293" i="99" s="1"/>
  <c r="J294" i="99" s="1"/>
  <c r="E285" i="99"/>
  <c r="J285" i="99" s="1"/>
  <c r="J286" i="99" s="1"/>
  <c r="J287" i="99" s="1"/>
  <c r="J288" i="99" s="1"/>
  <c r="E234" i="99"/>
  <c r="J234" i="99" s="1"/>
  <c r="J235" i="99" s="1"/>
  <c r="J236" i="99" s="1"/>
  <c r="J237" i="99" s="1"/>
  <c r="E161" i="99"/>
  <c r="J161" i="99" s="1"/>
  <c r="J162" i="99" s="1"/>
  <c r="J163" i="99" s="1"/>
  <c r="J164" i="99" s="1"/>
  <c r="E120" i="99"/>
  <c r="J120" i="99" s="1"/>
  <c r="J121" i="99" s="1"/>
  <c r="J122" i="99" s="1"/>
  <c r="J123" i="99" s="1"/>
  <c r="E113" i="99"/>
  <c r="J113" i="99" s="1"/>
  <c r="J114" i="99" s="1"/>
  <c r="J115" i="99" s="1"/>
  <c r="J116" i="99" s="1"/>
  <c r="E106" i="99"/>
  <c r="J106" i="99" s="1"/>
  <c r="J107" i="99" s="1"/>
  <c r="J108" i="99" s="1"/>
  <c r="J109" i="99" s="1"/>
  <c r="J101" i="99"/>
  <c r="J102" i="99" s="1"/>
  <c r="J103" i="99" s="1"/>
  <c r="E82" i="99"/>
  <c r="J82" i="99" s="1"/>
  <c r="J83" i="99" s="1"/>
  <c r="J84" i="99" s="1"/>
  <c r="J85" i="99" s="1"/>
  <c r="E72" i="99"/>
  <c r="E59" i="99"/>
  <c r="J59" i="99" s="1"/>
  <c r="J60" i="99" s="1"/>
  <c r="J61" i="99" s="1"/>
  <c r="J62" i="99" s="1"/>
  <c r="E46" i="99"/>
  <c r="J46" i="99" s="1"/>
  <c r="J47" i="99" s="1"/>
  <c r="J48" i="99" s="1"/>
  <c r="J49" i="99" s="1"/>
  <c r="E26" i="99"/>
  <c r="J26" i="99" s="1"/>
  <c r="J27" i="99" s="1"/>
  <c r="J28" i="99" s="1"/>
  <c r="J29" i="99" s="1"/>
  <c r="F7" i="446" s="1"/>
  <c r="G7" i="446" s="1"/>
  <c r="E20" i="99"/>
  <c r="J20" i="99" s="1"/>
  <c r="J21" i="99" s="1"/>
  <c r="J22" i="99" s="1"/>
  <c r="J23" i="99" s="1"/>
  <c r="E8" i="99"/>
  <c r="J8" i="99" s="1"/>
  <c r="J9" i="99" s="1"/>
  <c r="J10" i="99" s="1"/>
  <c r="J11" i="99" s="1"/>
  <c r="N13" i="83" l="1"/>
  <c r="G12" i="83"/>
  <c r="O13" i="83"/>
  <c r="H12" i="83"/>
  <c r="L13" i="83"/>
  <c r="E12" i="83"/>
  <c r="P13" i="83"/>
  <c r="I12" i="83"/>
  <c r="K13" i="83"/>
  <c r="D12" i="83"/>
  <c r="M13" i="83"/>
  <c r="F12" i="83"/>
  <c r="J347" i="99"/>
  <c r="F38" i="446"/>
  <c r="G38" i="446" s="1"/>
  <c r="F5" i="446"/>
  <c r="G5" i="446" s="1"/>
  <c r="F23" i="446"/>
  <c r="G23" i="446" s="1"/>
  <c r="F21" i="446"/>
  <c r="G21" i="446" s="1"/>
  <c r="F41" i="446"/>
  <c r="G41" i="446" s="1"/>
  <c r="F11" i="446"/>
  <c r="G11" i="446" s="1"/>
  <c r="F28" i="446"/>
  <c r="G28" i="446" s="1"/>
  <c r="F13" i="446"/>
  <c r="G13" i="446" s="1"/>
  <c r="F25" i="446"/>
  <c r="G25" i="446" s="1"/>
  <c r="F9" i="446"/>
  <c r="G9" i="446" s="1"/>
  <c r="F43" i="446"/>
  <c r="G43" i="446" s="1"/>
  <c r="F35" i="446"/>
  <c r="G35" i="446" s="1"/>
  <c r="F33" i="446"/>
  <c r="G33" i="446" s="1"/>
  <c r="F47" i="446"/>
  <c r="G47" i="446" s="1"/>
  <c r="F45" i="446"/>
  <c r="G45" i="446" s="1"/>
  <c r="F31" i="446"/>
  <c r="G31" i="446" s="1"/>
  <c r="J72" i="99"/>
  <c r="J73" i="99" s="1"/>
  <c r="J74" i="99" s="1"/>
  <c r="J75" i="99" s="1"/>
  <c r="J439" i="99"/>
  <c r="J440" i="99" s="1"/>
  <c r="J441" i="99" s="1"/>
  <c r="J506" i="99"/>
  <c r="J507" i="99" s="1"/>
  <c r="J508" i="99" s="1"/>
  <c r="J509" i="99" s="1"/>
  <c r="E554" i="99"/>
  <c r="J333" i="99"/>
  <c r="J334" i="99" s="1"/>
  <c r="J338" i="99" s="1"/>
  <c r="J328" i="99"/>
  <c r="L14" i="83" l="1"/>
  <c r="E13" i="83"/>
  <c r="M14" i="83"/>
  <c r="F13" i="83"/>
  <c r="O14" i="83"/>
  <c r="H13" i="83"/>
  <c r="P14" i="83"/>
  <c r="I13" i="83"/>
  <c r="K14" i="83"/>
  <c r="D13" i="83"/>
  <c r="N14" i="83"/>
  <c r="G13" i="83"/>
  <c r="F15" i="446"/>
  <c r="G15" i="446" s="1"/>
  <c r="J96" i="99"/>
  <c r="E562" i="99"/>
  <c r="J562" i="99" s="1"/>
  <c r="J563" i="99" s="1"/>
  <c r="J554" i="99"/>
  <c r="J555" i="99" s="1"/>
  <c r="J348" i="99"/>
  <c r="J350" i="99" s="1"/>
  <c r="O15" i="83" l="1"/>
  <c r="H14" i="83"/>
  <c r="M15" i="83"/>
  <c r="F14" i="83"/>
  <c r="P15" i="83"/>
  <c r="I14" i="83"/>
  <c r="N15" i="83"/>
  <c r="G14" i="83"/>
  <c r="K15" i="83"/>
  <c r="D14" i="83"/>
  <c r="L15" i="83"/>
  <c r="E14" i="83"/>
  <c r="F19" i="446"/>
  <c r="G19" i="446" s="1"/>
  <c r="F17" i="446"/>
  <c r="G17" i="446" s="1"/>
  <c r="G564" i="99"/>
  <c r="J564" i="99" s="1"/>
  <c r="J565" i="99" s="1"/>
  <c r="J566" i="99" s="1"/>
  <c r="G556" i="99"/>
  <c r="J556" i="99" s="1"/>
  <c r="J557" i="99" s="1"/>
  <c r="J558" i="99" s="1"/>
  <c r="N16" i="83" l="1"/>
  <c r="G15" i="83"/>
  <c r="P16" i="83"/>
  <c r="I15" i="83"/>
  <c r="L16" i="83"/>
  <c r="E15" i="83"/>
  <c r="M16" i="83"/>
  <c r="F15" i="83"/>
  <c r="K16" i="83"/>
  <c r="D15" i="83"/>
  <c r="O16" i="83"/>
  <c r="H15" i="83"/>
  <c r="G48" i="446"/>
  <c r="M17" i="83" l="1"/>
  <c r="F16" i="83"/>
  <c r="L17" i="83"/>
  <c r="E16" i="83"/>
  <c r="O17" i="83"/>
  <c r="H16" i="83"/>
  <c r="P17" i="83"/>
  <c r="I16" i="83"/>
  <c r="K17" i="83"/>
  <c r="D16" i="83"/>
  <c r="N17" i="83"/>
  <c r="G16" i="83"/>
  <c r="C5" i="459"/>
  <c r="O18" i="83" l="1"/>
  <c r="H17" i="83"/>
  <c r="P18" i="83"/>
  <c r="I17" i="83"/>
  <c r="L18" i="83"/>
  <c r="E17" i="83"/>
  <c r="N18" i="83"/>
  <c r="G17" i="83"/>
  <c r="K18" i="83"/>
  <c r="D17" i="83"/>
  <c r="M18" i="83"/>
  <c r="F17" i="83"/>
  <c r="I10" i="381"/>
  <c r="P10" i="381" s="1"/>
  <c r="P19" i="83" l="1"/>
  <c r="I18" i="83"/>
  <c r="N19" i="83"/>
  <c r="G18" i="83"/>
  <c r="L19" i="83"/>
  <c r="E18" i="83"/>
  <c r="M19" i="83"/>
  <c r="F18" i="83"/>
  <c r="K19" i="83"/>
  <c r="D18" i="83"/>
  <c r="O19" i="83"/>
  <c r="H18" i="83"/>
  <c r="F250" i="490"/>
  <c r="I250" i="490" s="1"/>
  <c r="I253" i="490" s="1"/>
  <c r="I132" i="385"/>
  <c r="K132" i="385" s="1"/>
  <c r="K133" i="385" s="1"/>
  <c r="K134" i="385" s="1"/>
  <c r="K135" i="385" s="1"/>
  <c r="K136" i="385" s="1"/>
  <c r="K137" i="385" s="1"/>
  <c r="F250" i="382"/>
  <c r="I250" i="382" s="1"/>
  <c r="I253" i="382" s="1"/>
  <c r="D254" i="382" s="1"/>
  <c r="I254" i="382" s="1"/>
  <c r="I255" i="382" s="1"/>
  <c r="J30" i="485" s="1"/>
  <c r="M20" i="83" l="1"/>
  <c r="F19" i="83"/>
  <c r="N20" i="83"/>
  <c r="G19" i="83"/>
  <c r="L20" i="83"/>
  <c r="E19" i="83"/>
  <c r="O20" i="83"/>
  <c r="H19" i="83"/>
  <c r="K20" i="83"/>
  <c r="D19" i="83"/>
  <c r="P20" i="83"/>
  <c r="I19" i="83"/>
  <c r="K30" i="485"/>
  <c r="I14" i="444"/>
  <c r="J14" i="444" s="1"/>
  <c r="D254" i="490"/>
  <c r="I254" i="490" s="1"/>
  <c r="I255" i="490" s="1"/>
  <c r="O21" i="83" l="1"/>
  <c r="H20" i="83"/>
  <c r="L21" i="83"/>
  <c r="E20" i="83"/>
  <c r="P21" i="83"/>
  <c r="I20" i="83"/>
  <c r="N21" i="83"/>
  <c r="G20" i="83"/>
  <c r="K21" i="83"/>
  <c r="D20" i="83"/>
  <c r="M21" i="83"/>
  <c r="F20" i="83"/>
  <c r="P22" i="83" l="1"/>
  <c r="I21" i="83"/>
  <c r="N22" i="83"/>
  <c r="G21" i="83"/>
  <c r="M22" i="83"/>
  <c r="F21" i="83"/>
  <c r="L22" i="83"/>
  <c r="E21" i="83"/>
  <c r="K22" i="83"/>
  <c r="D21" i="83"/>
  <c r="O22" i="83"/>
  <c r="H21" i="83"/>
  <c r="L23" i="83" l="1"/>
  <c r="E22" i="83"/>
  <c r="M23" i="83"/>
  <c r="F22" i="83"/>
  <c r="N23" i="83"/>
  <c r="G22" i="83"/>
  <c r="O23" i="83"/>
  <c r="H22" i="83"/>
  <c r="K23" i="83"/>
  <c r="D22" i="83"/>
  <c r="P23" i="83"/>
  <c r="I22" i="83"/>
  <c r="O24" i="83" l="1"/>
  <c r="H23" i="83"/>
  <c r="N24" i="83"/>
  <c r="G23" i="83"/>
  <c r="I21" i="381"/>
  <c r="P21" i="381" s="1"/>
  <c r="I22" i="381"/>
  <c r="P22" i="381" s="1"/>
  <c r="P24" i="83"/>
  <c r="I23" i="83"/>
  <c r="M24" i="83"/>
  <c r="F23" i="83"/>
  <c r="K24" i="83"/>
  <c r="D23" i="83"/>
  <c r="L24" i="83"/>
  <c r="E23" i="83"/>
  <c r="I20" i="381"/>
  <c r="P20" i="381" s="1"/>
  <c r="P25" i="83" l="1"/>
  <c r="I24" i="83"/>
  <c r="L25" i="83"/>
  <c r="E24" i="83"/>
  <c r="F863" i="382"/>
  <c r="I863" i="382" s="1"/>
  <c r="F863" i="490"/>
  <c r="I863" i="490" s="1"/>
  <c r="K25" i="83"/>
  <c r="D24" i="83"/>
  <c r="N25" i="83"/>
  <c r="G24" i="83"/>
  <c r="F847" i="382"/>
  <c r="I847" i="382" s="1"/>
  <c r="F823" i="490"/>
  <c r="I823" i="490" s="1"/>
  <c r="F823" i="382"/>
  <c r="I823" i="382" s="1"/>
  <c r="F847" i="490"/>
  <c r="I847" i="490" s="1"/>
  <c r="M25" i="83"/>
  <c r="F24" i="83"/>
  <c r="O25" i="83"/>
  <c r="H24" i="83"/>
  <c r="F780" i="490"/>
  <c r="I780" i="490" s="1"/>
  <c r="F802" i="490"/>
  <c r="I802" i="490" s="1"/>
  <c r="F802" i="382"/>
  <c r="I802" i="382" s="1"/>
  <c r="F780" i="382"/>
  <c r="I780" i="382" s="1"/>
  <c r="M26" i="83" l="1"/>
  <c r="F25" i="83"/>
  <c r="K26" i="83"/>
  <c r="D25" i="83"/>
  <c r="O26" i="83"/>
  <c r="H25" i="83"/>
  <c r="N26" i="83"/>
  <c r="G25" i="83"/>
  <c r="L26" i="83"/>
  <c r="E25" i="83"/>
  <c r="P26" i="83"/>
  <c r="I25" i="83"/>
  <c r="N27" i="83" l="1"/>
  <c r="G26" i="83"/>
  <c r="O27" i="83"/>
  <c r="H26" i="83"/>
  <c r="K27" i="83"/>
  <c r="D26" i="83"/>
  <c r="P27" i="83"/>
  <c r="I26" i="83"/>
  <c r="L27" i="83"/>
  <c r="E26" i="83"/>
  <c r="M27" i="83"/>
  <c r="F26" i="83"/>
  <c r="I8" i="381"/>
  <c r="P8" i="381" s="1"/>
  <c r="K28" i="83" l="1"/>
  <c r="D27" i="83"/>
  <c r="O28" i="83"/>
  <c r="H27" i="83"/>
  <c r="P28" i="83"/>
  <c r="I27" i="83"/>
  <c r="M28" i="83"/>
  <c r="F27" i="83"/>
  <c r="L28" i="83"/>
  <c r="E27" i="83"/>
  <c r="N28" i="83"/>
  <c r="G27" i="83"/>
  <c r="F257" i="490"/>
  <c r="I257" i="490" s="1"/>
  <c r="I260" i="490" s="1"/>
  <c r="D261" i="490" s="1"/>
  <c r="I261" i="490" s="1"/>
  <c r="I262" i="490" s="1"/>
  <c r="F257" i="382"/>
  <c r="I257" i="382" s="1"/>
  <c r="I260" i="382" s="1"/>
  <c r="D261" i="382" s="1"/>
  <c r="I261" i="382" s="1"/>
  <c r="I262" i="382" s="1"/>
  <c r="P29" i="83" l="1"/>
  <c r="I28" i="83"/>
  <c r="N29" i="83"/>
  <c r="G28" i="83"/>
  <c r="O29" i="83"/>
  <c r="H28" i="83"/>
  <c r="M29" i="83"/>
  <c r="F28" i="83"/>
  <c r="L29" i="83"/>
  <c r="E28" i="83"/>
  <c r="K29" i="83"/>
  <c r="D28" i="83"/>
  <c r="K58" i="475"/>
  <c r="N58" i="475" s="1"/>
  <c r="K64" i="475"/>
  <c r="N64" i="475" s="1"/>
  <c r="M30" i="83" l="1"/>
  <c r="F29" i="83"/>
  <c r="O30" i="83"/>
  <c r="H29" i="83"/>
  <c r="N30" i="83"/>
  <c r="G29" i="83"/>
  <c r="K30" i="83"/>
  <c r="D29" i="83"/>
  <c r="L30" i="83"/>
  <c r="E29" i="83"/>
  <c r="P30" i="83"/>
  <c r="I29" i="83"/>
  <c r="K95" i="475"/>
  <c r="K28" i="475"/>
  <c r="N28" i="475" s="1"/>
  <c r="K75" i="475"/>
  <c r="N75" i="475" s="1"/>
  <c r="K17" i="475"/>
  <c r="N17" i="475" s="1"/>
  <c r="K23" i="475"/>
  <c r="N23" i="475" s="1"/>
  <c r="K47" i="475"/>
  <c r="N47" i="475" s="1"/>
  <c r="K31" i="83" l="1"/>
  <c r="D30" i="83"/>
  <c r="N31" i="83"/>
  <c r="G30" i="83"/>
  <c r="P31" i="83"/>
  <c r="I30" i="83"/>
  <c r="O31" i="83"/>
  <c r="H30" i="83"/>
  <c r="L31" i="83"/>
  <c r="E30" i="83"/>
  <c r="M31" i="83"/>
  <c r="F30" i="83"/>
  <c r="K81" i="475"/>
  <c r="N81" i="475" s="1"/>
  <c r="K33" i="475"/>
  <c r="N33" i="475" s="1"/>
  <c r="P33" i="475" s="1"/>
  <c r="K101" i="475"/>
  <c r="K32" i="83" l="1"/>
  <c r="D31" i="83"/>
  <c r="O32" i="83"/>
  <c r="H31" i="83"/>
  <c r="L32" i="83"/>
  <c r="E31" i="83"/>
  <c r="P32" i="83"/>
  <c r="I31" i="83"/>
  <c r="M32" i="83"/>
  <c r="F31" i="83"/>
  <c r="N32" i="83"/>
  <c r="G31" i="83"/>
  <c r="P33" i="83" l="1"/>
  <c r="I32" i="83"/>
  <c r="L33" i="83"/>
  <c r="E32" i="83"/>
  <c r="O33" i="83"/>
  <c r="H32" i="83"/>
  <c r="N33" i="83"/>
  <c r="G32" i="83"/>
  <c r="M33" i="83"/>
  <c r="F32" i="83"/>
  <c r="K33" i="83"/>
  <c r="D32" i="83"/>
  <c r="N34" i="83" l="1"/>
  <c r="G33" i="83"/>
  <c r="O34" i="83"/>
  <c r="H33" i="83"/>
  <c r="K34" i="83"/>
  <c r="D33" i="83"/>
  <c r="L34" i="83"/>
  <c r="E33" i="83"/>
  <c r="M34" i="83"/>
  <c r="F33" i="83"/>
  <c r="P34" i="83"/>
  <c r="I33" i="83"/>
  <c r="K101" i="385"/>
  <c r="K104" i="385" s="1"/>
  <c r="I110" i="385" s="1"/>
  <c r="K110" i="385" s="1"/>
  <c r="K112" i="385" s="1"/>
  <c r="K113" i="385" s="1"/>
  <c r="K114" i="385" s="1"/>
  <c r="K115" i="385" s="1"/>
  <c r="K116" i="385" s="1"/>
  <c r="K117" i="385" s="1"/>
  <c r="L35" i="83" l="1"/>
  <c r="E34" i="83"/>
  <c r="K35" i="83"/>
  <c r="D34" i="83"/>
  <c r="P35" i="83"/>
  <c r="I34" i="83"/>
  <c r="O35" i="83"/>
  <c r="H34" i="83"/>
  <c r="M35" i="83"/>
  <c r="F34" i="83"/>
  <c r="N35" i="83"/>
  <c r="G34" i="83"/>
  <c r="O36" i="83" l="1"/>
  <c r="H35" i="83"/>
  <c r="P36" i="83"/>
  <c r="I35" i="83"/>
  <c r="N36" i="83"/>
  <c r="G35" i="83"/>
  <c r="K36" i="83"/>
  <c r="D35" i="83"/>
  <c r="M36" i="83"/>
  <c r="F35" i="83"/>
  <c r="L36" i="83"/>
  <c r="E35" i="83"/>
  <c r="K37" i="83" l="1"/>
  <c r="D36" i="83"/>
  <c r="N37" i="83"/>
  <c r="G36" i="83"/>
  <c r="L37" i="83"/>
  <c r="E36" i="83"/>
  <c r="P37" i="83"/>
  <c r="I36" i="83"/>
  <c r="M37" i="83"/>
  <c r="F36" i="83"/>
  <c r="O37" i="83"/>
  <c r="H36" i="83"/>
  <c r="P38" i="83" l="1"/>
  <c r="I37" i="83"/>
  <c r="L38" i="83"/>
  <c r="E37" i="83"/>
  <c r="O38" i="83"/>
  <c r="H37" i="83"/>
  <c r="N38" i="83"/>
  <c r="G37" i="83"/>
  <c r="I26" i="381" s="1"/>
  <c r="P26" i="381" s="1"/>
  <c r="M38" i="83"/>
  <c r="F37" i="83"/>
  <c r="K38" i="83"/>
  <c r="D37" i="83"/>
  <c r="N39" i="83" l="1"/>
  <c r="G38" i="83"/>
  <c r="O39" i="83"/>
  <c r="H38" i="83"/>
  <c r="F1514" i="382"/>
  <c r="I1514" i="382" s="1"/>
  <c r="O64" i="381" s="1"/>
  <c r="P64" i="381" s="1"/>
  <c r="F1152" i="382"/>
  <c r="I1152" i="382" s="1"/>
  <c r="F1113" i="382"/>
  <c r="I1113" i="382" s="1"/>
  <c r="F1514" i="490"/>
  <c r="I1514" i="490" s="1"/>
  <c r="F1152" i="490"/>
  <c r="I1152" i="490" s="1"/>
  <c r="F1113" i="490"/>
  <c r="I1113" i="490" s="1"/>
  <c r="K39" i="83"/>
  <c r="D38" i="83"/>
  <c r="L39" i="83"/>
  <c r="E38" i="83"/>
  <c r="M39" i="83"/>
  <c r="F38" i="83"/>
  <c r="P39" i="83"/>
  <c r="I38" i="83"/>
  <c r="L40" i="83" l="1"/>
  <c r="E39" i="83"/>
  <c r="K40" i="83"/>
  <c r="D39" i="83"/>
  <c r="O40" i="83"/>
  <c r="H39" i="83"/>
  <c r="M40" i="83"/>
  <c r="F39" i="83"/>
  <c r="P40" i="83"/>
  <c r="I39" i="83"/>
  <c r="N40" i="83"/>
  <c r="G39" i="83"/>
  <c r="I23" i="381"/>
  <c r="P23" i="381" s="1"/>
  <c r="I24" i="381"/>
  <c r="P24" i="381" s="1"/>
  <c r="M41" i="83" l="1"/>
  <c r="F40" i="83"/>
  <c r="O41" i="83"/>
  <c r="H40" i="83"/>
  <c r="N41" i="83"/>
  <c r="G40" i="83"/>
  <c r="K41" i="83"/>
  <c r="D40" i="83"/>
  <c r="P41" i="83"/>
  <c r="I40" i="83"/>
  <c r="L41" i="83"/>
  <c r="E40" i="83"/>
  <c r="F1055" i="382"/>
  <c r="I1055" i="382" s="1"/>
  <c r="F1055" i="490"/>
  <c r="I1055" i="490" s="1"/>
  <c r="F1093" i="490"/>
  <c r="I1093" i="490" s="1"/>
  <c r="F1035" i="490"/>
  <c r="I1035" i="490" s="1"/>
  <c r="F1131" i="490"/>
  <c r="I1131" i="490" s="1"/>
  <c r="F1074" i="490"/>
  <c r="I1074" i="490" s="1"/>
  <c r="F1035" i="382"/>
  <c r="I1035" i="382" s="1"/>
  <c r="F1131" i="382"/>
  <c r="I1131" i="382" s="1"/>
  <c r="F1093" i="382"/>
  <c r="I1093" i="382" s="1"/>
  <c r="F1074" i="382"/>
  <c r="I1074" i="382" s="1"/>
  <c r="K42" i="83" l="1"/>
  <c r="D41" i="83"/>
  <c r="N42" i="83"/>
  <c r="G41" i="83"/>
  <c r="O42" i="83"/>
  <c r="H41" i="83"/>
  <c r="L42" i="83"/>
  <c r="E41" i="83"/>
  <c r="P42" i="83"/>
  <c r="I41" i="83"/>
  <c r="M42" i="83"/>
  <c r="F41" i="83"/>
  <c r="P43" i="83" l="1"/>
  <c r="I42" i="83"/>
  <c r="L43" i="83"/>
  <c r="E42" i="83"/>
  <c r="N43" i="83"/>
  <c r="G42" i="83"/>
  <c r="O43" i="83"/>
  <c r="H42" i="83"/>
  <c r="M43" i="83"/>
  <c r="F42" i="83"/>
  <c r="K43" i="83"/>
  <c r="D42" i="83"/>
  <c r="O44" i="83" l="1"/>
  <c r="H43" i="83"/>
  <c r="M44" i="83"/>
  <c r="F43" i="83"/>
  <c r="N44" i="83"/>
  <c r="G43" i="83"/>
  <c r="P44" i="83"/>
  <c r="I43" i="83"/>
  <c r="K44" i="83"/>
  <c r="D43" i="83"/>
  <c r="L44" i="83"/>
  <c r="E43" i="83"/>
  <c r="P45" i="83" l="1"/>
  <c r="I44" i="83"/>
  <c r="L45" i="83"/>
  <c r="E44" i="83"/>
  <c r="M45" i="83"/>
  <c r="F44" i="83"/>
  <c r="N45" i="83"/>
  <c r="G44" i="83"/>
  <c r="K45" i="83"/>
  <c r="D44" i="83"/>
  <c r="O45" i="83"/>
  <c r="H44" i="83"/>
  <c r="M46" i="83" l="1"/>
  <c r="F45" i="83"/>
  <c r="L46" i="83"/>
  <c r="E45" i="83"/>
  <c r="N46" i="83"/>
  <c r="G45" i="83"/>
  <c r="O46" i="83"/>
  <c r="H45" i="83"/>
  <c r="K46" i="83"/>
  <c r="D45" i="83"/>
  <c r="P46" i="83"/>
  <c r="I45" i="83"/>
  <c r="O47" i="83" l="1"/>
  <c r="H46" i="83"/>
  <c r="P47" i="83"/>
  <c r="I46" i="83"/>
  <c r="N47" i="83"/>
  <c r="G46" i="83"/>
  <c r="L47" i="83"/>
  <c r="E46" i="83"/>
  <c r="K47" i="83"/>
  <c r="D46" i="83"/>
  <c r="M47" i="83"/>
  <c r="F46" i="83"/>
  <c r="C4" i="459"/>
  <c r="C7" i="459" s="1"/>
  <c r="M48" i="83" l="1"/>
  <c r="F47" i="83"/>
  <c r="L48" i="83"/>
  <c r="E47" i="83"/>
  <c r="I14" i="381" s="1"/>
  <c r="P14" i="381" s="1"/>
  <c r="F387" i="382" s="1"/>
  <c r="N48" i="83"/>
  <c r="G47" i="83"/>
  <c r="P48" i="83"/>
  <c r="I47" i="83"/>
  <c r="K48" i="83"/>
  <c r="D47" i="83"/>
  <c r="O48" i="83"/>
  <c r="H47" i="83"/>
  <c r="C11" i="459"/>
  <c r="C12" i="459"/>
  <c r="C9" i="459"/>
  <c r="C8" i="459"/>
  <c r="C15" i="459"/>
  <c r="C10" i="459"/>
  <c r="P49" i="83" l="1"/>
  <c r="I48" i="83"/>
  <c r="N49" i="83"/>
  <c r="G48" i="83"/>
  <c r="I11" i="381"/>
  <c r="P11" i="381" s="1"/>
  <c r="I13" i="381"/>
  <c r="P13" i="381" s="1"/>
  <c r="I12" i="381"/>
  <c r="P12" i="381" s="1"/>
  <c r="I19" i="381"/>
  <c r="P19" i="381" s="1"/>
  <c r="I16" i="381"/>
  <c r="P16" i="381" s="1"/>
  <c r="I15" i="381"/>
  <c r="P15" i="381" s="1"/>
  <c r="I17" i="381"/>
  <c r="P17" i="381" s="1"/>
  <c r="I18" i="381"/>
  <c r="P18" i="381" s="1"/>
  <c r="O49" i="83"/>
  <c r="H48" i="83"/>
  <c r="L49" i="83"/>
  <c r="E48" i="83"/>
  <c r="K49" i="83"/>
  <c r="D48" i="83"/>
  <c r="M49" i="83"/>
  <c r="F48" i="83"/>
  <c r="D7" i="459"/>
  <c r="C17" i="459"/>
  <c r="E18" i="459" s="1"/>
  <c r="F204" i="490" l="1"/>
  <c r="I204" i="490" s="1"/>
  <c r="F204" i="382"/>
  <c r="I204" i="382" s="1"/>
  <c r="F1171" i="490"/>
  <c r="I1171" i="490" s="1"/>
  <c r="F1391" i="490"/>
  <c r="I1391" i="490" s="1"/>
  <c r="F1171" i="382"/>
  <c r="I1171" i="382" s="1"/>
  <c r="F1391" i="382"/>
  <c r="I1391" i="382" s="1"/>
  <c r="F386" i="490"/>
  <c r="I386" i="490" s="1"/>
  <c r="F386" i="382"/>
  <c r="I386" i="382" s="1"/>
  <c r="O50" i="83"/>
  <c r="H49" i="83"/>
  <c r="F385" i="490"/>
  <c r="I385" i="490" s="1"/>
  <c r="F385" i="382"/>
  <c r="I385" i="382" s="1"/>
  <c r="F203" i="490"/>
  <c r="I203" i="490" s="1"/>
  <c r="F203" i="382"/>
  <c r="I203" i="382" s="1"/>
  <c r="I151" i="385"/>
  <c r="K151" i="385" s="1"/>
  <c r="F202" i="490"/>
  <c r="I202" i="490" s="1"/>
  <c r="F202" i="382"/>
  <c r="I202" i="382" s="1"/>
  <c r="N50" i="83"/>
  <c r="G49" i="83"/>
  <c r="L50" i="83"/>
  <c r="E49" i="83"/>
  <c r="F265" i="490"/>
  <c r="I265" i="490" s="1"/>
  <c r="I75" i="385"/>
  <c r="K75" i="385" s="1"/>
  <c r="F279" i="382"/>
  <c r="I279" i="382" s="1"/>
  <c r="F265" i="382"/>
  <c r="I265" i="382" s="1"/>
  <c r="F279" i="490"/>
  <c r="I279" i="490" s="1"/>
  <c r="I387" i="382"/>
  <c r="F387" i="490"/>
  <c r="I387" i="490" s="1"/>
  <c r="M50" i="83"/>
  <c r="F49" i="83"/>
  <c r="K50" i="83"/>
  <c r="D49" i="83"/>
  <c r="I150" i="385"/>
  <c r="K150" i="385" s="1"/>
  <c r="F201" i="490"/>
  <c r="I201" i="490" s="1"/>
  <c r="F201" i="382"/>
  <c r="I201" i="382" s="1"/>
  <c r="P50" i="83"/>
  <c r="I49" i="83"/>
  <c r="I205" i="490" l="1"/>
  <c r="F704" i="490" s="1"/>
  <c r="I704" i="490" s="1"/>
  <c r="M51" i="83"/>
  <c r="F50" i="83"/>
  <c r="K51" i="83"/>
  <c r="D50" i="83"/>
  <c r="P51" i="83"/>
  <c r="I50" i="83"/>
  <c r="L51" i="83"/>
  <c r="E50" i="83"/>
  <c r="I205" i="382"/>
  <c r="N51" i="83"/>
  <c r="G50" i="83"/>
  <c r="O51" i="83"/>
  <c r="H50" i="83"/>
  <c r="F360" i="490" l="1"/>
  <c r="I360" i="490" s="1"/>
  <c r="F338" i="490"/>
  <c r="I338" i="490" s="1"/>
  <c r="F678" i="490"/>
  <c r="I678" i="490" s="1"/>
  <c r="F316" i="490"/>
  <c r="I316" i="490" s="1"/>
  <c r="F410" i="490"/>
  <c r="I410" i="490" s="1"/>
  <c r="F293" i="490"/>
  <c r="I293" i="490" s="1"/>
  <c r="F444" i="490"/>
  <c r="I444" i="490" s="1"/>
  <c r="F473" i="490"/>
  <c r="I473" i="490" s="1"/>
  <c r="O52" i="83"/>
  <c r="H51" i="83"/>
  <c r="P52" i="83"/>
  <c r="I51" i="83"/>
  <c r="L52" i="83"/>
  <c r="E51" i="83"/>
  <c r="N52" i="83"/>
  <c r="G51" i="83"/>
  <c r="K52" i="83"/>
  <c r="D51" i="83"/>
  <c r="F410" i="382"/>
  <c r="I410" i="382" s="1"/>
  <c r="F704" i="382"/>
  <c r="I704" i="382" s="1"/>
  <c r="F360" i="382"/>
  <c r="I360" i="382" s="1"/>
  <c r="F473" i="382"/>
  <c r="I473" i="382" s="1"/>
  <c r="F444" i="382"/>
  <c r="I444" i="382" s="1"/>
  <c r="F293" i="382"/>
  <c r="I293" i="382" s="1"/>
  <c r="F338" i="382"/>
  <c r="I338" i="382" s="1"/>
  <c r="F678" i="382"/>
  <c r="I678" i="382" s="1"/>
  <c r="F316" i="382"/>
  <c r="I316" i="382" s="1"/>
  <c r="M52" i="83"/>
  <c r="F51" i="83"/>
  <c r="L53" i="83" l="1"/>
  <c r="E52" i="83"/>
  <c r="P53" i="83"/>
  <c r="I52" i="83"/>
  <c r="N53" i="83"/>
  <c r="G52" i="83"/>
  <c r="M53" i="83"/>
  <c r="F52" i="83"/>
  <c r="K53" i="83"/>
  <c r="D52" i="83"/>
  <c r="O53" i="83"/>
  <c r="H52" i="83"/>
  <c r="O54" i="83" l="1"/>
  <c r="H53" i="83"/>
  <c r="P54" i="83"/>
  <c r="I53" i="83"/>
  <c r="N54" i="83"/>
  <c r="G53" i="83"/>
  <c r="M54" i="83"/>
  <c r="F53" i="83"/>
  <c r="K54" i="83"/>
  <c r="D53" i="83"/>
  <c r="L54" i="83"/>
  <c r="E53" i="83"/>
  <c r="O55" i="83" l="1"/>
  <c r="H54" i="83"/>
  <c r="K55" i="83"/>
  <c r="D54" i="83"/>
  <c r="M55" i="83"/>
  <c r="F54" i="83"/>
  <c r="N55" i="83"/>
  <c r="G54" i="83"/>
  <c r="L55" i="83"/>
  <c r="E54" i="83"/>
  <c r="P55" i="83"/>
  <c r="I54" i="83"/>
  <c r="N56" i="83" l="1"/>
  <c r="G55" i="83"/>
  <c r="M56" i="83"/>
  <c r="F55" i="83"/>
  <c r="K56" i="83"/>
  <c r="D55" i="83"/>
  <c r="P56" i="83"/>
  <c r="I55" i="83"/>
  <c r="L56" i="83"/>
  <c r="E55" i="83"/>
  <c r="O56" i="83"/>
  <c r="H55" i="83"/>
  <c r="P57" i="83" l="1"/>
  <c r="I56" i="83"/>
  <c r="K57" i="83"/>
  <c r="D56" i="83"/>
  <c r="M57" i="83"/>
  <c r="F56" i="83"/>
  <c r="O57" i="83"/>
  <c r="H56" i="83"/>
  <c r="L57" i="83"/>
  <c r="E56" i="83"/>
  <c r="N57" i="83"/>
  <c r="G56" i="83"/>
  <c r="L58" i="83" l="1"/>
  <c r="E57" i="83"/>
  <c r="M58" i="83"/>
  <c r="F57" i="83"/>
  <c r="O58" i="83"/>
  <c r="H57" i="83"/>
  <c r="P58" i="83"/>
  <c r="I57" i="83"/>
  <c r="N58" i="83"/>
  <c r="G57" i="83"/>
  <c r="K58" i="83"/>
  <c r="D57" i="83"/>
  <c r="O59" i="83" l="1"/>
  <c r="H58" i="83"/>
  <c r="M59" i="83"/>
  <c r="F58" i="83"/>
  <c r="K59" i="83"/>
  <c r="D58" i="83"/>
  <c r="P59" i="83"/>
  <c r="I58" i="83"/>
  <c r="N59" i="83"/>
  <c r="G58" i="83"/>
  <c r="L59" i="83"/>
  <c r="E58" i="83"/>
  <c r="N60" i="83" l="1"/>
  <c r="G59" i="83"/>
  <c r="P60" i="83"/>
  <c r="I59" i="83"/>
  <c r="K60" i="83"/>
  <c r="D59" i="83"/>
  <c r="L60" i="83"/>
  <c r="E59" i="83"/>
  <c r="M60" i="83"/>
  <c r="F59" i="83"/>
  <c r="O60" i="83"/>
  <c r="H59" i="83"/>
  <c r="K61" i="83" l="1"/>
  <c r="D60" i="83"/>
  <c r="L61" i="83"/>
  <c r="E60" i="83"/>
  <c r="O61" i="83"/>
  <c r="H60" i="83"/>
  <c r="P61" i="83"/>
  <c r="I60" i="83"/>
  <c r="M61" i="83"/>
  <c r="F60" i="83"/>
  <c r="N61" i="83"/>
  <c r="G60" i="83"/>
  <c r="O62" i="83" l="1"/>
  <c r="H61" i="83"/>
  <c r="P62" i="83"/>
  <c r="I61" i="83"/>
  <c r="N62" i="83"/>
  <c r="G61" i="83"/>
  <c r="L62" i="83"/>
  <c r="E61" i="83"/>
  <c r="M62" i="83"/>
  <c r="F61" i="83"/>
  <c r="K62" i="83"/>
  <c r="D61" i="83"/>
  <c r="M63" i="83" l="1"/>
  <c r="F62" i="83"/>
  <c r="L63" i="83"/>
  <c r="E62" i="83"/>
  <c r="N63" i="83"/>
  <c r="G62" i="83"/>
  <c r="P63" i="83"/>
  <c r="I62" i="83"/>
  <c r="K63" i="83"/>
  <c r="D62" i="83"/>
  <c r="O63" i="83"/>
  <c r="H62" i="83"/>
  <c r="P64" i="83" l="1"/>
  <c r="I63" i="83"/>
  <c r="N64" i="83"/>
  <c r="G63" i="83"/>
  <c r="M64" i="83"/>
  <c r="F63" i="83"/>
  <c r="K64" i="83"/>
  <c r="D63" i="83"/>
  <c r="O64" i="83"/>
  <c r="H63" i="83"/>
  <c r="L64" i="83"/>
  <c r="E63" i="83"/>
  <c r="L65" i="83" l="1"/>
  <c r="E64" i="83"/>
  <c r="K65" i="83"/>
  <c r="D64" i="83"/>
  <c r="M65" i="83"/>
  <c r="F64" i="83"/>
  <c r="N65" i="83"/>
  <c r="G64" i="83"/>
  <c r="O65" i="83"/>
  <c r="H64" i="83"/>
  <c r="P65" i="83"/>
  <c r="I64" i="83"/>
  <c r="N66" i="83" l="1"/>
  <c r="G65" i="83"/>
  <c r="M66" i="83"/>
  <c r="F65" i="83"/>
  <c r="K66" i="83"/>
  <c r="D65" i="83"/>
  <c r="I7" i="381"/>
  <c r="P7" i="381" s="1"/>
  <c r="I9" i="381"/>
  <c r="P9" i="381" s="1"/>
  <c r="P66" i="83"/>
  <c r="I65" i="83"/>
  <c r="O66" i="83"/>
  <c r="H65" i="83"/>
  <c r="L66" i="83"/>
  <c r="E65" i="83"/>
  <c r="F474" i="490" l="1"/>
  <c r="I474" i="490" s="1"/>
  <c r="I485" i="490" s="1"/>
  <c r="F266" i="490"/>
  <c r="I266" i="490" s="1"/>
  <c r="D275" i="490" s="1"/>
  <c r="F1075" i="490"/>
  <c r="I1075" i="490" s="1"/>
  <c r="F1082" i="490" s="1"/>
  <c r="I1082" i="490" s="1"/>
  <c r="I1083" i="490" s="1"/>
  <c r="E1085" i="490" s="1"/>
  <c r="F1154" i="490"/>
  <c r="I1154" i="490" s="1"/>
  <c r="F1162" i="490" s="1"/>
  <c r="I1162" i="490" s="1"/>
  <c r="I1163" i="490" s="1"/>
  <c r="F1057" i="382"/>
  <c r="I1057" i="382" s="1"/>
  <c r="F1172" i="382"/>
  <c r="I1172" i="382" s="1"/>
  <c r="F849" i="382"/>
  <c r="I849" i="382" s="1"/>
  <c r="I855" i="382" s="1"/>
  <c r="D856" i="382" s="1"/>
  <c r="I856" i="382" s="1"/>
  <c r="I857" i="382" s="1"/>
  <c r="I858" i="382" s="1"/>
  <c r="I859" i="382" s="1"/>
  <c r="F1184" i="382"/>
  <c r="I1184" i="382" s="1"/>
  <c r="F1192" i="382" s="1"/>
  <c r="I1192" i="382" s="1"/>
  <c r="I1193" i="382" s="1"/>
  <c r="F803" i="382"/>
  <c r="I803" i="382" s="1"/>
  <c r="I808" i="382" s="1"/>
  <c r="D809" i="382" s="1"/>
  <c r="I809" i="382" s="1"/>
  <c r="I810" i="382" s="1"/>
  <c r="F1515" i="490"/>
  <c r="I1515" i="490" s="1"/>
  <c r="I1523" i="490" s="1"/>
  <c r="I1524" i="490" s="1"/>
  <c r="I1525" i="490" s="1"/>
  <c r="I1526" i="490" s="1"/>
  <c r="F825" i="490"/>
  <c r="I825" i="490" s="1"/>
  <c r="I831" i="490" s="1"/>
  <c r="D832" i="490" s="1"/>
  <c r="I832" i="490" s="1"/>
  <c r="I833" i="490" s="1"/>
  <c r="F1481" i="382"/>
  <c r="I1481" i="382" s="1"/>
  <c r="F1057" i="490"/>
  <c r="I1057" i="490" s="1"/>
  <c r="F1063" i="490" s="1"/>
  <c r="I1063" i="490" s="1"/>
  <c r="I1064" i="490" s="1"/>
  <c r="F339" i="382"/>
  <c r="I339" i="382" s="1"/>
  <c r="I348" i="382" s="1"/>
  <c r="F445" i="490"/>
  <c r="I445" i="490" s="1"/>
  <c r="I456" i="490" s="1"/>
  <c r="F1392" i="490"/>
  <c r="I1392" i="490" s="1"/>
  <c r="F1037" i="490"/>
  <c r="I1037" i="490" s="1"/>
  <c r="F1045" i="490" s="1"/>
  <c r="I1045" i="490" s="1"/>
  <c r="I1046" i="490" s="1"/>
  <c r="F865" i="490"/>
  <c r="I865" i="490" s="1"/>
  <c r="I870" i="490" s="1"/>
  <c r="D871" i="490" s="1"/>
  <c r="I871" i="490" s="1"/>
  <c r="I872" i="490" s="1"/>
  <c r="F770" i="382"/>
  <c r="I770" i="382" s="1"/>
  <c r="I775" i="382" s="1"/>
  <c r="F399" i="382"/>
  <c r="I399" i="382" s="1"/>
  <c r="I402" i="382" s="1"/>
  <c r="D403" i="382" s="1"/>
  <c r="I403" i="382" s="1"/>
  <c r="I404" i="382" s="1"/>
  <c r="D405" i="382" s="1"/>
  <c r="I405" i="382" s="1"/>
  <c r="I406" i="382" s="1"/>
  <c r="I152" i="385"/>
  <c r="K152" i="385" s="1"/>
  <c r="K154" i="385" s="1"/>
  <c r="K159" i="385" s="1"/>
  <c r="K160" i="385" s="1"/>
  <c r="K161" i="385" s="1"/>
  <c r="K162" i="385" s="1"/>
  <c r="F266" i="382"/>
  <c r="I266" i="382" s="1"/>
  <c r="D275" i="382" s="1"/>
  <c r="F1114" i="382"/>
  <c r="I1114" i="382" s="1"/>
  <c r="F1121" i="382" s="1"/>
  <c r="I1121" i="382" s="1"/>
  <c r="I1122" i="382" s="1"/>
  <c r="E1124" i="382" s="1"/>
  <c r="F280" i="490"/>
  <c r="F474" i="382"/>
  <c r="I474" i="382" s="1"/>
  <c r="I485" i="382" s="1"/>
  <c r="F1560" i="382"/>
  <c r="I1560" i="382" s="1"/>
  <c r="F1568" i="382" s="1"/>
  <c r="I1568" i="382" s="1"/>
  <c r="I1569" i="382" s="1"/>
  <c r="F1570" i="382" s="1"/>
  <c r="I1570" i="382" s="1"/>
  <c r="I1571" i="382" s="1"/>
  <c r="I1572" i="382" s="1"/>
  <c r="F1238" i="382"/>
  <c r="I1238" i="382" s="1"/>
  <c r="I1244" i="382" s="1"/>
  <c r="D1245" i="382" s="1"/>
  <c r="I1245" i="382" s="1"/>
  <c r="I1246" i="382" s="1"/>
  <c r="F294" i="490"/>
  <c r="I294" i="490" s="1"/>
  <c r="I304" i="490" s="1"/>
  <c r="F1205" i="490"/>
  <c r="I1205" i="490" s="1"/>
  <c r="F1209" i="490" s="1"/>
  <c r="I1209" i="490" s="1"/>
  <c r="I1210" i="490" s="1"/>
  <c r="F849" i="490"/>
  <c r="I849" i="490" s="1"/>
  <c r="I855" i="490" s="1"/>
  <c r="D856" i="490" s="1"/>
  <c r="I856" i="490" s="1"/>
  <c r="I857" i="490" s="1"/>
  <c r="I858" i="490" s="1"/>
  <c r="I859" i="490" s="1"/>
  <c r="F399" i="490"/>
  <c r="I399" i="490" s="1"/>
  <c r="I402" i="490" s="1"/>
  <c r="D403" i="490" s="1"/>
  <c r="I403" i="490" s="1"/>
  <c r="I404" i="490" s="1"/>
  <c r="D405" i="490" s="1"/>
  <c r="I405" i="490" s="1"/>
  <c r="I406" i="490" s="1"/>
  <c r="F411" i="382"/>
  <c r="I411" i="382" s="1"/>
  <c r="I422" i="382" s="1"/>
  <c r="F388" i="382"/>
  <c r="I388" i="382" s="1"/>
  <c r="I391" i="382" s="1"/>
  <c r="D392" i="382" s="1"/>
  <c r="I393" i="382" s="1"/>
  <c r="D394" i="382" s="1"/>
  <c r="I394" i="382" s="1"/>
  <c r="I395" i="382" s="1"/>
  <c r="F1205" i="382"/>
  <c r="I1205" i="382" s="1"/>
  <c r="F1209" i="382" s="1"/>
  <c r="I1209" i="382" s="1"/>
  <c r="I1210" i="382" s="1"/>
  <c r="F705" i="382"/>
  <c r="I705" i="382" s="1"/>
  <c r="I715" i="382" s="1"/>
  <c r="F781" i="382"/>
  <c r="I781" i="382" s="1"/>
  <c r="I786" i="382" s="1"/>
  <c r="D787" i="382" s="1"/>
  <c r="I787" i="382" s="1"/>
  <c r="I788" i="382" s="1"/>
  <c r="F1037" i="382"/>
  <c r="I1037" i="382" s="1"/>
  <c r="F1045" i="382" s="1"/>
  <c r="I1045" i="382" s="1"/>
  <c r="I1046" i="382" s="1"/>
  <c r="F1413" i="490"/>
  <c r="F1515" i="382"/>
  <c r="I1515" i="382" s="1"/>
  <c r="I1523" i="382" s="1"/>
  <c r="I1524" i="382" s="1"/>
  <c r="I1525" i="382" s="1"/>
  <c r="I1526" i="382" s="1"/>
  <c r="I87" i="444" s="1"/>
  <c r="J87" i="444" s="1"/>
  <c r="F1238" i="490"/>
  <c r="I1238" i="490" s="1"/>
  <c r="I1244" i="490" s="1"/>
  <c r="D1245" i="490" s="1"/>
  <c r="I1245" i="490" s="1"/>
  <c r="I1246" i="490" s="1"/>
  <c r="F1172" i="490"/>
  <c r="I1172" i="490" s="1"/>
  <c r="F803" i="490"/>
  <c r="I803" i="490" s="1"/>
  <c r="I808" i="490" s="1"/>
  <c r="D809" i="490" s="1"/>
  <c r="I809" i="490" s="1"/>
  <c r="I810" i="490" s="1"/>
  <c r="F388" i="490"/>
  <c r="I388" i="490" s="1"/>
  <c r="I391" i="490" s="1"/>
  <c r="D392" i="490" s="1"/>
  <c r="I392" i="490" s="1"/>
  <c r="I393" i="490" s="1"/>
  <c r="D394" i="490" s="1"/>
  <c r="I394" i="490" s="1"/>
  <c r="I395" i="490" s="1"/>
  <c r="F445" i="382"/>
  <c r="I445" i="382" s="1"/>
  <c r="I456" i="382" s="1"/>
  <c r="F294" i="382"/>
  <c r="I294" i="382" s="1"/>
  <c r="I304" i="382" s="1"/>
  <c r="I76" i="385"/>
  <c r="K76" i="385" s="1"/>
  <c r="K78" i="385" s="1"/>
  <c r="K84" i="385" s="1"/>
  <c r="K85" i="385" s="1"/>
  <c r="K86" i="385" s="1"/>
  <c r="K87" i="385" s="1"/>
  <c r="K88" i="385" s="1"/>
  <c r="F1094" i="382"/>
  <c r="I1094" i="382" s="1"/>
  <c r="F1101" i="382" s="1"/>
  <c r="I1101" i="382" s="1"/>
  <c r="I1102" i="382" s="1"/>
  <c r="E1104" i="382" s="1"/>
  <c r="F1075" i="382"/>
  <c r="I1075" i="382" s="1"/>
  <c r="F1082" i="382" s="1"/>
  <c r="I1082" i="382" s="1"/>
  <c r="I1083" i="382" s="1"/>
  <c r="E1085" i="382" s="1"/>
  <c r="F781" i="490"/>
  <c r="I781" i="490" s="1"/>
  <c r="I786" i="490" s="1"/>
  <c r="D787" i="490" s="1"/>
  <c r="I787" i="490" s="1"/>
  <c r="I788" i="490" s="1"/>
  <c r="F411" i="490"/>
  <c r="I411" i="490" s="1"/>
  <c r="I422" i="490" s="1"/>
  <c r="F1133" i="382"/>
  <c r="I1133" i="382" s="1"/>
  <c r="F1142" i="382" s="1"/>
  <c r="I1142" i="382" s="1"/>
  <c r="I1143" i="382" s="1"/>
  <c r="F361" i="490"/>
  <c r="I361" i="490" s="1"/>
  <c r="I371" i="490" s="1"/>
  <c r="F1560" i="490"/>
  <c r="I1560" i="490" s="1"/>
  <c r="F1568" i="490" s="1"/>
  <c r="I1568" i="490" s="1"/>
  <c r="I1569" i="490" s="1"/>
  <c r="F1570" i="490" s="1"/>
  <c r="I1570" i="490" s="1"/>
  <c r="I1571" i="490" s="1"/>
  <c r="I1572" i="490" s="1"/>
  <c r="F1094" i="490"/>
  <c r="I1094" i="490" s="1"/>
  <c r="F1101" i="490" s="1"/>
  <c r="I1101" i="490" s="1"/>
  <c r="I1102" i="490" s="1"/>
  <c r="E1104" i="490" s="1"/>
  <c r="F1114" i="490"/>
  <c r="I1114" i="490" s="1"/>
  <c r="F1121" i="490" s="1"/>
  <c r="I1121" i="490" s="1"/>
  <c r="I1122" i="490" s="1"/>
  <c r="E1124" i="490" s="1"/>
  <c r="F679" i="490"/>
  <c r="I679" i="490" s="1"/>
  <c r="I689" i="490" s="1"/>
  <c r="F339" i="490"/>
  <c r="I339" i="490" s="1"/>
  <c r="I348" i="490" s="1"/>
  <c r="F361" i="382"/>
  <c r="I361" i="382" s="1"/>
  <c r="I371" i="382" s="1"/>
  <c r="F1154" i="382"/>
  <c r="I1154" i="382" s="1"/>
  <c r="F1162" i="382" s="1"/>
  <c r="I1162" i="382" s="1"/>
  <c r="I1163" i="382" s="1"/>
  <c r="F825" i="382"/>
  <c r="I825" i="382" s="1"/>
  <c r="I831" i="382" s="1"/>
  <c r="D832" i="382" s="1"/>
  <c r="I832" i="382" s="1"/>
  <c r="I833" i="382" s="1"/>
  <c r="F1392" i="382"/>
  <c r="I1392" i="382" s="1"/>
  <c r="F1413" i="382"/>
  <c r="F1184" i="490"/>
  <c r="I1184" i="490" s="1"/>
  <c r="F1192" i="490" s="1"/>
  <c r="I1192" i="490" s="1"/>
  <c r="I1193" i="490" s="1"/>
  <c r="F705" i="490"/>
  <c r="I705" i="490" s="1"/>
  <c r="I715" i="490" s="1"/>
  <c r="F770" i="490"/>
  <c r="F1481" i="490"/>
  <c r="I1481" i="490" s="1"/>
  <c r="F1488" i="490" s="1"/>
  <c r="I1488" i="490" s="1"/>
  <c r="F155" i="490"/>
  <c r="F280" i="382"/>
  <c r="F865" i="382"/>
  <c r="I865" i="382" s="1"/>
  <c r="I870" i="382" s="1"/>
  <c r="D871" i="382" s="1"/>
  <c r="I871" i="382" s="1"/>
  <c r="I872" i="382" s="1"/>
  <c r="F679" i="382"/>
  <c r="I679" i="382" s="1"/>
  <c r="I689" i="382" s="1"/>
  <c r="F155" i="382"/>
  <c r="F1133" i="490"/>
  <c r="I1133" i="490" s="1"/>
  <c r="F1142" i="490" s="1"/>
  <c r="I1142" i="490" s="1"/>
  <c r="I1143" i="490" s="1"/>
  <c r="K67" i="83"/>
  <c r="D66" i="83"/>
  <c r="M67" i="83"/>
  <c r="F66" i="83"/>
  <c r="F939" i="490"/>
  <c r="F984" i="382"/>
  <c r="I984" i="382" s="1"/>
  <c r="I987" i="382" s="1"/>
  <c r="D988" i="382" s="1"/>
  <c r="I988" i="382" s="1"/>
  <c r="I989" i="382" s="1"/>
  <c r="F918" i="490"/>
  <c r="I918" i="490" s="1"/>
  <c r="F1001" i="382"/>
  <c r="I1001" i="382" s="1"/>
  <c r="I1004" i="382" s="1"/>
  <c r="D1005" i="382" s="1"/>
  <c r="I1005" i="382" s="1"/>
  <c r="I1006" i="382" s="1"/>
  <c r="F915" i="382"/>
  <c r="I915" i="382" s="1"/>
  <c r="F915" i="490"/>
  <c r="I915" i="490" s="1"/>
  <c r="F939" i="382"/>
  <c r="F1018" i="490"/>
  <c r="I1018" i="490" s="1"/>
  <c r="I1023" i="490" s="1"/>
  <c r="D1024" i="490" s="1"/>
  <c r="I1024" i="490" s="1"/>
  <c r="I1025" i="490" s="1"/>
  <c r="E1027" i="490" s="1"/>
  <c r="F1018" i="382"/>
  <c r="I1018" i="382" s="1"/>
  <c r="I1023" i="382" s="1"/>
  <c r="D1024" i="382" s="1"/>
  <c r="I1024" i="382" s="1"/>
  <c r="I1025" i="382" s="1"/>
  <c r="E1027" i="382" s="1"/>
  <c r="F1587" i="382"/>
  <c r="I1587" i="382" s="1"/>
  <c r="I1590" i="382" s="1"/>
  <c r="E1592" i="382" s="1"/>
  <c r="E1593" i="382" s="1"/>
  <c r="E1594" i="382" s="1"/>
  <c r="E1595" i="382" s="1"/>
  <c r="F1001" i="490"/>
  <c r="I1001" i="490" s="1"/>
  <c r="I1004" i="490" s="1"/>
  <c r="D1005" i="490" s="1"/>
  <c r="I1005" i="490" s="1"/>
  <c r="I1006" i="490" s="1"/>
  <c r="F1587" i="490"/>
  <c r="I1587" i="490" s="1"/>
  <c r="I1590" i="490" s="1"/>
  <c r="E1592" i="490" s="1"/>
  <c r="E1593" i="490" s="1"/>
  <c r="E1594" i="490" s="1"/>
  <c r="E1595" i="490" s="1"/>
  <c r="F962" i="490"/>
  <c r="F918" i="382"/>
  <c r="I918" i="382" s="1"/>
  <c r="F984" i="490"/>
  <c r="I984" i="490" s="1"/>
  <c r="I987" i="490" s="1"/>
  <c r="D988" i="490" s="1"/>
  <c r="I988" i="490" s="1"/>
  <c r="I989" i="490" s="1"/>
  <c r="F962" i="382"/>
  <c r="L67" i="83"/>
  <c r="E66" i="83"/>
  <c r="O67" i="83"/>
  <c r="H66" i="83"/>
  <c r="P67" i="83"/>
  <c r="I66" i="83"/>
  <c r="N67" i="83"/>
  <c r="G66" i="83"/>
  <c r="J26" i="485" l="1"/>
  <c r="K26" i="485" s="1"/>
  <c r="F1058" i="382"/>
  <c r="I1058" i="382" s="1"/>
  <c r="F1063" i="382" s="1"/>
  <c r="I1063" i="382" s="1"/>
  <c r="I1064" i="382" s="1"/>
  <c r="F1464" i="382"/>
  <c r="I1464" i="382" s="1"/>
  <c r="I923" i="490"/>
  <c r="D924" i="490" s="1"/>
  <c r="I924" i="490" s="1"/>
  <c r="I925" i="490" s="1"/>
  <c r="H927" i="490" s="1"/>
  <c r="F743" i="490"/>
  <c r="I743" i="490" s="1"/>
  <c r="F730" i="490"/>
  <c r="I730" i="490" s="1"/>
  <c r="F717" i="490"/>
  <c r="I717" i="490" s="1"/>
  <c r="F756" i="490"/>
  <c r="I756" i="490" s="1"/>
  <c r="F424" i="382"/>
  <c r="I424" i="382" s="1"/>
  <c r="D427" i="382" s="1"/>
  <c r="I427" i="382" s="1"/>
  <c r="I428" i="382" s="1"/>
  <c r="F430" i="382"/>
  <c r="I430" i="382" s="1"/>
  <c r="D433" i="382" s="1"/>
  <c r="I433" i="382" s="1"/>
  <c r="I434" i="382" s="1"/>
  <c r="F436" i="382"/>
  <c r="I436" i="382" s="1"/>
  <c r="D439" i="382" s="1"/>
  <c r="I439" i="382" s="1"/>
  <c r="I440" i="382" s="1"/>
  <c r="I280" i="490"/>
  <c r="D289" i="490" s="1"/>
  <c r="I289" i="490" s="1"/>
  <c r="I290" i="490" s="1"/>
  <c r="F317" i="490"/>
  <c r="I317" i="490" s="1"/>
  <c r="I326" i="490" s="1"/>
  <c r="O68" i="83"/>
  <c r="H67" i="83"/>
  <c r="H1195" i="490"/>
  <c r="H1197" i="490" s="1"/>
  <c r="H1198" i="490" s="1"/>
  <c r="H1199" i="490" s="1"/>
  <c r="E1195" i="490"/>
  <c r="E1197" i="490" s="1"/>
  <c r="E1198" i="490" s="1"/>
  <c r="E1199" i="490" s="1"/>
  <c r="F1195" i="490"/>
  <c r="F1197" i="490" s="1"/>
  <c r="F1198" i="490" s="1"/>
  <c r="F1199" i="490" s="1"/>
  <c r="I1195" i="490"/>
  <c r="I1197" i="490" s="1"/>
  <c r="I1198" i="490" s="1"/>
  <c r="I1199" i="490" s="1"/>
  <c r="G1195" i="490"/>
  <c r="G1197" i="490" s="1"/>
  <c r="G1198" i="490" s="1"/>
  <c r="G1199" i="490" s="1"/>
  <c r="E1126" i="490"/>
  <c r="E1127" i="490" s="1"/>
  <c r="E1128" i="490" s="1"/>
  <c r="F1124" i="490"/>
  <c r="F1104" i="382"/>
  <c r="E1106" i="382"/>
  <c r="E1107" i="382" s="1"/>
  <c r="E1108" i="382" s="1"/>
  <c r="I96" i="444" s="1"/>
  <c r="J96" i="444" s="1"/>
  <c r="F1124" i="382"/>
  <c r="E1126" i="382"/>
  <c r="E1127" i="382" s="1"/>
  <c r="E1128" i="382" s="1"/>
  <c r="J460" i="490"/>
  <c r="J465" i="490" s="1"/>
  <c r="J466" i="490" s="1"/>
  <c r="J468" i="490" s="1"/>
  <c r="E460" i="490"/>
  <c r="E465" i="490" s="1"/>
  <c r="E466" i="490" s="1"/>
  <c r="E468" i="490" s="1"/>
  <c r="I460" i="490"/>
  <c r="I465" i="490" s="1"/>
  <c r="I466" i="490" s="1"/>
  <c r="I468" i="490" s="1"/>
  <c r="G460" i="490"/>
  <c r="G465" i="490" s="1"/>
  <c r="G466" i="490" s="1"/>
  <c r="G468" i="490" s="1"/>
  <c r="H460" i="490"/>
  <c r="H465" i="490" s="1"/>
  <c r="H466" i="490" s="1"/>
  <c r="H468" i="490" s="1"/>
  <c r="F460" i="490"/>
  <c r="F465" i="490" s="1"/>
  <c r="F466" i="490" s="1"/>
  <c r="F468" i="490" s="1"/>
  <c r="G373" i="382"/>
  <c r="G378" i="382" s="1"/>
  <c r="G379" i="382" s="1"/>
  <c r="G380" i="382" s="1"/>
  <c r="I373" i="382"/>
  <c r="I378" i="382" s="1"/>
  <c r="I379" i="382" s="1"/>
  <c r="I380" i="382" s="1"/>
  <c r="H373" i="382"/>
  <c r="H378" i="382" s="1"/>
  <c r="H379" i="382" s="1"/>
  <c r="H380" i="382" s="1"/>
  <c r="E373" i="382"/>
  <c r="E378" i="382" s="1"/>
  <c r="E379" i="382" s="1"/>
  <c r="E380" i="382" s="1"/>
  <c r="F373" i="382"/>
  <c r="F378" i="382" s="1"/>
  <c r="F379" i="382" s="1"/>
  <c r="F380" i="382" s="1"/>
  <c r="F1145" i="490"/>
  <c r="F1147" i="490" s="1"/>
  <c r="F1148" i="490" s="1"/>
  <c r="F1149" i="490" s="1"/>
  <c r="E1145" i="490"/>
  <c r="E1147" i="490" s="1"/>
  <c r="E1148" i="490" s="1"/>
  <c r="E1149" i="490" s="1"/>
  <c r="G1145" i="490"/>
  <c r="G1147" i="490" s="1"/>
  <c r="G1148" i="490" s="1"/>
  <c r="G1149" i="490" s="1"/>
  <c r="H1145" i="490"/>
  <c r="H1147" i="490" s="1"/>
  <c r="H1148" i="490" s="1"/>
  <c r="H1149" i="490" s="1"/>
  <c r="I1145" i="490"/>
  <c r="I1147" i="490" s="1"/>
  <c r="I1148" i="490" s="1"/>
  <c r="I1149" i="490" s="1"/>
  <c r="E1195" i="382"/>
  <c r="E1197" i="382" s="1"/>
  <c r="E1198" i="382" s="1"/>
  <c r="E1199" i="382" s="1"/>
  <c r="I80" i="444" s="1"/>
  <c r="J80" i="444" s="1"/>
  <c r="F1195" i="382"/>
  <c r="F1197" i="382" s="1"/>
  <c r="F1198" i="382" s="1"/>
  <c r="F1199" i="382" s="1"/>
  <c r="I1195" i="382"/>
  <c r="I1197" i="382" s="1"/>
  <c r="I1198" i="382" s="1"/>
  <c r="I1199" i="382" s="1"/>
  <c r="G1195" i="382"/>
  <c r="G1197" i="382" s="1"/>
  <c r="G1198" i="382" s="1"/>
  <c r="G1199" i="382" s="1"/>
  <c r="H1195" i="382"/>
  <c r="H1197" i="382" s="1"/>
  <c r="H1198" i="382" s="1"/>
  <c r="H1199" i="382" s="1"/>
  <c r="F991" i="382"/>
  <c r="F996" i="382" s="1"/>
  <c r="F997" i="382" s="1"/>
  <c r="F998" i="382" s="1"/>
  <c r="I991" i="382"/>
  <c r="I996" i="382" s="1"/>
  <c r="I997" i="382" s="1"/>
  <c r="I998" i="382" s="1"/>
  <c r="E991" i="382"/>
  <c r="E996" i="382" s="1"/>
  <c r="E997" i="382" s="1"/>
  <c r="E998" i="382" s="1"/>
  <c r="K989" i="382"/>
  <c r="K990" i="382" s="1"/>
  <c r="J991" i="382"/>
  <c r="J996" i="382" s="1"/>
  <c r="J997" i="382" s="1"/>
  <c r="J998" i="382" s="1"/>
  <c r="H991" i="382"/>
  <c r="H996" i="382" s="1"/>
  <c r="H997" i="382" s="1"/>
  <c r="H998" i="382" s="1"/>
  <c r="G991" i="382"/>
  <c r="G996" i="382" s="1"/>
  <c r="G997" i="382" s="1"/>
  <c r="G998" i="382" s="1"/>
  <c r="E692" i="382"/>
  <c r="E697" i="382" s="1"/>
  <c r="E698" i="382" s="1"/>
  <c r="E699" i="382" s="1"/>
  <c r="I38" i="444" s="1"/>
  <c r="J38" i="444" s="1"/>
  <c r="F692" i="382"/>
  <c r="F697" i="382" s="1"/>
  <c r="F698" i="382" s="1"/>
  <c r="F699" i="382" s="1"/>
  <c r="H692" i="382"/>
  <c r="H697" i="382" s="1"/>
  <c r="H698" i="382" s="1"/>
  <c r="H699" i="382" s="1"/>
  <c r="G692" i="382"/>
  <c r="G697" i="382" s="1"/>
  <c r="G698" i="382" s="1"/>
  <c r="G699" i="382" s="1"/>
  <c r="I692" i="382"/>
  <c r="I697" i="382" s="1"/>
  <c r="I698" i="382" s="1"/>
  <c r="I699" i="382" s="1"/>
  <c r="J692" i="382"/>
  <c r="J697" i="382" s="1"/>
  <c r="J698" i="382" s="1"/>
  <c r="J699" i="382" s="1"/>
  <c r="F1436" i="382"/>
  <c r="I1413" i="382"/>
  <c r="F1419" i="382" s="1"/>
  <c r="I1419" i="382" s="1"/>
  <c r="I1420" i="382" s="1"/>
  <c r="E1106" i="490"/>
  <c r="E1107" i="490" s="1"/>
  <c r="E1108" i="490" s="1"/>
  <c r="F1104" i="490"/>
  <c r="F1436" i="490"/>
  <c r="I1413" i="490"/>
  <c r="F1419" i="490" s="1"/>
  <c r="I1419" i="490" s="1"/>
  <c r="I1420" i="490" s="1"/>
  <c r="I275" i="382"/>
  <c r="I276" i="382" s="1"/>
  <c r="J20" i="485" s="1"/>
  <c r="F1394" i="382"/>
  <c r="I1394" i="382" s="1"/>
  <c r="I1399" i="382" s="1"/>
  <c r="I1400" i="382" s="1"/>
  <c r="I1401" i="382" s="1"/>
  <c r="I1402" i="382" s="1"/>
  <c r="F1174" i="382"/>
  <c r="I1174" i="382" s="1"/>
  <c r="I1178" i="382" s="1"/>
  <c r="F1179" i="382" s="1"/>
  <c r="I1179" i="382" s="1"/>
  <c r="I1180" i="382" s="1"/>
  <c r="F350" i="382"/>
  <c r="F355" i="382" s="1"/>
  <c r="F356" i="382" s="1"/>
  <c r="F357" i="382" s="1"/>
  <c r="J350" i="382"/>
  <c r="J351" i="382" s="1"/>
  <c r="H350" i="382"/>
  <c r="G350" i="382"/>
  <c r="G355" i="382" s="1"/>
  <c r="G356" i="382" s="1"/>
  <c r="G357" i="382" s="1"/>
  <c r="E350" i="382"/>
  <c r="E355" i="382" s="1"/>
  <c r="E356" i="382" s="1"/>
  <c r="E357" i="382" s="1"/>
  <c r="F436" i="490"/>
  <c r="I436" i="490" s="1"/>
  <c r="D439" i="490" s="1"/>
  <c r="I439" i="490" s="1"/>
  <c r="I440" i="490" s="1"/>
  <c r="F424" i="490"/>
  <c r="I424" i="490" s="1"/>
  <c r="D427" i="490" s="1"/>
  <c r="I427" i="490" s="1"/>
  <c r="I428" i="490" s="1"/>
  <c r="F430" i="490"/>
  <c r="I430" i="490" s="1"/>
  <c r="D433" i="490" s="1"/>
  <c r="I433" i="490" s="1"/>
  <c r="I434" i="490" s="1"/>
  <c r="I1248" i="490"/>
  <c r="I1250" i="490" s="1"/>
  <c r="I1251" i="490" s="1"/>
  <c r="I1252" i="490" s="1"/>
  <c r="G1248" i="490"/>
  <c r="G1250" i="490" s="1"/>
  <c r="G1251" i="490" s="1"/>
  <c r="G1252" i="490" s="1"/>
  <c r="H1248" i="490"/>
  <c r="H1250" i="490" s="1"/>
  <c r="H1251" i="490" s="1"/>
  <c r="H1252" i="490" s="1"/>
  <c r="E1248" i="490"/>
  <c r="E1250" i="490" s="1"/>
  <c r="E1251" i="490" s="1"/>
  <c r="E1252" i="490" s="1"/>
  <c r="F1248" i="490"/>
  <c r="F1250" i="490" s="1"/>
  <c r="F1251" i="490" s="1"/>
  <c r="F1252" i="490" s="1"/>
  <c r="F1027" i="382"/>
  <c r="E1029" i="382"/>
  <c r="E1030" i="382" s="1"/>
  <c r="E1031" i="382" s="1"/>
  <c r="J306" i="382"/>
  <c r="J311" i="382" s="1"/>
  <c r="J312" i="382" s="1"/>
  <c r="J313" i="382" s="1"/>
  <c r="G306" i="382"/>
  <c r="G311" i="382" s="1"/>
  <c r="G312" i="382" s="1"/>
  <c r="G313" i="382" s="1"/>
  <c r="I306" i="382"/>
  <c r="I311" i="382" s="1"/>
  <c r="I312" i="382" s="1"/>
  <c r="I313" i="382" s="1"/>
  <c r="E306" i="382"/>
  <c r="E311" i="382" s="1"/>
  <c r="E312" i="382" s="1"/>
  <c r="E313" i="382" s="1"/>
  <c r="I57" i="444" s="1"/>
  <c r="J57" i="444" s="1"/>
  <c r="F306" i="382"/>
  <c r="F311" i="382" s="1"/>
  <c r="F312" i="382" s="1"/>
  <c r="F313" i="382" s="1"/>
  <c r="H306" i="382"/>
  <c r="H311" i="382" s="1"/>
  <c r="H312" i="382" s="1"/>
  <c r="H313" i="382" s="1"/>
  <c r="F1048" i="382"/>
  <c r="F1050" i="382" s="1"/>
  <c r="F1051" i="382" s="1"/>
  <c r="F1052" i="382" s="1"/>
  <c r="H1048" i="382"/>
  <c r="H1050" i="382" s="1"/>
  <c r="H1051" i="382" s="1"/>
  <c r="H1052" i="382" s="1"/>
  <c r="I1048" i="382"/>
  <c r="I1050" i="382" s="1"/>
  <c r="I1051" i="382" s="1"/>
  <c r="I1052" i="382" s="1"/>
  <c r="G1048" i="382"/>
  <c r="G1050" i="382" s="1"/>
  <c r="G1051" i="382" s="1"/>
  <c r="G1052" i="382" s="1"/>
  <c r="E1048" i="382"/>
  <c r="E1050" i="382" s="1"/>
  <c r="E1051" i="382" s="1"/>
  <c r="E1052" i="382" s="1"/>
  <c r="H1212" i="490"/>
  <c r="H1214" i="490" s="1"/>
  <c r="H1215" i="490" s="1"/>
  <c r="H1216" i="490" s="1"/>
  <c r="F1212" i="490"/>
  <c r="F1214" i="490" s="1"/>
  <c r="F1215" i="490" s="1"/>
  <c r="F1216" i="490" s="1"/>
  <c r="I1212" i="490"/>
  <c r="I1214" i="490" s="1"/>
  <c r="I1215" i="490" s="1"/>
  <c r="I1216" i="490" s="1"/>
  <c r="E1212" i="490"/>
  <c r="E1214" i="490" s="1"/>
  <c r="E1215" i="490" s="1"/>
  <c r="E1216" i="490" s="1"/>
  <c r="G1212" i="490"/>
  <c r="G1214" i="490" s="1"/>
  <c r="G1215" i="490" s="1"/>
  <c r="G1216" i="490" s="1"/>
  <c r="F1066" i="490"/>
  <c r="F1068" i="490" s="1"/>
  <c r="F1069" i="490" s="1"/>
  <c r="F1070" i="490" s="1"/>
  <c r="G1066" i="490"/>
  <c r="G1068" i="490" s="1"/>
  <c r="G1069" i="490" s="1"/>
  <c r="G1070" i="490" s="1"/>
  <c r="E1066" i="490"/>
  <c r="E1068" i="490" s="1"/>
  <c r="E1069" i="490" s="1"/>
  <c r="E1070" i="490" s="1"/>
  <c r="H1066" i="490"/>
  <c r="H1068" i="490" s="1"/>
  <c r="H1069" i="490" s="1"/>
  <c r="H1070" i="490" s="1"/>
  <c r="I1489" i="490"/>
  <c r="E1491" i="490" s="1"/>
  <c r="F1492" i="490"/>
  <c r="G1492" i="490"/>
  <c r="H1492" i="490"/>
  <c r="H1008" i="382"/>
  <c r="H1013" i="382" s="1"/>
  <c r="H1014" i="382" s="1"/>
  <c r="H1015" i="382" s="1"/>
  <c r="E1008" i="382"/>
  <c r="E1013" i="382" s="1"/>
  <c r="E1014" i="382" s="1"/>
  <c r="E1015" i="382" s="1"/>
  <c r="F1008" i="382"/>
  <c r="F1013" i="382" s="1"/>
  <c r="F1014" i="382" s="1"/>
  <c r="F1015" i="382" s="1"/>
  <c r="G1008" i="382"/>
  <c r="G1013" i="382" s="1"/>
  <c r="G1014" i="382" s="1"/>
  <c r="G1015" i="382" s="1"/>
  <c r="H692" i="490"/>
  <c r="H697" i="490" s="1"/>
  <c r="H698" i="490" s="1"/>
  <c r="H699" i="490" s="1"/>
  <c r="F692" i="490"/>
  <c r="F697" i="490" s="1"/>
  <c r="F698" i="490" s="1"/>
  <c r="F699" i="490" s="1"/>
  <c r="J692" i="490"/>
  <c r="J697" i="490" s="1"/>
  <c r="J698" i="490" s="1"/>
  <c r="J699" i="490" s="1"/>
  <c r="E692" i="490"/>
  <c r="E697" i="490" s="1"/>
  <c r="E698" i="490" s="1"/>
  <c r="E699" i="490" s="1"/>
  <c r="I692" i="490"/>
  <c r="I697" i="490" s="1"/>
  <c r="I698" i="490" s="1"/>
  <c r="I699" i="490" s="1"/>
  <c r="G692" i="490"/>
  <c r="G697" i="490" s="1"/>
  <c r="G698" i="490" s="1"/>
  <c r="G699" i="490" s="1"/>
  <c r="F874" i="382"/>
  <c r="F879" i="382" s="1"/>
  <c r="F880" i="382" s="1"/>
  <c r="F881" i="382" s="1"/>
  <c r="I56" i="381" s="1"/>
  <c r="G874" i="382"/>
  <c r="G879" i="382" s="1"/>
  <c r="G880" i="382" s="1"/>
  <c r="G881" i="382" s="1"/>
  <c r="J56" i="381" s="1"/>
  <c r="I874" i="382"/>
  <c r="I879" i="382" s="1"/>
  <c r="I880" i="382" s="1"/>
  <c r="I881" i="382" s="1"/>
  <c r="J874" i="382"/>
  <c r="J879" i="382" s="1"/>
  <c r="J880" i="382" s="1"/>
  <c r="J881" i="382" s="1"/>
  <c r="H874" i="382"/>
  <c r="H879" i="382" s="1"/>
  <c r="H880" i="382" s="1"/>
  <c r="H881" i="382" s="1"/>
  <c r="E874" i="382"/>
  <c r="E879" i="382" s="1"/>
  <c r="E880" i="382" s="1"/>
  <c r="E881" i="382" s="1"/>
  <c r="F1027" i="490"/>
  <c r="E1029" i="490"/>
  <c r="E1030" i="490" s="1"/>
  <c r="E1031" i="490" s="1"/>
  <c r="I280" i="382"/>
  <c r="D289" i="382" s="1"/>
  <c r="I289" i="382" s="1"/>
  <c r="I290" i="382" s="1"/>
  <c r="I8" i="444" s="1"/>
  <c r="J8" i="444" s="1"/>
  <c r="F317" i="382"/>
  <c r="I317" i="382" s="1"/>
  <c r="I326" i="382" s="1"/>
  <c r="J835" i="382"/>
  <c r="J840" i="382" s="1"/>
  <c r="J841" i="382" s="1"/>
  <c r="J842" i="382" s="1"/>
  <c r="E835" i="382"/>
  <c r="E840" i="382" s="1"/>
  <c r="E841" i="382" s="1"/>
  <c r="E842" i="382" s="1"/>
  <c r="I835" i="382"/>
  <c r="I840" i="382" s="1"/>
  <c r="I841" i="382" s="1"/>
  <c r="I842" i="382" s="1"/>
  <c r="G835" i="382"/>
  <c r="G840" i="382" s="1"/>
  <c r="G841" i="382" s="1"/>
  <c r="G842" i="382" s="1"/>
  <c r="F56" i="381" s="1"/>
  <c r="F835" i="382"/>
  <c r="F840" i="382" s="1"/>
  <c r="F841" i="382" s="1"/>
  <c r="F842" i="382" s="1"/>
  <c r="E56" i="381" s="1"/>
  <c r="H835" i="382"/>
  <c r="H840" i="382" s="1"/>
  <c r="H841" i="382" s="1"/>
  <c r="H842" i="382" s="1"/>
  <c r="I373" i="490"/>
  <c r="I378" i="490" s="1"/>
  <c r="I379" i="490" s="1"/>
  <c r="I380" i="490" s="1"/>
  <c r="F373" i="490"/>
  <c r="F378" i="490" s="1"/>
  <c r="F379" i="490" s="1"/>
  <c r="F380" i="490" s="1"/>
  <c r="G373" i="490"/>
  <c r="G378" i="490" s="1"/>
  <c r="G379" i="490" s="1"/>
  <c r="G380" i="490" s="1"/>
  <c r="E373" i="490"/>
  <c r="E378" i="490" s="1"/>
  <c r="E379" i="490" s="1"/>
  <c r="E380" i="490" s="1"/>
  <c r="H373" i="490"/>
  <c r="H378" i="490" s="1"/>
  <c r="H379" i="490" s="1"/>
  <c r="H380" i="490" s="1"/>
  <c r="I460" i="382"/>
  <c r="I465" i="382" s="1"/>
  <c r="I466" i="382" s="1"/>
  <c r="I468" i="382" s="1"/>
  <c r="G460" i="382"/>
  <c r="G465" i="382" s="1"/>
  <c r="G466" i="382" s="1"/>
  <c r="G468" i="382" s="1"/>
  <c r="F460" i="382"/>
  <c r="F465" i="382" s="1"/>
  <c r="F466" i="382" s="1"/>
  <c r="F468" i="382" s="1"/>
  <c r="H460" i="382"/>
  <c r="H465" i="382" s="1"/>
  <c r="H466" i="382" s="1"/>
  <c r="H468" i="382" s="1"/>
  <c r="E460" i="382"/>
  <c r="E465" i="382" s="1"/>
  <c r="E466" i="382" s="1"/>
  <c r="E468" i="382" s="1"/>
  <c r="J460" i="382"/>
  <c r="J465" i="382" s="1"/>
  <c r="J466" i="382" s="1"/>
  <c r="J468" i="382" s="1"/>
  <c r="I790" i="382"/>
  <c r="I795" i="382" s="1"/>
  <c r="I796" i="382" s="1"/>
  <c r="I797" i="382" s="1"/>
  <c r="E790" i="382"/>
  <c r="E795" i="382" s="1"/>
  <c r="E796" i="382" s="1"/>
  <c r="E797" i="382" s="1"/>
  <c r="J43" i="485" s="1"/>
  <c r="F790" i="382"/>
  <c r="F795" i="382" s="1"/>
  <c r="F796" i="382" s="1"/>
  <c r="F797" i="382" s="1"/>
  <c r="E57" i="381" s="1"/>
  <c r="J790" i="382"/>
  <c r="J795" i="382" s="1"/>
  <c r="J796" i="382" s="1"/>
  <c r="J797" i="382" s="1"/>
  <c r="H790" i="382"/>
  <c r="H795" i="382" s="1"/>
  <c r="H796" i="382" s="1"/>
  <c r="H797" i="382" s="1"/>
  <c r="G790" i="382"/>
  <c r="G795" i="382" s="1"/>
  <c r="G796" i="382" s="1"/>
  <c r="G797" i="382" s="1"/>
  <c r="F57" i="381" s="1"/>
  <c r="E306" i="490"/>
  <c r="E311" i="490" s="1"/>
  <c r="E312" i="490" s="1"/>
  <c r="E313" i="490" s="1"/>
  <c r="J306" i="490"/>
  <c r="J311" i="490" s="1"/>
  <c r="J312" i="490" s="1"/>
  <c r="J313" i="490" s="1"/>
  <c r="I306" i="490"/>
  <c r="I311" i="490" s="1"/>
  <c r="I312" i="490" s="1"/>
  <c r="I313" i="490" s="1"/>
  <c r="H306" i="490"/>
  <c r="H311" i="490" s="1"/>
  <c r="H312" i="490" s="1"/>
  <c r="H313" i="490" s="1"/>
  <c r="G306" i="490"/>
  <c r="G311" i="490" s="1"/>
  <c r="G312" i="490" s="1"/>
  <c r="G313" i="490" s="1"/>
  <c r="F306" i="490"/>
  <c r="F311" i="490" s="1"/>
  <c r="F312" i="490" s="1"/>
  <c r="F313" i="490" s="1"/>
  <c r="F1488" i="382"/>
  <c r="I1488" i="382" s="1"/>
  <c r="I1489" i="382" s="1"/>
  <c r="E1491" i="382" s="1"/>
  <c r="F1165" i="490"/>
  <c r="F1167" i="490" s="1"/>
  <c r="F1168" i="490" s="1"/>
  <c r="F1169" i="490" s="1"/>
  <c r="E1165" i="490"/>
  <c r="E1167" i="490" s="1"/>
  <c r="E1168" i="490" s="1"/>
  <c r="E1169" i="490" s="1"/>
  <c r="I1165" i="490"/>
  <c r="I1167" i="490" s="1"/>
  <c r="I1168" i="490" s="1"/>
  <c r="I1169" i="490" s="1"/>
  <c r="G1165" i="490"/>
  <c r="G1167" i="490" s="1"/>
  <c r="G1168" i="490" s="1"/>
  <c r="G1169" i="490" s="1"/>
  <c r="H1165" i="490"/>
  <c r="H1167" i="490" s="1"/>
  <c r="H1168" i="490" s="1"/>
  <c r="H1169" i="490" s="1"/>
  <c r="F1085" i="382"/>
  <c r="E1087" i="382"/>
  <c r="E1088" i="382" s="1"/>
  <c r="E1089" i="382" s="1"/>
  <c r="H1008" i="490"/>
  <c r="H1013" i="490" s="1"/>
  <c r="H1014" i="490" s="1"/>
  <c r="H1015" i="490" s="1"/>
  <c r="G1008" i="490"/>
  <c r="G1013" i="490" s="1"/>
  <c r="G1014" i="490" s="1"/>
  <c r="G1015" i="490" s="1"/>
  <c r="F1008" i="490"/>
  <c r="F1013" i="490" s="1"/>
  <c r="F1014" i="490" s="1"/>
  <c r="F1015" i="490" s="1"/>
  <c r="E1008" i="490"/>
  <c r="E1013" i="490" s="1"/>
  <c r="E1014" i="490" s="1"/>
  <c r="E1015" i="490" s="1"/>
  <c r="I155" i="382"/>
  <c r="I159" i="382" s="1"/>
  <c r="F163" i="382"/>
  <c r="L68" i="83"/>
  <c r="E67" i="83"/>
  <c r="F942" i="490"/>
  <c r="I942" i="490" s="1"/>
  <c r="I939" i="490"/>
  <c r="I962" i="382"/>
  <c r="F965" i="382"/>
  <c r="I965" i="382" s="1"/>
  <c r="N68" i="83"/>
  <c r="G67" i="83"/>
  <c r="E991" i="490"/>
  <c r="E996" i="490" s="1"/>
  <c r="E997" i="490" s="1"/>
  <c r="E998" i="490" s="1"/>
  <c r="F991" i="490"/>
  <c r="F996" i="490" s="1"/>
  <c r="F997" i="490" s="1"/>
  <c r="F998" i="490" s="1"/>
  <c r="J991" i="490"/>
  <c r="J996" i="490" s="1"/>
  <c r="J997" i="490" s="1"/>
  <c r="J998" i="490" s="1"/>
  <c r="H991" i="490"/>
  <c r="H996" i="490" s="1"/>
  <c r="H997" i="490" s="1"/>
  <c r="H998" i="490" s="1"/>
  <c r="I991" i="490"/>
  <c r="I996" i="490" s="1"/>
  <c r="I997" i="490" s="1"/>
  <c r="I998" i="490" s="1"/>
  <c r="K989" i="490"/>
  <c r="K990" i="490" s="1"/>
  <c r="G991" i="490"/>
  <c r="G996" i="490" s="1"/>
  <c r="G997" i="490" s="1"/>
  <c r="G998" i="490" s="1"/>
  <c r="F942" i="382"/>
  <c r="I942" i="382" s="1"/>
  <c r="I939" i="382"/>
  <c r="M68" i="83"/>
  <c r="F67" i="83"/>
  <c r="I155" i="490"/>
  <c r="I159" i="490" s="1"/>
  <c r="F163" i="490"/>
  <c r="H1165" i="382"/>
  <c r="H1167" i="382" s="1"/>
  <c r="H1168" i="382" s="1"/>
  <c r="H1169" i="382" s="1"/>
  <c r="G1165" i="382"/>
  <c r="G1167" i="382" s="1"/>
  <c r="G1168" i="382" s="1"/>
  <c r="G1169" i="382" s="1"/>
  <c r="E1165" i="382"/>
  <c r="E1167" i="382" s="1"/>
  <c r="E1168" i="382" s="1"/>
  <c r="E1169" i="382" s="1"/>
  <c r="I1165" i="382"/>
  <c r="I1167" i="382" s="1"/>
  <c r="I1168" i="382" s="1"/>
  <c r="I1169" i="382" s="1"/>
  <c r="F1165" i="382"/>
  <c r="F1167" i="382" s="1"/>
  <c r="F1168" i="382" s="1"/>
  <c r="F1169" i="382" s="1"/>
  <c r="G1145" i="382"/>
  <c r="G1147" i="382" s="1"/>
  <c r="G1148" i="382" s="1"/>
  <c r="G1149" i="382" s="1"/>
  <c r="H1145" i="382"/>
  <c r="H1147" i="382" s="1"/>
  <c r="H1148" i="382" s="1"/>
  <c r="H1149" i="382" s="1"/>
  <c r="F1145" i="382"/>
  <c r="F1147" i="382" s="1"/>
  <c r="F1148" i="382" s="1"/>
  <c r="F1149" i="382" s="1"/>
  <c r="I1145" i="382"/>
  <c r="I1147" i="382" s="1"/>
  <c r="I1148" i="382" s="1"/>
  <c r="I1149" i="382" s="1"/>
  <c r="E1145" i="382"/>
  <c r="E1147" i="382" s="1"/>
  <c r="E1148" i="382" s="1"/>
  <c r="E1149" i="382" s="1"/>
  <c r="I93" i="444" s="1"/>
  <c r="J93" i="444" s="1"/>
  <c r="F756" i="382"/>
  <c r="I756" i="382" s="1"/>
  <c r="F730" i="382"/>
  <c r="I730" i="382" s="1"/>
  <c r="F743" i="382"/>
  <c r="I743" i="382" s="1"/>
  <c r="F717" i="382"/>
  <c r="I717" i="382" s="1"/>
  <c r="G1248" i="382"/>
  <c r="G1250" i="382" s="1"/>
  <c r="G1251" i="382" s="1"/>
  <c r="G1252" i="382" s="1"/>
  <c r="I1248" i="382"/>
  <c r="I1250" i="382" s="1"/>
  <c r="I1251" i="382" s="1"/>
  <c r="I1252" i="382" s="1"/>
  <c r="E1248" i="382"/>
  <c r="E1250" i="382" s="1"/>
  <c r="E1251" i="382" s="1"/>
  <c r="E1252" i="382" s="1"/>
  <c r="I125" i="444" s="1"/>
  <c r="J125" i="444" s="1"/>
  <c r="H1248" i="382"/>
  <c r="H1250" i="382" s="1"/>
  <c r="H1251" i="382" s="1"/>
  <c r="H1252" i="382" s="1"/>
  <c r="F1248" i="382"/>
  <c r="F1250" i="382" s="1"/>
  <c r="F1251" i="382" s="1"/>
  <c r="F1252" i="382" s="1"/>
  <c r="I835" i="490"/>
  <c r="I840" i="490" s="1"/>
  <c r="I841" i="490" s="1"/>
  <c r="I842" i="490" s="1"/>
  <c r="E835" i="490"/>
  <c r="E840" i="490" s="1"/>
  <c r="E841" i="490" s="1"/>
  <c r="E842" i="490" s="1"/>
  <c r="G835" i="490"/>
  <c r="G840" i="490" s="1"/>
  <c r="G841" i="490" s="1"/>
  <c r="G842" i="490" s="1"/>
  <c r="J835" i="490"/>
  <c r="J840" i="490" s="1"/>
  <c r="J841" i="490" s="1"/>
  <c r="J842" i="490" s="1"/>
  <c r="H835" i="490"/>
  <c r="H840" i="490" s="1"/>
  <c r="H841" i="490" s="1"/>
  <c r="H842" i="490" s="1"/>
  <c r="F835" i="490"/>
  <c r="F840" i="490" s="1"/>
  <c r="F841" i="490" s="1"/>
  <c r="F842" i="490" s="1"/>
  <c r="F1085" i="490"/>
  <c r="E1087" i="490"/>
  <c r="E1088" i="490" s="1"/>
  <c r="E1089" i="490" s="1"/>
  <c r="J874" i="490"/>
  <c r="J879" i="490" s="1"/>
  <c r="J880" i="490" s="1"/>
  <c r="J881" i="490" s="1"/>
  <c r="G874" i="490"/>
  <c r="G879" i="490" s="1"/>
  <c r="G880" i="490" s="1"/>
  <c r="G881" i="490" s="1"/>
  <c r="F874" i="490"/>
  <c r="F879" i="490" s="1"/>
  <c r="F880" i="490" s="1"/>
  <c r="F881" i="490" s="1"/>
  <c r="E874" i="490"/>
  <c r="E879" i="490" s="1"/>
  <c r="E880" i="490" s="1"/>
  <c r="E881" i="490" s="1"/>
  <c r="H874" i="490"/>
  <c r="H879" i="490" s="1"/>
  <c r="H880" i="490" s="1"/>
  <c r="H881" i="490" s="1"/>
  <c r="I874" i="490"/>
  <c r="I879" i="490" s="1"/>
  <c r="I880" i="490" s="1"/>
  <c r="I881" i="490" s="1"/>
  <c r="I275" i="490"/>
  <c r="I276" i="490" s="1"/>
  <c r="F1174" i="490"/>
  <c r="I1174" i="490" s="1"/>
  <c r="I1178" i="490" s="1"/>
  <c r="F1179" i="490" s="1"/>
  <c r="I1179" i="490" s="1"/>
  <c r="I1180" i="490" s="1"/>
  <c r="F1394" i="490"/>
  <c r="I1394" i="490" s="1"/>
  <c r="I1399" i="490" s="1"/>
  <c r="I1400" i="490" s="1"/>
  <c r="I1401" i="490" s="1"/>
  <c r="I1402" i="490" s="1"/>
  <c r="G812" i="490"/>
  <c r="G817" i="490" s="1"/>
  <c r="G818" i="490" s="1"/>
  <c r="G819" i="490" s="1"/>
  <c r="H812" i="490"/>
  <c r="H817" i="490" s="1"/>
  <c r="H818" i="490" s="1"/>
  <c r="H819" i="490" s="1"/>
  <c r="E812" i="490"/>
  <c r="E817" i="490" s="1"/>
  <c r="E818" i="490" s="1"/>
  <c r="E819" i="490" s="1"/>
  <c r="F812" i="490"/>
  <c r="F817" i="490" s="1"/>
  <c r="F818" i="490" s="1"/>
  <c r="F819" i="490" s="1"/>
  <c r="I812" i="490"/>
  <c r="I817" i="490" s="1"/>
  <c r="I818" i="490" s="1"/>
  <c r="I819" i="490" s="1"/>
  <c r="J812" i="490"/>
  <c r="J817" i="490" s="1"/>
  <c r="J818" i="490" s="1"/>
  <c r="J819" i="490" s="1"/>
  <c r="G1212" i="382"/>
  <c r="G1214" i="382" s="1"/>
  <c r="G1215" i="382" s="1"/>
  <c r="G1216" i="382" s="1"/>
  <c r="I1212" i="382"/>
  <c r="I1214" i="382" s="1"/>
  <c r="I1215" i="382" s="1"/>
  <c r="I1216" i="382" s="1"/>
  <c r="E1212" i="382"/>
  <c r="E1214" i="382" s="1"/>
  <c r="E1215" i="382" s="1"/>
  <c r="E1216" i="382" s="1"/>
  <c r="I99" i="444" s="1"/>
  <c r="J99" i="444" s="1"/>
  <c r="H1212" i="382"/>
  <c r="H1214" i="382" s="1"/>
  <c r="H1215" i="382" s="1"/>
  <c r="H1216" i="382" s="1"/>
  <c r="F1212" i="382"/>
  <c r="F1214" i="382" s="1"/>
  <c r="F1215" i="382" s="1"/>
  <c r="F1216" i="382" s="1"/>
  <c r="P68" i="83"/>
  <c r="I67" i="83"/>
  <c r="F965" i="490"/>
  <c r="I965" i="490" s="1"/>
  <c r="I962" i="490"/>
  <c r="I923" i="382"/>
  <c r="D924" i="382" s="1"/>
  <c r="I924" i="382" s="1"/>
  <c r="I925" i="382" s="1"/>
  <c r="K68" i="83"/>
  <c r="D67" i="83"/>
  <c r="G350" i="490"/>
  <c r="G355" i="490" s="1"/>
  <c r="G356" i="490" s="1"/>
  <c r="G357" i="490" s="1"/>
  <c r="F350" i="490"/>
  <c r="F355" i="490" s="1"/>
  <c r="F356" i="490" s="1"/>
  <c r="F357" i="490" s="1"/>
  <c r="E350" i="490"/>
  <c r="E355" i="490" s="1"/>
  <c r="E356" i="490" s="1"/>
  <c r="E357" i="490" s="1"/>
  <c r="H350" i="490"/>
  <c r="J350" i="490"/>
  <c r="J351" i="490" s="1"/>
  <c r="H790" i="490"/>
  <c r="H795" i="490" s="1"/>
  <c r="H796" i="490" s="1"/>
  <c r="H797" i="490" s="1"/>
  <c r="E790" i="490"/>
  <c r="E795" i="490" s="1"/>
  <c r="E796" i="490" s="1"/>
  <c r="E797" i="490" s="1"/>
  <c r="I790" i="490"/>
  <c r="I795" i="490" s="1"/>
  <c r="I796" i="490" s="1"/>
  <c r="I797" i="490" s="1"/>
  <c r="F790" i="490"/>
  <c r="F795" i="490" s="1"/>
  <c r="F796" i="490" s="1"/>
  <c r="F797" i="490" s="1"/>
  <c r="J790" i="490"/>
  <c r="J795" i="490" s="1"/>
  <c r="J796" i="490" s="1"/>
  <c r="J797" i="490" s="1"/>
  <c r="G790" i="490"/>
  <c r="G795" i="490" s="1"/>
  <c r="G796" i="490" s="1"/>
  <c r="G797" i="490" s="1"/>
  <c r="F488" i="382"/>
  <c r="F493" i="382" s="1"/>
  <c r="F494" i="382" s="1"/>
  <c r="F495" i="382" s="1"/>
  <c r="J488" i="382"/>
  <c r="J493" i="382" s="1"/>
  <c r="J494" i="382" s="1"/>
  <c r="J495" i="382" s="1"/>
  <c r="F625" i="382"/>
  <c r="I625" i="382" s="1"/>
  <c r="F638" i="382"/>
  <c r="I638" i="382" s="1"/>
  <c r="F511" i="382"/>
  <c r="I511" i="382" s="1"/>
  <c r="F498" i="382"/>
  <c r="I498" i="382" s="1"/>
  <c r="I488" i="382"/>
  <c r="I493" i="382" s="1"/>
  <c r="I494" i="382" s="1"/>
  <c r="I495" i="382" s="1"/>
  <c r="F523" i="382"/>
  <c r="I523" i="382" s="1"/>
  <c r="F586" i="382"/>
  <c r="I586" i="382" s="1"/>
  <c r="F612" i="382"/>
  <c r="I612" i="382" s="1"/>
  <c r="F536" i="382"/>
  <c r="I536" i="382" s="1"/>
  <c r="F549" i="382"/>
  <c r="I549" i="382" s="1"/>
  <c r="H488" i="382"/>
  <c r="H493" i="382" s="1"/>
  <c r="H494" i="382" s="1"/>
  <c r="H495" i="382" s="1"/>
  <c r="F651" i="382"/>
  <c r="I651" i="382" s="1"/>
  <c r="G488" i="382"/>
  <c r="G493" i="382" s="1"/>
  <c r="G494" i="382" s="1"/>
  <c r="G495" i="382" s="1"/>
  <c r="F599" i="382"/>
  <c r="I599" i="382" s="1"/>
  <c r="E488" i="382"/>
  <c r="E493" i="382" s="1"/>
  <c r="E494" i="382" s="1"/>
  <c r="E495" i="382" s="1"/>
  <c r="I30" i="444" s="1"/>
  <c r="J30" i="444" s="1"/>
  <c r="F664" i="382"/>
  <c r="I664" i="382" s="1"/>
  <c r="F562" i="382"/>
  <c r="I562" i="382" s="1"/>
  <c r="F573" i="382"/>
  <c r="I573" i="382" s="1"/>
  <c r="I1048" i="490"/>
  <c r="I1050" i="490" s="1"/>
  <c r="I1051" i="490" s="1"/>
  <c r="I1052" i="490" s="1"/>
  <c r="E1048" i="490"/>
  <c r="E1050" i="490" s="1"/>
  <c r="E1051" i="490" s="1"/>
  <c r="E1052" i="490" s="1"/>
  <c r="F1048" i="490"/>
  <c r="F1050" i="490" s="1"/>
  <c r="F1051" i="490" s="1"/>
  <c r="F1052" i="490" s="1"/>
  <c r="H1048" i="490"/>
  <c r="H1050" i="490" s="1"/>
  <c r="H1051" i="490" s="1"/>
  <c r="H1052" i="490" s="1"/>
  <c r="G1048" i="490"/>
  <c r="G1050" i="490" s="1"/>
  <c r="G1051" i="490" s="1"/>
  <c r="G1052" i="490" s="1"/>
  <c r="F812" i="382"/>
  <c r="F817" i="382" s="1"/>
  <c r="F818" i="382" s="1"/>
  <c r="F819" i="382" s="1"/>
  <c r="I57" i="381" s="1"/>
  <c r="I812" i="382"/>
  <c r="I817" i="382" s="1"/>
  <c r="I818" i="382" s="1"/>
  <c r="I819" i="382" s="1"/>
  <c r="J812" i="382"/>
  <c r="J817" i="382" s="1"/>
  <c r="J818" i="382" s="1"/>
  <c r="J819" i="382" s="1"/>
  <c r="E812" i="382"/>
  <c r="E817" i="382" s="1"/>
  <c r="E818" i="382" s="1"/>
  <c r="E819" i="382" s="1"/>
  <c r="J47" i="485" s="1"/>
  <c r="G812" i="382"/>
  <c r="G817" i="382" s="1"/>
  <c r="G818" i="382" s="1"/>
  <c r="G819" i="382" s="1"/>
  <c r="J57" i="381" s="1"/>
  <c r="H812" i="382"/>
  <c r="H817" i="382" s="1"/>
  <c r="H818" i="382" s="1"/>
  <c r="H819" i="382" s="1"/>
  <c r="F549" i="490"/>
  <c r="I549" i="490" s="1"/>
  <c r="F586" i="490"/>
  <c r="I586" i="490" s="1"/>
  <c r="F625" i="490"/>
  <c r="I625" i="490" s="1"/>
  <c r="F536" i="490"/>
  <c r="I536" i="490" s="1"/>
  <c r="F664" i="490"/>
  <c r="I664" i="490" s="1"/>
  <c r="F612" i="490"/>
  <c r="I612" i="490" s="1"/>
  <c r="I488" i="490"/>
  <c r="I493" i="490" s="1"/>
  <c r="I494" i="490" s="1"/>
  <c r="I495" i="490" s="1"/>
  <c r="F573" i="490"/>
  <c r="I573" i="490" s="1"/>
  <c r="F511" i="490"/>
  <c r="I511" i="490" s="1"/>
  <c r="F651" i="490"/>
  <c r="I651" i="490" s="1"/>
  <c r="F523" i="490"/>
  <c r="I523" i="490" s="1"/>
  <c r="G488" i="490"/>
  <c r="G493" i="490" s="1"/>
  <c r="G494" i="490" s="1"/>
  <c r="G495" i="490" s="1"/>
  <c r="E488" i="490"/>
  <c r="E493" i="490" s="1"/>
  <c r="E494" i="490" s="1"/>
  <c r="E495" i="490" s="1"/>
  <c r="F488" i="490"/>
  <c r="F493" i="490" s="1"/>
  <c r="F494" i="490" s="1"/>
  <c r="F495" i="490" s="1"/>
  <c r="F599" i="490"/>
  <c r="I599" i="490" s="1"/>
  <c r="H488" i="490"/>
  <c r="H493" i="490" s="1"/>
  <c r="H494" i="490" s="1"/>
  <c r="H495" i="490" s="1"/>
  <c r="F498" i="490"/>
  <c r="I498" i="490" s="1"/>
  <c r="J488" i="490"/>
  <c r="J493" i="490" s="1"/>
  <c r="J494" i="490" s="1"/>
  <c r="J495" i="490" s="1"/>
  <c r="F638" i="490"/>
  <c r="I638" i="490" s="1"/>
  <c r="F562" i="490"/>
  <c r="I562" i="490" s="1"/>
  <c r="E1066" i="382" l="1"/>
  <c r="E1068" i="382" s="1"/>
  <c r="E1069" i="382" s="1"/>
  <c r="E1070" i="382" s="1"/>
  <c r="H1066" i="382"/>
  <c r="H1068" i="382" s="1"/>
  <c r="H1069" i="382" s="1"/>
  <c r="H1070" i="382" s="1"/>
  <c r="F1066" i="382"/>
  <c r="F1068" i="382" s="1"/>
  <c r="F1069" i="382" s="1"/>
  <c r="F1070" i="382" s="1"/>
  <c r="G1066" i="382"/>
  <c r="G1068" i="382" s="1"/>
  <c r="G1069" i="382" s="1"/>
  <c r="G1070" i="382" s="1"/>
  <c r="J108" i="485"/>
  <c r="K108" i="485" s="1"/>
  <c r="F927" i="490"/>
  <c r="F932" i="490" s="1"/>
  <c r="F933" i="490" s="1"/>
  <c r="F934" i="490" s="1"/>
  <c r="J58" i="485"/>
  <c r="K58" i="485" s="1"/>
  <c r="G927" i="490"/>
  <c r="G932" i="490" s="1"/>
  <c r="G933" i="490" s="1"/>
  <c r="G934" i="490" s="1"/>
  <c r="E927" i="490"/>
  <c r="E932" i="490" s="1"/>
  <c r="E933" i="490" s="1"/>
  <c r="E934" i="490" s="1"/>
  <c r="I970" i="490"/>
  <c r="D971" i="490" s="1"/>
  <c r="I971" i="490" s="1"/>
  <c r="I972" i="490" s="1"/>
  <c r="I974" i="490" s="1"/>
  <c r="I979" i="490" s="1"/>
  <c r="I980" i="490" s="1"/>
  <c r="I981" i="490" s="1"/>
  <c r="I947" i="382"/>
  <c r="D948" i="382" s="1"/>
  <c r="I948" i="382" s="1"/>
  <c r="I949" i="382" s="1"/>
  <c r="E951" i="382" s="1"/>
  <c r="E956" i="382" s="1"/>
  <c r="E957" i="382" s="1"/>
  <c r="E958" i="382" s="1"/>
  <c r="J75" i="485" s="1"/>
  <c r="E974" i="490"/>
  <c r="E979" i="490" s="1"/>
  <c r="E980" i="490" s="1"/>
  <c r="E981" i="490" s="1"/>
  <c r="J974" i="490"/>
  <c r="J979" i="490" s="1"/>
  <c r="J980" i="490" s="1"/>
  <c r="J981" i="490" s="1"/>
  <c r="H974" i="490"/>
  <c r="H979" i="490" s="1"/>
  <c r="H980" i="490" s="1"/>
  <c r="H981" i="490" s="1"/>
  <c r="F759" i="382"/>
  <c r="F764" i="382" s="1"/>
  <c r="F765" i="382" s="1"/>
  <c r="F766" i="382" s="1"/>
  <c r="E759" i="382"/>
  <c r="E764" i="382" s="1"/>
  <c r="E765" i="382" s="1"/>
  <c r="E766" i="382" s="1"/>
  <c r="I45" i="444" s="1"/>
  <c r="J45" i="444" s="1"/>
  <c r="I759" i="382"/>
  <c r="I764" i="382" s="1"/>
  <c r="I765" i="382" s="1"/>
  <c r="I766" i="382" s="1"/>
  <c r="H759" i="382"/>
  <c r="H764" i="382" s="1"/>
  <c r="H765" i="382" s="1"/>
  <c r="H766" i="382" s="1"/>
  <c r="G759" i="382"/>
  <c r="G764" i="382" s="1"/>
  <c r="G765" i="382" s="1"/>
  <c r="G766" i="382" s="1"/>
  <c r="E759" i="490"/>
  <c r="E764" i="490" s="1"/>
  <c r="E765" i="490" s="1"/>
  <c r="E766" i="490" s="1"/>
  <c r="F759" i="490"/>
  <c r="F764" i="490" s="1"/>
  <c r="F765" i="490" s="1"/>
  <c r="F766" i="490" s="1"/>
  <c r="H759" i="490"/>
  <c r="H764" i="490" s="1"/>
  <c r="H765" i="490" s="1"/>
  <c r="H766" i="490" s="1"/>
  <c r="G759" i="490"/>
  <c r="G764" i="490" s="1"/>
  <c r="G765" i="490" s="1"/>
  <c r="G766" i="490" s="1"/>
  <c r="I759" i="490"/>
  <c r="I764" i="490" s="1"/>
  <c r="I765" i="490" s="1"/>
  <c r="I766" i="490" s="1"/>
  <c r="H654" i="490"/>
  <c r="H659" i="490" s="1"/>
  <c r="H660" i="490" s="1"/>
  <c r="H661" i="490" s="1"/>
  <c r="G654" i="490"/>
  <c r="G659" i="490" s="1"/>
  <c r="G660" i="490" s="1"/>
  <c r="G661" i="490" s="1"/>
  <c r="F654" i="490"/>
  <c r="F659" i="490" s="1"/>
  <c r="F660" i="490" s="1"/>
  <c r="F661" i="490" s="1"/>
  <c r="E654" i="490"/>
  <c r="E659" i="490" s="1"/>
  <c r="E660" i="490" s="1"/>
  <c r="E661" i="490" s="1"/>
  <c r="H589" i="490"/>
  <c r="H594" i="490" s="1"/>
  <c r="H595" i="490" s="1"/>
  <c r="H596" i="490" s="1"/>
  <c r="G589" i="490"/>
  <c r="G594" i="490" s="1"/>
  <c r="G595" i="490" s="1"/>
  <c r="G596" i="490" s="1"/>
  <c r="E589" i="490"/>
  <c r="E594" i="490" s="1"/>
  <c r="E595" i="490" s="1"/>
  <c r="E596" i="490" s="1"/>
  <c r="F589" i="490"/>
  <c r="F594" i="490" s="1"/>
  <c r="F595" i="490" s="1"/>
  <c r="F596" i="490" s="1"/>
  <c r="E589" i="382"/>
  <c r="E594" i="382" s="1"/>
  <c r="E595" i="382" s="1"/>
  <c r="E596" i="382" s="1"/>
  <c r="H589" i="382"/>
  <c r="H594" i="382" s="1"/>
  <c r="H595" i="382" s="1"/>
  <c r="H596" i="382" s="1"/>
  <c r="F589" i="382"/>
  <c r="F594" i="382" s="1"/>
  <c r="F595" i="382" s="1"/>
  <c r="F596" i="382" s="1"/>
  <c r="G589" i="382"/>
  <c r="G594" i="382" s="1"/>
  <c r="G595" i="382" s="1"/>
  <c r="G596" i="382" s="1"/>
  <c r="H355" i="490"/>
  <c r="H356" i="490" s="1"/>
  <c r="H357" i="490" s="1"/>
  <c r="I350" i="490"/>
  <c r="I355" i="490" s="1"/>
  <c r="I356" i="490" s="1"/>
  <c r="I357" i="490" s="1"/>
  <c r="G1085" i="490"/>
  <c r="F1087" i="490"/>
  <c r="F1088" i="490" s="1"/>
  <c r="F1089" i="490" s="1"/>
  <c r="N69" i="83"/>
  <c r="G68" i="83"/>
  <c r="K43" i="485"/>
  <c r="D57" i="381"/>
  <c r="F1106" i="382"/>
  <c r="F1107" i="382" s="1"/>
  <c r="F1108" i="382" s="1"/>
  <c r="G1104" i="382"/>
  <c r="G720" i="490"/>
  <c r="G725" i="490" s="1"/>
  <c r="G726" i="490" s="1"/>
  <c r="G727" i="490" s="1"/>
  <c r="H720" i="490"/>
  <c r="F720" i="490"/>
  <c r="F725" i="490" s="1"/>
  <c r="F726" i="490" s="1"/>
  <c r="F727" i="490" s="1"/>
  <c r="E720" i="490"/>
  <c r="E725" i="490" s="1"/>
  <c r="E726" i="490" s="1"/>
  <c r="E727" i="490" s="1"/>
  <c r="G564" i="490"/>
  <c r="G569" i="490" s="1"/>
  <c r="G570" i="490" s="1"/>
  <c r="G571" i="490" s="1"/>
  <c r="F564" i="490"/>
  <c r="F569" i="490" s="1"/>
  <c r="F570" i="490" s="1"/>
  <c r="F571" i="490" s="1"/>
  <c r="E564" i="490"/>
  <c r="E569" i="490" s="1"/>
  <c r="E570" i="490" s="1"/>
  <c r="E571" i="490" s="1"/>
  <c r="H564" i="490"/>
  <c r="G539" i="382"/>
  <c r="G544" i="382" s="1"/>
  <c r="G545" i="382" s="1"/>
  <c r="G546" i="382" s="1"/>
  <c r="E539" i="382"/>
  <c r="E544" i="382" s="1"/>
  <c r="E545" i="382" s="1"/>
  <c r="E546" i="382" s="1"/>
  <c r="F539" i="382"/>
  <c r="F544" i="382" s="1"/>
  <c r="F545" i="382" s="1"/>
  <c r="F546" i="382" s="1"/>
  <c r="H539" i="382"/>
  <c r="H544" i="382" s="1"/>
  <c r="H545" i="382" s="1"/>
  <c r="H546" i="382" s="1"/>
  <c r="G951" i="382"/>
  <c r="G956" i="382" s="1"/>
  <c r="G957" i="382" s="1"/>
  <c r="G958" i="382" s="1"/>
  <c r="Q56" i="381" s="1"/>
  <c r="F1087" i="382"/>
  <c r="F1088" i="382" s="1"/>
  <c r="F1089" i="382" s="1"/>
  <c r="G1085" i="382"/>
  <c r="I17" i="444"/>
  <c r="J17" i="444" s="1"/>
  <c r="J25" i="441"/>
  <c r="K25" i="441" s="1"/>
  <c r="G641" i="490"/>
  <c r="G646" i="490" s="1"/>
  <c r="G647" i="490" s="1"/>
  <c r="G648" i="490" s="1"/>
  <c r="H641" i="490"/>
  <c r="H646" i="490" s="1"/>
  <c r="H647" i="490" s="1"/>
  <c r="H648" i="490" s="1"/>
  <c r="E641" i="490"/>
  <c r="E646" i="490" s="1"/>
  <c r="E647" i="490" s="1"/>
  <c r="E648" i="490" s="1"/>
  <c r="F641" i="490"/>
  <c r="F646" i="490" s="1"/>
  <c r="F647" i="490" s="1"/>
  <c r="F648" i="490" s="1"/>
  <c r="E667" i="382"/>
  <c r="E672" i="382" s="1"/>
  <c r="E673" i="382" s="1"/>
  <c r="E674" i="382" s="1"/>
  <c r="G667" i="382"/>
  <c r="G672" i="382" s="1"/>
  <c r="G673" i="382" s="1"/>
  <c r="G674" i="382" s="1"/>
  <c r="H667" i="382"/>
  <c r="H672" i="382" s="1"/>
  <c r="H673" i="382" s="1"/>
  <c r="H674" i="382" s="1"/>
  <c r="F667" i="382"/>
  <c r="F672" i="382" s="1"/>
  <c r="F673" i="382" s="1"/>
  <c r="F674" i="382" s="1"/>
  <c r="F171" i="382"/>
  <c r="I163" i="382"/>
  <c r="I167" i="382" s="1"/>
  <c r="H501" i="490"/>
  <c r="H506" i="490" s="1"/>
  <c r="H507" i="490" s="1"/>
  <c r="H508" i="490" s="1"/>
  <c r="E501" i="490"/>
  <c r="E506" i="490" s="1"/>
  <c r="E507" i="490" s="1"/>
  <c r="E508" i="490" s="1"/>
  <c r="G501" i="490"/>
  <c r="G506" i="490" s="1"/>
  <c r="G507" i="490" s="1"/>
  <c r="G508" i="490" s="1"/>
  <c r="F501" i="490"/>
  <c r="F506" i="490" s="1"/>
  <c r="F507" i="490" s="1"/>
  <c r="F508" i="490" s="1"/>
  <c r="G514" i="490"/>
  <c r="G519" i="490" s="1"/>
  <c r="G520" i="490" s="1"/>
  <c r="G521" i="490" s="1"/>
  <c r="F514" i="490"/>
  <c r="F519" i="490" s="1"/>
  <c r="F520" i="490" s="1"/>
  <c r="F521" i="490" s="1"/>
  <c r="E514" i="490"/>
  <c r="E519" i="490" s="1"/>
  <c r="E520" i="490" s="1"/>
  <c r="E521" i="490" s="1"/>
  <c r="H514" i="490"/>
  <c r="E552" i="490"/>
  <c r="E557" i="490" s="1"/>
  <c r="E558" i="490" s="1"/>
  <c r="E559" i="490" s="1"/>
  <c r="H552" i="490"/>
  <c r="H557" i="490" s="1"/>
  <c r="H558" i="490" s="1"/>
  <c r="H559" i="490" s="1"/>
  <c r="F552" i="490"/>
  <c r="F557" i="490" s="1"/>
  <c r="F558" i="490" s="1"/>
  <c r="F559" i="490" s="1"/>
  <c r="G552" i="490"/>
  <c r="G557" i="490" s="1"/>
  <c r="G558" i="490" s="1"/>
  <c r="G559" i="490" s="1"/>
  <c r="J602" i="382"/>
  <c r="J607" i="382" s="1"/>
  <c r="J608" i="382" s="1"/>
  <c r="J609" i="382" s="1"/>
  <c r="G602" i="382"/>
  <c r="G607" i="382" s="1"/>
  <c r="G608" i="382" s="1"/>
  <c r="G609" i="382" s="1"/>
  <c r="I602" i="382"/>
  <c r="I607" i="382" s="1"/>
  <c r="I608" i="382" s="1"/>
  <c r="I609" i="382" s="1"/>
  <c r="H602" i="382"/>
  <c r="H607" i="382" s="1"/>
  <c r="H608" i="382" s="1"/>
  <c r="H609" i="382" s="1"/>
  <c r="F602" i="382"/>
  <c r="F607" i="382" s="1"/>
  <c r="F608" i="382" s="1"/>
  <c r="F609" i="382" s="1"/>
  <c r="E602" i="382"/>
  <c r="E607" i="382" s="1"/>
  <c r="E608" i="382" s="1"/>
  <c r="E609" i="382" s="1"/>
  <c r="F526" i="382"/>
  <c r="F531" i="382" s="1"/>
  <c r="F532" i="382" s="1"/>
  <c r="F533" i="382" s="1"/>
  <c r="H526" i="382"/>
  <c r="H531" i="382" s="1"/>
  <c r="H532" i="382" s="1"/>
  <c r="H533" i="382" s="1"/>
  <c r="E526" i="382"/>
  <c r="E531" i="382" s="1"/>
  <c r="E532" i="382" s="1"/>
  <c r="E533" i="382" s="1"/>
  <c r="G526" i="382"/>
  <c r="G531" i="382" s="1"/>
  <c r="G532" i="382" s="1"/>
  <c r="G533" i="382" s="1"/>
  <c r="I48" i="444"/>
  <c r="J48" i="444" s="1"/>
  <c r="J59" i="441"/>
  <c r="K59" i="441" s="1"/>
  <c r="D56" i="381"/>
  <c r="F1423" i="382"/>
  <c r="F1426" i="382" s="1"/>
  <c r="F1427" i="382" s="1"/>
  <c r="F1428" i="382" s="1"/>
  <c r="F1429" i="382" s="1"/>
  <c r="F1430" i="382" s="1"/>
  <c r="E1423" i="382"/>
  <c r="E1426" i="382" s="1"/>
  <c r="E1427" i="382" s="1"/>
  <c r="E1428" i="382" s="1"/>
  <c r="E1429" i="382" s="1"/>
  <c r="E1430" i="382" s="1"/>
  <c r="I83" i="444" s="1"/>
  <c r="J83" i="444" s="1"/>
  <c r="I1423" i="382"/>
  <c r="I1426" i="382" s="1"/>
  <c r="I1427" i="382" s="1"/>
  <c r="I1428" i="382" s="1"/>
  <c r="I1429" i="382" s="1"/>
  <c r="I1430" i="382" s="1"/>
  <c r="H1423" i="382"/>
  <c r="H1426" i="382" s="1"/>
  <c r="H1427" i="382" s="1"/>
  <c r="H1428" i="382" s="1"/>
  <c r="H1429" i="382" s="1"/>
  <c r="H1430" i="382" s="1"/>
  <c r="G1423" i="382"/>
  <c r="G1426" i="382" s="1"/>
  <c r="G1427" i="382" s="1"/>
  <c r="G1428" i="382" s="1"/>
  <c r="G1429" i="382" s="1"/>
  <c r="G1430" i="382" s="1"/>
  <c r="F1126" i="490"/>
  <c r="F1127" i="490" s="1"/>
  <c r="F1128" i="490" s="1"/>
  <c r="G1124" i="490"/>
  <c r="O69" i="83"/>
  <c r="H68" i="83"/>
  <c r="E733" i="490"/>
  <c r="E738" i="490" s="1"/>
  <c r="E739" i="490" s="1"/>
  <c r="E740" i="490" s="1"/>
  <c r="G733" i="490"/>
  <c r="G738" i="490" s="1"/>
  <c r="G739" i="490" s="1"/>
  <c r="G740" i="490" s="1"/>
  <c r="H733" i="490"/>
  <c r="H738" i="490" s="1"/>
  <c r="H739" i="490" s="1"/>
  <c r="H740" i="490" s="1"/>
  <c r="F733" i="490"/>
  <c r="F738" i="490" s="1"/>
  <c r="F739" i="490" s="1"/>
  <c r="F740" i="490" s="1"/>
  <c r="F1126" i="382"/>
  <c r="F1127" i="382" s="1"/>
  <c r="F1128" i="382" s="1"/>
  <c r="G1124" i="382"/>
  <c r="G628" i="490"/>
  <c r="G633" i="490" s="1"/>
  <c r="G634" i="490" s="1"/>
  <c r="G635" i="490" s="1"/>
  <c r="F628" i="490"/>
  <c r="F633" i="490" s="1"/>
  <c r="F634" i="490" s="1"/>
  <c r="F635" i="490" s="1"/>
  <c r="E628" i="490"/>
  <c r="E633" i="490" s="1"/>
  <c r="E634" i="490" s="1"/>
  <c r="E635" i="490" s="1"/>
  <c r="H628" i="490"/>
  <c r="G576" i="490"/>
  <c r="G581" i="490" s="1"/>
  <c r="G582" i="490" s="1"/>
  <c r="G583" i="490" s="1"/>
  <c r="H576" i="490"/>
  <c r="H581" i="490" s="1"/>
  <c r="H582" i="490" s="1"/>
  <c r="H583" i="490" s="1"/>
  <c r="E576" i="490"/>
  <c r="E581" i="490" s="1"/>
  <c r="E582" i="490" s="1"/>
  <c r="E583" i="490" s="1"/>
  <c r="F576" i="490"/>
  <c r="F581" i="490" s="1"/>
  <c r="F582" i="490" s="1"/>
  <c r="F583" i="490" s="1"/>
  <c r="P69" i="83"/>
  <c r="I68" i="83"/>
  <c r="I163" i="490"/>
  <c r="I167" i="490" s="1"/>
  <c r="F171" i="490"/>
  <c r="I970" i="382"/>
  <c r="D971" i="382" s="1"/>
  <c r="I971" i="382" s="1"/>
  <c r="I972" i="382" s="1"/>
  <c r="E1493" i="490"/>
  <c r="E1494" i="490" s="1"/>
  <c r="E1495" i="490" s="1"/>
  <c r="F1491" i="490"/>
  <c r="F1463" i="382"/>
  <c r="I1463" i="382" s="1"/>
  <c r="F1469" i="382" s="1"/>
  <c r="I1469" i="382" s="1"/>
  <c r="I1470" i="382" s="1"/>
  <c r="I1436" i="382"/>
  <c r="F1446" i="382" s="1"/>
  <c r="I1446" i="382" s="1"/>
  <c r="I1447" i="382" s="1"/>
  <c r="G328" i="490"/>
  <c r="G333" i="490" s="1"/>
  <c r="G334" i="490" s="1"/>
  <c r="G335" i="490" s="1"/>
  <c r="F328" i="490"/>
  <c r="F333" i="490" s="1"/>
  <c r="F334" i="490" s="1"/>
  <c r="F335" i="490" s="1"/>
  <c r="E328" i="490"/>
  <c r="E333" i="490" s="1"/>
  <c r="E334" i="490" s="1"/>
  <c r="E335" i="490" s="1"/>
  <c r="H328" i="490"/>
  <c r="E746" i="490"/>
  <c r="E751" i="490" s="1"/>
  <c r="E752" i="490" s="1"/>
  <c r="E753" i="490" s="1"/>
  <c r="F746" i="490"/>
  <c r="F751" i="490" s="1"/>
  <c r="F752" i="490" s="1"/>
  <c r="F753" i="490" s="1"/>
  <c r="G746" i="490"/>
  <c r="G751" i="490" s="1"/>
  <c r="G752" i="490" s="1"/>
  <c r="G753" i="490" s="1"/>
  <c r="H746" i="490"/>
  <c r="H751" i="490" s="1"/>
  <c r="H752" i="490" s="1"/>
  <c r="H753" i="490" s="1"/>
  <c r="H539" i="490"/>
  <c r="H544" i="490" s="1"/>
  <c r="H545" i="490" s="1"/>
  <c r="H546" i="490" s="1"/>
  <c r="G539" i="490"/>
  <c r="G544" i="490" s="1"/>
  <c r="G545" i="490" s="1"/>
  <c r="G546" i="490" s="1"/>
  <c r="E539" i="490"/>
  <c r="E544" i="490" s="1"/>
  <c r="E545" i="490" s="1"/>
  <c r="E546" i="490" s="1"/>
  <c r="F539" i="490"/>
  <c r="F544" i="490" s="1"/>
  <c r="F545" i="490" s="1"/>
  <c r="F546" i="490" s="1"/>
  <c r="I350" i="382"/>
  <c r="I355" i="382" s="1"/>
  <c r="I356" i="382" s="1"/>
  <c r="I357" i="382" s="1"/>
  <c r="H355" i="382"/>
  <c r="H356" i="382" s="1"/>
  <c r="H357" i="382" s="1"/>
  <c r="I602" i="490"/>
  <c r="I607" i="490" s="1"/>
  <c r="I608" i="490" s="1"/>
  <c r="I609" i="490" s="1"/>
  <c r="E602" i="490"/>
  <c r="E607" i="490" s="1"/>
  <c r="E608" i="490" s="1"/>
  <c r="E609" i="490" s="1"/>
  <c r="G602" i="490"/>
  <c r="G607" i="490" s="1"/>
  <c r="G608" i="490" s="1"/>
  <c r="G609" i="490" s="1"/>
  <c r="F602" i="490"/>
  <c r="F607" i="490" s="1"/>
  <c r="F608" i="490" s="1"/>
  <c r="F609" i="490" s="1"/>
  <c r="J602" i="490"/>
  <c r="J607" i="490" s="1"/>
  <c r="J608" i="490" s="1"/>
  <c r="J609" i="490" s="1"/>
  <c r="H602" i="490"/>
  <c r="H607" i="490" s="1"/>
  <c r="H608" i="490" s="1"/>
  <c r="H609" i="490" s="1"/>
  <c r="E654" i="382"/>
  <c r="E659" i="382" s="1"/>
  <c r="E660" i="382" s="1"/>
  <c r="E661" i="382" s="1"/>
  <c r="F654" i="382"/>
  <c r="F659" i="382" s="1"/>
  <c r="F660" i="382" s="1"/>
  <c r="F661" i="382" s="1"/>
  <c r="G654" i="382"/>
  <c r="G659" i="382" s="1"/>
  <c r="G660" i="382" s="1"/>
  <c r="G661" i="382" s="1"/>
  <c r="H654" i="382"/>
  <c r="H659" i="382" s="1"/>
  <c r="H660" i="382" s="1"/>
  <c r="H661" i="382" s="1"/>
  <c r="G501" i="382"/>
  <c r="G506" i="382" s="1"/>
  <c r="G507" i="382" s="1"/>
  <c r="G508" i="382" s="1"/>
  <c r="H501" i="382"/>
  <c r="H506" i="382" s="1"/>
  <c r="H507" i="382" s="1"/>
  <c r="H508" i="382" s="1"/>
  <c r="F501" i="382"/>
  <c r="F506" i="382" s="1"/>
  <c r="F507" i="382" s="1"/>
  <c r="F508" i="382" s="1"/>
  <c r="E501" i="382"/>
  <c r="E506" i="382" s="1"/>
  <c r="E507" i="382" s="1"/>
  <c r="E508" i="382" s="1"/>
  <c r="I947" i="490"/>
  <c r="D948" i="490" s="1"/>
  <c r="I948" i="490" s="1"/>
  <c r="I949" i="490" s="1"/>
  <c r="I23" i="444"/>
  <c r="J23" i="444" s="1"/>
  <c r="I26" i="444"/>
  <c r="J26" i="444" s="1"/>
  <c r="J37" i="441"/>
  <c r="K37" i="441" s="1"/>
  <c r="J48" i="441"/>
  <c r="K48" i="441" s="1"/>
  <c r="H328" i="382"/>
  <c r="G328" i="382"/>
  <c r="G333" i="382" s="1"/>
  <c r="G334" i="382" s="1"/>
  <c r="G335" i="382" s="1"/>
  <c r="F328" i="382"/>
  <c r="F333" i="382" s="1"/>
  <c r="F334" i="382" s="1"/>
  <c r="F335" i="382" s="1"/>
  <c r="E328" i="382"/>
  <c r="E333" i="382" s="1"/>
  <c r="E334" i="382" s="1"/>
  <c r="E335" i="382" s="1"/>
  <c r="I54" i="444" s="1"/>
  <c r="J54" i="444" s="1"/>
  <c r="H628" i="382"/>
  <c r="E628" i="382"/>
  <c r="E633" i="382" s="1"/>
  <c r="E634" i="382" s="1"/>
  <c r="E635" i="382" s="1"/>
  <c r="K106" i="475" s="1"/>
  <c r="G628" i="382"/>
  <c r="G633" i="382" s="1"/>
  <c r="G634" i="382" s="1"/>
  <c r="G635" i="382" s="1"/>
  <c r="F628" i="382"/>
  <c r="F633" i="382" s="1"/>
  <c r="F634" i="382" s="1"/>
  <c r="F635" i="382" s="1"/>
  <c r="F733" i="382"/>
  <c r="F738" i="382" s="1"/>
  <c r="F739" i="382" s="1"/>
  <c r="F740" i="382" s="1"/>
  <c r="G733" i="382"/>
  <c r="G738" i="382" s="1"/>
  <c r="G739" i="382" s="1"/>
  <c r="G740" i="382" s="1"/>
  <c r="H733" i="382"/>
  <c r="H738" i="382" s="1"/>
  <c r="H739" i="382" s="1"/>
  <c r="H740" i="382" s="1"/>
  <c r="E733" i="382"/>
  <c r="E738" i="382" s="1"/>
  <c r="E739" i="382" s="1"/>
  <c r="E740" i="382" s="1"/>
  <c r="L69" i="83"/>
  <c r="E68" i="83"/>
  <c r="G526" i="490"/>
  <c r="G531" i="490" s="1"/>
  <c r="G532" i="490" s="1"/>
  <c r="G533" i="490" s="1"/>
  <c r="H526" i="490"/>
  <c r="H531" i="490" s="1"/>
  <c r="H532" i="490" s="1"/>
  <c r="H533" i="490" s="1"/>
  <c r="E526" i="490"/>
  <c r="E531" i="490" s="1"/>
  <c r="E532" i="490" s="1"/>
  <c r="E533" i="490" s="1"/>
  <c r="F526" i="490"/>
  <c r="F531" i="490" s="1"/>
  <c r="F532" i="490" s="1"/>
  <c r="F533" i="490" s="1"/>
  <c r="F615" i="382"/>
  <c r="F620" i="382" s="1"/>
  <c r="F621" i="382" s="1"/>
  <c r="F622" i="382" s="1"/>
  <c r="H615" i="382"/>
  <c r="H620" i="382" s="1"/>
  <c r="H621" i="382" s="1"/>
  <c r="H622" i="382" s="1"/>
  <c r="E615" i="382"/>
  <c r="E620" i="382" s="1"/>
  <c r="E621" i="382" s="1"/>
  <c r="E622" i="382" s="1"/>
  <c r="G615" i="382"/>
  <c r="G620" i="382" s="1"/>
  <c r="G621" i="382" s="1"/>
  <c r="G622" i="382" s="1"/>
  <c r="F615" i="490"/>
  <c r="F620" i="490" s="1"/>
  <c r="F621" i="490" s="1"/>
  <c r="F622" i="490" s="1"/>
  <c r="E615" i="490"/>
  <c r="E620" i="490" s="1"/>
  <c r="E621" i="490" s="1"/>
  <c r="E622" i="490" s="1"/>
  <c r="G615" i="490"/>
  <c r="G620" i="490" s="1"/>
  <c r="G621" i="490" s="1"/>
  <c r="G622" i="490" s="1"/>
  <c r="H615" i="490"/>
  <c r="H620" i="490" s="1"/>
  <c r="H621" i="490" s="1"/>
  <c r="H622" i="490" s="1"/>
  <c r="H57" i="381"/>
  <c r="K47" i="485"/>
  <c r="H514" i="382"/>
  <c r="E514" i="382"/>
  <c r="E519" i="382" s="1"/>
  <c r="E520" i="382" s="1"/>
  <c r="E521" i="382" s="1"/>
  <c r="G514" i="382"/>
  <c r="G519" i="382" s="1"/>
  <c r="G520" i="382" s="1"/>
  <c r="G521" i="382" s="1"/>
  <c r="F514" i="382"/>
  <c r="F519" i="382" s="1"/>
  <c r="F520" i="382" s="1"/>
  <c r="F521" i="382" s="1"/>
  <c r="H720" i="382"/>
  <c r="G720" i="382"/>
  <c r="G725" i="382" s="1"/>
  <c r="G726" i="382" s="1"/>
  <c r="G727" i="382" s="1"/>
  <c r="E720" i="382"/>
  <c r="E725" i="382" s="1"/>
  <c r="E726" i="382" s="1"/>
  <c r="E727" i="382" s="1"/>
  <c r="F720" i="382"/>
  <c r="F725" i="382" s="1"/>
  <c r="F726" i="382" s="1"/>
  <c r="F727" i="382" s="1"/>
  <c r="F1491" i="382"/>
  <c r="E1493" i="382"/>
  <c r="E1494" i="382" s="1"/>
  <c r="E1495" i="382" s="1"/>
  <c r="G1027" i="382"/>
  <c r="F1029" i="382"/>
  <c r="F1030" i="382" s="1"/>
  <c r="F1031" i="382" s="1"/>
  <c r="I77" i="444" s="1"/>
  <c r="J77" i="444" s="1"/>
  <c r="I10" i="444"/>
  <c r="J10" i="444" s="1"/>
  <c r="K20" i="485"/>
  <c r="J18" i="441"/>
  <c r="K18" i="441" s="1"/>
  <c r="F564" i="382"/>
  <c r="F569" i="382" s="1"/>
  <c r="F570" i="382" s="1"/>
  <c r="F571" i="382" s="1"/>
  <c r="G564" i="382"/>
  <c r="G569" i="382" s="1"/>
  <c r="G570" i="382" s="1"/>
  <c r="G571" i="382" s="1"/>
  <c r="E564" i="382"/>
  <c r="E569" i="382" s="1"/>
  <c r="E570" i="382" s="1"/>
  <c r="E571" i="382" s="1"/>
  <c r="I34" i="444" s="1"/>
  <c r="J34" i="444" s="1"/>
  <c r="H564" i="382"/>
  <c r="F927" i="382"/>
  <c r="F932" i="382" s="1"/>
  <c r="F933" i="382" s="1"/>
  <c r="F934" i="382" s="1"/>
  <c r="H927" i="382"/>
  <c r="G927" i="382"/>
  <c r="G932" i="382" s="1"/>
  <c r="G933" i="382" s="1"/>
  <c r="G934" i="382" s="1"/>
  <c r="E927" i="382"/>
  <c r="E932" i="382" s="1"/>
  <c r="E933" i="382" s="1"/>
  <c r="E934" i="382" s="1"/>
  <c r="I66" i="444" s="1"/>
  <c r="J66" i="444" s="1"/>
  <c r="G1027" i="490"/>
  <c r="F1029" i="490"/>
  <c r="F1030" i="490" s="1"/>
  <c r="F1031" i="490" s="1"/>
  <c r="F1463" i="490"/>
  <c r="I1463" i="490" s="1"/>
  <c r="F1469" i="490" s="1"/>
  <c r="I1469" i="490" s="1"/>
  <c r="I1470" i="490" s="1"/>
  <c r="I1436" i="490"/>
  <c r="F1446" i="490" s="1"/>
  <c r="I1446" i="490" s="1"/>
  <c r="I1447" i="490" s="1"/>
  <c r="I927" i="490"/>
  <c r="H932" i="490"/>
  <c r="H933" i="490" s="1"/>
  <c r="H934" i="490" s="1"/>
  <c r="H56" i="381"/>
  <c r="I51" i="444"/>
  <c r="J51" i="444" s="1"/>
  <c r="G1104" i="490"/>
  <c r="F1106" i="490"/>
  <c r="F1107" i="490" s="1"/>
  <c r="F1108" i="490" s="1"/>
  <c r="F667" i="490"/>
  <c r="F672" i="490" s="1"/>
  <c r="F673" i="490" s="1"/>
  <c r="F674" i="490" s="1"/>
  <c r="E667" i="490"/>
  <c r="E672" i="490" s="1"/>
  <c r="E673" i="490" s="1"/>
  <c r="E674" i="490" s="1"/>
  <c r="G667" i="490"/>
  <c r="G672" i="490" s="1"/>
  <c r="G673" i="490" s="1"/>
  <c r="G674" i="490" s="1"/>
  <c r="H667" i="490"/>
  <c r="H672" i="490" s="1"/>
  <c r="H673" i="490" s="1"/>
  <c r="H674" i="490" s="1"/>
  <c r="H576" i="382"/>
  <c r="H581" i="382" s="1"/>
  <c r="H582" i="382" s="1"/>
  <c r="H583" i="382" s="1"/>
  <c r="G576" i="382"/>
  <c r="G581" i="382" s="1"/>
  <c r="G582" i="382" s="1"/>
  <c r="G583" i="382" s="1"/>
  <c r="F576" i="382"/>
  <c r="F581" i="382" s="1"/>
  <c r="F582" i="382" s="1"/>
  <c r="F583" i="382" s="1"/>
  <c r="E576" i="382"/>
  <c r="E581" i="382" s="1"/>
  <c r="E582" i="382" s="1"/>
  <c r="E583" i="382" s="1"/>
  <c r="H552" i="382"/>
  <c r="H557" i="382" s="1"/>
  <c r="H558" i="382" s="1"/>
  <c r="H559" i="382" s="1"/>
  <c r="G552" i="382"/>
  <c r="G557" i="382" s="1"/>
  <c r="G558" i="382" s="1"/>
  <c r="G559" i="382" s="1"/>
  <c r="E552" i="382"/>
  <c r="E557" i="382" s="1"/>
  <c r="E558" i="382" s="1"/>
  <c r="E559" i="382" s="1"/>
  <c r="F552" i="382"/>
  <c r="F557" i="382" s="1"/>
  <c r="F558" i="382" s="1"/>
  <c r="F559" i="382" s="1"/>
  <c r="G641" i="382"/>
  <c r="G646" i="382" s="1"/>
  <c r="G647" i="382" s="1"/>
  <c r="G648" i="382" s="1"/>
  <c r="F641" i="382"/>
  <c r="F646" i="382" s="1"/>
  <c r="F647" i="382" s="1"/>
  <c r="F648" i="382" s="1"/>
  <c r="H641" i="382"/>
  <c r="H646" i="382" s="1"/>
  <c r="H647" i="382" s="1"/>
  <c r="H648" i="382" s="1"/>
  <c r="E641" i="382"/>
  <c r="E646" i="382" s="1"/>
  <c r="E647" i="382" s="1"/>
  <c r="E648" i="382" s="1"/>
  <c r="K69" i="83"/>
  <c r="D68" i="83"/>
  <c r="E746" i="382"/>
  <c r="E751" i="382" s="1"/>
  <c r="E752" i="382" s="1"/>
  <c r="E753" i="382" s="1"/>
  <c r="I42" i="444" s="1"/>
  <c r="J42" i="444" s="1"/>
  <c r="G746" i="382"/>
  <c r="G751" i="382" s="1"/>
  <c r="G752" i="382" s="1"/>
  <c r="G753" i="382" s="1"/>
  <c r="H746" i="382"/>
  <c r="H751" i="382" s="1"/>
  <c r="H752" i="382" s="1"/>
  <c r="H753" i="382" s="1"/>
  <c r="F746" i="382"/>
  <c r="F751" i="382" s="1"/>
  <c r="F752" i="382" s="1"/>
  <c r="F753" i="382" s="1"/>
  <c r="M69" i="83"/>
  <c r="F68" i="83"/>
  <c r="F1492" i="382"/>
  <c r="G1492" i="382"/>
  <c r="H1492" i="382"/>
  <c r="F1423" i="490"/>
  <c r="F1426" i="490" s="1"/>
  <c r="F1427" i="490" s="1"/>
  <c r="F1428" i="490" s="1"/>
  <c r="F1429" i="490" s="1"/>
  <c r="F1430" i="490" s="1"/>
  <c r="H1423" i="490"/>
  <c r="H1426" i="490" s="1"/>
  <c r="H1427" i="490" s="1"/>
  <c r="H1428" i="490" s="1"/>
  <c r="H1429" i="490" s="1"/>
  <c r="H1430" i="490" s="1"/>
  <c r="E1423" i="490"/>
  <c r="E1426" i="490" s="1"/>
  <c r="E1427" i="490" s="1"/>
  <c r="E1428" i="490" s="1"/>
  <c r="E1429" i="490" s="1"/>
  <c r="E1430" i="490" s="1"/>
  <c r="I1423" i="490"/>
  <c r="I1426" i="490" s="1"/>
  <c r="I1427" i="490" s="1"/>
  <c r="I1428" i="490" s="1"/>
  <c r="I1429" i="490" s="1"/>
  <c r="I1430" i="490" s="1"/>
  <c r="G1423" i="490"/>
  <c r="G1426" i="490" s="1"/>
  <c r="G1427" i="490" s="1"/>
  <c r="G1428" i="490" s="1"/>
  <c r="G1429" i="490" s="1"/>
  <c r="G1430" i="490" s="1"/>
  <c r="I19" i="444"/>
  <c r="J19" i="444" s="1"/>
  <c r="J32" i="441"/>
  <c r="K32" i="441" s="1"/>
  <c r="F951" i="382" l="1"/>
  <c r="F956" i="382" s="1"/>
  <c r="F957" i="382" s="1"/>
  <c r="F958" i="382" s="1"/>
  <c r="P56" i="381" s="1"/>
  <c r="H951" i="382"/>
  <c r="I951" i="382" s="1"/>
  <c r="G974" i="490"/>
  <c r="G979" i="490" s="1"/>
  <c r="G980" i="490" s="1"/>
  <c r="G981" i="490" s="1"/>
  <c r="J55" i="485"/>
  <c r="K55" i="485" s="1"/>
  <c r="F974" i="490"/>
  <c r="F979" i="490" s="1"/>
  <c r="F980" i="490" s="1"/>
  <c r="F981" i="490" s="1"/>
  <c r="H333" i="382"/>
  <c r="H334" i="382" s="1"/>
  <c r="H335" i="382" s="1"/>
  <c r="I328" i="382"/>
  <c r="E1450" i="490"/>
  <c r="E1453" i="490" s="1"/>
  <c r="E1454" i="490" s="1"/>
  <c r="E1455" i="490" s="1"/>
  <c r="E1456" i="490" s="1"/>
  <c r="E1457" i="490" s="1"/>
  <c r="E1458" i="490" s="1"/>
  <c r="F1450" i="490"/>
  <c r="F1453" i="490" s="1"/>
  <c r="F1454" i="490" s="1"/>
  <c r="F1455" i="490" s="1"/>
  <c r="F1456" i="490" s="1"/>
  <c r="F1457" i="490" s="1"/>
  <c r="F1458" i="490" s="1"/>
  <c r="I1450" i="490"/>
  <c r="I1453" i="490" s="1"/>
  <c r="I1454" i="490" s="1"/>
  <c r="I1455" i="490" s="1"/>
  <c r="I1456" i="490" s="1"/>
  <c r="I1457" i="490" s="1"/>
  <c r="I1458" i="490" s="1"/>
  <c r="G1450" i="490"/>
  <c r="G1453" i="490" s="1"/>
  <c r="G1454" i="490" s="1"/>
  <c r="G1455" i="490" s="1"/>
  <c r="G1456" i="490" s="1"/>
  <c r="G1457" i="490" s="1"/>
  <c r="G1458" i="490" s="1"/>
  <c r="H1450" i="490"/>
  <c r="H1453" i="490" s="1"/>
  <c r="H1454" i="490" s="1"/>
  <c r="H1455" i="490" s="1"/>
  <c r="H1456" i="490" s="1"/>
  <c r="H1457" i="490" s="1"/>
  <c r="H1458" i="490" s="1"/>
  <c r="H569" i="382"/>
  <c r="H570" i="382" s="1"/>
  <c r="H571" i="382" s="1"/>
  <c r="I564" i="382"/>
  <c r="G1029" i="382"/>
  <c r="G1030" i="382" s="1"/>
  <c r="G1031" i="382" s="1"/>
  <c r="H1027" i="382"/>
  <c r="P85" i="490"/>
  <c r="P85" i="382"/>
  <c r="P82" i="490"/>
  <c r="P82" i="382"/>
  <c r="K75" i="485"/>
  <c r="J66" i="441"/>
  <c r="K66" i="441" s="1"/>
  <c r="K91" i="441" s="1"/>
  <c r="I70" i="444"/>
  <c r="J70" i="444" s="1"/>
  <c r="O56" i="381"/>
  <c r="I74" i="444"/>
  <c r="J74" i="444" s="1"/>
  <c r="I564" i="490"/>
  <c r="H569" i="490"/>
  <c r="H570" i="490" s="1"/>
  <c r="H571" i="490" s="1"/>
  <c r="H1104" i="382"/>
  <c r="G1106" i="382"/>
  <c r="G1107" i="382" s="1"/>
  <c r="G1108" i="382" s="1"/>
  <c r="G1087" i="490"/>
  <c r="G1088" i="490" s="1"/>
  <c r="G1089" i="490" s="1"/>
  <c r="H1085" i="490"/>
  <c r="E1472" i="490"/>
  <c r="E1474" i="490" s="1"/>
  <c r="E1475" i="490" s="1"/>
  <c r="E1476" i="490" s="1"/>
  <c r="H1472" i="490"/>
  <c r="H1474" i="490" s="1"/>
  <c r="H1475" i="490" s="1"/>
  <c r="H1476" i="490" s="1"/>
  <c r="F1472" i="490"/>
  <c r="F1474" i="490" s="1"/>
  <c r="F1475" i="490" s="1"/>
  <c r="F1476" i="490" s="1"/>
  <c r="G1472" i="490"/>
  <c r="G1474" i="490" s="1"/>
  <c r="G1475" i="490" s="1"/>
  <c r="G1476" i="490" s="1"/>
  <c r="E1450" i="382"/>
  <c r="E1453" i="382" s="1"/>
  <c r="E1454" i="382" s="1"/>
  <c r="E1455" i="382" s="1"/>
  <c r="E1456" i="382" s="1"/>
  <c r="I1450" i="382"/>
  <c r="I1453" i="382" s="1"/>
  <c r="I1454" i="382" s="1"/>
  <c r="I1455" i="382" s="1"/>
  <c r="I1456" i="382" s="1"/>
  <c r="I1457" i="382" s="1"/>
  <c r="I1458" i="382" s="1"/>
  <c r="H1450" i="382"/>
  <c r="H1453" i="382" s="1"/>
  <c r="H1454" i="382" s="1"/>
  <c r="H1455" i="382" s="1"/>
  <c r="H1456" i="382" s="1"/>
  <c r="H1457" i="382" s="1"/>
  <c r="H1458" i="382" s="1"/>
  <c r="G1450" i="382"/>
  <c r="G1453" i="382" s="1"/>
  <c r="G1454" i="382" s="1"/>
  <c r="G1455" i="382" s="1"/>
  <c r="G1456" i="382" s="1"/>
  <c r="G1457" i="382" s="1"/>
  <c r="G1458" i="382" s="1"/>
  <c r="F1450" i="382"/>
  <c r="F1453" i="382" s="1"/>
  <c r="F1454" i="382" s="1"/>
  <c r="F1455" i="382" s="1"/>
  <c r="F1456" i="382" s="1"/>
  <c r="F1457" i="382" s="1"/>
  <c r="F1458" i="382" s="1"/>
  <c r="P70" i="83"/>
  <c r="I69" i="83"/>
  <c r="O70" i="83"/>
  <c r="H69" i="83"/>
  <c r="P88" i="490"/>
  <c r="P88" i="382"/>
  <c r="F1472" i="382"/>
  <c r="F1474" i="382" s="1"/>
  <c r="F1475" i="382" s="1"/>
  <c r="F1476" i="382" s="1"/>
  <c r="H1472" i="382"/>
  <c r="H1474" i="382" s="1"/>
  <c r="H1475" i="382" s="1"/>
  <c r="H1476" i="382" s="1"/>
  <c r="G1472" i="382"/>
  <c r="G1474" i="382" s="1"/>
  <c r="G1475" i="382" s="1"/>
  <c r="G1476" i="382" s="1"/>
  <c r="E1472" i="382"/>
  <c r="E1474" i="382" s="1"/>
  <c r="E1475" i="382" s="1"/>
  <c r="E1476" i="382" s="1"/>
  <c r="H1124" i="382"/>
  <c r="G1126" i="382"/>
  <c r="G1127" i="382" s="1"/>
  <c r="G1128" i="382" s="1"/>
  <c r="H1124" i="490"/>
  <c r="G1126" i="490"/>
  <c r="G1127" i="490" s="1"/>
  <c r="G1128" i="490" s="1"/>
  <c r="P94" i="490"/>
  <c r="P94" i="382"/>
  <c r="I514" i="490"/>
  <c r="I519" i="490" s="1"/>
  <c r="I520" i="490" s="1"/>
  <c r="I521" i="490" s="1"/>
  <c r="H519" i="490"/>
  <c r="H520" i="490" s="1"/>
  <c r="H521" i="490" s="1"/>
  <c r="K70" i="83"/>
  <c r="D69" i="83"/>
  <c r="M70" i="83"/>
  <c r="F69" i="83"/>
  <c r="G1106" i="490"/>
  <c r="G1107" i="490" s="1"/>
  <c r="G1108" i="490" s="1"/>
  <c r="H1104" i="490"/>
  <c r="G1029" i="490"/>
  <c r="G1030" i="490" s="1"/>
  <c r="G1031" i="490" s="1"/>
  <c r="H1027" i="490"/>
  <c r="G1491" i="382"/>
  <c r="F1493" i="382"/>
  <c r="F1494" i="382" s="1"/>
  <c r="F1495" i="382" s="1"/>
  <c r="I514" i="382"/>
  <c r="I519" i="382" s="1"/>
  <c r="I520" i="382" s="1"/>
  <c r="I521" i="382" s="1"/>
  <c r="H519" i="382"/>
  <c r="H520" i="382" s="1"/>
  <c r="H521" i="382" s="1"/>
  <c r="L70" i="83"/>
  <c r="E69" i="83"/>
  <c r="H633" i="382"/>
  <c r="H634" i="382" s="1"/>
  <c r="H635" i="382" s="1"/>
  <c r="I628" i="382"/>
  <c r="F1493" i="490"/>
  <c r="F1494" i="490" s="1"/>
  <c r="F1495" i="490" s="1"/>
  <c r="G1491" i="490"/>
  <c r="I171" i="382"/>
  <c r="I175" i="382" s="1"/>
  <c r="F179" i="382"/>
  <c r="G951" i="490"/>
  <c r="G956" i="490" s="1"/>
  <c r="G957" i="490" s="1"/>
  <c r="G958" i="490" s="1"/>
  <c r="F951" i="490"/>
  <c r="F956" i="490" s="1"/>
  <c r="F957" i="490" s="1"/>
  <c r="F958" i="490" s="1"/>
  <c r="E951" i="490"/>
  <c r="E956" i="490" s="1"/>
  <c r="E957" i="490" s="1"/>
  <c r="E958" i="490" s="1"/>
  <c r="H951" i="490"/>
  <c r="P91" i="490"/>
  <c r="P91" i="382"/>
  <c r="J927" i="490"/>
  <c r="J932" i="490" s="1"/>
  <c r="J933" i="490" s="1"/>
  <c r="J934" i="490" s="1"/>
  <c r="I932" i="490"/>
  <c r="I933" i="490" s="1"/>
  <c r="I934" i="490" s="1"/>
  <c r="I720" i="382"/>
  <c r="H725" i="382"/>
  <c r="H726" i="382" s="1"/>
  <c r="H727" i="382" s="1"/>
  <c r="H333" i="490"/>
  <c r="H334" i="490" s="1"/>
  <c r="H335" i="490" s="1"/>
  <c r="I328" i="490"/>
  <c r="J974" i="382"/>
  <c r="J979" i="382" s="1"/>
  <c r="J980" i="382" s="1"/>
  <c r="J981" i="382" s="1"/>
  <c r="I974" i="382"/>
  <c r="I979" i="382" s="1"/>
  <c r="I980" i="382" s="1"/>
  <c r="I981" i="382" s="1"/>
  <c r="E974" i="382"/>
  <c r="E979" i="382" s="1"/>
  <c r="E980" i="382" s="1"/>
  <c r="E981" i="382" s="1"/>
  <c r="J87" i="485" s="1"/>
  <c r="H974" i="382"/>
  <c r="H979" i="382" s="1"/>
  <c r="H980" i="382" s="1"/>
  <c r="H981" i="382" s="1"/>
  <c r="G974" i="382"/>
  <c r="G979" i="382" s="1"/>
  <c r="G980" i="382" s="1"/>
  <c r="G981" i="382" s="1"/>
  <c r="Q57" i="381" s="1"/>
  <c r="F974" i="382"/>
  <c r="F979" i="382" s="1"/>
  <c r="F980" i="382" s="1"/>
  <c r="F981" i="382" s="1"/>
  <c r="P57" i="381" s="1"/>
  <c r="I927" i="382"/>
  <c r="H932" i="382"/>
  <c r="H933" i="382" s="1"/>
  <c r="H934" i="382" s="1"/>
  <c r="I171" i="490"/>
  <c r="I175" i="490" s="1"/>
  <c r="F179" i="490"/>
  <c r="H633" i="490"/>
  <c r="H634" i="490" s="1"/>
  <c r="H635" i="490" s="1"/>
  <c r="I628" i="490"/>
  <c r="H1085" i="382"/>
  <c r="G1087" i="382"/>
  <c r="G1088" i="382" s="1"/>
  <c r="G1089" i="382" s="1"/>
  <c r="H725" i="490"/>
  <c r="H726" i="490" s="1"/>
  <c r="H727" i="490" s="1"/>
  <c r="I720" i="490"/>
  <c r="N70" i="83"/>
  <c r="G69" i="83"/>
  <c r="H956" i="382" l="1"/>
  <c r="H957" i="382" s="1"/>
  <c r="H958" i="382" s="1"/>
  <c r="J927" i="382"/>
  <c r="J932" i="382" s="1"/>
  <c r="J933" i="382" s="1"/>
  <c r="J934" i="382" s="1"/>
  <c r="I932" i="382"/>
  <c r="I933" i="382" s="1"/>
  <c r="I934" i="382" s="1"/>
  <c r="O71" i="83"/>
  <c r="H70" i="83"/>
  <c r="H1106" i="490"/>
  <c r="H1107" i="490" s="1"/>
  <c r="H1108" i="490" s="1"/>
  <c r="I1104" i="490"/>
  <c r="I1106" i="490" s="1"/>
  <c r="I1107" i="490" s="1"/>
  <c r="I1108" i="490" s="1"/>
  <c r="J564" i="490"/>
  <c r="J569" i="490" s="1"/>
  <c r="J570" i="490" s="1"/>
  <c r="J571" i="490" s="1"/>
  <c r="I569" i="490"/>
  <c r="I570" i="490" s="1"/>
  <c r="I571" i="490" s="1"/>
  <c r="I725" i="382"/>
  <c r="I726" i="382" s="1"/>
  <c r="I727" i="382" s="1"/>
  <c r="J720" i="382"/>
  <c r="J725" i="382" s="1"/>
  <c r="J726" i="382" s="1"/>
  <c r="J727" i="382" s="1"/>
  <c r="L71" i="83"/>
  <c r="E70" i="83"/>
  <c r="P71" i="83"/>
  <c r="I70" i="83"/>
  <c r="J628" i="490"/>
  <c r="J633" i="490" s="1"/>
  <c r="J634" i="490" s="1"/>
  <c r="J635" i="490" s="1"/>
  <c r="I633" i="490"/>
  <c r="I634" i="490" s="1"/>
  <c r="I635" i="490" s="1"/>
  <c r="I179" i="382"/>
  <c r="I183" i="382" s="1"/>
  <c r="F187" i="382"/>
  <c r="I1027" i="382"/>
  <c r="H1029" i="382"/>
  <c r="H1030" i="382" s="1"/>
  <c r="H1031" i="382" s="1"/>
  <c r="O57" i="381"/>
  <c r="K87" i="485"/>
  <c r="K144" i="485" s="1"/>
  <c r="M71" i="83"/>
  <c r="F70" i="83"/>
  <c r="I1124" i="490"/>
  <c r="I1126" i="490" s="1"/>
  <c r="I1127" i="490" s="1"/>
  <c r="I1128" i="490" s="1"/>
  <c r="H1126" i="490"/>
  <c r="H1127" i="490" s="1"/>
  <c r="H1128" i="490" s="1"/>
  <c r="J951" i="382"/>
  <c r="J956" i="382" s="1"/>
  <c r="J957" i="382" s="1"/>
  <c r="J958" i="382" s="1"/>
  <c r="I956" i="382"/>
  <c r="I957" i="382" s="1"/>
  <c r="I958" i="382" s="1"/>
  <c r="I1085" i="490"/>
  <c r="I1087" i="490" s="1"/>
  <c r="I1088" i="490" s="1"/>
  <c r="I1089" i="490" s="1"/>
  <c r="H1087" i="490"/>
  <c r="H1088" i="490" s="1"/>
  <c r="H1089" i="490" s="1"/>
  <c r="J328" i="382"/>
  <c r="J333" i="382" s="1"/>
  <c r="J334" i="382" s="1"/>
  <c r="J335" i="382" s="1"/>
  <c r="I333" i="382"/>
  <c r="I334" i="382" s="1"/>
  <c r="I335" i="382" s="1"/>
  <c r="F187" i="490"/>
  <c r="I179" i="490"/>
  <c r="I183" i="490" s="1"/>
  <c r="G1493" i="490"/>
  <c r="G1494" i="490" s="1"/>
  <c r="G1495" i="490" s="1"/>
  <c r="H1491" i="490"/>
  <c r="H1493" i="490" s="1"/>
  <c r="H1494" i="490" s="1"/>
  <c r="H1495" i="490" s="1"/>
  <c r="I569" i="382"/>
  <c r="I570" i="382" s="1"/>
  <c r="I571" i="382" s="1"/>
  <c r="J564" i="382"/>
  <c r="J569" i="382" s="1"/>
  <c r="J570" i="382" s="1"/>
  <c r="J571" i="382" s="1"/>
  <c r="H1087" i="382"/>
  <c r="H1088" i="382" s="1"/>
  <c r="H1089" i="382" s="1"/>
  <c r="I1085" i="382"/>
  <c r="I1087" i="382" s="1"/>
  <c r="I1088" i="382" s="1"/>
  <c r="I1089" i="382" s="1"/>
  <c r="K71" i="83"/>
  <c r="D70" i="83"/>
  <c r="I1124" i="382"/>
  <c r="I1126" i="382" s="1"/>
  <c r="I1127" i="382" s="1"/>
  <c r="I1128" i="382" s="1"/>
  <c r="H1126" i="382"/>
  <c r="H1127" i="382" s="1"/>
  <c r="H1128" i="382" s="1"/>
  <c r="N71" i="83"/>
  <c r="G70" i="83"/>
  <c r="H1491" i="382"/>
  <c r="H1493" i="382" s="1"/>
  <c r="H1494" i="382" s="1"/>
  <c r="H1495" i="382" s="1"/>
  <c r="G1493" i="382"/>
  <c r="G1494" i="382" s="1"/>
  <c r="G1495" i="382" s="1"/>
  <c r="J720" i="490"/>
  <c r="J725" i="490" s="1"/>
  <c r="J726" i="490" s="1"/>
  <c r="J727" i="490" s="1"/>
  <c r="I725" i="490"/>
  <c r="I726" i="490" s="1"/>
  <c r="I727" i="490" s="1"/>
  <c r="I333" i="490"/>
  <c r="I334" i="490" s="1"/>
  <c r="I335" i="490" s="1"/>
  <c r="J328" i="490"/>
  <c r="J333" i="490" s="1"/>
  <c r="J334" i="490" s="1"/>
  <c r="J335" i="490" s="1"/>
  <c r="H956" i="490"/>
  <c r="H957" i="490" s="1"/>
  <c r="H958" i="490" s="1"/>
  <c r="I951" i="490"/>
  <c r="J628" i="382"/>
  <c r="J633" i="382" s="1"/>
  <c r="J634" i="382" s="1"/>
  <c r="J635" i="382" s="1"/>
  <c r="I633" i="382"/>
  <c r="I634" i="382" s="1"/>
  <c r="I635" i="382" s="1"/>
  <c r="H1029" i="490"/>
  <c r="H1030" i="490" s="1"/>
  <c r="H1031" i="490" s="1"/>
  <c r="I1027" i="490"/>
  <c r="I102" i="444"/>
  <c r="J102" i="444" s="1"/>
  <c r="J135" i="444" s="1"/>
  <c r="J139" i="444" s="1"/>
  <c r="E1457" i="382"/>
  <c r="E1458" i="382" s="1"/>
  <c r="I1104" i="382"/>
  <c r="I1106" i="382" s="1"/>
  <c r="I1107" i="382" s="1"/>
  <c r="I1108" i="382" s="1"/>
  <c r="H1106" i="382"/>
  <c r="H1107" i="382" s="1"/>
  <c r="H1108" i="382" s="1"/>
  <c r="D5" i="492" l="1"/>
  <c r="D6" i="492" s="1"/>
  <c r="D9" i="492" s="1"/>
  <c r="E9" i="492" s="1"/>
  <c r="F9" i="492" s="1"/>
  <c r="K145" i="485"/>
  <c r="K146" i="485" s="1"/>
  <c r="E3" i="494" s="1"/>
  <c r="N72" i="83"/>
  <c r="G71" i="83"/>
  <c r="P72" i="83"/>
  <c r="I71" i="83"/>
  <c r="I956" i="490"/>
  <c r="I957" i="490" s="1"/>
  <c r="I958" i="490" s="1"/>
  <c r="J951" i="490"/>
  <c r="J956" i="490" s="1"/>
  <c r="J957" i="490" s="1"/>
  <c r="J958" i="490" s="1"/>
  <c r="M72" i="83"/>
  <c r="F71" i="83"/>
  <c r="J1027" i="382"/>
  <c r="J1029" i="382" s="1"/>
  <c r="J1030" i="382" s="1"/>
  <c r="J1031" i="382" s="1"/>
  <c r="I1029" i="382"/>
  <c r="I1030" i="382" s="1"/>
  <c r="I1031" i="382" s="1"/>
  <c r="L72" i="83"/>
  <c r="E71" i="83"/>
  <c r="O72" i="83"/>
  <c r="H71" i="83"/>
  <c r="J1027" i="490"/>
  <c r="J1029" i="490" s="1"/>
  <c r="J1030" i="490" s="1"/>
  <c r="J1031" i="490" s="1"/>
  <c r="I1029" i="490"/>
  <c r="I1030" i="490" s="1"/>
  <c r="I1031" i="490" s="1"/>
  <c r="I187" i="382"/>
  <c r="I191" i="382" s="1"/>
  <c r="F195" i="382"/>
  <c r="I195" i="382" s="1"/>
  <c r="I199" i="382" s="1"/>
  <c r="K72" i="83"/>
  <c r="D71" i="83"/>
  <c r="F195" i="490"/>
  <c r="I195" i="490" s="1"/>
  <c r="I199" i="490" s="1"/>
  <c r="I187" i="490"/>
  <c r="I191" i="490" s="1"/>
  <c r="D10" i="492" l="1"/>
  <c r="O73" i="83"/>
  <c r="H72" i="83"/>
  <c r="K73" i="83"/>
  <c r="D72" i="83"/>
  <c r="L73" i="83"/>
  <c r="E72" i="83"/>
  <c r="P73" i="83"/>
  <c r="I72" i="83"/>
  <c r="N73" i="83"/>
  <c r="G72" i="83"/>
  <c r="M73" i="83"/>
  <c r="F72" i="83"/>
  <c r="L74" i="83" l="1"/>
  <c r="E73" i="83"/>
  <c r="M74" i="83"/>
  <c r="F73" i="83"/>
  <c r="K74" i="83"/>
  <c r="D73" i="83"/>
  <c r="P74" i="83"/>
  <c r="I73" i="83"/>
  <c r="N74" i="83"/>
  <c r="G73" i="83"/>
  <c r="O74" i="83"/>
  <c r="H73" i="83"/>
  <c r="P75" i="83" l="1"/>
  <c r="I74" i="83"/>
  <c r="K75" i="83"/>
  <c r="D74" i="83"/>
  <c r="O75" i="83"/>
  <c r="H74" i="83"/>
  <c r="M75" i="83"/>
  <c r="F74" i="83"/>
  <c r="N75" i="83"/>
  <c r="G74" i="83"/>
  <c r="L75" i="83"/>
  <c r="E74" i="83"/>
  <c r="M76" i="83" l="1"/>
  <c r="F75" i="83"/>
  <c r="O76" i="83"/>
  <c r="H75" i="83"/>
  <c r="N76" i="83"/>
  <c r="G75" i="83"/>
  <c r="L76" i="83"/>
  <c r="E75" i="83"/>
  <c r="K76" i="83"/>
  <c r="D75" i="83"/>
  <c r="P76" i="83"/>
  <c r="I75" i="83"/>
  <c r="L77" i="83" l="1"/>
  <c r="E76" i="83"/>
  <c r="M77" i="83"/>
  <c r="F76" i="83"/>
  <c r="N77" i="83"/>
  <c r="G76" i="83"/>
  <c r="P77" i="83"/>
  <c r="I76" i="83"/>
  <c r="O77" i="83"/>
  <c r="H76" i="83"/>
  <c r="K77" i="83"/>
  <c r="D76" i="83"/>
  <c r="P78" i="83" l="1"/>
  <c r="I77" i="83"/>
  <c r="N78" i="83"/>
  <c r="G77" i="83"/>
  <c r="M78" i="83"/>
  <c r="F77" i="83"/>
  <c r="K78" i="83"/>
  <c r="D77" i="83"/>
  <c r="O78" i="83"/>
  <c r="H77" i="83"/>
  <c r="L78" i="83"/>
  <c r="E77" i="83"/>
  <c r="M79" i="83" l="1"/>
  <c r="F78" i="83"/>
  <c r="L79" i="83"/>
  <c r="E78" i="83"/>
  <c r="N79" i="83"/>
  <c r="G78" i="83"/>
  <c r="K79" i="83"/>
  <c r="D78" i="83"/>
  <c r="O79" i="83"/>
  <c r="H78" i="83"/>
  <c r="P79" i="83"/>
  <c r="I78" i="83"/>
  <c r="L80" i="83" l="1"/>
  <c r="E79" i="83"/>
  <c r="K80" i="83"/>
  <c r="D79" i="83"/>
  <c r="N80" i="83"/>
  <c r="G79" i="83"/>
  <c r="P80" i="83"/>
  <c r="I79" i="83"/>
  <c r="O80" i="83"/>
  <c r="H79" i="83"/>
  <c r="M80" i="83"/>
  <c r="F79" i="83"/>
  <c r="P81" i="83" l="1"/>
  <c r="I80" i="83"/>
  <c r="N81" i="83"/>
  <c r="G80" i="83"/>
  <c r="M81" i="83"/>
  <c r="F80" i="83"/>
  <c r="K81" i="83"/>
  <c r="D80" i="83"/>
  <c r="O81" i="83"/>
  <c r="H80" i="83"/>
  <c r="L81" i="83"/>
  <c r="E80" i="83"/>
  <c r="M82" i="83" l="1"/>
  <c r="F81" i="83"/>
  <c r="K82" i="83"/>
  <c r="D81" i="83"/>
  <c r="O82" i="83"/>
  <c r="H81" i="83"/>
  <c r="L82" i="83"/>
  <c r="E81" i="83"/>
  <c r="N82" i="83"/>
  <c r="G81" i="83"/>
  <c r="P82" i="83"/>
  <c r="I81" i="83"/>
  <c r="N83" i="83" l="1"/>
  <c r="G82" i="83"/>
  <c r="O83" i="83"/>
  <c r="H82" i="83"/>
  <c r="K83" i="83"/>
  <c r="D82" i="83"/>
  <c r="L83" i="83"/>
  <c r="E82" i="83"/>
  <c r="P83" i="83"/>
  <c r="I82" i="83"/>
  <c r="M83" i="83"/>
  <c r="F82" i="83"/>
  <c r="N84" i="83" l="1"/>
  <c r="G83" i="83"/>
  <c r="K84" i="83"/>
  <c r="D83" i="83"/>
  <c r="P84" i="83"/>
  <c r="I83" i="83"/>
  <c r="L84" i="83"/>
  <c r="E83" i="83"/>
  <c r="M84" i="83"/>
  <c r="F83" i="83"/>
  <c r="O84" i="83"/>
  <c r="H83" i="83"/>
  <c r="L85" i="83" l="1"/>
  <c r="E84" i="83"/>
  <c r="K85" i="83"/>
  <c r="D84" i="83"/>
  <c r="O85" i="83"/>
  <c r="H84" i="83"/>
  <c r="P85" i="83"/>
  <c r="I84" i="83"/>
  <c r="M85" i="83"/>
  <c r="F84" i="83"/>
  <c r="N85" i="83"/>
  <c r="G84" i="83"/>
  <c r="P86" i="83" l="1"/>
  <c r="I85" i="83"/>
  <c r="O86" i="83"/>
  <c r="H85" i="83"/>
  <c r="N86" i="83"/>
  <c r="G85" i="83"/>
  <c r="K86" i="83"/>
  <c r="D85" i="83"/>
  <c r="M86" i="83"/>
  <c r="F85" i="83"/>
  <c r="L86" i="83"/>
  <c r="E85" i="83"/>
  <c r="K87" i="83" l="1"/>
  <c r="D86" i="83"/>
  <c r="N87" i="83"/>
  <c r="G86" i="83"/>
  <c r="O87" i="83"/>
  <c r="H86" i="83"/>
  <c r="L87" i="83"/>
  <c r="E86" i="83"/>
  <c r="M87" i="83"/>
  <c r="F86" i="83"/>
  <c r="P87" i="83"/>
  <c r="I86" i="83"/>
  <c r="L88" i="83" l="1"/>
  <c r="E87" i="83"/>
  <c r="K88" i="83"/>
  <c r="D87" i="83"/>
  <c r="M88" i="83"/>
  <c r="F87" i="83"/>
  <c r="O88" i="83"/>
  <c r="H87" i="83"/>
  <c r="P88" i="83"/>
  <c r="I87" i="83"/>
  <c r="N88" i="83"/>
  <c r="G87" i="83"/>
  <c r="M89" i="83" l="1"/>
  <c r="F88" i="83"/>
  <c r="K89" i="83"/>
  <c r="D88" i="83"/>
  <c r="N89" i="83"/>
  <c r="G88" i="83"/>
  <c r="O89" i="83"/>
  <c r="H88" i="83"/>
  <c r="P89" i="83"/>
  <c r="I88" i="83"/>
  <c r="L89" i="83"/>
  <c r="E88" i="83"/>
  <c r="N90" i="83" l="1"/>
  <c r="G89" i="83"/>
  <c r="O90" i="83"/>
  <c r="H89" i="83"/>
  <c r="L90" i="83"/>
  <c r="E89" i="83"/>
  <c r="K90" i="83"/>
  <c r="D89" i="83"/>
  <c r="P90" i="83"/>
  <c r="I89" i="83"/>
  <c r="M90" i="83"/>
  <c r="F89" i="83"/>
  <c r="K91" i="83" l="1"/>
  <c r="D90" i="83"/>
  <c r="M91" i="83"/>
  <c r="F90" i="83"/>
  <c r="O91" i="83"/>
  <c r="H90" i="83"/>
  <c r="L91" i="83"/>
  <c r="E90" i="83"/>
  <c r="P91" i="83"/>
  <c r="I90" i="83"/>
  <c r="N91" i="83"/>
  <c r="G90" i="83"/>
  <c r="L92" i="83" l="1"/>
  <c r="E91" i="83"/>
  <c r="P92" i="83"/>
  <c r="I91" i="83"/>
  <c r="O92" i="83"/>
  <c r="H91" i="83"/>
  <c r="K92" i="83"/>
  <c r="D91" i="83"/>
  <c r="M92" i="83"/>
  <c r="F91" i="83"/>
  <c r="N92" i="83"/>
  <c r="G91" i="83"/>
  <c r="K93" i="83" l="1"/>
  <c r="D92" i="83"/>
  <c r="O93" i="83"/>
  <c r="H92" i="83"/>
  <c r="P93" i="83"/>
  <c r="I92" i="83"/>
  <c r="N93" i="83"/>
  <c r="G92" i="83"/>
  <c r="M93" i="83"/>
  <c r="F92" i="83"/>
  <c r="L93" i="83"/>
  <c r="E92" i="83"/>
  <c r="M94" i="83" l="1"/>
  <c r="F93" i="83"/>
  <c r="N94" i="83"/>
  <c r="G93" i="83"/>
  <c r="P94" i="83"/>
  <c r="I93" i="83"/>
  <c r="L94" i="83"/>
  <c r="E93" i="83"/>
  <c r="O94" i="83"/>
  <c r="H93" i="83"/>
  <c r="K94" i="83"/>
  <c r="D93" i="83"/>
  <c r="P95" i="83" l="1"/>
  <c r="I94" i="83"/>
  <c r="O95" i="83"/>
  <c r="H94" i="83"/>
  <c r="L95" i="83"/>
  <c r="E94" i="83"/>
  <c r="M95" i="83"/>
  <c r="F94" i="83"/>
  <c r="K95" i="83"/>
  <c r="D94" i="83"/>
  <c r="N95" i="83"/>
  <c r="G94" i="83"/>
  <c r="L96" i="83" l="1"/>
  <c r="E95" i="83"/>
  <c r="O96" i="83"/>
  <c r="H95" i="83"/>
  <c r="N96" i="83"/>
  <c r="G95" i="83"/>
  <c r="M96" i="83"/>
  <c r="F95" i="83"/>
  <c r="K96" i="83"/>
  <c r="D95" i="83"/>
  <c r="P96" i="83"/>
  <c r="I95" i="83"/>
  <c r="N97" i="83" l="1"/>
  <c r="G96" i="83"/>
  <c r="P97" i="83"/>
  <c r="I96" i="83"/>
  <c r="O97" i="83"/>
  <c r="H96" i="83"/>
  <c r="M97" i="83"/>
  <c r="F96" i="83"/>
  <c r="K97" i="83"/>
  <c r="D96" i="83"/>
  <c r="L97" i="83"/>
  <c r="E96" i="83"/>
  <c r="M98" i="83" l="1"/>
  <c r="F97" i="83"/>
  <c r="P98" i="83"/>
  <c r="I97" i="83"/>
  <c r="O98" i="83"/>
  <c r="H97" i="83"/>
  <c r="L98" i="83"/>
  <c r="E97" i="83"/>
  <c r="K98" i="83"/>
  <c r="D97" i="83"/>
  <c r="N98" i="83"/>
  <c r="G97" i="83"/>
  <c r="O99" i="83" l="1"/>
  <c r="H98" i="83"/>
  <c r="P99" i="83"/>
  <c r="I98" i="83"/>
  <c r="L99" i="83"/>
  <c r="E98" i="83"/>
  <c r="N99" i="83"/>
  <c r="G98" i="83"/>
  <c r="K99" i="83"/>
  <c r="D98" i="83"/>
  <c r="M99" i="83"/>
  <c r="F98" i="83"/>
  <c r="N100" i="83" l="1"/>
  <c r="G99" i="83"/>
  <c r="P100" i="83"/>
  <c r="I99" i="83"/>
  <c r="L100" i="83"/>
  <c r="E99" i="83"/>
  <c r="M100" i="83"/>
  <c r="F99" i="83"/>
  <c r="K100" i="83"/>
  <c r="D99" i="83"/>
  <c r="O100" i="83"/>
  <c r="H99" i="83"/>
  <c r="M101" i="83" l="1"/>
  <c r="F100" i="83"/>
  <c r="L101" i="83"/>
  <c r="E100" i="83"/>
  <c r="K101" i="83"/>
  <c r="D100" i="83"/>
  <c r="P101" i="83"/>
  <c r="I100" i="83"/>
  <c r="O101" i="83"/>
  <c r="H100" i="83"/>
  <c r="N101" i="83"/>
  <c r="G100" i="83"/>
  <c r="P102" i="83" l="1"/>
  <c r="I101" i="83"/>
  <c r="O102" i="83"/>
  <c r="H101" i="83"/>
  <c r="M102" i="83"/>
  <c r="F101" i="83"/>
  <c r="N102" i="83"/>
  <c r="G101" i="83"/>
  <c r="L102" i="83"/>
  <c r="E101" i="83"/>
  <c r="K102" i="83"/>
  <c r="D101" i="83"/>
  <c r="L103" i="83" l="1"/>
  <c r="E102" i="83"/>
  <c r="K103" i="83"/>
  <c r="D102" i="83"/>
  <c r="O103" i="83"/>
  <c r="H102" i="83"/>
  <c r="N103" i="83"/>
  <c r="G102" i="83"/>
  <c r="M103" i="83"/>
  <c r="F102" i="83"/>
  <c r="P103" i="83"/>
  <c r="I102" i="83"/>
  <c r="N104" i="83" l="1"/>
  <c r="G103" i="83"/>
  <c r="O104" i="83"/>
  <c r="H103" i="83"/>
  <c r="P104" i="83"/>
  <c r="I103" i="83"/>
  <c r="K104" i="83"/>
  <c r="D103" i="83"/>
  <c r="M104" i="83"/>
  <c r="F103" i="83"/>
  <c r="L104" i="83"/>
  <c r="E103" i="83"/>
  <c r="P105" i="83" l="1"/>
  <c r="I104" i="83"/>
  <c r="K105" i="83"/>
  <c r="D104" i="83"/>
  <c r="O105" i="83"/>
  <c r="H104" i="83"/>
  <c r="L105" i="83"/>
  <c r="E104" i="83"/>
  <c r="M105" i="83"/>
  <c r="F104" i="83"/>
  <c r="N105" i="83"/>
  <c r="G104" i="83"/>
  <c r="N106" i="83" l="1"/>
  <c r="G105" i="83"/>
  <c r="L106" i="83"/>
  <c r="E105" i="83"/>
  <c r="O106" i="83"/>
  <c r="H105" i="83"/>
  <c r="K106" i="83"/>
  <c r="D105" i="83"/>
  <c r="M106" i="83"/>
  <c r="F105" i="83"/>
  <c r="P106" i="83"/>
  <c r="I105" i="83"/>
  <c r="K107" i="83" l="1"/>
  <c r="D106" i="83"/>
  <c r="O107" i="83"/>
  <c r="H106" i="83"/>
  <c r="P107" i="83"/>
  <c r="I106" i="83"/>
  <c r="L107" i="83"/>
  <c r="E106" i="83"/>
  <c r="M107" i="83"/>
  <c r="F106" i="83"/>
  <c r="N107" i="83"/>
  <c r="G106" i="83"/>
  <c r="P108" i="83" l="1"/>
  <c r="I107" i="83"/>
  <c r="O108" i="83"/>
  <c r="H107" i="83"/>
  <c r="L108" i="83"/>
  <c r="E107" i="83"/>
  <c r="N108" i="83"/>
  <c r="G107" i="83"/>
  <c r="M108" i="83"/>
  <c r="F107" i="83"/>
  <c r="K108" i="83"/>
  <c r="D107" i="83"/>
  <c r="N109" i="83" l="1"/>
  <c r="G108" i="83"/>
  <c r="P109" i="83"/>
  <c r="I108" i="83"/>
  <c r="O109" i="83"/>
  <c r="H108" i="83"/>
  <c r="M109" i="83"/>
  <c r="F108" i="83"/>
  <c r="L109" i="83"/>
  <c r="E108" i="83"/>
  <c r="K109" i="83"/>
  <c r="D108" i="83"/>
  <c r="N110" i="83" l="1"/>
  <c r="G109" i="83"/>
  <c r="M110" i="83"/>
  <c r="F109" i="83"/>
  <c r="O110" i="83"/>
  <c r="H109" i="83"/>
  <c r="K110" i="83"/>
  <c r="D109" i="83"/>
  <c r="P110" i="83"/>
  <c r="I109" i="83"/>
  <c r="L110" i="83"/>
  <c r="E109" i="83"/>
  <c r="P111" i="83" l="1"/>
  <c r="I110" i="83"/>
  <c r="K111" i="83"/>
  <c r="D110" i="83"/>
  <c r="O111" i="83"/>
  <c r="H110" i="83"/>
  <c r="L111" i="83"/>
  <c r="E110" i="83"/>
  <c r="M111" i="83"/>
  <c r="F110" i="83"/>
  <c r="N111" i="83"/>
  <c r="G110" i="83"/>
  <c r="M112" i="83" l="1"/>
  <c r="F111" i="83"/>
  <c r="L112" i="83"/>
  <c r="E111" i="83"/>
  <c r="O112" i="83"/>
  <c r="H111" i="83"/>
  <c r="N112" i="83"/>
  <c r="G111" i="83"/>
  <c r="K112" i="83"/>
  <c r="D111" i="83"/>
  <c r="P112" i="83"/>
  <c r="I111" i="83"/>
  <c r="M113" i="83" l="1"/>
  <c r="F112" i="83"/>
  <c r="O113" i="83"/>
  <c r="H112" i="83"/>
  <c r="P113" i="83"/>
  <c r="I112" i="83"/>
  <c r="L113" i="83"/>
  <c r="E112" i="83"/>
  <c r="K113" i="83"/>
  <c r="D112" i="83"/>
  <c r="N113" i="83"/>
  <c r="G112" i="83"/>
  <c r="L114" i="83" l="1"/>
  <c r="E113" i="83"/>
  <c r="K114" i="83"/>
  <c r="D113" i="83"/>
  <c r="M114" i="83"/>
  <c r="F113" i="83"/>
  <c r="P114" i="83"/>
  <c r="I113" i="83"/>
  <c r="N114" i="83"/>
  <c r="G113" i="83"/>
  <c r="O114" i="83"/>
  <c r="H113" i="83"/>
  <c r="P115" i="83" l="1"/>
  <c r="I114" i="83"/>
  <c r="O115" i="83"/>
  <c r="H114" i="83"/>
  <c r="M115" i="83"/>
  <c r="F114" i="83"/>
  <c r="K115" i="83"/>
  <c r="D114" i="83"/>
  <c r="N115" i="83"/>
  <c r="G114" i="83"/>
  <c r="L115" i="83"/>
  <c r="E114" i="83"/>
  <c r="M116" i="83" l="1"/>
  <c r="F115" i="83"/>
  <c r="O116" i="83"/>
  <c r="H115" i="83"/>
  <c r="K116" i="83"/>
  <c r="D115" i="83"/>
  <c r="L116" i="83"/>
  <c r="E115" i="83"/>
  <c r="N116" i="83"/>
  <c r="G115" i="83"/>
  <c r="P116" i="83"/>
  <c r="I115" i="83"/>
  <c r="L117" i="83" l="1"/>
  <c r="E116" i="83"/>
  <c r="O117" i="83"/>
  <c r="H116" i="83"/>
  <c r="K117" i="83"/>
  <c r="D116" i="83"/>
  <c r="P117" i="83"/>
  <c r="I116" i="83"/>
  <c r="N117" i="83"/>
  <c r="G116" i="83"/>
  <c r="M117" i="83"/>
  <c r="F116" i="83"/>
  <c r="K118" i="83" l="1"/>
  <c r="D117" i="83"/>
  <c r="M118" i="83"/>
  <c r="F117" i="83"/>
  <c r="O118" i="83"/>
  <c r="H117" i="83"/>
  <c r="P118" i="83"/>
  <c r="I117" i="83"/>
  <c r="N118" i="83"/>
  <c r="G117" i="83"/>
  <c r="L118" i="83"/>
  <c r="E117" i="83"/>
  <c r="P119" i="83" l="1"/>
  <c r="I118" i="83"/>
  <c r="M119" i="83"/>
  <c r="F118" i="83"/>
  <c r="O119" i="83"/>
  <c r="H118" i="83"/>
  <c r="L119" i="83"/>
  <c r="E118" i="83"/>
  <c r="N119" i="83"/>
  <c r="G118" i="83"/>
  <c r="K119" i="83"/>
  <c r="D118" i="83"/>
  <c r="L120" i="83" l="1"/>
  <c r="E119" i="83"/>
  <c r="N120" i="83"/>
  <c r="G119" i="83"/>
  <c r="M120" i="83"/>
  <c r="F119" i="83"/>
  <c r="O120" i="83"/>
  <c r="H119" i="83"/>
  <c r="K120" i="83"/>
  <c r="D119" i="83"/>
  <c r="P120" i="83"/>
  <c r="I119" i="83"/>
  <c r="L121" i="83" l="1"/>
  <c r="E120" i="83"/>
  <c r="O121" i="83"/>
  <c r="H120" i="83"/>
  <c r="M121" i="83"/>
  <c r="F120" i="83"/>
  <c r="P121" i="83"/>
  <c r="I120" i="83"/>
  <c r="N121" i="83"/>
  <c r="G120" i="83"/>
  <c r="K121" i="83"/>
  <c r="D120" i="83"/>
  <c r="N122" i="83" l="1"/>
  <c r="G121" i="83"/>
  <c r="P122" i="83"/>
  <c r="I121" i="83"/>
  <c r="K122" i="83"/>
  <c r="D121" i="83"/>
  <c r="O122" i="83"/>
  <c r="H121" i="83"/>
  <c r="M122" i="83"/>
  <c r="F121" i="83"/>
  <c r="L122" i="83"/>
  <c r="E121" i="83"/>
  <c r="O123" i="83" l="1"/>
  <c r="H122" i="83"/>
  <c r="L123" i="83"/>
  <c r="E122" i="83"/>
  <c r="P123" i="83"/>
  <c r="I122" i="83"/>
  <c r="M123" i="83"/>
  <c r="F122" i="83"/>
  <c r="K123" i="83"/>
  <c r="D122" i="83"/>
  <c r="N123" i="83"/>
  <c r="G122" i="83"/>
  <c r="O124" i="83" l="1"/>
  <c r="H123" i="83"/>
  <c r="M124" i="83"/>
  <c r="F123" i="83"/>
  <c r="K124" i="83"/>
  <c r="D123" i="83"/>
  <c r="P124" i="83"/>
  <c r="I123" i="83"/>
  <c r="N124" i="83"/>
  <c r="G123" i="83"/>
  <c r="L124" i="83"/>
  <c r="E123" i="83"/>
  <c r="P125" i="83" l="1"/>
  <c r="I124" i="83"/>
  <c r="N125" i="83"/>
  <c r="G124" i="83"/>
  <c r="K125" i="83"/>
  <c r="D124" i="83"/>
  <c r="L125" i="83"/>
  <c r="E124" i="83"/>
  <c r="M125" i="83"/>
  <c r="F124" i="83"/>
  <c r="O125" i="83"/>
  <c r="H124" i="83"/>
  <c r="M126" i="83" l="1"/>
  <c r="F125" i="83"/>
  <c r="K126" i="83"/>
  <c r="D125" i="83"/>
  <c r="L126" i="83"/>
  <c r="E125" i="83"/>
  <c r="O126" i="83"/>
  <c r="H125" i="83"/>
  <c r="N126" i="83"/>
  <c r="G125" i="83"/>
  <c r="P126" i="83"/>
  <c r="I125" i="83"/>
  <c r="O127" i="83" l="1"/>
  <c r="H126" i="83"/>
  <c r="M127" i="83"/>
  <c r="F126" i="83"/>
  <c r="N127" i="83"/>
  <c r="G126" i="83"/>
  <c r="L127" i="83"/>
  <c r="E126" i="83"/>
  <c r="P127" i="83"/>
  <c r="I126" i="83"/>
  <c r="K127" i="83"/>
  <c r="D126" i="83"/>
  <c r="L128" i="83" l="1"/>
  <c r="E127" i="83"/>
  <c r="N128" i="83"/>
  <c r="G127" i="83"/>
  <c r="K128" i="83"/>
  <c r="D127" i="83"/>
  <c r="M128" i="83"/>
  <c r="F127" i="83"/>
  <c r="P128" i="83"/>
  <c r="I127" i="83"/>
  <c r="O128" i="83"/>
  <c r="H127" i="83"/>
  <c r="P129" i="83" l="1"/>
  <c r="I128" i="83"/>
  <c r="L129" i="83"/>
  <c r="E128" i="83"/>
  <c r="M129" i="83"/>
  <c r="F128" i="83"/>
  <c r="K129" i="83"/>
  <c r="D128" i="83"/>
  <c r="O129" i="83"/>
  <c r="H128" i="83"/>
  <c r="N129" i="83"/>
  <c r="G128" i="83"/>
  <c r="O130" i="83" l="1"/>
  <c r="H129" i="83"/>
  <c r="K130" i="83"/>
  <c r="D129" i="83"/>
  <c r="P130" i="83"/>
  <c r="I129" i="83"/>
  <c r="M130" i="83"/>
  <c r="F129" i="83"/>
  <c r="N130" i="83"/>
  <c r="G129" i="83"/>
  <c r="L130" i="83"/>
  <c r="E129" i="83"/>
  <c r="M131" i="83" l="1"/>
  <c r="F130" i="83"/>
  <c r="N131" i="83"/>
  <c r="G130" i="83"/>
  <c r="O131" i="83"/>
  <c r="H130" i="83"/>
  <c r="P131" i="83"/>
  <c r="I130" i="83"/>
  <c r="L131" i="83"/>
  <c r="E130" i="83"/>
  <c r="K131" i="83"/>
  <c r="D130" i="83"/>
  <c r="O132" i="83" l="1"/>
  <c r="H131" i="83"/>
  <c r="K132" i="83"/>
  <c r="D131" i="83"/>
  <c r="N132" i="83"/>
  <c r="G131" i="83"/>
  <c r="P132" i="83"/>
  <c r="I131" i="83"/>
  <c r="L132" i="83"/>
  <c r="E131" i="83"/>
  <c r="M132" i="83"/>
  <c r="F131" i="83"/>
  <c r="L133" i="83" l="1"/>
  <c r="E132" i="83"/>
  <c r="P133" i="83"/>
  <c r="I132" i="83"/>
  <c r="N133" i="83"/>
  <c r="G132" i="83"/>
  <c r="M133" i="83"/>
  <c r="F132" i="83"/>
  <c r="K133" i="83"/>
  <c r="D132" i="83"/>
  <c r="O133" i="83"/>
  <c r="H132" i="83"/>
  <c r="M134" i="83" l="1"/>
  <c r="F133" i="83"/>
  <c r="N134" i="83"/>
  <c r="G133" i="83"/>
  <c r="O134" i="83"/>
  <c r="H133" i="83"/>
  <c r="P134" i="83"/>
  <c r="I133" i="83"/>
  <c r="K134" i="83"/>
  <c r="D133" i="83"/>
  <c r="L134" i="83"/>
  <c r="E133" i="83"/>
  <c r="O135" i="83" l="1"/>
  <c r="H134" i="83"/>
  <c r="N135" i="83"/>
  <c r="G134" i="83"/>
  <c r="P135" i="83"/>
  <c r="I134" i="83"/>
  <c r="L135" i="83"/>
  <c r="E134" i="83"/>
  <c r="K135" i="83"/>
  <c r="D134" i="83"/>
  <c r="M135" i="83"/>
  <c r="F134" i="83"/>
  <c r="L136" i="83" l="1"/>
  <c r="E135" i="83"/>
  <c r="P136" i="83"/>
  <c r="I135" i="83"/>
  <c r="M136" i="83"/>
  <c r="F135" i="83"/>
  <c r="N136" i="83"/>
  <c r="G135" i="83"/>
  <c r="K136" i="83"/>
  <c r="D135" i="83"/>
  <c r="O136" i="83"/>
  <c r="H135" i="83"/>
  <c r="N137" i="83" l="1"/>
  <c r="G136" i="83"/>
  <c r="M137" i="83"/>
  <c r="F136" i="83"/>
  <c r="O137" i="83"/>
  <c r="H136" i="83"/>
  <c r="P137" i="83"/>
  <c r="I136" i="83"/>
  <c r="K137" i="83"/>
  <c r="D136" i="83"/>
  <c r="L137" i="83"/>
  <c r="E136" i="83"/>
  <c r="P138" i="83" l="1"/>
  <c r="I137" i="83"/>
  <c r="O138" i="83"/>
  <c r="H137" i="83"/>
  <c r="M138" i="83"/>
  <c r="F137" i="83"/>
  <c r="L138" i="83"/>
  <c r="E137" i="83"/>
  <c r="K138" i="83"/>
  <c r="D137" i="83"/>
  <c r="N138" i="83"/>
  <c r="G137" i="83"/>
  <c r="O139" i="83" l="1"/>
  <c r="H138" i="83"/>
  <c r="L139" i="83"/>
  <c r="E138" i="83"/>
  <c r="M139" i="83"/>
  <c r="F138" i="83"/>
  <c r="N139" i="83"/>
  <c r="G138" i="83"/>
  <c r="K139" i="83"/>
  <c r="D138" i="83"/>
  <c r="P139" i="83"/>
  <c r="I138" i="83"/>
  <c r="L140" i="83" l="1"/>
  <c r="E139" i="83"/>
  <c r="M140" i="83"/>
  <c r="F139" i="83"/>
  <c r="N140" i="83"/>
  <c r="G139" i="83"/>
  <c r="P140" i="83"/>
  <c r="I139" i="83"/>
  <c r="K140" i="83"/>
  <c r="D139" i="83"/>
  <c r="O140" i="83"/>
  <c r="H139" i="83"/>
  <c r="P141" i="83" l="1"/>
  <c r="I140" i="83"/>
  <c r="M141" i="83"/>
  <c r="F140" i="83"/>
  <c r="N141" i="83"/>
  <c r="G140" i="83"/>
  <c r="O141" i="83"/>
  <c r="H140" i="83"/>
  <c r="K141" i="83"/>
  <c r="D140" i="83"/>
  <c r="L141" i="83"/>
  <c r="E140" i="83"/>
  <c r="N142" i="83" l="1"/>
  <c r="G141" i="83"/>
  <c r="L142" i="83"/>
  <c r="E141" i="83"/>
  <c r="O142" i="83"/>
  <c r="H141" i="83"/>
  <c r="M142" i="83"/>
  <c r="F141" i="83"/>
  <c r="K142" i="83"/>
  <c r="D141" i="83"/>
  <c r="P142" i="83"/>
  <c r="I141" i="83"/>
  <c r="L143" i="83" l="1"/>
  <c r="E142" i="83"/>
  <c r="O143" i="83"/>
  <c r="H142" i="83"/>
  <c r="M143" i="83"/>
  <c r="F142" i="83"/>
  <c r="P143" i="83"/>
  <c r="I142" i="83"/>
  <c r="K143" i="83"/>
  <c r="D142" i="83"/>
  <c r="N143" i="83"/>
  <c r="G142" i="83"/>
  <c r="N144" i="83" l="1"/>
  <c r="G143" i="83"/>
  <c r="P144" i="83"/>
  <c r="I143" i="83"/>
  <c r="M144" i="83"/>
  <c r="F143" i="83"/>
  <c r="O144" i="83"/>
  <c r="H143" i="83"/>
  <c r="K144" i="83"/>
  <c r="D143" i="83"/>
  <c r="L144" i="83"/>
  <c r="E143" i="83"/>
  <c r="P145" i="83" l="1"/>
  <c r="I144" i="83"/>
  <c r="O145" i="83"/>
  <c r="H144" i="83"/>
  <c r="M145" i="83"/>
  <c r="F144" i="83"/>
  <c r="L145" i="83"/>
  <c r="E144" i="83"/>
  <c r="K145" i="83"/>
  <c r="D144" i="83"/>
  <c r="N145" i="83"/>
  <c r="G144" i="83"/>
  <c r="L146" i="83" l="1"/>
  <c r="E145" i="83"/>
  <c r="K146" i="83"/>
  <c r="D145" i="83"/>
  <c r="M146" i="83"/>
  <c r="F145" i="83"/>
  <c r="N146" i="83"/>
  <c r="G145" i="83"/>
  <c r="O146" i="83"/>
  <c r="H145" i="83"/>
  <c r="P146" i="83"/>
  <c r="I145" i="83"/>
  <c r="N147" i="83" l="1"/>
  <c r="G146" i="83"/>
  <c r="O147" i="83"/>
  <c r="H146" i="83"/>
  <c r="M147" i="83"/>
  <c r="F146" i="83"/>
  <c r="P147" i="83"/>
  <c r="I146" i="83"/>
  <c r="K147" i="83"/>
  <c r="D146" i="83"/>
  <c r="L147" i="83"/>
  <c r="E146" i="83"/>
  <c r="P148" i="83" l="1"/>
  <c r="I147" i="83"/>
  <c r="N148" i="83"/>
  <c r="G147" i="83"/>
  <c r="M148" i="83"/>
  <c r="F147" i="83"/>
  <c r="L148" i="83"/>
  <c r="E147" i="83"/>
  <c r="O148" i="83"/>
  <c r="H147" i="83"/>
  <c r="K148" i="83"/>
  <c r="D147" i="83"/>
  <c r="P149" i="83" l="1"/>
  <c r="I148" i="83"/>
  <c r="O149" i="83"/>
  <c r="H148" i="83"/>
  <c r="K149" i="83"/>
  <c r="D148" i="83"/>
  <c r="N149" i="83"/>
  <c r="G148" i="83"/>
  <c r="L149" i="83"/>
  <c r="E148" i="83"/>
  <c r="M149" i="83"/>
  <c r="F148" i="83"/>
  <c r="L150" i="83" l="1"/>
  <c r="E149" i="83"/>
  <c r="P150" i="83"/>
  <c r="I149" i="83"/>
  <c r="M150" i="83"/>
  <c r="F149" i="83"/>
  <c r="O150" i="83"/>
  <c r="H149" i="83"/>
  <c r="N150" i="83"/>
  <c r="G149" i="83"/>
  <c r="K150" i="83"/>
  <c r="D149" i="83"/>
  <c r="O151" i="83" l="1"/>
  <c r="H150" i="83"/>
  <c r="N151" i="83"/>
  <c r="G150" i="83"/>
  <c r="K151" i="83"/>
  <c r="D150" i="83"/>
  <c r="P151" i="83"/>
  <c r="I150" i="83"/>
  <c r="L151" i="83"/>
  <c r="E150" i="83"/>
  <c r="M151" i="83"/>
  <c r="F150" i="83"/>
  <c r="O152" i="83" l="1"/>
  <c r="H151" i="83"/>
  <c r="P152" i="83"/>
  <c r="I151" i="83"/>
  <c r="L152" i="83"/>
  <c r="E151" i="83"/>
  <c r="M152" i="83"/>
  <c r="F151" i="83"/>
  <c r="N152" i="83"/>
  <c r="G151" i="83"/>
  <c r="K152" i="83"/>
  <c r="D151" i="83"/>
  <c r="N153" i="83" l="1"/>
  <c r="G152" i="83"/>
  <c r="M153" i="83"/>
  <c r="F152" i="83"/>
  <c r="K153" i="83"/>
  <c r="D152" i="83"/>
  <c r="P153" i="83"/>
  <c r="I152" i="83"/>
  <c r="O153" i="83"/>
  <c r="H152" i="83"/>
  <c r="L153" i="83"/>
  <c r="E152" i="83"/>
  <c r="O154" i="83" l="1"/>
  <c r="H153" i="83"/>
  <c r="L154" i="83"/>
  <c r="E153" i="83"/>
  <c r="M154" i="83"/>
  <c r="F153" i="83"/>
  <c r="P154" i="83"/>
  <c r="I153" i="83"/>
  <c r="K154" i="83"/>
  <c r="D153" i="83"/>
  <c r="N154" i="83"/>
  <c r="G153" i="83"/>
  <c r="K155" i="83" l="1"/>
  <c r="D154" i="83"/>
  <c r="P155" i="83"/>
  <c r="I154" i="83"/>
  <c r="O155" i="83"/>
  <c r="H154" i="83"/>
  <c r="M155" i="83"/>
  <c r="F154" i="83"/>
  <c r="N155" i="83"/>
  <c r="G154" i="83"/>
  <c r="L155" i="83"/>
  <c r="E154" i="83"/>
  <c r="K156" i="83" l="1"/>
  <c r="D155" i="83"/>
  <c r="O156" i="83"/>
  <c r="H155" i="83"/>
  <c r="L156" i="83"/>
  <c r="E155" i="83"/>
  <c r="P156" i="83"/>
  <c r="I155" i="83"/>
  <c r="N156" i="83"/>
  <c r="G155" i="83"/>
  <c r="M156" i="83"/>
  <c r="F155" i="83"/>
  <c r="P157" i="83" l="1"/>
  <c r="I156" i="83"/>
  <c r="L157" i="83"/>
  <c r="E156" i="83"/>
  <c r="M157" i="83"/>
  <c r="F156" i="83"/>
  <c r="O157" i="83"/>
  <c r="H156" i="83"/>
  <c r="N157" i="83"/>
  <c r="G156" i="83"/>
  <c r="K157" i="83"/>
  <c r="D156" i="83"/>
  <c r="O158" i="83" l="1"/>
  <c r="H157" i="83"/>
  <c r="L158" i="83"/>
  <c r="E157" i="83"/>
  <c r="M158" i="83"/>
  <c r="F157" i="83"/>
  <c r="K158" i="83"/>
  <c r="D157" i="83"/>
  <c r="N158" i="83"/>
  <c r="G157" i="83"/>
  <c r="P158" i="83"/>
  <c r="I157" i="83"/>
  <c r="M159" i="83" l="1"/>
  <c r="F158" i="83"/>
  <c r="L159" i="83"/>
  <c r="E158" i="83"/>
  <c r="P159" i="83"/>
  <c r="I158" i="83"/>
  <c r="K159" i="83"/>
  <c r="D158" i="83"/>
  <c r="N159" i="83"/>
  <c r="G158" i="83"/>
  <c r="O159" i="83"/>
  <c r="H158" i="83"/>
  <c r="P160" i="83" l="1"/>
  <c r="I159" i="83"/>
  <c r="L160" i="83"/>
  <c r="E159" i="83"/>
  <c r="K160" i="83"/>
  <c r="D159" i="83"/>
  <c r="O160" i="83"/>
  <c r="H159" i="83"/>
  <c r="N160" i="83"/>
  <c r="G159" i="83"/>
  <c r="M160" i="83"/>
  <c r="F159" i="83"/>
  <c r="O161" i="83" l="1"/>
  <c r="H160" i="83"/>
  <c r="K161" i="83"/>
  <c r="D160" i="83"/>
  <c r="M161" i="83"/>
  <c r="F160" i="83"/>
  <c r="L161" i="83"/>
  <c r="E160" i="83"/>
  <c r="N161" i="83"/>
  <c r="G160" i="83"/>
  <c r="P161" i="83"/>
  <c r="I160" i="83"/>
  <c r="L162" i="83" l="1"/>
  <c r="E161" i="83"/>
  <c r="M162" i="83"/>
  <c r="F161" i="83"/>
  <c r="N162" i="83"/>
  <c r="G161" i="83"/>
  <c r="P162" i="83"/>
  <c r="I161" i="83"/>
  <c r="K162" i="83"/>
  <c r="D161" i="83"/>
  <c r="O162" i="83"/>
  <c r="H161" i="83"/>
  <c r="P163" i="83" l="1"/>
  <c r="I162" i="83"/>
  <c r="N163" i="83"/>
  <c r="G162" i="83"/>
  <c r="O163" i="83"/>
  <c r="H162" i="83"/>
  <c r="M163" i="83"/>
  <c r="F162" i="83"/>
  <c r="K163" i="83"/>
  <c r="D162" i="83"/>
  <c r="L163" i="83"/>
  <c r="E162" i="83"/>
  <c r="M164" i="83" l="1"/>
  <c r="F163" i="83"/>
  <c r="O164" i="83"/>
  <c r="H163" i="83"/>
  <c r="N164" i="83"/>
  <c r="G163" i="83"/>
  <c r="K164" i="83"/>
  <c r="D163" i="83"/>
  <c r="L164" i="83"/>
  <c r="E163" i="83"/>
  <c r="P164" i="83"/>
  <c r="I163" i="83"/>
  <c r="M165" i="83" l="1"/>
  <c r="F164" i="83"/>
  <c r="L165" i="83"/>
  <c r="E164" i="83"/>
  <c r="K165" i="83"/>
  <c r="D164" i="83"/>
  <c r="P165" i="83"/>
  <c r="I164" i="83"/>
  <c r="O165" i="83"/>
  <c r="H164" i="83"/>
  <c r="N165" i="83"/>
  <c r="G164" i="83"/>
  <c r="L166" i="83" l="1"/>
  <c r="E165" i="83"/>
  <c r="P166" i="83"/>
  <c r="I165" i="83"/>
  <c r="K166" i="83"/>
  <c r="D165" i="83"/>
  <c r="N166" i="83"/>
  <c r="G165" i="83"/>
  <c r="O166" i="83"/>
  <c r="H165" i="83"/>
  <c r="M166" i="83"/>
  <c r="F165" i="83"/>
  <c r="M167" i="83" l="1"/>
  <c r="F166" i="83"/>
  <c r="K167" i="83"/>
  <c r="D166" i="83"/>
  <c r="N167" i="83"/>
  <c r="G166" i="83"/>
  <c r="P167" i="83"/>
  <c r="I166" i="83"/>
  <c r="O167" i="83"/>
  <c r="H166" i="83"/>
  <c r="L167" i="83"/>
  <c r="E166" i="83"/>
  <c r="N168" i="83" l="1"/>
  <c r="G167" i="83"/>
  <c r="P168" i="83"/>
  <c r="I167" i="83"/>
  <c r="L168" i="83"/>
  <c r="E167" i="83"/>
  <c r="K168" i="83"/>
  <c r="D167" i="83"/>
  <c r="O168" i="83"/>
  <c r="H167" i="83"/>
  <c r="M168" i="83"/>
  <c r="F167" i="83"/>
  <c r="K169" i="83" l="1"/>
  <c r="D168" i="83"/>
  <c r="L169" i="83"/>
  <c r="E168" i="83"/>
  <c r="M169" i="83"/>
  <c r="F168" i="83"/>
  <c r="P169" i="83"/>
  <c r="I168" i="83"/>
  <c r="O169" i="83"/>
  <c r="H168" i="83"/>
  <c r="N169" i="83"/>
  <c r="G168" i="83"/>
  <c r="P170" i="83" l="1"/>
  <c r="I169" i="83"/>
  <c r="L170" i="83"/>
  <c r="E169" i="83"/>
  <c r="N170" i="83"/>
  <c r="G169" i="83"/>
  <c r="M170" i="83"/>
  <c r="F169" i="83"/>
  <c r="O170" i="83"/>
  <c r="H169" i="83"/>
  <c r="K170" i="83"/>
  <c r="D169" i="83"/>
  <c r="K171" i="83" l="1"/>
  <c r="D170" i="83"/>
  <c r="M171" i="83"/>
  <c r="F170" i="83"/>
  <c r="N171" i="83"/>
  <c r="G170" i="83"/>
  <c r="L171" i="83"/>
  <c r="E170" i="83"/>
  <c r="O171" i="83"/>
  <c r="H170" i="83"/>
  <c r="P171" i="83"/>
  <c r="I170" i="83"/>
  <c r="L172" i="83" l="1"/>
  <c r="E171" i="83"/>
  <c r="P172" i="83"/>
  <c r="I171" i="83"/>
  <c r="N172" i="83"/>
  <c r="G171" i="83"/>
  <c r="M172" i="83"/>
  <c r="F171" i="83"/>
  <c r="O172" i="83"/>
  <c r="H171" i="83"/>
  <c r="K172" i="83"/>
  <c r="D171" i="83"/>
  <c r="K173" i="83" l="1"/>
  <c r="D172" i="83"/>
  <c r="M173" i="83"/>
  <c r="F172" i="83"/>
  <c r="N173" i="83"/>
  <c r="G172" i="83"/>
  <c r="P173" i="83"/>
  <c r="I172" i="83"/>
  <c r="O173" i="83"/>
  <c r="H172" i="83"/>
  <c r="L173" i="83"/>
  <c r="E172" i="83"/>
  <c r="M174" i="83" l="1"/>
  <c r="F173" i="83"/>
  <c r="P174" i="83"/>
  <c r="I173" i="83"/>
  <c r="N174" i="83"/>
  <c r="G173" i="83"/>
  <c r="L174" i="83"/>
  <c r="E173" i="83"/>
  <c r="O174" i="83"/>
  <c r="H173" i="83"/>
  <c r="K174" i="83"/>
  <c r="D173" i="83"/>
  <c r="N175" i="83" l="1"/>
  <c r="G174" i="83"/>
  <c r="P175" i="83"/>
  <c r="I174" i="83"/>
  <c r="L175" i="83"/>
  <c r="E174" i="83"/>
  <c r="K175" i="83"/>
  <c r="D174" i="83"/>
  <c r="O175" i="83"/>
  <c r="H174" i="83"/>
  <c r="M175" i="83"/>
  <c r="F174" i="83"/>
  <c r="M176" i="83" l="1"/>
  <c r="F175" i="83"/>
  <c r="L176" i="83"/>
  <c r="E175" i="83"/>
  <c r="P176" i="83"/>
  <c r="I175" i="83"/>
  <c r="K176" i="83"/>
  <c r="D175" i="83"/>
  <c r="O176" i="83"/>
  <c r="H175" i="83"/>
  <c r="N176" i="83"/>
  <c r="G175" i="83"/>
  <c r="P177" i="83" l="1"/>
  <c r="I176" i="83"/>
  <c r="N177" i="83"/>
  <c r="G176" i="83"/>
  <c r="K177" i="83"/>
  <c r="D176" i="83"/>
  <c r="L177" i="83"/>
  <c r="E176" i="83"/>
  <c r="O177" i="83"/>
  <c r="H176" i="83"/>
  <c r="M177" i="83"/>
  <c r="F176" i="83"/>
  <c r="M178" i="83" l="1"/>
  <c r="F177" i="83"/>
  <c r="L178" i="83"/>
  <c r="E177" i="83"/>
  <c r="N178" i="83"/>
  <c r="G177" i="83"/>
  <c r="K178" i="83"/>
  <c r="D177" i="83"/>
  <c r="O178" i="83"/>
  <c r="H177" i="83"/>
  <c r="P178" i="83"/>
  <c r="I177" i="83"/>
  <c r="K179" i="83" l="1"/>
  <c r="D178" i="83"/>
  <c r="L179" i="83"/>
  <c r="E178" i="83"/>
  <c r="N179" i="83"/>
  <c r="G178" i="83"/>
  <c r="P179" i="83"/>
  <c r="I178" i="83"/>
  <c r="O179" i="83"/>
  <c r="H178" i="83"/>
  <c r="M179" i="83"/>
  <c r="F178" i="83"/>
  <c r="M180" i="83" l="1"/>
  <c r="F179" i="83"/>
  <c r="P180" i="83"/>
  <c r="I179" i="83"/>
  <c r="L180" i="83"/>
  <c r="E179" i="83"/>
  <c r="N180" i="83"/>
  <c r="G179" i="83"/>
  <c r="O180" i="83"/>
  <c r="H179" i="83"/>
  <c r="K180" i="83"/>
  <c r="D179" i="83"/>
  <c r="P181" i="83" l="1"/>
  <c r="I180" i="83"/>
  <c r="N181" i="83"/>
  <c r="G180" i="83"/>
  <c r="L181" i="83"/>
  <c r="E180" i="83"/>
  <c r="K181" i="83"/>
  <c r="D180" i="83"/>
  <c r="O181" i="83"/>
  <c r="H180" i="83"/>
  <c r="M181" i="83"/>
  <c r="F180" i="83"/>
  <c r="M182" i="83" l="1"/>
  <c r="F181" i="83"/>
  <c r="K182" i="83"/>
  <c r="D181" i="83"/>
  <c r="L182" i="83"/>
  <c r="E181" i="83"/>
  <c r="N182" i="83"/>
  <c r="G181" i="83"/>
  <c r="O182" i="83"/>
  <c r="H181" i="83"/>
  <c r="P182" i="83"/>
  <c r="I181" i="83"/>
  <c r="L183" i="83" l="1"/>
  <c r="E182" i="83"/>
  <c r="P183" i="83"/>
  <c r="I182" i="83"/>
  <c r="K183" i="83"/>
  <c r="D182" i="83"/>
  <c r="N183" i="83"/>
  <c r="G182" i="83"/>
  <c r="O183" i="83"/>
  <c r="H182" i="83"/>
  <c r="M183" i="83"/>
  <c r="F182" i="83"/>
  <c r="P184" i="83" l="1"/>
  <c r="I183" i="83"/>
  <c r="K184" i="83"/>
  <c r="D183" i="83"/>
  <c r="N184" i="83"/>
  <c r="G183" i="83"/>
  <c r="M184" i="83"/>
  <c r="F183" i="83"/>
  <c r="O184" i="83"/>
  <c r="H183" i="83"/>
  <c r="L184" i="83"/>
  <c r="E183" i="83"/>
  <c r="M185" i="83" l="1"/>
  <c r="F184" i="83"/>
  <c r="L185" i="83"/>
  <c r="E184" i="83"/>
  <c r="N185" i="83"/>
  <c r="G184" i="83"/>
  <c r="K185" i="83"/>
  <c r="D184" i="83"/>
  <c r="O185" i="83"/>
  <c r="H184" i="83"/>
  <c r="P185" i="83"/>
  <c r="I184" i="83"/>
  <c r="K186" i="83" l="1"/>
  <c r="D185" i="83"/>
  <c r="P186" i="83"/>
  <c r="I185" i="83"/>
  <c r="N186" i="83"/>
  <c r="G185" i="83"/>
  <c r="L186" i="83"/>
  <c r="E185" i="83"/>
  <c r="O186" i="83"/>
  <c r="H185" i="83"/>
  <c r="M186" i="83"/>
  <c r="F185" i="83"/>
  <c r="L187" i="83" l="1"/>
  <c r="E186" i="83"/>
  <c r="M187" i="83"/>
  <c r="F186" i="83"/>
  <c r="N187" i="83"/>
  <c r="G186" i="83"/>
  <c r="P187" i="83"/>
  <c r="I186" i="83"/>
  <c r="O187" i="83"/>
  <c r="H186" i="83"/>
  <c r="K187" i="83"/>
  <c r="D186" i="83"/>
  <c r="P188" i="83" l="1"/>
  <c r="I187" i="83"/>
  <c r="M188" i="83"/>
  <c r="F187" i="83"/>
  <c r="N188" i="83"/>
  <c r="G187" i="83"/>
  <c r="K188" i="83"/>
  <c r="D187" i="83"/>
  <c r="O188" i="83"/>
  <c r="H187" i="83"/>
  <c r="L188" i="83"/>
  <c r="E187" i="83"/>
  <c r="K189" i="83" l="1"/>
  <c r="D188" i="83"/>
  <c r="M189" i="83"/>
  <c r="F188" i="83"/>
  <c r="N189" i="83"/>
  <c r="G188" i="83"/>
  <c r="L189" i="83"/>
  <c r="E188" i="83"/>
  <c r="O189" i="83"/>
  <c r="H188" i="83"/>
  <c r="P189" i="83"/>
  <c r="I188" i="83"/>
  <c r="P190" i="83" l="1"/>
  <c r="I189" i="83"/>
  <c r="L190" i="83"/>
  <c r="E189" i="83"/>
  <c r="N190" i="83"/>
  <c r="G189" i="83"/>
  <c r="M190" i="83"/>
  <c r="F189" i="83"/>
  <c r="O190" i="83"/>
  <c r="H189" i="83"/>
  <c r="K190" i="83"/>
  <c r="D189" i="83"/>
  <c r="K191" i="83" l="1"/>
  <c r="D190" i="83"/>
  <c r="M191" i="83"/>
  <c r="F190" i="83"/>
  <c r="N191" i="83"/>
  <c r="G190" i="83"/>
  <c r="L191" i="83"/>
  <c r="E190" i="83"/>
  <c r="O191" i="83"/>
  <c r="H190" i="83"/>
  <c r="P191" i="83"/>
  <c r="I190" i="83"/>
  <c r="L192" i="83" l="1"/>
  <c r="E191" i="83"/>
  <c r="P192" i="83"/>
  <c r="I191" i="83"/>
  <c r="N192" i="83"/>
  <c r="G191" i="83"/>
  <c r="M192" i="83"/>
  <c r="F191" i="83"/>
  <c r="O192" i="83"/>
  <c r="H191" i="83"/>
  <c r="K192" i="83"/>
  <c r="D191" i="83"/>
  <c r="K193" i="83" l="1"/>
  <c r="D192" i="83"/>
  <c r="N193" i="83"/>
  <c r="G192" i="83"/>
  <c r="M193" i="83"/>
  <c r="F192" i="83"/>
  <c r="P193" i="83"/>
  <c r="I192" i="83"/>
  <c r="O193" i="83"/>
  <c r="H192" i="83"/>
  <c r="L193" i="83"/>
  <c r="E192" i="83"/>
  <c r="M194" i="83" l="1"/>
  <c r="F193" i="83"/>
  <c r="L194" i="83"/>
  <c r="E193" i="83"/>
  <c r="P194" i="83"/>
  <c r="I193" i="83"/>
  <c r="N194" i="83"/>
  <c r="G193" i="83"/>
  <c r="O194" i="83"/>
  <c r="H193" i="83"/>
  <c r="K194" i="83"/>
  <c r="D193" i="83"/>
  <c r="N195" i="83" l="1"/>
  <c r="G194" i="83"/>
  <c r="P195" i="83"/>
  <c r="I194" i="83"/>
  <c r="K195" i="83"/>
  <c r="D194" i="83"/>
  <c r="L195" i="83"/>
  <c r="E194" i="83"/>
  <c r="O195" i="83"/>
  <c r="H194" i="83"/>
  <c r="M195" i="83"/>
  <c r="F194" i="83"/>
  <c r="P196" i="83" l="1"/>
  <c r="I195" i="83"/>
  <c r="L196" i="83"/>
  <c r="E195" i="83"/>
  <c r="K196" i="83"/>
  <c r="D195" i="83"/>
  <c r="M196" i="83"/>
  <c r="F195" i="83"/>
  <c r="O196" i="83"/>
  <c r="H195" i="83"/>
  <c r="N196" i="83"/>
  <c r="G195" i="83"/>
  <c r="K197" i="83" l="1"/>
  <c r="D196" i="83"/>
  <c r="N197" i="83"/>
  <c r="G196" i="83"/>
  <c r="M197" i="83"/>
  <c r="F196" i="83"/>
  <c r="L197" i="83"/>
  <c r="E196" i="83"/>
  <c r="O197" i="83"/>
  <c r="H196" i="83"/>
  <c r="P197" i="83"/>
  <c r="I196" i="83"/>
  <c r="L198" i="83" l="1"/>
  <c r="E197" i="83"/>
  <c r="N198" i="83"/>
  <c r="G197" i="83"/>
  <c r="M198" i="83"/>
  <c r="F197" i="83"/>
  <c r="P198" i="83"/>
  <c r="I197" i="83"/>
  <c r="O198" i="83"/>
  <c r="H197" i="83"/>
  <c r="K198" i="83"/>
  <c r="D197" i="83"/>
  <c r="K199" i="83" l="1"/>
  <c r="D198" i="83"/>
  <c r="P199" i="83"/>
  <c r="I198" i="83"/>
  <c r="M199" i="83"/>
  <c r="F198" i="83"/>
  <c r="N199" i="83"/>
  <c r="G198" i="83"/>
  <c r="O199" i="83"/>
  <c r="H198" i="83"/>
  <c r="L199" i="83"/>
  <c r="E198" i="83"/>
  <c r="N200" i="83" l="1"/>
  <c r="G199" i="83"/>
  <c r="L200" i="83"/>
  <c r="E199" i="83"/>
  <c r="M200" i="83"/>
  <c r="F199" i="83"/>
  <c r="P200" i="83"/>
  <c r="I199" i="83"/>
  <c r="O200" i="83"/>
  <c r="H199" i="83"/>
  <c r="K200" i="83"/>
  <c r="D199" i="83"/>
  <c r="L201" i="83" l="1"/>
  <c r="E200" i="83"/>
  <c r="P201" i="83"/>
  <c r="I200" i="83"/>
  <c r="M201" i="83"/>
  <c r="F200" i="83"/>
  <c r="K201" i="83"/>
  <c r="D200" i="83"/>
  <c r="O201" i="83"/>
  <c r="H200" i="83"/>
  <c r="N201" i="83"/>
  <c r="G200" i="83"/>
  <c r="K202" i="83" l="1"/>
  <c r="D201" i="83"/>
  <c r="N202" i="83"/>
  <c r="G201" i="83"/>
  <c r="M202" i="83"/>
  <c r="F201" i="83"/>
  <c r="P202" i="83"/>
  <c r="I201" i="83"/>
  <c r="O202" i="83"/>
  <c r="H201" i="83"/>
  <c r="L202" i="83"/>
  <c r="E201" i="83"/>
  <c r="P203" i="83" l="1"/>
  <c r="I202" i="83"/>
  <c r="M203" i="83"/>
  <c r="F202" i="83"/>
  <c r="L203" i="83"/>
  <c r="E202" i="83"/>
  <c r="N203" i="83"/>
  <c r="G202" i="83"/>
  <c r="O203" i="83"/>
  <c r="H202" i="83"/>
  <c r="K203" i="83"/>
  <c r="D202" i="83"/>
  <c r="K204" i="83" l="1"/>
  <c r="D203" i="83"/>
  <c r="N204" i="83"/>
  <c r="G203" i="83"/>
  <c r="L204" i="83"/>
  <c r="E203" i="83"/>
  <c r="M204" i="83"/>
  <c r="F203" i="83"/>
  <c r="O204" i="83"/>
  <c r="H203" i="83"/>
  <c r="P204" i="83"/>
  <c r="I203" i="83"/>
  <c r="P205" i="83" l="1"/>
  <c r="I204" i="83"/>
  <c r="M205" i="83"/>
  <c r="F204" i="83"/>
  <c r="L205" i="83"/>
  <c r="E204" i="83"/>
  <c r="N205" i="83"/>
  <c r="G204" i="83"/>
  <c r="O205" i="83"/>
  <c r="H204" i="83"/>
  <c r="K205" i="83"/>
  <c r="D204" i="83"/>
  <c r="N206" i="83" l="1"/>
  <c r="G205" i="83"/>
  <c r="K206" i="83"/>
  <c r="D205" i="83"/>
  <c r="L206" i="83"/>
  <c r="E205" i="83"/>
  <c r="M206" i="83"/>
  <c r="F205" i="83"/>
  <c r="O206" i="83"/>
  <c r="H205" i="83"/>
  <c r="P206" i="83"/>
  <c r="I205" i="83"/>
  <c r="L207" i="83" l="1"/>
  <c r="E206" i="83"/>
  <c r="M207" i="83"/>
  <c r="F206" i="83"/>
  <c r="P207" i="83"/>
  <c r="I206" i="83"/>
  <c r="K207" i="83"/>
  <c r="D206" i="83"/>
  <c r="O207" i="83"/>
  <c r="H206" i="83"/>
  <c r="N207" i="83"/>
  <c r="G206" i="83"/>
  <c r="K208" i="83" l="1"/>
  <c r="D207" i="83"/>
  <c r="P208" i="83"/>
  <c r="I207" i="83"/>
  <c r="N208" i="83"/>
  <c r="G207" i="83"/>
  <c r="M208" i="83"/>
  <c r="F207" i="83"/>
  <c r="O208" i="83"/>
  <c r="H207" i="83"/>
  <c r="L208" i="83"/>
  <c r="E207" i="83"/>
  <c r="L209" i="83" l="1"/>
  <c r="E208" i="83"/>
  <c r="N209" i="83"/>
  <c r="G208" i="83"/>
  <c r="M209" i="83"/>
  <c r="F208" i="83"/>
  <c r="P209" i="83"/>
  <c r="I208" i="83"/>
  <c r="O209" i="83"/>
  <c r="H208" i="83"/>
  <c r="K209" i="83"/>
  <c r="D208" i="83"/>
  <c r="M210" i="83" l="1"/>
  <c r="F209" i="83"/>
  <c r="P210" i="83"/>
  <c r="I209" i="83"/>
  <c r="K210" i="83"/>
  <c r="D209" i="83"/>
  <c r="N210" i="83"/>
  <c r="G209" i="83"/>
  <c r="O210" i="83"/>
  <c r="H209" i="83"/>
  <c r="L210" i="83"/>
  <c r="E209" i="83"/>
  <c r="K211" i="83" l="1"/>
  <c r="D210" i="83"/>
  <c r="L211" i="83"/>
  <c r="E210" i="83"/>
  <c r="N211" i="83"/>
  <c r="G210" i="83"/>
  <c r="P211" i="83"/>
  <c r="I210" i="83"/>
  <c r="O211" i="83"/>
  <c r="H210" i="83"/>
  <c r="M211" i="83"/>
  <c r="F210" i="83"/>
  <c r="N212" i="83" l="1"/>
  <c r="G211" i="83"/>
  <c r="P212" i="83"/>
  <c r="I211" i="83"/>
  <c r="M212" i="83"/>
  <c r="F211" i="83"/>
  <c r="L212" i="83"/>
  <c r="E211" i="83"/>
  <c r="O212" i="83"/>
  <c r="H211" i="83"/>
  <c r="K212" i="83"/>
  <c r="D211" i="83"/>
  <c r="L213" i="83" l="1"/>
  <c r="E212" i="83"/>
  <c r="K213" i="83"/>
  <c r="D212" i="83"/>
  <c r="M213" i="83"/>
  <c r="F212" i="83"/>
  <c r="P213" i="83"/>
  <c r="I212" i="83"/>
  <c r="O213" i="83"/>
  <c r="H212" i="83"/>
  <c r="N213" i="83"/>
  <c r="G212" i="83"/>
  <c r="P214" i="83" l="1"/>
  <c r="I213" i="83"/>
  <c r="K214" i="83"/>
  <c r="D213" i="83"/>
  <c r="M214" i="83"/>
  <c r="F213" i="83"/>
  <c r="N214" i="83"/>
  <c r="G213" i="83"/>
  <c r="O214" i="83"/>
  <c r="H213" i="83"/>
  <c r="L214" i="83"/>
  <c r="E213" i="83"/>
  <c r="N215" i="83" l="1"/>
  <c r="G214" i="83"/>
  <c r="K215" i="83"/>
  <c r="D214" i="83"/>
  <c r="M215" i="83"/>
  <c r="F214" i="83"/>
  <c r="L215" i="83"/>
  <c r="E214" i="83"/>
  <c r="O215" i="83"/>
  <c r="H214" i="83"/>
  <c r="P215" i="83"/>
  <c r="I214" i="83"/>
  <c r="M216" i="83" l="1"/>
  <c r="F215" i="83"/>
  <c r="P216" i="83"/>
  <c r="I215" i="83"/>
  <c r="K216" i="83"/>
  <c r="D215" i="83"/>
  <c r="L216" i="83"/>
  <c r="E215" i="83"/>
  <c r="O216" i="83"/>
  <c r="H215" i="83"/>
  <c r="N216" i="83"/>
  <c r="G215" i="83"/>
  <c r="L217" i="83" l="1"/>
  <c r="E216" i="83"/>
  <c r="K217" i="83"/>
  <c r="D216" i="83"/>
  <c r="N217" i="83"/>
  <c r="G216" i="83"/>
  <c r="P217" i="83"/>
  <c r="I216" i="83"/>
  <c r="O217" i="83"/>
  <c r="H216" i="83"/>
  <c r="M217" i="83"/>
  <c r="F216" i="83"/>
  <c r="M218" i="83" l="1"/>
  <c r="F217" i="83"/>
  <c r="P218" i="83"/>
  <c r="I217" i="83"/>
  <c r="N218" i="83"/>
  <c r="G217" i="83"/>
  <c r="K218" i="83"/>
  <c r="D217" i="83"/>
  <c r="O218" i="83"/>
  <c r="H217" i="83"/>
  <c r="L218" i="83"/>
  <c r="E217" i="83"/>
  <c r="K219" i="83" l="1"/>
  <c r="D218" i="83"/>
  <c r="N219" i="83"/>
  <c r="G218" i="83"/>
  <c r="L219" i="83"/>
  <c r="E218" i="83"/>
  <c r="P219" i="83"/>
  <c r="I218" i="83"/>
  <c r="O219" i="83"/>
  <c r="H218" i="83"/>
  <c r="M219" i="83"/>
  <c r="F218" i="83"/>
  <c r="L220" i="83" l="1"/>
  <c r="E219" i="83"/>
  <c r="M220" i="83"/>
  <c r="F219" i="83"/>
  <c r="N220" i="83"/>
  <c r="G219" i="83"/>
  <c r="P220" i="83"/>
  <c r="I219" i="83"/>
  <c r="O220" i="83"/>
  <c r="H219" i="83"/>
  <c r="K220" i="83"/>
  <c r="D219" i="83"/>
  <c r="P221" i="83" l="1"/>
  <c r="I220" i="83"/>
  <c r="N221" i="83"/>
  <c r="G220" i="83"/>
  <c r="M221" i="83"/>
  <c r="F220" i="83"/>
  <c r="K221" i="83"/>
  <c r="D220" i="83"/>
  <c r="O221" i="83"/>
  <c r="H220" i="83"/>
  <c r="L221" i="83"/>
  <c r="E220" i="83"/>
  <c r="K222" i="83" l="1"/>
  <c r="D221" i="83"/>
  <c r="M222" i="83"/>
  <c r="F221" i="83"/>
  <c r="N222" i="83"/>
  <c r="G221" i="83"/>
  <c r="L222" i="83"/>
  <c r="E221" i="83"/>
  <c r="O222" i="83"/>
  <c r="H221" i="83"/>
  <c r="P222" i="83"/>
  <c r="I221" i="83"/>
  <c r="M223" i="83" l="1"/>
  <c r="F222" i="83"/>
  <c r="N223" i="83"/>
  <c r="G222" i="83"/>
  <c r="L223" i="83"/>
  <c r="E222" i="83"/>
  <c r="P223" i="83"/>
  <c r="I222" i="83"/>
  <c r="O223" i="83"/>
  <c r="H222" i="83"/>
  <c r="K223" i="83"/>
  <c r="D222" i="83"/>
  <c r="N224" i="83" l="1"/>
  <c r="G223" i="83"/>
  <c r="L224" i="83"/>
  <c r="E223" i="83"/>
  <c r="P224" i="83"/>
  <c r="I223" i="83"/>
  <c r="K224" i="83"/>
  <c r="D223" i="83"/>
  <c r="O224" i="83"/>
  <c r="H223" i="83"/>
  <c r="M224" i="83"/>
  <c r="F223" i="83"/>
  <c r="L225" i="83" l="1"/>
  <c r="E224" i="83"/>
  <c r="K225" i="83"/>
  <c r="D224" i="83"/>
  <c r="P225" i="83"/>
  <c r="I224" i="83"/>
  <c r="M225" i="83"/>
  <c r="F224" i="83"/>
  <c r="O225" i="83"/>
  <c r="H224" i="83"/>
  <c r="N225" i="83"/>
  <c r="G224" i="83"/>
  <c r="M226" i="83" l="1"/>
  <c r="F225" i="83"/>
  <c r="N226" i="83"/>
  <c r="G225" i="83"/>
  <c r="P226" i="83"/>
  <c r="I225" i="83"/>
  <c r="K226" i="83"/>
  <c r="D225" i="83"/>
  <c r="O226" i="83"/>
  <c r="H225" i="83"/>
  <c r="L226" i="83"/>
  <c r="E225" i="83"/>
  <c r="O227" i="83" l="1"/>
  <c r="H226" i="83"/>
  <c r="K227" i="83"/>
  <c r="D226" i="83"/>
  <c r="P227" i="83"/>
  <c r="I226" i="83"/>
  <c r="L227" i="83"/>
  <c r="E226" i="83"/>
  <c r="N227" i="83"/>
  <c r="G226" i="83"/>
  <c r="M227" i="83"/>
  <c r="F226" i="83"/>
  <c r="O228" i="83" l="1"/>
  <c r="H227" i="83"/>
  <c r="L228" i="83"/>
  <c r="E227" i="83"/>
  <c r="M228" i="83"/>
  <c r="F227" i="83"/>
  <c r="K228" i="83"/>
  <c r="D227" i="83"/>
  <c r="N228" i="83"/>
  <c r="G227" i="83"/>
  <c r="P228" i="83"/>
  <c r="I227" i="83"/>
  <c r="M229" i="83" l="1"/>
  <c r="F228" i="83"/>
  <c r="L229" i="83"/>
  <c r="E228" i="83"/>
  <c r="O229" i="83"/>
  <c r="H228" i="83"/>
  <c r="K229" i="83"/>
  <c r="D228" i="83"/>
  <c r="P229" i="83"/>
  <c r="I228" i="83"/>
  <c r="N229" i="83"/>
  <c r="G228" i="83"/>
  <c r="M230" i="83" l="1"/>
  <c r="F229" i="83"/>
  <c r="O230" i="83"/>
  <c r="H229" i="83"/>
  <c r="K230" i="83"/>
  <c r="D229" i="83"/>
  <c r="N230" i="83"/>
  <c r="G229" i="83"/>
  <c r="L230" i="83"/>
  <c r="E229" i="83"/>
  <c r="P230" i="83"/>
  <c r="I229" i="83"/>
  <c r="N231" i="83" l="1"/>
  <c r="G230" i="83"/>
  <c r="M231" i="83"/>
  <c r="F230" i="83"/>
  <c r="P231" i="83"/>
  <c r="I230" i="83"/>
  <c r="O231" i="83"/>
  <c r="H230" i="83"/>
  <c r="L231" i="83"/>
  <c r="E230" i="83"/>
  <c r="K231" i="83"/>
  <c r="D230" i="83"/>
  <c r="O232" i="83" l="1"/>
  <c r="H231" i="83"/>
  <c r="N232" i="83"/>
  <c r="G231" i="83"/>
  <c r="K232" i="83"/>
  <c r="D231" i="83"/>
  <c r="M232" i="83"/>
  <c r="F231" i="83"/>
  <c r="L232" i="83"/>
  <c r="E231" i="83"/>
  <c r="P232" i="83"/>
  <c r="I231" i="83"/>
  <c r="L233" i="83" l="1"/>
  <c r="E232" i="83"/>
  <c r="M233" i="83"/>
  <c r="F232" i="83"/>
  <c r="P233" i="83"/>
  <c r="I232" i="83"/>
  <c r="N233" i="83"/>
  <c r="G232" i="83"/>
  <c r="O233" i="83"/>
  <c r="H232" i="83"/>
  <c r="K233" i="83"/>
  <c r="D232" i="83"/>
  <c r="L234" i="83" l="1"/>
  <c r="E233" i="83"/>
  <c r="N234" i="83"/>
  <c r="G233" i="83"/>
  <c r="P234" i="83"/>
  <c r="I233" i="83"/>
  <c r="O234" i="83"/>
  <c r="H233" i="83"/>
  <c r="K234" i="83"/>
  <c r="D233" i="83"/>
  <c r="M234" i="83"/>
  <c r="F233" i="83"/>
  <c r="O235" i="83" l="1"/>
  <c r="H234" i="83"/>
  <c r="L235" i="83"/>
  <c r="E234" i="83"/>
  <c r="P235" i="83"/>
  <c r="I234" i="83"/>
  <c r="N235" i="83"/>
  <c r="G234" i="83"/>
  <c r="K235" i="83"/>
  <c r="D234" i="83"/>
  <c r="M235" i="83"/>
  <c r="F234" i="83"/>
  <c r="O236" i="83" l="1"/>
  <c r="H235" i="83"/>
  <c r="K236" i="83"/>
  <c r="D235" i="83"/>
  <c r="N236" i="83"/>
  <c r="G235" i="83"/>
  <c r="M236" i="83"/>
  <c r="F235" i="83"/>
  <c r="L236" i="83"/>
  <c r="E235" i="83"/>
  <c r="P236" i="83"/>
  <c r="I235" i="83"/>
  <c r="O237" i="83" l="1"/>
  <c r="H236" i="83"/>
  <c r="L237" i="83"/>
  <c r="E236" i="83"/>
  <c r="M237" i="83"/>
  <c r="F236" i="83"/>
  <c r="P237" i="83"/>
  <c r="I236" i="83"/>
  <c r="K237" i="83"/>
  <c r="D236" i="83"/>
  <c r="N237" i="83"/>
  <c r="G236" i="83"/>
  <c r="K238" i="83" l="1"/>
  <c r="D237" i="83"/>
  <c r="P238" i="83"/>
  <c r="I237" i="83"/>
  <c r="M238" i="83"/>
  <c r="F237" i="83"/>
  <c r="O238" i="83"/>
  <c r="H237" i="83"/>
  <c r="N238" i="83"/>
  <c r="G237" i="83"/>
  <c r="L238" i="83"/>
  <c r="E237" i="83"/>
  <c r="O239" i="83" l="1"/>
  <c r="H238" i="83"/>
  <c r="M239" i="83"/>
  <c r="F238" i="83"/>
  <c r="P239" i="83"/>
  <c r="I238" i="83"/>
  <c r="L239" i="83"/>
  <c r="E238" i="83"/>
  <c r="N239" i="83"/>
  <c r="G238" i="83"/>
  <c r="K239" i="83"/>
  <c r="D238" i="83"/>
  <c r="L240" i="83" l="1"/>
  <c r="E239" i="83"/>
  <c r="M240" i="83"/>
  <c r="F239" i="83"/>
  <c r="P240" i="83"/>
  <c r="I239" i="83"/>
  <c r="K240" i="83"/>
  <c r="D239" i="83"/>
  <c r="N240" i="83"/>
  <c r="G239" i="83"/>
  <c r="O240" i="83"/>
  <c r="H239" i="83"/>
  <c r="N241" i="83" l="1"/>
  <c r="G240" i="83"/>
  <c r="O241" i="83"/>
  <c r="H240" i="83"/>
  <c r="K241" i="83"/>
  <c r="D240" i="83"/>
  <c r="P241" i="83"/>
  <c r="I240" i="83"/>
  <c r="M241" i="83"/>
  <c r="F240" i="83"/>
  <c r="L241" i="83"/>
  <c r="E240" i="83"/>
  <c r="P242" i="83" l="1"/>
  <c r="I241" i="83"/>
  <c r="K242" i="83"/>
  <c r="D241" i="83"/>
  <c r="M242" i="83"/>
  <c r="F241" i="83"/>
  <c r="O242" i="83"/>
  <c r="H241" i="83"/>
  <c r="N242" i="83"/>
  <c r="G241" i="83"/>
  <c r="L242" i="83"/>
  <c r="E241" i="83"/>
  <c r="N243" i="83" l="1"/>
  <c r="G242" i="83"/>
  <c r="M243" i="83"/>
  <c r="F242" i="83"/>
  <c r="L243" i="83"/>
  <c r="E242" i="83"/>
  <c r="K243" i="83"/>
  <c r="D242" i="83"/>
  <c r="O243" i="83"/>
  <c r="H242" i="83"/>
  <c r="P243" i="83"/>
  <c r="I242" i="83"/>
  <c r="L244" i="83" l="1"/>
  <c r="E243" i="83"/>
  <c r="O244" i="83"/>
  <c r="H243" i="83"/>
  <c r="P244" i="83"/>
  <c r="I243" i="83"/>
  <c r="M244" i="83"/>
  <c r="F243" i="83"/>
  <c r="K244" i="83"/>
  <c r="D243" i="83"/>
  <c r="N244" i="83"/>
  <c r="G243" i="83"/>
  <c r="P245" i="83" l="1"/>
  <c r="I244" i="83"/>
  <c r="K245" i="83"/>
  <c r="D244" i="83"/>
  <c r="M245" i="83"/>
  <c r="F244" i="83"/>
  <c r="O245" i="83"/>
  <c r="H244" i="83"/>
  <c r="N245" i="83"/>
  <c r="G244" i="83"/>
  <c r="L245" i="83"/>
  <c r="E244" i="83"/>
  <c r="P246" i="83" l="1"/>
  <c r="I245" i="83"/>
  <c r="N246" i="83"/>
  <c r="G245" i="83"/>
  <c r="O246" i="83"/>
  <c r="H245" i="83"/>
  <c r="M246" i="83"/>
  <c r="F245" i="83"/>
  <c r="L246" i="83"/>
  <c r="E245" i="83"/>
  <c r="K246" i="83"/>
  <c r="D245" i="83"/>
  <c r="O247" i="83" l="1"/>
  <c r="H246" i="83"/>
  <c r="N247" i="83"/>
  <c r="G246" i="83"/>
  <c r="M247" i="83"/>
  <c r="F246" i="83"/>
  <c r="K247" i="83"/>
  <c r="D246" i="83"/>
  <c r="L247" i="83"/>
  <c r="E246" i="83"/>
  <c r="P247" i="83"/>
  <c r="I246" i="83"/>
  <c r="P248" i="83" l="1"/>
  <c r="I247" i="83"/>
  <c r="K248" i="83"/>
  <c r="D247" i="83"/>
  <c r="M248" i="83"/>
  <c r="F247" i="83"/>
  <c r="N248" i="83"/>
  <c r="G247" i="83"/>
  <c r="L248" i="83"/>
  <c r="E247" i="83"/>
  <c r="O248" i="83"/>
  <c r="H247" i="83"/>
  <c r="N249" i="83" l="1"/>
  <c r="G248" i="83"/>
  <c r="M249" i="83"/>
  <c r="F248" i="83"/>
  <c r="O249" i="83"/>
  <c r="H248" i="83"/>
  <c r="K249" i="83"/>
  <c r="D248" i="83"/>
  <c r="L249" i="83"/>
  <c r="E248" i="83"/>
  <c r="P249" i="83"/>
  <c r="I248" i="83"/>
  <c r="L250" i="83" l="1"/>
  <c r="E249" i="83"/>
  <c r="P250" i="83"/>
  <c r="I249" i="83"/>
  <c r="M250" i="83"/>
  <c r="F249" i="83"/>
  <c r="K250" i="83"/>
  <c r="D249" i="83"/>
  <c r="O250" i="83"/>
  <c r="H249" i="83"/>
  <c r="N250" i="83"/>
  <c r="G249" i="83"/>
  <c r="K251" i="83" l="1"/>
  <c r="D250" i="83"/>
  <c r="N251" i="83"/>
  <c r="G250" i="83"/>
  <c r="P251" i="83"/>
  <c r="I250" i="83"/>
  <c r="M251" i="83"/>
  <c r="F250" i="83"/>
  <c r="O251" i="83"/>
  <c r="H250" i="83"/>
  <c r="L251" i="83"/>
  <c r="E250" i="83"/>
  <c r="M252" i="83" l="1"/>
  <c r="F251" i="83"/>
  <c r="N252" i="83"/>
  <c r="G251" i="83"/>
  <c r="P252" i="83"/>
  <c r="I251" i="83"/>
  <c r="L252" i="83"/>
  <c r="E251" i="83"/>
  <c r="O252" i="83"/>
  <c r="H251" i="83"/>
  <c r="K252" i="83"/>
  <c r="D251" i="83"/>
  <c r="M253" i="83" l="1"/>
  <c r="F252" i="83"/>
  <c r="L253" i="83"/>
  <c r="E252" i="83"/>
  <c r="P253" i="83"/>
  <c r="I252" i="83"/>
  <c r="N253" i="83"/>
  <c r="G252" i="83"/>
  <c r="O253" i="83"/>
  <c r="H252" i="83"/>
  <c r="K253" i="83"/>
  <c r="D252" i="83"/>
  <c r="O254" i="83" l="1"/>
  <c r="H253" i="83"/>
  <c r="M254" i="83"/>
  <c r="F253" i="83"/>
  <c r="K254" i="83"/>
  <c r="D253" i="83"/>
  <c r="L254" i="83"/>
  <c r="E253" i="83"/>
  <c r="N254" i="83"/>
  <c r="G253" i="83"/>
  <c r="P254" i="83"/>
  <c r="I253" i="83"/>
  <c r="N255" i="83" l="1"/>
  <c r="G254" i="83"/>
  <c r="K255" i="83"/>
  <c r="D254" i="83"/>
  <c r="O255" i="83"/>
  <c r="H254" i="83"/>
  <c r="L255" i="83"/>
  <c r="E254" i="83"/>
  <c r="P255" i="83"/>
  <c r="I254" i="83"/>
  <c r="M255" i="83"/>
  <c r="F254" i="83"/>
  <c r="L256" i="83" l="1"/>
  <c r="E255" i="83"/>
  <c r="P256" i="83"/>
  <c r="I255" i="83"/>
  <c r="O256" i="83"/>
  <c r="H255" i="83"/>
  <c r="N256" i="83"/>
  <c r="G255" i="83"/>
  <c r="M256" i="83"/>
  <c r="F255" i="83"/>
  <c r="K256" i="83"/>
  <c r="D255" i="83"/>
  <c r="M257" i="83" l="1"/>
  <c r="F256" i="83"/>
  <c r="L257" i="83"/>
  <c r="E256" i="83"/>
  <c r="N257" i="83"/>
  <c r="G256" i="83"/>
  <c r="O257" i="83"/>
  <c r="H256" i="83"/>
  <c r="P257" i="83"/>
  <c r="I256" i="83"/>
  <c r="K257" i="83"/>
  <c r="D256" i="83"/>
  <c r="P258" i="83" l="1"/>
  <c r="I257" i="83"/>
  <c r="K258" i="83"/>
  <c r="D257" i="83"/>
  <c r="L258" i="83"/>
  <c r="E257" i="83"/>
  <c r="O258" i="83"/>
  <c r="H257" i="83"/>
  <c r="N258" i="83"/>
  <c r="G257" i="83"/>
  <c r="M258" i="83"/>
  <c r="F257" i="83"/>
  <c r="N259" i="83" l="1"/>
  <c r="G258" i="83"/>
  <c r="O259" i="83"/>
  <c r="H258" i="83"/>
  <c r="M259" i="83"/>
  <c r="F258" i="83"/>
  <c r="K259" i="83"/>
  <c r="D258" i="83"/>
  <c r="L259" i="83"/>
  <c r="E258" i="83"/>
  <c r="P259" i="83"/>
  <c r="I258" i="83"/>
  <c r="K260" i="83" l="1"/>
  <c r="D259" i="83"/>
  <c r="P260" i="83"/>
  <c r="I259" i="83"/>
  <c r="O260" i="83"/>
  <c r="H259" i="83"/>
  <c r="M260" i="83"/>
  <c r="F259" i="83"/>
  <c r="L260" i="83"/>
  <c r="E259" i="83"/>
  <c r="N260" i="83"/>
  <c r="G259" i="83"/>
  <c r="K261" i="83" l="1"/>
  <c r="D260" i="83"/>
  <c r="M261" i="83"/>
  <c r="F260" i="83"/>
  <c r="P261" i="83"/>
  <c r="I260" i="83"/>
  <c r="L261" i="83"/>
  <c r="E260" i="83"/>
  <c r="O261" i="83"/>
  <c r="H260" i="83"/>
  <c r="N261" i="83"/>
  <c r="G260" i="83"/>
  <c r="O262" i="83" l="1"/>
  <c r="H261" i="83"/>
  <c r="P262" i="83"/>
  <c r="I261" i="83"/>
  <c r="N262" i="83"/>
  <c r="G261" i="83"/>
  <c r="M262" i="83"/>
  <c r="F261" i="83"/>
  <c r="K262" i="83"/>
  <c r="D261" i="83"/>
  <c r="L262" i="83"/>
  <c r="E261" i="83"/>
  <c r="M263" i="83" l="1"/>
  <c r="F262" i="83"/>
  <c r="N263" i="83"/>
  <c r="G262" i="83"/>
  <c r="L263" i="83"/>
  <c r="E262" i="83"/>
  <c r="P263" i="83"/>
  <c r="I262" i="83"/>
  <c r="K263" i="83"/>
  <c r="D262" i="83"/>
  <c r="O263" i="83"/>
  <c r="H262" i="83"/>
  <c r="P264" i="83" l="1"/>
  <c r="I263" i="83"/>
  <c r="K264" i="83"/>
  <c r="D263" i="83"/>
  <c r="L264" i="83"/>
  <c r="E263" i="83"/>
  <c r="N264" i="83"/>
  <c r="G263" i="83"/>
  <c r="M264" i="83"/>
  <c r="F263" i="83"/>
  <c r="O264" i="83"/>
  <c r="H263" i="83"/>
  <c r="L265" i="83" l="1"/>
  <c r="E264" i="83"/>
  <c r="O265" i="83"/>
  <c r="H264" i="83"/>
  <c r="K265" i="83"/>
  <c r="D264" i="83"/>
  <c r="N265" i="83"/>
  <c r="G264" i="83"/>
  <c r="M265" i="83"/>
  <c r="F264" i="83"/>
  <c r="P265" i="83"/>
  <c r="I264" i="83"/>
  <c r="O266" i="83" l="1"/>
  <c r="H265" i="83"/>
  <c r="K266" i="83"/>
  <c r="D265" i="83"/>
  <c r="N266" i="83"/>
  <c r="G265" i="83"/>
  <c r="P266" i="83"/>
  <c r="I265" i="83"/>
  <c r="M266" i="83"/>
  <c r="F265" i="83"/>
  <c r="L266" i="83"/>
  <c r="E265" i="83"/>
  <c r="P267" i="83" l="1"/>
  <c r="I266" i="83"/>
  <c r="N267" i="83"/>
  <c r="G266" i="83"/>
  <c r="K267" i="83"/>
  <c r="D266" i="83"/>
  <c r="L267" i="83"/>
  <c r="E266" i="83"/>
  <c r="M267" i="83"/>
  <c r="F266" i="83"/>
  <c r="O267" i="83"/>
  <c r="H266" i="83"/>
  <c r="L268" i="83" l="1"/>
  <c r="E267" i="83"/>
  <c r="K268" i="83"/>
  <c r="D267" i="83"/>
  <c r="O268" i="83"/>
  <c r="H267" i="83"/>
  <c r="N268" i="83"/>
  <c r="G267" i="83"/>
  <c r="M268" i="83"/>
  <c r="F267" i="83"/>
  <c r="P268" i="83"/>
  <c r="I267" i="83"/>
  <c r="P269" i="83" l="1"/>
  <c r="I268" i="83"/>
  <c r="K269" i="83"/>
  <c r="D268" i="83"/>
  <c r="N269" i="83"/>
  <c r="G268" i="83"/>
  <c r="O269" i="83"/>
  <c r="H268" i="83"/>
  <c r="M269" i="83"/>
  <c r="F268" i="83"/>
  <c r="L269" i="83"/>
  <c r="E268" i="83"/>
  <c r="K270" i="83" l="1"/>
  <c r="D269" i="83"/>
  <c r="O270" i="83"/>
  <c r="H269" i="83"/>
  <c r="N270" i="83"/>
  <c r="G269" i="83"/>
  <c r="L270" i="83"/>
  <c r="E269" i="83"/>
  <c r="M270" i="83"/>
  <c r="F269" i="83"/>
  <c r="P270" i="83"/>
  <c r="I269" i="83"/>
  <c r="N271" i="83" l="1"/>
  <c r="G270" i="83"/>
  <c r="P271" i="83"/>
  <c r="I270" i="83"/>
  <c r="O271" i="83"/>
  <c r="H270" i="83"/>
  <c r="L271" i="83"/>
  <c r="E270" i="83"/>
  <c r="M271" i="83"/>
  <c r="F270" i="83"/>
  <c r="K271" i="83"/>
  <c r="D270" i="83"/>
  <c r="P272" i="83" l="1"/>
  <c r="I271" i="83"/>
  <c r="L272" i="83"/>
  <c r="E271" i="83"/>
  <c r="O272" i="83"/>
  <c r="H271" i="83"/>
  <c r="K272" i="83"/>
  <c r="D271" i="83"/>
  <c r="M272" i="83"/>
  <c r="F271" i="83"/>
  <c r="N272" i="83"/>
  <c r="G271" i="83"/>
  <c r="L273" i="83" l="1"/>
  <c r="E272" i="83"/>
  <c r="K273" i="83"/>
  <c r="D272" i="83"/>
  <c r="O273" i="83"/>
  <c r="H272" i="83"/>
  <c r="N273" i="83"/>
  <c r="G272" i="83"/>
  <c r="M273" i="83"/>
  <c r="F272" i="83"/>
  <c r="P273" i="83"/>
  <c r="I272" i="83"/>
  <c r="K274" i="83" l="1"/>
  <c r="D273" i="83"/>
  <c r="O274" i="83"/>
  <c r="H273" i="83"/>
  <c r="N274" i="83"/>
  <c r="G273" i="83"/>
  <c r="P274" i="83"/>
  <c r="I273" i="83"/>
  <c r="M274" i="83"/>
  <c r="F273" i="83"/>
  <c r="L274" i="83"/>
  <c r="E273" i="83"/>
  <c r="P275" i="83" l="1"/>
  <c r="I274" i="83"/>
  <c r="O275" i="83"/>
  <c r="H274" i="83"/>
  <c r="N275" i="83"/>
  <c r="G274" i="83"/>
  <c r="L275" i="83"/>
  <c r="E274" i="83"/>
  <c r="M275" i="83"/>
  <c r="F274" i="83"/>
  <c r="K275" i="83"/>
  <c r="D274" i="83"/>
  <c r="K276" i="83" l="1"/>
  <c r="D275" i="83"/>
  <c r="O276" i="83"/>
  <c r="H275" i="83"/>
  <c r="L276" i="83"/>
  <c r="E275" i="83"/>
  <c r="N276" i="83"/>
  <c r="G275" i="83"/>
  <c r="M276" i="83"/>
  <c r="F275" i="83"/>
  <c r="P276" i="83"/>
  <c r="I275" i="83"/>
  <c r="O277" i="83" l="1"/>
  <c r="H276" i="83"/>
  <c r="N277" i="83"/>
  <c r="G276" i="83"/>
  <c r="L277" i="83"/>
  <c r="E276" i="83"/>
  <c r="P277" i="83"/>
  <c r="I276" i="83"/>
  <c r="M277" i="83"/>
  <c r="F276" i="83"/>
  <c r="K277" i="83"/>
  <c r="D276" i="83"/>
  <c r="P278" i="83" l="1"/>
  <c r="I277" i="83"/>
  <c r="N278" i="83"/>
  <c r="G277" i="83"/>
  <c r="L278" i="83"/>
  <c r="E277" i="83"/>
  <c r="K278" i="83"/>
  <c r="D277" i="83"/>
  <c r="M278" i="83"/>
  <c r="F277" i="83"/>
  <c r="O278" i="83"/>
  <c r="H277" i="83"/>
  <c r="N279" i="83" l="1"/>
  <c r="G278" i="83"/>
  <c r="K279" i="83"/>
  <c r="D278" i="83"/>
  <c r="L279" i="83"/>
  <c r="E278" i="83"/>
  <c r="O279" i="83"/>
  <c r="H278" i="83"/>
  <c r="M279" i="83"/>
  <c r="F278" i="83"/>
  <c r="P279" i="83"/>
  <c r="I278" i="83"/>
  <c r="K280" i="83" l="1"/>
  <c r="D279" i="83"/>
  <c r="L280" i="83"/>
  <c r="E279" i="83"/>
  <c r="O280" i="83"/>
  <c r="H279" i="83"/>
  <c r="P280" i="83"/>
  <c r="I279" i="83"/>
  <c r="M280" i="83"/>
  <c r="F279" i="83"/>
  <c r="N280" i="83"/>
  <c r="G279" i="83"/>
  <c r="P281" i="83" l="1"/>
  <c r="I280" i="83"/>
  <c r="N281" i="83"/>
  <c r="G280" i="83"/>
  <c r="O281" i="83"/>
  <c r="H280" i="83"/>
  <c r="L281" i="83"/>
  <c r="E280" i="83"/>
  <c r="M281" i="83"/>
  <c r="F280" i="83"/>
  <c r="K281" i="83"/>
  <c r="D280" i="83"/>
  <c r="L282" i="83" l="1"/>
  <c r="E281" i="83"/>
  <c r="N282" i="83"/>
  <c r="G281" i="83"/>
  <c r="O282" i="83"/>
  <c r="H281" i="83"/>
  <c r="K282" i="83"/>
  <c r="D281" i="83"/>
  <c r="M282" i="83"/>
  <c r="F281" i="83"/>
  <c r="P282" i="83"/>
  <c r="I281" i="83"/>
  <c r="K283" i="83" l="1"/>
  <c r="D282" i="83"/>
  <c r="N283" i="83"/>
  <c r="G282" i="83"/>
  <c r="O283" i="83"/>
  <c r="H282" i="83"/>
  <c r="P283" i="83"/>
  <c r="I282" i="83"/>
  <c r="M283" i="83"/>
  <c r="F282" i="83"/>
  <c r="L283" i="83"/>
  <c r="E282" i="83"/>
  <c r="P284" i="83" l="1"/>
  <c r="I283" i="83"/>
  <c r="L284" i="83"/>
  <c r="E283" i="83"/>
  <c r="O284" i="83"/>
  <c r="H283" i="83"/>
  <c r="N284" i="83"/>
  <c r="G283" i="83"/>
  <c r="M284" i="83"/>
  <c r="F283" i="83"/>
  <c r="K284" i="83"/>
  <c r="D283" i="83"/>
  <c r="O285" i="83" l="1"/>
  <c r="H284" i="83"/>
  <c r="N285" i="83"/>
  <c r="G284" i="83"/>
  <c r="K285" i="83"/>
  <c r="D284" i="83"/>
  <c r="L285" i="83"/>
  <c r="E284" i="83"/>
  <c r="M285" i="83"/>
  <c r="F284" i="83"/>
  <c r="P285" i="83"/>
  <c r="I284" i="83"/>
  <c r="N286" i="83" l="1"/>
  <c r="G285" i="83"/>
  <c r="L286" i="83"/>
  <c r="E285" i="83"/>
  <c r="K286" i="83"/>
  <c r="D285" i="83"/>
  <c r="P286" i="83"/>
  <c r="I285" i="83"/>
  <c r="M286" i="83"/>
  <c r="F285" i="83"/>
  <c r="O286" i="83"/>
  <c r="H285" i="83"/>
  <c r="L287" i="83" l="1"/>
  <c r="E286" i="83"/>
  <c r="P287" i="83"/>
  <c r="I286" i="83"/>
  <c r="O287" i="83"/>
  <c r="H286" i="83"/>
  <c r="K287" i="83"/>
  <c r="D286" i="83"/>
  <c r="M287" i="83"/>
  <c r="F286" i="83"/>
  <c r="N287" i="83"/>
  <c r="G286" i="83"/>
  <c r="K288" i="83" l="1"/>
  <c r="D287" i="83"/>
  <c r="P288" i="83"/>
  <c r="I287" i="83"/>
  <c r="O288" i="83"/>
  <c r="H287" i="83"/>
  <c r="N288" i="83"/>
  <c r="G287" i="83"/>
  <c r="M288" i="83"/>
  <c r="F287" i="83"/>
  <c r="L288" i="83"/>
  <c r="E287" i="83"/>
  <c r="N289" i="83" l="1"/>
  <c r="G288" i="83"/>
  <c r="P289" i="83"/>
  <c r="I288" i="83"/>
  <c r="O289" i="83"/>
  <c r="H288" i="83"/>
  <c r="L289" i="83"/>
  <c r="E288" i="83"/>
  <c r="M289" i="83"/>
  <c r="F288" i="83"/>
  <c r="K289" i="83"/>
  <c r="D288" i="83"/>
  <c r="L290" i="83" l="1"/>
  <c r="E289" i="83"/>
  <c r="P290" i="83"/>
  <c r="I289" i="83"/>
  <c r="O290" i="83"/>
  <c r="H289" i="83"/>
  <c r="K290" i="83"/>
  <c r="D289" i="83"/>
  <c r="M290" i="83"/>
  <c r="F289" i="83"/>
  <c r="N290" i="83"/>
  <c r="G289" i="83"/>
  <c r="K291" i="83" l="1"/>
  <c r="D290" i="83"/>
  <c r="P291" i="83"/>
  <c r="I290" i="83"/>
  <c r="O291" i="83"/>
  <c r="H290" i="83"/>
  <c r="N291" i="83"/>
  <c r="G290" i="83"/>
  <c r="M291" i="83"/>
  <c r="F290" i="83"/>
  <c r="L291" i="83"/>
  <c r="E290" i="83"/>
  <c r="P292" i="83" l="1"/>
  <c r="I291" i="83"/>
  <c r="N292" i="83"/>
  <c r="G291" i="83"/>
  <c r="O292" i="83"/>
  <c r="H291" i="83"/>
  <c r="L292" i="83"/>
  <c r="E291" i="83"/>
  <c r="M292" i="83"/>
  <c r="F291" i="83"/>
  <c r="K292" i="83"/>
  <c r="D291" i="83"/>
  <c r="L293" i="83" l="1"/>
  <c r="E292" i="83"/>
  <c r="N293" i="83"/>
  <c r="G292" i="83"/>
  <c r="O293" i="83"/>
  <c r="H292" i="83"/>
  <c r="K293" i="83"/>
  <c r="D292" i="83"/>
  <c r="M293" i="83"/>
  <c r="F292" i="83"/>
  <c r="P293" i="83"/>
  <c r="I292" i="83"/>
  <c r="K294" i="83" l="1"/>
  <c r="D293" i="83"/>
  <c r="N294" i="83"/>
  <c r="G293" i="83"/>
  <c r="O294" i="83"/>
  <c r="H293" i="83"/>
  <c r="P294" i="83"/>
  <c r="I293" i="83"/>
  <c r="M294" i="83"/>
  <c r="F293" i="83"/>
  <c r="L294" i="83"/>
  <c r="E293" i="83"/>
  <c r="N295" i="83" l="1"/>
  <c r="G294" i="83"/>
  <c r="P295" i="83"/>
  <c r="I294" i="83"/>
  <c r="O295" i="83"/>
  <c r="H294" i="83"/>
  <c r="L295" i="83"/>
  <c r="E294" i="83"/>
  <c r="M295" i="83"/>
  <c r="F294" i="83"/>
  <c r="K295" i="83"/>
  <c r="D294" i="83"/>
  <c r="K296" i="83" l="1"/>
  <c r="D295" i="83"/>
  <c r="L296" i="83"/>
  <c r="E295" i="83"/>
  <c r="O296" i="83"/>
  <c r="H295" i="83"/>
  <c r="P296" i="83"/>
  <c r="I295" i="83"/>
  <c r="M296" i="83"/>
  <c r="F295" i="83"/>
  <c r="N296" i="83"/>
  <c r="G295" i="83"/>
  <c r="L297" i="83" l="1"/>
  <c r="E296" i="83"/>
  <c r="P297" i="83"/>
  <c r="I296" i="83"/>
  <c r="O297" i="83"/>
  <c r="H296" i="83"/>
  <c r="N297" i="83"/>
  <c r="G296" i="83"/>
  <c r="M297" i="83"/>
  <c r="F296" i="83"/>
  <c r="K297" i="83"/>
  <c r="D296" i="83"/>
  <c r="O298" i="83" l="1"/>
  <c r="H297" i="83"/>
  <c r="P298" i="83"/>
  <c r="I297" i="83"/>
  <c r="N298" i="83"/>
  <c r="G297" i="83"/>
  <c r="K298" i="83"/>
  <c r="D297" i="83"/>
  <c r="M298" i="83"/>
  <c r="F297" i="83"/>
  <c r="L298" i="83"/>
  <c r="E297" i="83"/>
  <c r="N299" i="83" l="1"/>
  <c r="G298" i="83"/>
  <c r="L299" i="83"/>
  <c r="E298" i="83"/>
  <c r="P299" i="83"/>
  <c r="I298" i="83"/>
  <c r="K299" i="83"/>
  <c r="D298" i="83"/>
  <c r="M299" i="83"/>
  <c r="F298" i="83"/>
  <c r="O299" i="83"/>
  <c r="H298" i="83"/>
  <c r="K300" i="83" l="1"/>
  <c r="D299" i="83"/>
  <c r="P300" i="83"/>
  <c r="I299" i="83"/>
  <c r="O300" i="83"/>
  <c r="H299" i="83"/>
  <c r="L300" i="83"/>
  <c r="E299" i="83"/>
  <c r="M300" i="83"/>
  <c r="F299" i="83"/>
  <c r="N300" i="83"/>
  <c r="G299" i="83"/>
  <c r="P301" i="83" l="1"/>
  <c r="I300" i="83"/>
  <c r="O301" i="83"/>
  <c r="H300" i="83"/>
  <c r="L301" i="83"/>
  <c r="E300" i="83"/>
  <c r="N301" i="83"/>
  <c r="G300" i="83"/>
  <c r="M301" i="83"/>
  <c r="F300" i="83"/>
  <c r="K301" i="83"/>
  <c r="D300" i="83"/>
  <c r="N302" i="83" l="1"/>
  <c r="G301" i="83"/>
  <c r="O302" i="83"/>
  <c r="H301" i="83"/>
  <c r="L302" i="83"/>
  <c r="E301" i="83"/>
  <c r="K302" i="83"/>
  <c r="D301" i="83"/>
  <c r="M302" i="83"/>
  <c r="F301" i="83"/>
  <c r="P302" i="83"/>
  <c r="I301" i="83"/>
  <c r="O303" i="83" l="1"/>
  <c r="H302" i="83"/>
  <c r="L303" i="83"/>
  <c r="E302" i="83"/>
  <c r="K303" i="83"/>
  <c r="D302" i="83"/>
  <c r="P303" i="83"/>
  <c r="I302" i="83"/>
  <c r="M303" i="83"/>
  <c r="F302" i="83"/>
  <c r="N303" i="83"/>
  <c r="G302" i="83"/>
  <c r="L304" i="83" l="1"/>
  <c r="E303" i="83"/>
  <c r="K304" i="83"/>
  <c r="D303" i="83"/>
  <c r="P304" i="83"/>
  <c r="I303" i="83"/>
  <c r="N304" i="83"/>
  <c r="G303" i="83"/>
  <c r="M304" i="83"/>
  <c r="F303" i="83"/>
  <c r="O304" i="83"/>
  <c r="H303" i="83"/>
  <c r="N305" i="83" l="1"/>
  <c r="G304" i="83"/>
  <c r="K305" i="83"/>
  <c r="D304" i="83"/>
  <c r="P305" i="83"/>
  <c r="I304" i="83"/>
  <c r="O305" i="83"/>
  <c r="H304" i="83"/>
  <c r="M305" i="83"/>
  <c r="F304" i="83"/>
  <c r="L305" i="83"/>
  <c r="E304" i="83"/>
  <c r="O306" i="83" l="1"/>
  <c r="H305" i="83"/>
  <c r="P306" i="83"/>
  <c r="I305" i="83"/>
  <c r="L306" i="83"/>
  <c r="E305" i="83"/>
  <c r="K306" i="83"/>
  <c r="D305" i="83"/>
  <c r="M306" i="83"/>
  <c r="F305" i="83"/>
  <c r="N306" i="83"/>
  <c r="G305" i="83"/>
  <c r="L307" i="83" l="1"/>
  <c r="E306" i="83"/>
  <c r="K307" i="83"/>
  <c r="D306" i="83"/>
  <c r="N307" i="83"/>
  <c r="G306" i="83"/>
  <c r="P307" i="83"/>
  <c r="I306" i="83"/>
  <c r="M307" i="83"/>
  <c r="F306" i="83"/>
  <c r="O307" i="83"/>
  <c r="H306" i="83"/>
  <c r="P308" i="83" l="1"/>
  <c r="I307" i="83"/>
  <c r="O308" i="83"/>
  <c r="H307" i="83"/>
  <c r="N308" i="83"/>
  <c r="G307" i="83"/>
  <c r="K308" i="83"/>
  <c r="D307" i="83"/>
  <c r="M308" i="83"/>
  <c r="F307" i="83"/>
  <c r="L308" i="83"/>
  <c r="E307" i="83"/>
  <c r="K309" i="83" l="1"/>
  <c r="D308" i="83"/>
  <c r="N309" i="83"/>
  <c r="G308" i="83"/>
  <c r="L309" i="83"/>
  <c r="E308" i="83"/>
  <c r="O309" i="83"/>
  <c r="H308" i="83"/>
  <c r="M309" i="83"/>
  <c r="F308" i="83"/>
  <c r="P309" i="83"/>
  <c r="I308" i="83"/>
  <c r="O310" i="83" l="1"/>
  <c r="H309" i="83"/>
  <c r="L310" i="83"/>
  <c r="E309" i="83"/>
  <c r="P310" i="83"/>
  <c r="I309" i="83"/>
  <c r="N310" i="83"/>
  <c r="G309" i="83"/>
  <c r="M310" i="83"/>
  <c r="F309" i="83"/>
  <c r="K310" i="83"/>
  <c r="D309" i="83"/>
  <c r="N311" i="83" l="1"/>
  <c r="G310" i="83"/>
  <c r="P311" i="83"/>
  <c r="I310" i="83"/>
  <c r="K311" i="83"/>
  <c r="D310" i="83"/>
  <c r="L311" i="83"/>
  <c r="E310" i="83"/>
  <c r="M311" i="83"/>
  <c r="F310" i="83"/>
  <c r="O311" i="83"/>
  <c r="H310" i="83"/>
  <c r="L312" i="83" l="1"/>
  <c r="E311" i="83"/>
  <c r="K312" i="83"/>
  <c r="D311" i="83"/>
  <c r="O312" i="83"/>
  <c r="H311" i="83"/>
  <c r="P312" i="83"/>
  <c r="I311" i="83"/>
  <c r="M312" i="83"/>
  <c r="F311" i="83"/>
  <c r="N312" i="83"/>
  <c r="G311" i="83"/>
  <c r="P313" i="83" l="1"/>
  <c r="I312" i="83"/>
  <c r="O313" i="83"/>
  <c r="H312" i="83"/>
  <c r="N313" i="83"/>
  <c r="G312" i="83"/>
  <c r="K313" i="83"/>
  <c r="D312" i="83"/>
  <c r="M313" i="83"/>
  <c r="F312" i="83"/>
  <c r="L313" i="83"/>
  <c r="E312" i="83"/>
  <c r="K314" i="83" l="1"/>
  <c r="D313" i="83"/>
  <c r="L314" i="83"/>
  <c r="E313" i="83"/>
  <c r="N314" i="83"/>
  <c r="G313" i="83"/>
  <c r="O314" i="83"/>
  <c r="H313" i="83"/>
  <c r="M314" i="83"/>
  <c r="F313" i="83"/>
  <c r="P314" i="83"/>
  <c r="I313" i="83"/>
  <c r="O315" i="83" l="1"/>
  <c r="H314" i="83"/>
  <c r="L315" i="83"/>
  <c r="E314" i="83"/>
  <c r="N315" i="83"/>
  <c r="G314" i="83"/>
  <c r="P315" i="83"/>
  <c r="I314" i="83"/>
  <c r="M315" i="83"/>
  <c r="F314" i="83"/>
  <c r="K315" i="83"/>
  <c r="D314" i="83"/>
  <c r="K316" i="83" l="1"/>
  <c r="D315" i="83"/>
  <c r="P316" i="83"/>
  <c r="I315" i="83"/>
  <c r="N316" i="83"/>
  <c r="G315" i="83"/>
  <c r="L316" i="83"/>
  <c r="E315" i="83"/>
  <c r="M316" i="83"/>
  <c r="F315" i="83"/>
  <c r="O316" i="83"/>
  <c r="H315" i="83"/>
  <c r="N317" i="83" l="1"/>
  <c r="G316" i="83"/>
  <c r="L317" i="83"/>
  <c r="E316" i="83"/>
  <c r="P317" i="83"/>
  <c r="I316" i="83"/>
  <c r="O317" i="83"/>
  <c r="H316" i="83"/>
  <c r="M317" i="83"/>
  <c r="F316" i="83"/>
  <c r="K317" i="83"/>
  <c r="D316" i="83"/>
  <c r="O318" i="83" l="1"/>
  <c r="H317" i="83"/>
  <c r="P318" i="83"/>
  <c r="I317" i="83"/>
  <c r="L318" i="83"/>
  <c r="E317" i="83"/>
  <c r="K318" i="83"/>
  <c r="D317" i="83"/>
  <c r="M318" i="83"/>
  <c r="F317" i="83"/>
  <c r="N318" i="83"/>
  <c r="G317" i="83"/>
  <c r="L319" i="83" l="1"/>
  <c r="E318" i="83"/>
  <c r="N319" i="83"/>
  <c r="G318" i="83"/>
  <c r="K319" i="83"/>
  <c r="D318" i="83"/>
  <c r="P319" i="83"/>
  <c r="I318" i="83"/>
  <c r="M319" i="83"/>
  <c r="F318" i="83"/>
  <c r="O319" i="83"/>
  <c r="H318" i="83"/>
  <c r="K320" i="83" l="1"/>
  <c r="D319" i="83"/>
  <c r="P320" i="83"/>
  <c r="I319" i="83"/>
  <c r="O320" i="83"/>
  <c r="H319" i="83"/>
  <c r="N320" i="83"/>
  <c r="G319" i="83"/>
  <c r="M320" i="83"/>
  <c r="F319" i="83"/>
  <c r="L320" i="83"/>
  <c r="E319" i="83"/>
  <c r="N321" i="83" l="1"/>
  <c r="G320" i="83"/>
  <c r="L321" i="83"/>
  <c r="E320" i="83"/>
  <c r="O321" i="83"/>
  <c r="H320" i="83"/>
  <c r="P321" i="83"/>
  <c r="I320" i="83"/>
  <c r="M321" i="83"/>
  <c r="F320" i="83"/>
  <c r="K321" i="83"/>
  <c r="D320" i="83"/>
  <c r="O322" i="83" l="1"/>
  <c r="H321" i="83"/>
  <c r="P322" i="83"/>
  <c r="I321" i="83"/>
  <c r="K322" i="83"/>
  <c r="D321" i="83"/>
  <c r="L322" i="83"/>
  <c r="E321" i="83"/>
  <c r="M322" i="83"/>
  <c r="F321" i="83"/>
  <c r="N322" i="83"/>
  <c r="G321" i="83"/>
  <c r="L323" i="83" l="1"/>
  <c r="E322" i="83"/>
  <c r="N323" i="83"/>
  <c r="G322" i="83"/>
  <c r="P323" i="83"/>
  <c r="I322" i="83"/>
  <c r="K323" i="83"/>
  <c r="D322" i="83"/>
  <c r="M323" i="83"/>
  <c r="F322" i="83"/>
  <c r="O323" i="83"/>
  <c r="H322" i="83"/>
  <c r="K324" i="83" l="1"/>
  <c r="D323" i="83"/>
  <c r="P324" i="83"/>
  <c r="I323" i="83"/>
  <c r="O324" i="83"/>
  <c r="H323" i="83"/>
  <c r="N324" i="83"/>
  <c r="G323" i="83"/>
  <c r="M324" i="83"/>
  <c r="F323" i="83"/>
  <c r="L324" i="83"/>
  <c r="E323" i="83"/>
  <c r="L325" i="83" l="1"/>
  <c r="E324" i="83"/>
  <c r="N325" i="83"/>
  <c r="G324" i="83"/>
  <c r="O325" i="83"/>
  <c r="H324" i="83"/>
  <c r="P325" i="83"/>
  <c r="I324" i="83"/>
  <c r="M325" i="83"/>
  <c r="F324" i="83"/>
  <c r="K325" i="83"/>
  <c r="D324" i="83"/>
  <c r="P326" i="83" l="1"/>
  <c r="I325" i="83"/>
  <c r="K326" i="83"/>
  <c r="D325" i="83"/>
  <c r="O326" i="83"/>
  <c r="H325" i="83"/>
  <c r="N326" i="83"/>
  <c r="G325" i="83"/>
  <c r="M326" i="83"/>
  <c r="F325" i="83"/>
  <c r="L326" i="83"/>
  <c r="E325" i="83"/>
  <c r="N327" i="83" l="1"/>
  <c r="G326" i="83"/>
  <c r="L327" i="83"/>
  <c r="E326" i="83"/>
  <c r="O327" i="83"/>
  <c r="H326" i="83"/>
  <c r="K327" i="83"/>
  <c r="D326" i="83"/>
  <c r="M327" i="83"/>
  <c r="F326" i="83"/>
  <c r="P327" i="83"/>
  <c r="I326" i="83"/>
  <c r="K328" i="83" l="1"/>
  <c r="D327" i="83"/>
  <c r="P328" i="83"/>
  <c r="I327" i="83"/>
  <c r="O328" i="83"/>
  <c r="H327" i="83"/>
  <c r="L328" i="83"/>
  <c r="E327" i="83"/>
  <c r="M328" i="83"/>
  <c r="F327" i="83"/>
  <c r="N328" i="83"/>
  <c r="G327" i="83"/>
  <c r="L329" i="83" l="1"/>
  <c r="E328" i="83"/>
  <c r="O329" i="83"/>
  <c r="H328" i="83"/>
  <c r="N329" i="83"/>
  <c r="G328" i="83"/>
  <c r="P329" i="83"/>
  <c r="I328" i="83"/>
  <c r="M329" i="83"/>
  <c r="F328" i="83"/>
  <c r="K329" i="83"/>
  <c r="D328" i="83"/>
  <c r="P330" i="83" l="1"/>
  <c r="I329" i="83"/>
  <c r="K330" i="83"/>
  <c r="D329" i="83"/>
  <c r="N330" i="83"/>
  <c r="G329" i="83"/>
  <c r="O330" i="83"/>
  <c r="H329" i="83"/>
  <c r="M330" i="83"/>
  <c r="F329" i="83"/>
  <c r="L330" i="83"/>
  <c r="E329" i="83"/>
  <c r="K331" i="83" l="1"/>
  <c r="D330" i="83"/>
  <c r="N331" i="83"/>
  <c r="G330" i="83"/>
  <c r="O331" i="83"/>
  <c r="H330" i="83"/>
  <c r="L331" i="83"/>
  <c r="E330" i="83"/>
  <c r="M331" i="83"/>
  <c r="F330" i="83"/>
  <c r="P331" i="83"/>
  <c r="I330" i="83"/>
  <c r="O332" i="83" l="1"/>
  <c r="H331" i="83"/>
  <c r="L332" i="83"/>
  <c r="E331" i="83"/>
  <c r="P332" i="83"/>
  <c r="I331" i="83"/>
  <c r="N332" i="83"/>
  <c r="G331" i="83"/>
  <c r="M332" i="83"/>
  <c r="F331" i="83"/>
  <c r="K332" i="83"/>
  <c r="D331" i="83"/>
  <c r="L333" i="83" l="1"/>
  <c r="E332" i="83"/>
  <c r="P333" i="83"/>
  <c r="I332" i="83"/>
  <c r="N333" i="83"/>
  <c r="G332" i="83"/>
  <c r="K333" i="83"/>
  <c r="D332" i="83"/>
  <c r="M333" i="83"/>
  <c r="F332" i="83"/>
  <c r="O333" i="83"/>
  <c r="H332" i="83"/>
  <c r="K334" i="83" l="1"/>
  <c r="D333" i="83"/>
  <c r="P334" i="83"/>
  <c r="I333" i="83"/>
  <c r="N334" i="83"/>
  <c r="G333" i="83"/>
  <c r="O334" i="83"/>
  <c r="H333" i="83"/>
  <c r="M334" i="83"/>
  <c r="F333" i="83"/>
  <c r="L334" i="83"/>
  <c r="E333" i="83"/>
  <c r="P335" i="83" l="1"/>
  <c r="I334" i="83"/>
  <c r="O335" i="83"/>
  <c r="H334" i="83"/>
  <c r="N335" i="83"/>
  <c r="G334" i="83"/>
  <c r="L335" i="83"/>
  <c r="E334" i="83"/>
  <c r="M335" i="83"/>
  <c r="F334" i="83"/>
  <c r="K335" i="83"/>
  <c r="D334" i="83"/>
  <c r="O336" i="83" l="1"/>
  <c r="H335" i="83"/>
  <c r="L336" i="83"/>
  <c r="E335" i="83"/>
  <c r="N336" i="83"/>
  <c r="G335" i="83"/>
  <c r="K336" i="83"/>
  <c r="D335" i="83"/>
  <c r="M336" i="83"/>
  <c r="F335" i="83"/>
  <c r="P336" i="83"/>
  <c r="I335" i="83"/>
  <c r="N337" i="83" l="1"/>
  <c r="G336" i="83"/>
  <c r="L337" i="83"/>
  <c r="E336" i="83"/>
  <c r="P337" i="83"/>
  <c r="I336" i="83"/>
  <c r="K337" i="83"/>
  <c r="D336" i="83"/>
  <c r="M337" i="83"/>
  <c r="F336" i="83"/>
  <c r="O337" i="83"/>
  <c r="H336" i="83"/>
  <c r="O338" i="83" l="1"/>
  <c r="H337" i="83"/>
  <c r="K338" i="83"/>
  <c r="D337" i="83"/>
  <c r="P338" i="83"/>
  <c r="I337" i="83"/>
  <c r="L338" i="83"/>
  <c r="E337" i="83"/>
  <c r="M338" i="83"/>
  <c r="F337" i="83"/>
  <c r="N338" i="83"/>
  <c r="G337" i="83"/>
  <c r="L339" i="83" l="1"/>
  <c r="E338" i="83"/>
  <c r="N339" i="83"/>
  <c r="G338" i="83"/>
  <c r="P339" i="83"/>
  <c r="I338" i="83"/>
  <c r="K339" i="83"/>
  <c r="D338" i="83"/>
  <c r="M339" i="83"/>
  <c r="F338" i="83"/>
  <c r="O339" i="83"/>
  <c r="H338" i="83"/>
  <c r="K340" i="83" l="1"/>
  <c r="D339" i="83"/>
  <c r="P340" i="83"/>
  <c r="I339" i="83"/>
  <c r="O340" i="83"/>
  <c r="H339" i="83"/>
  <c r="N340" i="83"/>
  <c r="G339" i="83"/>
  <c r="M340" i="83"/>
  <c r="F339" i="83"/>
  <c r="L340" i="83"/>
  <c r="E339" i="83"/>
  <c r="P341" i="83" l="1"/>
  <c r="I340" i="83"/>
  <c r="N341" i="83"/>
  <c r="G340" i="83"/>
  <c r="O341" i="83"/>
  <c r="H340" i="83"/>
  <c r="L341" i="83"/>
  <c r="E340" i="83"/>
  <c r="M341" i="83"/>
  <c r="F340" i="83"/>
  <c r="K341" i="83"/>
  <c r="D340" i="83"/>
  <c r="L342" i="83" l="1"/>
  <c r="E341" i="83"/>
  <c r="P342" i="83"/>
  <c r="I341" i="83"/>
  <c r="N342" i="83"/>
  <c r="G341" i="83"/>
  <c r="M342" i="83"/>
  <c r="F341" i="83"/>
  <c r="O342" i="83"/>
  <c r="H341" i="83"/>
  <c r="K342" i="83"/>
  <c r="D341" i="83"/>
  <c r="P343" i="83" l="1"/>
  <c r="I342" i="83"/>
  <c r="K343" i="83"/>
  <c r="D342" i="83"/>
  <c r="M343" i="83"/>
  <c r="F342" i="83"/>
  <c r="N343" i="83"/>
  <c r="G342" i="83"/>
  <c r="O343" i="83"/>
  <c r="H342" i="83"/>
  <c r="L343" i="83"/>
  <c r="E342" i="83"/>
  <c r="K344" i="83" l="1"/>
  <c r="D343" i="83"/>
  <c r="N344" i="83"/>
  <c r="G343" i="83"/>
  <c r="M344" i="83"/>
  <c r="F343" i="83"/>
  <c r="L344" i="83"/>
  <c r="E343" i="83"/>
  <c r="O344" i="83"/>
  <c r="H343" i="83"/>
  <c r="P344" i="83"/>
  <c r="I343" i="83"/>
  <c r="L345" i="83" l="1"/>
  <c r="E344" i="83"/>
  <c r="M345" i="83"/>
  <c r="F344" i="83"/>
  <c r="P345" i="83"/>
  <c r="I344" i="83"/>
  <c r="N345" i="83"/>
  <c r="G344" i="83"/>
  <c r="O345" i="83"/>
  <c r="H344" i="83"/>
  <c r="K345" i="83"/>
  <c r="D344" i="83"/>
  <c r="N346" i="83" l="1"/>
  <c r="G345" i="83"/>
  <c r="P346" i="83"/>
  <c r="I345" i="83"/>
  <c r="K346" i="83"/>
  <c r="D345" i="83"/>
  <c r="M346" i="83"/>
  <c r="F345" i="83"/>
  <c r="O346" i="83"/>
  <c r="H345" i="83"/>
  <c r="L346" i="83"/>
  <c r="E345" i="83"/>
  <c r="P347" i="83" l="1"/>
  <c r="I346" i="83"/>
  <c r="M347" i="83"/>
  <c r="F346" i="83"/>
  <c r="K347" i="83"/>
  <c r="D346" i="83"/>
  <c r="L347" i="83"/>
  <c r="E346" i="83"/>
  <c r="O347" i="83"/>
  <c r="H346" i="83"/>
  <c r="N347" i="83"/>
  <c r="G346" i="83"/>
  <c r="P348" i="83" l="1"/>
  <c r="I347" i="83"/>
  <c r="M348" i="83"/>
  <c r="F347" i="83"/>
  <c r="O348" i="83"/>
  <c r="H347" i="83"/>
  <c r="L348" i="83"/>
  <c r="E347" i="83"/>
  <c r="K348" i="83"/>
  <c r="D347" i="83"/>
  <c r="N348" i="83"/>
  <c r="G347" i="83"/>
  <c r="L349" i="83" l="1"/>
  <c r="E348" i="83"/>
  <c r="M349" i="83"/>
  <c r="F348" i="83"/>
  <c r="O349" i="83"/>
  <c r="H348" i="83"/>
  <c r="N349" i="83"/>
  <c r="G348" i="83"/>
  <c r="K349" i="83"/>
  <c r="D348" i="83"/>
  <c r="P349" i="83"/>
  <c r="I348" i="83"/>
  <c r="N350" i="83" l="1"/>
  <c r="G349" i="83"/>
  <c r="M350" i="83"/>
  <c r="F349" i="83"/>
  <c r="O350" i="83"/>
  <c r="H349" i="83"/>
  <c r="P350" i="83"/>
  <c r="I349" i="83"/>
  <c r="K350" i="83"/>
  <c r="D349" i="83"/>
  <c r="L350" i="83"/>
  <c r="E349" i="83"/>
  <c r="P351" i="83" l="1"/>
  <c r="I350" i="83"/>
  <c r="O351" i="83"/>
  <c r="H350" i="83"/>
  <c r="L351" i="83"/>
  <c r="E350" i="83"/>
  <c r="M351" i="83"/>
  <c r="F350" i="83"/>
  <c r="K351" i="83"/>
  <c r="D350" i="83"/>
  <c r="N351" i="83"/>
  <c r="G350" i="83"/>
  <c r="M352" i="83" l="1"/>
  <c r="F351" i="83"/>
  <c r="O352" i="83"/>
  <c r="H351" i="83"/>
  <c r="L352" i="83"/>
  <c r="E351" i="83"/>
  <c r="N352" i="83"/>
  <c r="G351" i="83"/>
  <c r="K352" i="83"/>
  <c r="D351" i="83"/>
  <c r="P352" i="83"/>
  <c r="I351" i="83"/>
  <c r="L353" i="83" l="1"/>
  <c r="E352" i="83"/>
  <c r="N353" i="83"/>
  <c r="G352" i="83"/>
  <c r="P353" i="83"/>
  <c r="I352" i="83"/>
  <c r="O353" i="83"/>
  <c r="H352" i="83"/>
  <c r="K353" i="83"/>
  <c r="D352" i="83"/>
  <c r="M353" i="83"/>
  <c r="F352" i="83"/>
  <c r="P354" i="83" l="1"/>
  <c r="I353" i="83"/>
  <c r="N354" i="83"/>
  <c r="G353" i="83"/>
  <c r="O354" i="83"/>
  <c r="H353" i="83"/>
  <c r="M354" i="83"/>
  <c r="F353" i="83"/>
  <c r="K354" i="83"/>
  <c r="D353" i="83"/>
  <c r="L354" i="83"/>
  <c r="E353" i="83"/>
  <c r="O355" i="83" l="1"/>
  <c r="H354" i="83"/>
  <c r="M355" i="83"/>
  <c r="F354" i="83"/>
  <c r="L355" i="83"/>
  <c r="E354" i="83"/>
  <c r="N355" i="83"/>
  <c r="G354" i="83"/>
  <c r="K355" i="83"/>
  <c r="D354" i="83"/>
  <c r="P355" i="83"/>
  <c r="I354" i="83"/>
  <c r="N356" i="83" l="1"/>
  <c r="G355" i="83"/>
  <c r="L356" i="83"/>
  <c r="E355" i="83"/>
  <c r="M356" i="83"/>
  <c r="F355" i="83"/>
  <c r="P356" i="83"/>
  <c r="I355" i="83"/>
  <c r="K356" i="83"/>
  <c r="D355" i="83"/>
  <c r="O356" i="83"/>
  <c r="H355" i="83"/>
  <c r="P357" i="83" l="1"/>
  <c r="I356" i="83"/>
  <c r="N357" i="83"/>
  <c r="G356" i="83"/>
  <c r="M357" i="83"/>
  <c r="F356" i="83"/>
  <c r="K357" i="83"/>
  <c r="D356" i="83"/>
  <c r="O357" i="83"/>
  <c r="H356" i="83"/>
  <c r="L357" i="83"/>
  <c r="E356" i="83"/>
  <c r="K358" i="83" l="1"/>
  <c r="D357" i="83"/>
  <c r="P358" i="83"/>
  <c r="I357" i="83"/>
  <c r="M358" i="83"/>
  <c r="F357" i="83"/>
  <c r="O358" i="83"/>
  <c r="H357" i="83"/>
  <c r="L358" i="83"/>
  <c r="E357" i="83"/>
  <c r="N358" i="83"/>
  <c r="G357" i="83"/>
  <c r="K359" i="83" l="1"/>
  <c r="D358" i="83"/>
  <c r="M359" i="83"/>
  <c r="F358" i="83"/>
  <c r="L359" i="83"/>
  <c r="E358" i="83"/>
  <c r="O359" i="83"/>
  <c r="H358" i="83"/>
  <c r="N359" i="83"/>
  <c r="G358" i="83"/>
  <c r="P359" i="83"/>
  <c r="I358" i="83"/>
  <c r="N360" i="83" l="1"/>
  <c r="G359" i="83"/>
  <c r="P360" i="83"/>
  <c r="I359" i="83"/>
  <c r="O360" i="83"/>
  <c r="H359" i="83"/>
  <c r="L360" i="83"/>
  <c r="E359" i="83"/>
  <c r="K360" i="83"/>
  <c r="D359" i="83"/>
  <c r="M360" i="83"/>
  <c r="F359" i="83"/>
  <c r="L361" i="83" l="1"/>
  <c r="E360" i="83"/>
  <c r="O361" i="83"/>
  <c r="H360" i="83"/>
  <c r="M361" i="83"/>
  <c r="F360" i="83"/>
  <c r="P361" i="83"/>
  <c r="I360" i="83"/>
  <c r="K361" i="83"/>
  <c r="D360" i="83"/>
  <c r="N361" i="83"/>
  <c r="G360" i="83"/>
  <c r="P362" i="83" l="1"/>
  <c r="I361" i="83"/>
  <c r="M362" i="83"/>
  <c r="F361" i="83"/>
  <c r="N362" i="83"/>
  <c r="G361" i="83"/>
  <c r="O362" i="83"/>
  <c r="H361" i="83"/>
  <c r="K362" i="83"/>
  <c r="D361" i="83"/>
  <c r="L362" i="83"/>
  <c r="E361" i="83"/>
  <c r="N363" i="83" l="1"/>
  <c r="G362" i="83"/>
  <c r="O363" i="83"/>
  <c r="H362" i="83"/>
  <c r="L363" i="83"/>
  <c r="E362" i="83"/>
  <c r="M363" i="83"/>
  <c r="F362" i="83"/>
  <c r="K363" i="83"/>
  <c r="D362" i="83"/>
  <c r="P363" i="83"/>
  <c r="I362" i="83"/>
  <c r="L364" i="83" l="1"/>
  <c r="E363" i="83"/>
  <c r="O364" i="83"/>
  <c r="H363" i="83"/>
  <c r="M364" i="83"/>
  <c r="F363" i="83"/>
  <c r="P364" i="83"/>
  <c r="I363" i="83"/>
  <c r="K364" i="83"/>
  <c r="D363" i="83"/>
  <c r="N364" i="83"/>
  <c r="G363" i="83"/>
  <c r="P365" i="83" l="1"/>
  <c r="I364" i="83"/>
  <c r="O365" i="83"/>
  <c r="H364" i="83"/>
  <c r="M365" i="83"/>
  <c r="F364" i="83"/>
  <c r="N365" i="83"/>
  <c r="G364" i="83"/>
  <c r="K365" i="83"/>
  <c r="D364" i="83"/>
  <c r="L365" i="83"/>
  <c r="E364" i="83"/>
  <c r="O366" i="83" l="1"/>
  <c r="H365" i="83"/>
  <c r="N366" i="83"/>
  <c r="G365" i="83"/>
  <c r="M366" i="83"/>
  <c r="F365" i="83"/>
  <c r="L366" i="83"/>
  <c r="E365" i="83"/>
  <c r="K366" i="83"/>
  <c r="D365" i="83"/>
  <c r="P366" i="83"/>
  <c r="I365" i="83"/>
  <c r="M367" i="83" l="1"/>
  <c r="F366" i="83"/>
  <c r="L367" i="83"/>
  <c r="E366" i="83"/>
  <c r="N367" i="83"/>
  <c r="G366" i="83"/>
  <c r="P367" i="83"/>
  <c r="I366" i="83"/>
  <c r="K367" i="83"/>
  <c r="D366" i="83"/>
  <c r="O367" i="83"/>
  <c r="H366" i="83"/>
  <c r="P368" i="83" l="1"/>
  <c r="I367" i="83"/>
  <c r="O368" i="83"/>
  <c r="H367" i="83"/>
  <c r="N368" i="83"/>
  <c r="G367" i="83"/>
  <c r="L368" i="83"/>
  <c r="E367" i="83"/>
  <c r="K368" i="83"/>
  <c r="D367" i="83"/>
  <c r="M368" i="83"/>
  <c r="F367" i="83"/>
  <c r="L369" i="83" l="1"/>
  <c r="E368" i="83"/>
  <c r="M369" i="83"/>
  <c r="F368" i="83"/>
  <c r="O369" i="83"/>
  <c r="H368" i="83"/>
  <c r="N369" i="83"/>
  <c r="G368" i="83"/>
  <c r="K369" i="83"/>
  <c r="D368" i="83"/>
  <c r="P369" i="83"/>
  <c r="I368" i="83"/>
  <c r="P370" i="83" l="1"/>
  <c r="I369" i="83"/>
  <c r="N370" i="83"/>
  <c r="G369" i="83"/>
  <c r="O370" i="83"/>
  <c r="H369" i="83"/>
  <c r="M370" i="83"/>
  <c r="F369" i="83"/>
  <c r="K370" i="83"/>
  <c r="D369" i="83"/>
  <c r="L370" i="83"/>
  <c r="E369" i="83"/>
  <c r="M371" i="83" l="1"/>
  <c r="F370" i="83"/>
  <c r="N371" i="83"/>
  <c r="G370" i="83"/>
  <c r="L371" i="83"/>
  <c r="E370" i="83"/>
  <c r="O371" i="83"/>
  <c r="H370" i="83"/>
  <c r="K371" i="83"/>
  <c r="D370" i="83"/>
  <c r="P371" i="83"/>
  <c r="I370" i="83"/>
  <c r="O372" i="83" l="1"/>
  <c r="H371" i="83"/>
  <c r="L372" i="83"/>
  <c r="E371" i="83"/>
  <c r="N372" i="83"/>
  <c r="G371" i="83"/>
  <c r="P372" i="83"/>
  <c r="I371" i="83"/>
  <c r="K372" i="83"/>
  <c r="D371" i="83"/>
  <c r="M372" i="83"/>
  <c r="F371" i="83"/>
  <c r="P373" i="83" l="1"/>
  <c r="I372" i="83"/>
  <c r="N373" i="83"/>
  <c r="G372" i="83"/>
  <c r="L373" i="83"/>
  <c r="E372" i="83"/>
  <c r="M373" i="83"/>
  <c r="F372" i="83"/>
  <c r="K373" i="83"/>
  <c r="D372" i="83"/>
  <c r="O373" i="83"/>
  <c r="H372" i="83"/>
  <c r="M374" i="83" l="1"/>
  <c r="F373" i="83"/>
  <c r="O374" i="83"/>
  <c r="H373" i="83"/>
  <c r="L374" i="83"/>
  <c r="E373" i="83"/>
  <c r="N374" i="83"/>
  <c r="G373" i="83"/>
  <c r="K374" i="83"/>
  <c r="D373" i="83"/>
  <c r="P374" i="83"/>
  <c r="I373" i="83"/>
  <c r="N375" i="83" l="1"/>
  <c r="G374" i="83"/>
  <c r="O375" i="83"/>
  <c r="H374" i="83"/>
  <c r="L375" i="83"/>
  <c r="E374" i="83"/>
  <c r="P375" i="83"/>
  <c r="I374" i="83"/>
  <c r="K375" i="83"/>
  <c r="D374" i="83"/>
  <c r="M375" i="83"/>
  <c r="F374" i="83"/>
  <c r="N376" i="83" l="1"/>
  <c r="G375" i="83"/>
  <c r="P376" i="83"/>
  <c r="I375" i="83"/>
  <c r="K376" i="83"/>
  <c r="D375" i="83"/>
  <c r="L376" i="83"/>
  <c r="E375" i="83"/>
  <c r="M376" i="83"/>
  <c r="F375" i="83"/>
  <c r="O376" i="83"/>
  <c r="H375" i="83"/>
  <c r="M377" i="83" l="1"/>
  <c r="F376" i="83"/>
  <c r="L377" i="83"/>
  <c r="E376" i="83"/>
  <c r="N377" i="83"/>
  <c r="G376" i="83"/>
  <c r="K377" i="83"/>
  <c r="D376" i="83"/>
  <c r="O377" i="83"/>
  <c r="H376" i="83"/>
  <c r="P377" i="83"/>
  <c r="I376" i="83"/>
  <c r="M378" i="83" l="1"/>
  <c r="F377" i="83"/>
  <c r="K378" i="83"/>
  <c r="D377" i="83"/>
  <c r="O378" i="83"/>
  <c r="H377" i="83"/>
  <c r="N378" i="83"/>
  <c r="G377" i="83"/>
  <c r="P378" i="83"/>
  <c r="I377" i="83"/>
  <c r="L378" i="83"/>
  <c r="E377" i="83"/>
  <c r="P379" i="83" l="1"/>
  <c r="I378" i="83"/>
  <c r="N379" i="83"/>
  <c r="G378" i="83"/>
  <c r="O379" i="83"/>
  <c r="H378" i="83"/>
  <c r="M379" i="83"/>
  <c r="F378" i="83"/>
  <c r="L379" i="83"/>
  <c r="E378" i="83"/>
  <c r="K379" i="83"/>
  <c r="D378" i="83"/>
  <c r="P380" i="83" l="1"/>
  <c r="I379" i="83"/>
  <c r="M380" i="83"/>
  <c r="F379" i="83"/>
  <c r="O380" i="83"/>
  <c r="H379" i="83"/>
  <c r="L380" i="83"/>
  <c r="E379" i="83"/>
  <c r="K380" i="83"/>
  <c r="D379" i="83"/>
  <c r="N380" i="83"/>
  <c r="G379" i="83"/>
  <c r="L381" i="83" l="1"/>
  <c r="E380" i="83"/>
  <c r="P381" i="83"/>
  <c r="I380" i="83"/>
  <c r="O381" i="83"/>
  <c r="H380" i="83"/>
  <c r="N381" i="83"/>
  <c r="G380" i="83"/>
  <c r="M381" i="83"/>
  <c r="F380" i="83"/>
  <c r="K381" i="83"/>
  <c r="D380" i="83"/>
  <c r="L382" i="83" l="1"/>
  <c r="E381" i="83"/>
  <c r="N382" i="83"/>
  <c r="G381" i="83"/>
  <c r="O382" i="83"/>
  <c r="H381" i="83"/>
  <c r="M382" i="83"/>
  <c r="F381" i="83"/>
  <c r="K382" i="83"/>
  <c r="D381" i="83"/>
  <c r="P382" i="83"/>
  <c r="I381" i="83"/>
  <c r="K383" i="83" l="1"/>
  <c r="D382" i="83"/>
  <c r="M383" i="83"/>
  <c r="F382" i="83"/>
  <c r="O383" i="83"/>
  <c r="H382" i="83"/>
  <c r="L383" i="83"/>
  <c r="E382" i="83"/>
  <c r="P383" i="83"/>
  <c r="I382" i="83"/>
  <c r="N383" i="83"/>
  <c r="G382" i="83"/>
  <c r="P384" i="83" l="1"/>
  <c r="I383" i="83"/>
  <c r="L384" i="83"/>
  <c r="E383" i="83"/>
  <c r="K384" i="83"/>
  <c r="D383" i="83"/>
  <c r="O384" i="83"/>
  <c r="H383" i="83"/>
  <c r="N384" i="83"/>
  <c r="G383" i="83"/>
  <c r="M384" i="83"/>
  <c r="F383" i="83"/>
  <c r="N385" i="83" l="1"/>
  <c r="G384" i="83"/>
  <c r="O385" i="83"/>
  <c r="H384" i="83"/>
  <c r="P385" i="83"/>
  <c r="I384" i="83"/>
  <c r="K385" i="83"/>
  <c r="D384" i="83"/>
  <c r="M385" i="83"/>
  <c r="F384" i="83"/>
  <c r="L385" i="83"/>
  <c r="E384" i="83"/>
  <c r="M386" i="83" l="1"/>
  <c r="F385" i="83"/>
  <c r="N386" i="83"/>
  <c r="G385" i="83"/>
  <c r="K386" i="83"/>
  <c r="D385" i="83"/>
  <c r="O386" i="83"/>
  <c r="H385" i="83"/>
  <c r="P386" i="83"/>
  <c r="I385" i="83"/>
  <c r="L386" i="83"/>
  <c r="E385" i="83"/>
  <c r="O387" i="83" l="1"/>
  <c r="H386" i="83"/>
  <c r="N387" i="83"/>
  <c r="G386" i="83"/>
  <c r="K387" i="83"/>
  <c r="D386" i="83"/>
  <c r="L387" i="83"/>
  <c r="E386" i="83"/>
  <c r="P387" i="83"/>
  <c r="I386" i="83"/>
  <c r="M387" i="83"/>
  <c r="F386" i="83"/>
  <c r="K388" i="83" l="1"/>
  <c r="D387" i="83"/>
  <c r="M388" i="83"/>
  <c r="F387" i="83"/>
  <c r="L388" i="83"/>
  <c r="E387" i="83"/>
  <c r="N388" i="83"/>
  <c r="G387" i="83"/>
  <c r="P388" i="83"/>
  <c r="I387" i="83"/>
  <c r="O388" i="83"/>
  <c r="H387" i="83"/>
  <c r="N389" i="83" l="1"/>
  <c r="G388" i="83"/>
  <c r="O389" i="83"/>
  <c r="H388" i="83"/>
  <c r="L389" i="83"/>
  <c r="E388" i="83"/>
  <c r="M389" i="83"/>
  <c r="F388" i="83"/>
  <c r="P389" i="83"/>
  <c r="I388" i="83"/>
  <c r="K389" i="83"/>
  <c r="D388" i="83"/>
  <c r="M390" i="83" l="1"/>
  <c r="F389" i="83"/>
  <c r="K390" i="83"/>
  <c r="D389" i="83"/>
  <c r="L390" i="83"/>
  <c r="E389" i="83"/>
  <c r="O390" i="83"/>
  <c r="H389" i="83"/>
  <c r="P390" i="83"/>
  <c r="I389" i="83"/>
  <c r="N390" i="83"/>
  <c r="G389" i="83"/>
  <c r="O391" i="83" l="1"/>
  <c r="H390" i="83"/>
  <c r="N391" i="83"/>
  <c r="G390" i="83"/>
  <c r="L391" i="83"/>
  <c r="E390" i="83"/>
  <c r="K391" i="83"/>
  <c r="D390" i="83"/>
  <c r="P391" i="83"/>
  <c r="I390" i="83"/>
  <c r="M391" i="83"/>
  <c r="F390" i="83"/>
  <c r="K392" i="83" l="1"/>
  <c r="D391" i="83"/>
  <c r="L392" i="83"/>
  <c r="E391" i="83"/>
  <c r="M392" i="83"/>
  <c r="F391" i="83"/>
  <c r="N392" i="83"/>
  <c r="G391" i="83"/>
  <c r="P392" i="83"/>
  <c r="I391" i="83"/>
  <c r="O392" i="83"/>
  <c r="H391" i="83"/>
  <c r="N393" i="83" l="1"/>
  <c r="G392" i="83"/>
  <c r="M393" i="83"/>
  <c r="F392" i="83"/>
  <c r="L393" i="83"/>
  <c r="E392" i="83"/>
  <c r="O393" i="83"/>
  <c r="H392" i="83"/>
  <c r="P393" i="83"/>
  <c r="I392" i="83"/>
  <c r="K393" i="83"/>
  <c r="D392" i="83"/>
  <c r="O394" i="83" l="1"/>
  <c r="H393" i="83"/>
  <c r="L394" i="83"/>
  <c r="E393" i="83"/>
  <c r="K394" i="83"/>
  <c r="D393" i="83"/>
  <c r="M394" i="83"/>
  <c r="F393" i="83"/>
  <c r="P394" i="83"/>
  <c r="I393" i="83"/>
  <c r="N394" i="83"/>
  <c r="G393" i="83"/>
  <c r="M395" i="83" l="1"/>
  <c r="F394" i="83"/>
  <c r="K395" i="83"/>
  <c r="D394" i="83"/>
  <c r="N395" i="83"/>
  <c r="G394" i="83"/>
  <c r="L395" i="83"/>
  <c r="E394" i="83"/>
  <c r="P395" i="83"/>
  <c r="I394" i="83"/>
  <c r="O395" i="83"/>
  <c r="H394" i="83"/>
  <c r="L396" i="83" l="1"/>
  <c r="E395" i="83"/>
  <c r="O396" i="83"/>
  <c r="H395" i="83"/>
  <c r="N396" i="83"/>
  <c r="G395" i="83"/>
  <c r="K396" i="83"/>
  <c r="D395" i="83"/>
  <c r="P396" i="83"/>
  <c r="I395" i="83"/>
  <c r="M396" i="83"/>
  <c r="F395" i="83"/>
  <c r="M397" i="83" l="1"/>
  <c r="F396" i="83"/>
  <c r="K397" i="83"/>
  <c r="D396" i="83"/>
  <c r="N397" i="83"/>
  <c r="G396" i="83"/>
  <c r="O397" i="83"/>
  <c r="H396" i="83"/>
  <c r="P397" i="83"/>
  <c r="I396" i="83"/>
  <c r="L397" i="83"/>
  <c r="E396" i="83"/>
  <c r="N398" i="83" l="1"/>
  <c r="G397" i="83"/>
  <c r="K398" i="83"/>
  <c r="D397" i="83"/>
  <c r="O398" i="83"/>
  <c r="H397" i="83"/>
  <c r="L398" i="83"/>
  <c r="E397" i="83"/>
  <c r="P398" i="83"/>
  <c r="I397" i="83"/>
  <c r="M398" i="83"/>
  <c r="F397" i="83"/>
  <c r="L399" i="83" l="1"/>
  <c r="E398" i="83"/>
  <c r="M399" i="83"/>
  <c r="F398" i="83"/>
  <c r="O399" i="83"/>
  <c r="H398" i="83"/>
  <c r="K399" i="83"/>
  <c r="D398" i="83"/>
  <c r="P399" i="83"/>
  <c r="I398" i="83"/>
  <c r="N399" i="83"/>
  <c r="G398" i="83"/>
  <c r="K400" i="83" l="1"/>
  <c r="D399" i="83"/>
  <c r="N400" i="83"/>
  <c r="G399" i="83"/>
  <c r="O400" i="83"/>
  <c r="H399" i="83"/>
  <c r="M400" i="83"/>
  <c r="F399" i="83"/>
  <c r="P400" i="83"/>
  <c r="I399" i="83"/>
  <c r="L400" i="83"/>
  <c r="E399" i="83"/>
  <c r="M401" i="83" l="1"/>
  <c r="F400" i="83"/>
  <c r="L401" i="83"/>
  <c r="E400" i="83"/>
  <c r="O401" i="83"/>
  <c r="H400" i="83"/>
  <c r="N401" i="83"/>
  <c r="G400" i="83"/>
  <c r="P401" i="83"/>
  <c r="I400" i="83"/>
  <c r="K401" i="83"/>
  <c r="D400" i="83"/>
  <c r="K402" i="83" l="1"/>
  <c r="D401" i="83"/>
  <c r="L402" i="83"/>
  <c r="E401" i="83"/>
  <c r="N402" i="83"/>
  <c r="G401" i="83"/>
  <c r="O402" i="83"/>
  <c r="H401" i="83"/>
  <c r="P402" i="83"/>
  <c r="I401" i="83"/>
  <c r="M402" i="83"/>
  <c r="F401" i="83"/>
  <c r="O403" i="83" l="1"/>
  <c r="H402" i="83"/>
  <c r="M403" i="83"/>
  <c r="F402" i="83"/>
  <c r="N403" i="83"/>
  <c r="G402" i="83"/>
  <c r="L403" i="83"/>
  <c r="E402" i="83"/>
  <c r="P403" i="83"/>
  <c r="I402" i="83"/>
  <c r="K403" i="83"/>
  <c r="D402" i="83"/>
  <c r="L404" i="83" l="1"/>
  <c r="E403" i="83"/>
  <c r="K404" i="83"/>
  <c r="D403" i="83"/>
  <c r="N404" i="83"/>
  <c r="G403" i="83"/>
  <c r="M404" i="83"/>
  <c r="F403" i="83"/>
  <c r="P404" i="83"/>
  <c r="I403" i="83"/>
  <c r="O404" i="83"/>
  <c r="H403" i="83"/>
  <c r="M405" i="83" l="1"/>
  <c r="F404" i="83"/>
  <c r="O405" i="83"/>
  <c r="H404" i="83"/>
  <c r="N405" i="83"/>
  <c r="G404" i="83"/>
  <c r="K405" i="83"/>
  <c r="D404" i="83"/>
  <c r="P405" i="83"/>
  <c r="I404" i="83"/>
  <c r="L405" i="83"/>
  <c r="E404" i="83"/>
  <c r="K406" i="83" l="1"/>
  <c r="D405" i="83"/>
  <c r="L406" i="83"/>
  <c r="E405" i="83"/>
  <c r="N406" i="83"/>
  <c r="G405" i="83"/>
  <c r="O406" i="83"/>
  <c r="H405" i="83"/>
  <c r="P406" i="83"/>
  <c r="I405" i="83"/>
  <c r="M406" i="83"/>
  <c r="F405" i="83"/>
  <c r="O407" i="83" l="1"/>
  <c r="H406" i="83"/>
  <c r="M407" i="83"/>
  <c r="F406" i="83"/>
  <c r="N407" i="83"/>
  <c r="G406" i="83"/>
  <c r="L407" i="83"/>
  <c r="E406" i="83"/>
  <c r="P407" i="83"/>
  <c r="I406" i="83"/>
  <c r="K407" i="83"/>
  <c r="D406" i="83"/>
  <c r="K408" i="83" l="1"/>
  <c r="D407" i="83"/>
  <c r="L408" i="83"/>
  <c r="E407" i="83"/>
  <c r="N408" i="83"/>
  <c r="G407" i="83"/>
  <c r="M408" i="83"/>
  <c r="F407" i="83"/>
  <c r="P408" i="83"/>
  <c r="I407" i="83"/>
  <c r="O408" i="83"/>
  <c r="H407" i="83"/>
  <c r="M409" i="83" l="1"/>
  <c r="F408" i="83"/>
  <c r="N409" i="83"/>
  <c r="G408" i="83"/>
  <c r="O409" i="83"/>
  <c r="H408" i="83"/>
  <c r="L409" i="83"/>
  <c r="E408" i="83"/>
  <c r="P409" i="83"/>
  <c r="I408" i="83"/>
  <c r="K409" i="83"/>
  <c r="D408" i="83"/>
  <c r="L410" i="83" l="1"/>
  <c r="E409" i="83"/>
  <c r="N410" i="83"/>
  <c r="G409" i="83"/>
  <c r="O410" i="83"/>
  <c r="H409" i="83"/>
  <c r="K410" i="83"/>
  <c r="D409" i="83"/>
  <c r="P410" i="83"/>
  <c r="I409" i="83"/>
  <c r="M410" i="83"/>
  <c r="F409" i="83"/>
  <c r="K411" i="83" l="1"/>
  <c r="D410" i="83"/>
  <c r="N411" i="83"/>
  <c r="G410" i="83"/>
  <c r="O411" i="83"/>
  <c r="H410" i="83"/>
  <c r="M411" i="83"/>
  <c r="F410" i="83"/>
  <c r="P411" i="83"/>
  <c r="I410" i="83"/>
  <c r="L411" i="83"/>
  <c r="E410" i="83"/>
  <c r="M412" i="83" l="1"/>
  <c r="F411" i="83"/>
  <c r="N412" i="83"/>
  <c r="G411" i="83"/>
  <c r="O412" i="83"/>
  <c r="H411" i="83"/>
  <c r="L412" i="83"/>
  <c r="E411" i="83"/>
  <c r="P412" i="83"/>
  <c r="I411" i="83"/>
  <c r="K412" i="83"/>
  <c r="D411" i="83"/>
  <c r="L413" i="83" l="1"/>
  <c r="E412" i="83"/>
  <c r="K413" i="83"/>
  <c r="D412" i="83"/>
  <c r="O413" i="83"/>
  <c r="H412" i="83"/>
  <c r="N413" i="83"/>
  <c r="G412" i="83"/>
  <c r="P413" i="83"/>
  <c r="I412" i="83"/>
  <c r="M413" i="83"/>
  <c r="F412" i="83"/>
  <c r="N414" i="83" l="1"/>
  <c r="G413" i="83"/>
  <c r="M414" i="83"/>
  <c r="F413" i="83"/>
  <c r="O414" i="83"/>
  <c r="H413" i="83"/>
  <c r="K414" i="83"/>
  <c r="D413" i="83"/>
  <c r="P414" i="83"/>
  <c r="I413" i="83"/>
  <c r="L414" i="83"/>
  <c r="E413" i="83"/>
  <c r="K415" i="83" l="1"/>
  <c r="D414" i="83"/>
  <c r="O415" i="83"/>
  <c r="H414" i="83"/>
  <c r="L415" i="83"/>
  <c r="E414" i="83"/>
  <c r="M415" i="83"/>
  <c r="F414" i="83"/>
  <c r="P415" i="83"/>
  <c r="I414" i="83"/>
  <c r="N415" i="83"/>
  <c r="G414" i="83"/>
  <c r="M416" i="83" l="1"/>
  <c r="F415" i="83"/>
  <c r="N416" i="83"/>
  <c r="G415" i="83"/>
  <c r="L416" i="83"/>
  <c r="E415" i="83"/>
  <c r="O416" i="83"/>
  <c r="H415" i="83"/>
  <c r="P416" i="83"/>
  <c r="I415" i="83"/>
  <c r="K416" i="83"/>
  <c r="D415" i="83"/>
  <c r="K417" i="83" l="1"/>
  <c r="D416" i="83"/>
  <c r="O417" i="83"/>
  <c r="H416" i="83"/>
  <c r="L417" i="83"/>
  <c r="E416" i="83"/>
  <c r="N417" i="83"/>
  <c r="G416" i="83"/>
  <c r="P417" i="83"/>
  <c r="I416" i="83"/>
  <c r="M417" i="83"/>
  <c r="F416" i="83"/>
  <c r="N418" i="83" l="1"/>
  <c r="G417" i="83"/>
  <c r="M418" i="83"/>
  <c r="F417" i="83"/>
  <c r="L418" i="83"/>
  <c r="E417" i="83"/>
  <c r="O418" i="83"/>
  <c r="H417" i="83"/>
  <c r="P418" i="83"/>
  <c r="I417" i="83"/>
  <c r="K418" i="83"/>
  <c r="D417" i="83"/>
  <c r="L419" i="83" l="1"/>
  <c r="E418" i="83"/>
  <c r="O419" i="83"/>
  <c r="H418" i="83"/>
  <c r="K419" i="83"/>
  <c r="D418" i="83"/>
  <c r="M419" i="83"/>
  <c r="F418" i="83"/>
  <c r="P419" i="83"/>
  <c r="I418" i="83"/>
  <c r="N419" i="83"/>
  <c r="G418" i="83"/>
  <c r="M420" i="83" l="1"/>
  <c r="F419" i="83"/>
  <c r="N420" i="83"/>
  <c r="G419" i="83"/>
  <c r="K420" i="83"/>
  <c r="D419" i="83"/>
  <c r="O420" i="83"/>
  <c r="H419" i="83"/>
  <c r="P420" i="83"/>
  <c r="I419" i="83"/>
  <c r="L420" i="83"/>
  <c r="E419" i="83"/>
  <c r="O421" i="83" l="1"/>
  <c r="H420" i="83"/>
  <c r="L421" i="83"/>
  <c r="E420" i="83"/>
  <c r="K421" i="83"/>
  <c r="D420" i="83"/>
  <c r="N421" i="83"/>
  <c r="G420" i="83"/>
  <c r="P421" i="83"/>
  <c r="I420" i="83"/>
  <c r="M421" i="83"/>
  <c r="F420" i="83"/>
  <c r="N422" i="83" l="1"/>
  <c r="G421" i="83"/>
  <c r="M422" i="83"/>
  <c r="F421" i="83"/>
  <c r="K422" i="83"/>
  <c r="D421" i="83"/>
  <c r="L422" i="83"/>
  <c r="E421" i="83"/>
  <c r="P422" i="83"/>
  <c r="I421" i="83"/>
  <c r="O422" i="83"/>
  <c r="H421" i="83"/>
  <c r="L423" i="83" l="1"/>
  <c r="E422" i="83"/>
  <c r="K423" i="83"/>
  <c r="D422" i="83"/>
  <c r="O423" i="83"/>
  <c r="H422" i="83"/>
  <c r="M423" i="83"/>
  <c r="F422" i="83"/>
  <c r="P423" i="83"/>
  <c r="I422" i="83"/>
  <c r="N423" i="83"/>
  <c r="G422" i="83"/>
  <c r="M424" i="83" l="1"/>
  <c r="F423" i="83"/>
  <c r="N424" i="83"/>
  <c r="G423" i="83"/>
  <c r="O424" i="83"/>
  <c r="H423" i="83"/>
  <c r="K424" i="83"/>
  <c r="D423" i="83"/>
  <c r="P424" i="83"/>
  <c r="I423" i="83"/>
  <c r="L424" i="83"/>
  <c r="E423" i="83"/>
  <c r="O425" i="83" l="1"/>
  <c r="H424" i="83"/>
  <c r="K425" i="83"/>
  <c r="D424" i="83"/>
  <c r="L425" i="83"/>
  <c r="E424" i="83"/>
  <c r="N425" i="83"/>
  <c r="G424" i="83"/>
  <c r="P425" i="83"/>
  <c r="I424" i="83"/>
  <c r="M425" i="83"/>
  <c r="F424" i="83"/>
  <c r="N426" i="83" l="1"/>
  <c r="G425" i="83"/>
  <c r="L426" i="83"/>
  <c r="E425" i="83"/>
  <c r="M426" i="83"/>
  <c r="F425" i="83"/>
  <c r="K426" i="83"/>
  <c r="D425" i="83"/>
  <c r="P426" i="83"/>
  <c r="I425" i="83"/>
  <c r="O426" i="83"/>
  <c r="H425" i="83"/>
  <c r="K427" i="83" l="1"/>
  <c r="D426" i="83"/>
  <c r="L427" i="83"/>
  <c r="E426" i="83"/>
  <c r="M427" i="83"/>
  <c r="F426" i="83"/>
  <c r="O427" i="83"/>
  <c r="H426" i="83"/>
  <c r="P427" i="83"/>
  <c r="I426" i="83"/>
  <c r="N427" i="83"/>
  <c r="G426" i="83"/>
  <c r="O428" i="83" l="1"/>
  <c r="H427" i="83"/>
  <c r="N428" i="83"/>
  <c r="G427" i="83"/>
  <c r="M428" i="83"/>
  <c r="F427" i="83"/>
  <c r="L428" i="83"/>
  <c r="E427" i="83"/>
  <c r="P428" i="83"/>
  <c r="I427" i="83"/>
  <c r="K428" i="83"/>
  <c r="D427" i="83"/>
  <c r="K429" i="83" l="1"/>
  <c r="D428" i="83"/>
  <c r="L429" i="83"/>
  <c r="E428" i="83"/>
  <c r="M429" i="83"/>
  <c r="F428" i="83"/>
  <c r="N429" i="83"/>
  <c r="G428" i="83"/>
  <c r="P429" i="83"/>
  <c r="I428" i="83"/>
  <c r="O429" i="83"/>
  <c r="H428" i="83"/>
  <c r="N430" i="83" l="1"/>
  <c r="G429" i="83"/>
  <c r="O430" i="83"/>
  <c r="H429" i="83"/>
  <c r="M430" i="83"/>
  <c r="F429" i="83"/>
  <c r="L430" i="83"/>
  <c r="E429" i="83"/>
  <c r="P430" i="83"/>
  <c r="I429" i="83"/>
  <c r="K430" i="83"/>
  <c r="D429" i="83"/>
  <c r="L431" i="83" l="1"/>
  <c r="E430" i="83"/>
  <c r="O431" i="83"/>
  <c r="H430" i="83"/>
  <c r="M431" i="83"/>
  <c r="F430" i="83"/>
  <c r="K431" i="83"/>
  <c r="D430" i="83"/>
  <c r="P431" i="83"/>
  <c r="I430" i="83"/>
  <c r="N431" i="83"/>
  <c r="G430" i="83"/>
  <c r="K432" i="83" l="1"/>
  <c r="D431" i="83"/>
  <c r="N432" i="83"/>
  <c r="G431" i="83"/>
  <c r="M432" i="83"/>
  <c r="F431" i="83"/>
  <c r="O432" i="83"/>
  <c r="H431" i="83"/>
  <c r="P432" i="83"/>
  <c r="I431" i="83"/>
  <c r="L432" i="83"/>
  <c r="E431" i="83"/>
  <c r="O433" i="83" l="1"/>
  <c r="H432" i="83"/>
  <c r="M433" i="83"/>
  <c r="F432" i="83"/>
  <c r="L433" i="83"/>
  <c r="E432" i="83"/>
  <c r="N433" i="83"/>
  <c r="G432" i="83"/>
  <c r="P433" i="83"/>
  <c r="I432" i="83"/>
  <c r="K433" i="83"/>
  <c r="D432" i="83"/>
  <c r="N434" i="83" l="1"/>
  <c r="G433" i="83"/>
  <c r="K434" i="83"/>
  <c r="D433" i="83"/>
  <c r="L434" i="83"/>
  <c r="E433" i="83"/>
  <c r="M434" i="83"/>
  <c r="F433" i="83"/>
  <c r="P434" i="83"/>
  <c r="I433" i="83"/>
  <c r="O434" i="83"/>
  <c r="H433" i="83"/>
  <c r="M435" i="83" l="1"/>
  <c r="F434" i="83"/>
  <c r="O435" i="83"/>
  <c r="H434" i="83"/>
  <c r="L435" i="83"/>
  <c r="E434" i="83"/>
  <c r="K435" i="83"/>
  <c r="D434" i="83"/>
  <c r="P435" i="83"/>
  <c r="I434" i="83"/>
  <c r="N435" i="83"/>
  <c r="G434" i="83"/>
  <c r="K436" i="83" l="1"/>
  <c r="D435" i="83"/>
  <c r="L436" i="83"/>
  <c r="E435" i="83"/>
  <c r="N436" i="83"/>
  <c r="G435" i="83"/>
  <c r="O436" i="83"/>
  <c r="H435" i="83"/>
  <c r="P436" i="83"/>
  <c r="I435" i="83"/>
  <c r="M436" i="83"/>
  <c r="F435" i="83"/>
  <c r="O437" i="83" l="1"/>
  <c r="H436" i="83"/>
  <c r="N437" i="83"/>
  <c r="G436" i="83"/>
  <c r="M437" i="83"/>
  <c r="F436" i="83"/>
  <c r="L437" i="83"/>
  <c r="E436" i="83"/>
  <c r="P437" i="83"/>
  <c r="I436" i="83"/>
  <c r="K437" i="83"/>
  <c r="D436" i="83"/>
  <c r="L438" i="83" l="1"/>
  <c r="E437" i="83"/>
  <c r="K438" i="83"/>
  <c r="D437" i="83"/>
  <c r="M438" i="83"/>
  <c r="F437" i="83"/>
  <c r="N438" i="83"/>
  <c r="G437" i="83"/>
  <c r="P438" i="83"/>
  <c r="I437" i="83"/>
  <c r="O438" i="83"/>
  <c r="H437" i="83"/>
  <c r="N439" i="83" l="1"/>
  <c r="G438" i="83"/>
  <c r="O439" i="83"/>
  <c r="H438" i="83"/>
  <c r="M439" i="83"/>
  <c r="F438" i="83"/>
  <c r="K439" i="83"/>
  <c r="D438" i="83"/>
  <c r="P439" i="83"/>
  <c r="I438" i="83"/>
  <c r="L439" i="83"/>
  <c r="E438" i="83"/>
  <c r="K440" i="83" l="1"/>
  <c r="D439" i="83"/>
  <c r="O440" i="83"/>
  <c r="H439" i="83"/>
  <c r="M440" i="83"/>
  <c r="F439" i="83"/>
  <c r="L440" i="83"/>
  <c r="E439" i="83"/>
  <c r="P440" i="83"/>
  <c r="I439" i="83"/>
  <c r="N440" i="83"/>
  <c r="G439" i="83"/>
  <c r="L441" i="83" l="1"/>
  <c r="E440" i="83"/>
  <c r="N441" i="83"/>
  <c r="G440" i="83"/>
  <c r="M441" i="83"/>
  <c r="F440" i="83"/>
  <c r="O441" i="83"/>
  <c r="H440" i="83"/>
  <c r="P441" i="83"/>
  <c r="I440" i="83"/>
  <c r="K441" i="83"/>
  <c r="D440" i="83"/>
  <c r="O442" i="83" l="1"/>
  <c r="H441" i="83"/>
  <c r="K442" i="83"/>
  <c r="D441" i="83"/>
  <c r="M442" i="83"/>
  <c r="F441" i="83"/>
  <c r="N442" i="83"/>
  <c r="G441" i="83"/>
  <c r="P442" i="83"/>
  <c r="I441" i="83"/>
  <c r="L442" i="83"/>
  <c r="E441" i="83"/>
  <c r="N443" i="83" l="1"/>
  <c r="G442" i="83"/>
  <c r="L443" i="83"/>
  <c r="E442" i="83"/>
  <c r="M443" i="83"/>
  <c r="F442" i="83"/>
  <c r="K443" i="83"/>
  <c r="D442" i="83"/>
  <c r="P443" i="83"/>
  <c r="I442" i="83"/>
  <c r="O443" i="83"/>
  <c r="H442" i="83"/>
  <c r="M444" i="83" l="1"/>
  <c r="F443" i="83"/>
  <c r="K444" i="83"/>
  <c r="D443" i="83"/>
  <c r="O444" i="83"/>
  <c r="H443" i="83"/>
  <c r="L444" i="83"/>
  <c r="E443" i="83"/>
  <c r="P444" i="83"/>
  <c r="I443" i="83"/>
  <c r="N444" i="83"/>
  <c r="G443" i="83"/>
  <c r="O445" i="83" l="1"/>
  <c r="H444" i="83"/>
  <c r="L445" i="83"/>
  <c r="E444" i="83"/>
  <c r="N445" i="83"/>
  <c r="G444" i="83"/>
  <c r="K445" i="83"/>
  <c r="D444" i="83"/>
  <c r="P445" i="83"/>
  <c r="I444" i="83"/>
  <c r="M445" i="83"/>
  <c r="F444" i="83"/>
  <c r="K446" i="83" l="1"/>
  <c r="D445" i="83"/>
  <c r="N446" i="83"/>
  <c r="G445" i="83"/>
  <c r="M446" i="83"/>
  <c r="F445" i="83"/>
  <c r="L446" i="83"/>
  <c r="E445" i="83"/>
  <c r="P446" i="83"/>
  <c r="I445" i="83"/>
  <c r="O446" i="83"/>
  <c r="H445" i="83"/>
  <c r="L447" i="83" l="1"/>
  <c r="E446" i="83"/>
  <c r="N447" i="83"/>
  <c r="G446" i="83"/>
  <c r="M447" i="83"/>
  <c r="F446" i="83"/>
  <c r="O447" i="83"/>
  <c r="H446" i="83"/>
  <c r="P447" i="83"/>
  <c r="I446" i="83"/>
  <c r="K447" i="83"/>
  <c r="D446" i="83"/>
  <c r="O448" i="83" l="1"/>
  <c r="H447" i="83"/>
  <c r="M448" i="83"/>
  <c r="F447" i="83"/>
  <c r="K448" i="83"/>
  <c r="D447" i="83"/>
  <c r="N448" i="83"/>
  <c r="G447" i="83"/>
  <c r="P448" i="83"/>
  <c r="I447" i="83"/>
  <c r="L448" i="83"/>
  <c r="E447" i="83"/>
  <c r="M449" i="83" l="1"/>
  <c r="F448" i="83"/>
  <c r="N449" i="83"/>
  <c r="G448" i="83"/>
  <c r="K449" i="83"/>
  <c r="D448" i="83"/>
  <c r="L449" i="83"/>
  <c r="E448" i="83"/>
  <c r="P449" i="83"/>
  <c r="I448" i="83"/>
  <c r="O449" i="83"/>
  <c r="H448" i="83"/>
  <c r="L450" i="83" l="1"/>
  <c r="E449" i="83"/>
  <c r="O450" i="83"/>
  <c r="H449" i="83"/>
  <c r="K450" i="83"/>
  <c r="D449" i="83"/>
  <c r="N450" i="83"/>
  <c r="G449" i="83"/>
  <c r="P450" i="83"/>
  <c r="I449" i="83"/>
  <c r="M450" i="83"/>
  <c r="F449" i="83"/>
  <c r="M451" i="83" l="1"/>
  <c r="F450" i="83"/>
  <c r="N451" i="83"/>
  <c r="G450" i="83"/>
  <c r="K451" i="83"/>
  <c r="D450" i="83"/>
  <c r="O451" i="83"/>
  <c r="H450" i="83"/>
  <c r="P451" i="83"/>
  <c r="I450" i="83"/>
  <c r="L451" i="83"/>
  <c r="E450" i="83"/>
  <c r="O452" i="83" l="1"/>
  <c r="H451" i="83"/>
  <c r="L452" i="83"/>
  <c r="E451" i="83"/>
  <c r="K452" i="83"/>
  <c r="D451" i="83"/>
  <c r="N452" i="83"/>
  <c r="G451" i="83"/>
  <c r="P452" i="83"/>
  <c r="I451" i="83"/>
  <c r="M452" i="83"/>
  <c r="F451" i="83"/>
  <c r="N453" i="83" l="1"/>
  <c r="G452" i="83"/>
  <c r="K453" i="83"/>
  <c r="D452" i="83"/>
  <c r="M453" i="83"/>
  <c r="F452" i="83"/>
  <c r="L453" i="83"/>
  <c r="E452" i="83"/>
  <c r="P453" i="83"/>
  <c r="I452" i="83"/>
  <c r="O453" i="83"/>
  <c r="H452" i="83"/>
  <c r="L454" i="83" l="1"/>
  <c r="E453" i="83"/>
  <c r="O454" i="83"/>
  <c r="H453" i="83"/>
  <c r="M454" i="83"/>
  <c r="F453" i="83"/>
  <c r="K454" i="83"/>
  <c r="D453" i="83"/>
  <c r="P454" i="83"/>
  <c r="I453" i="83"/>
  <c r="N454" i="83"/>
  <c r="G453" i="83"/>
  <c r="K455" i="83" l="1"/>
  <c r="D454" i="83"/>
  <c r="M455" i="83"/>
  <c r="F454" i="83"/>
  <c r="N455" i="83"/>
  <c r="G454" i="83"/>
  <c r="O455" i="83"/>
  <c r="H454" i="83"/>
  <c r="P455" i="83"/>
  <c r="I454" i="83"/>
  <c r="L455" i="83"/>
  <c r="E454" i="83"/>
  <c r="O456" i="83" l="1"/>
  <c r="H455" i="83"/>
  <c r="M456" i="83"/>
  <c r="F455" i="83"/>
  <c r="N456" i="83"/>
  <c r="G455" i="83"/>
  <c r="L456" i="83"/>
  <c r="E455" i="83"/>
  <c r="P456" i="83"/>
  <c r="I455" i="83"/>
  <c r="K456" i="83"/>
  <c r="D455" i="83"/>
  <c r="L457" i="83" l="1"/>
  <c r="E456" i="83"/>
  <c r="K457" i="83"/>
  <c r="D456" i="83"/>
  <c r="N457" i="83"/>
  <c r="G456" i="83"/>
  <c r="M457" i="83"/>
  <c r="F456" i="83"/>
  <c r="P457" i="83"/>
  <c r="I456" i="83"/>
  <c r="O457" i="83"/>
  <c r="H456" i="83"/>
  <c r="M458" i="83" l="1"/>
  <c r="F457" i="83"/>
  <c r="K458" i="83"/>
  <c r="D457" i="83"/>
  <c r="N458" i="83"/>
  <c r="G457" i="83"/>
  <c r="O458" i="83"/>
  <c r="H457" i="83"/>
  <c r="P458" i="83"/>
  <c r="I457" i="83"/>
  <c r="L458" i="83"/>
  <c r="E457" i="83"/>
  <c r="O459" i="83" l="1"/>
  <c r="H458" i="83"/>
  <c r="K459" i="83"/>
  <c r="D458" i="83"/>
  <c r="L459" i="83"/>
  <c r="E458" i="83"/>
  <c r="N459" i="83"/>
  <c r="G458" i="83"/>
  <c r="P459" i="83"/>
  <c r="I458" i="83"/>
  <c r="M459" i="83"/>
  <c r="F458" i="83"/>
  <c r="N460" i="83" l="1"/>
  <c r="G459" i="83"/>
  <c r="M460" i="83"/>
  <c r="F459" i="83"/>
  <c r="L460" i="83"/>
  <c r="E459" i="83"/>
  <c r="K460" i="83"/>
  <c r="D459" i="83"/>
  <c r="P460" i="83"/>
  <c r="I459" i="83"/>
  <c r="O460" i="83"/>
  <c r="H459" i="83"/>
  <c r="K461" i="83" l="1"/>
  <c r="D460" i="83"/>
  <c r="O461" i="83"/>
  <c r="H460" i="83"/>
  <c r="L461" i="83"/>
  <c r="E460" i="83"/>
  <c r="M461" i="83"/>
  <c r="F460" i="83"/>
  <c r="P461" i="83"/>
  <c r="I460" i="83"/>
  <c r="N461" i="83"/>
  <c r="G460" i="83"/>
  <c r="L462" i="83" l="1"/>
  <c r="E461" i="83"/>
  <c r="M462" i="83"/>
  <c r="F461" i="83"/>
  <c r="N462" i="83"/>
  <c r="G461" i="83"/>
  <c r="O462" i="83"/>
  <c r="H461" i="83"/>
  <c r="P462" i="83"/>
  <c r="I461" i="83"/>
  <c r="K462" i="83"/>
  <c r="D461" i="83"/>
  <c r="O463" i="83" l="1"/>
  <c r="H462" i="83"/>
  <c r="M463" i="83"/>
  <c r="F462" i="83"/>
  <c r="N463" i="83"/>
  <c r="G462" i="83"/>
  <c r="K463" i="83"/>
  <c r="D462" i="83"/>
  <c r="P463" i="83"/>
  <c r="I462" i="83"/>
  <c r="L463" i="83"/>
  <c r="E462" i="83"/>
  <c r="N464" i="83" l="1"/>
  <c r="G463" i="83"/>
  <c r="L464" i="83"/>
  <c r="E463" i="83"/>
  <c r="K464" i="83"/>
  <c r="D463" i="83"/>
  <c r="M464" i="83"/>
  <c r="F463" i="83"/>
  <c r="P464" i="83"/>
  <c r="I463" i="83"/>
  <c r="O464" i="83"/>
  <c r="H463" i="83"/>
  <c r="O465" i="83" l="1"/>
  <c r="H464" i="83"/>
  <c r="M465" i="83"/>
  <c r="F464" i="83"/>
  <c r="K465" i="83"/>
  <c r="D464" i="83"/>
  <c r="L465" i="83"/>
  <c r="E464" i="83"/>
  <c r="P465" i="83"/>
  <c r="I464" i="83"/>
  <c r="N465" i="83"/>
  <c r="G464" i="83"/>
  <c r="L466" i="83" l="1"/>
  <c r="E465" i="83"/>
  <c r="K466" i="83"/>
  <c r="D465" i="83"/>
  <c r="N466" i="83"/>
  <c r="G465" i="83"/>
  <c r="M466" i="83"/>
  <c r="F465" i="83"/>
  <c r="P466" i="83"/>
  <c r="I465" i="83"/>
  <c r="O466" i="83"/>
  <c r="H465" i="83"/>
  <c r="M467" i="83" l="1"/>
  <c r="F466" i="83"/>
  <c r="O467" i="83"/>
  <c r="H466" i="83"/>
  <c r="N467" i="83"/>
  <c r="G466" i="83"/>
  <c r="K467" i="83"/>
  <c r="D466" i="83"/>
  <c r="P467" i="83"/>
  <c r="I466" i="83"/>
  <c r="L467" i="83"/>
  <c r="E466" i="83"/>
  <c r="K468" i="83" l="1"/>
  <c r="D467" i="83"/>
  <c r="L468" i="83"/>
  <c r="E467" i="83"/>
  <c r="N468" i="83"/>
  <c r="G467" i="83"/>
  <c r="O468" i="83"/>
  <c r="H467" i="83"/>
  <c r="P468" i="83"/>
  <c r="I467" i="83"/>
  <c r="M468" i="83"/>
  <c r="F467" i="83"/>
  <c r="O469" i="83" l="1"/>
  <c r="H468" i="83"/>
  <c r="N469" i="83"/>
  <c r="G468" i="83"/>
  <c r="M469" i="83"/>
  <c r="F468" i="83"/>
  <c r="L469" i="83"/>
  <c r="E468" i="83"/>
  <c r="P469" i="83"/>
  <c r="I468" i="83"/>
  <c r="K469" i="83"/>
  <c r="D468" i="83"/>
  <c r="L470" i="83" l="1"/>
  <c r="E469" i="83"/>
  <c r="K470" i="83"/>
  <c r="D469" i="83"/>
  <c r="M470" i="83"/>
  <c r="F469" i="83"/>
  <c r="N470" i="83"/>
  <c r="G469" i="83"/>
  <c r="P470" i="83"/>
  <c r="I469" i="83"/>
  <c r="O470" i="83"/>
  <c r="H469" i="83"/>
  <c r="O471" i="83" l="1"/>
  <c r="H470" i="83"/>
  <c r="N471" i="83"/>
  <c r="G470" i="83"/>
  <c r="M471" i="83"/>
  <c r="F470" i="83"/>
  <c r="K471" i="83"/>
  <c r="D470" i="83"/>
  <c r="P471" i="83"/>
  <c r="I470" i="83"/>
  <c r="L471" i="83"/>
  <c r="E470" i="83"/>
  <c r="K472" i="83" l="1"/>
  <c r="D471" i="83"/>
  <c r="L472" i="83"/>
  <c r="E471" i="83"/>
  <c r="M472" i="83"/>
  <c r="F471" i="83"/>
  <c r="N472" i="83"/>
  <c r="G471" i="83"/>
  <c r="P472" i="83"/>
  <c r="I471" i="83"/>
  <c r="O472" i="83"/>
  <c r="H471" i="83"/>
  <c r="N473" i="83" l="1"/>
  <c r="G472" i="83"/>
  <c r="O473" i="83"/>
  <c r="H472" i="83"/>
  <c r="M473" i="83"/>
  <c r="F472" i="83"/>
  <c r="L473" i="83"/>
  <c r="E472" i="83"/>
  <c r="P473" i="83"/>
  <c r="I472" i="83"/>
  <c r="K473" i="83"/>
  <c r="D472" i="83"/>
  <c r="L474" i="83" l="1"/>
  <c r="E473" i="83"/>
  <c r="M474" i="83"/>
  <c r="F473" i="83"/>
  <c r="K474" i="83"/>
  <c r="D473" i="83"/>
  <c r="O474" i="83"/>
  <c r="H473" i="83"/>
  <c r="P474" i="83"/>
  <c r="I473" i="83"/>
  <c r="N474" i="83"/>
  <c r="G473" i="83"/>
  <c r="N475" i="83" l="1"/>
  <c r="G474" i="83"/>
  <c r="O475" i="83"/>
  <c r="H474" i="83"/>
  <c r="K475" i="83"/>
  <c r="D474" i="83"/>
  <c r="M475" i="83"/>
  <c r="F474" i="83"/>
  <c r="P475" i="83"/>
  <c r="I474" i="83"/>
  <c r="L475" i="83"/>
  <c r="E474" i="83"/>
  <c r="M476" i="83" l="1"/>
  <c r="F475" i="83"/>
  <c r="L476" i="83"/>
  <c r="E475" i="83"/>
  <c r="K476" i="83"/>
  <c r="D475" i="83"/>
  <c r="O476" i="83"/>
  <c r="H475" i="83"/>
  <c r="P476" i="83"/>
  <c r="I475" i="83"/>
  <c r="N476" i="83"/>
  <c r="G475" i="83"/>
  <c r="O477" i="83" l="1"/>
  <c r="H476" i="83"/>
  <c r="N477" i="83"/>
  <c r="G476" i="83"/>
  <c r="K477" i="83"/>
  <c r="D476" i="83"/>
  <c r="L477" i="83"/>
  <c r="E476" i="83"/>
  <c r="P477" i="83"/>
  <c r="I476" i="83"/>
  <c r="M477" i="83"/>
  <c r="F476" i="83"/>
  <c r="L478" i="83" l="1"/>
  <c r="E477" i="83"/>
  <c r="K478" i="83"/>
  <c r="D477" i="83"/>
  <c r="M478" i="83"/>
  <c r="F477" i="83"/>
  <c r="N478" i="83"/>
  <c r="G477" i="83"/>
  <c r="P478" i="83"/>
  <c r="I477" i="83"/>
  <c r="O478" i="83"/>
  <c r="H477" i="83"/>
  <c r="O479" i="83" l="1"/>
  <c r="H478" i="83"/>
  <c r="N479" i="83"/>
  <c r="G478" i="83"/>
  <c r="M479" i="83"/>
  <c r="F478" i="83"/>
  <c r="K479" i="83"/>
  <c r="D478" i="83"/>
  <c r="P479" i="83"/>
  <c r="I478" i="83"/>
  <c r="L479" i="83"/>
  <c r="E478" i="83"/>
  <c r="K480" i="83" l="1"/>
  <c r="D479" i="83"/>
  <c r="L480" i="83"/>
  <c r="E479" i="83"/>
  <c r="M480" i="83"/>
  <c r="F479" i="83"/>
  <c r="N480" i="83"/>
  <c r="G479" i="83"/>
  <c r="P480" i="83"/>
  <c r="I479" i="83"/>
  <c r="O480" i="83"/>
  <c r="H479" i="83"/>
  <c r="N481" i="83" l="1"/>
  <c r="G480" i="83"/>
  <c r="M481" i="83"/>
  <c r="F480" i="83"/>
  <c r="O481" i="83"/>
  <c r="H480" i="83"/>
  <c r="L481" i="83"/>
  <c r="E480" i="83"/>
  <c r="P481" i="83"/>
  <c r="I480" i="83"/>
  <c r="K481" i="83"/>
  <c r="D480" i="83"/>
  <c r="L482" i="83" l="1"/>
  <c r="E481" i="83"/>
  <c r="K482" i="83"/>
  <c r="D481" i="83"/>
  <c r="O482" i="83"/>
  <c r="H481" i="83"/>
  <c r="M482" i="83"/>
  <c r="F481" i="83"/>
  <c r="P482" i="83"/>
  <c r="I481" i="83"/>
  <c r="N482" i="83"/>
  <c r="G481" i="83"/>
  <c r="M483" i="83" l="1"/>
  <c r="F482" i="83"/>
  <c r="O483" i="83"/>
  <c r="H482" i="83"/>
  <c r="N483" i="83"/>
  <c r="G482" i="83"/>
  <c r="K483" i="83"/>
  <c r="D482" i="83"/>
  <c r="P483" i="83"/>
  <c r="I482" i="83"/>
  <c r="L483" i="83"/>
  <c r="E482" i="83"/>
  <c r="K484" i="83" l="1"/>
  <c r="D483" i="83"/>
  <c r="L484" i="83"/>
  <c r="E483" i="83"/>
  <c r="N484" i="83"/>
  <c r="G483" i="83"/>
  <c r="O484" i="83"/>
  <c r="H483" i="83"/>
  <c r="P484" i="83"/>
  <c r="I483" i="83"/>
  <c r="M484" i="83"/>
  <c r="F483" i="83"/>
  <c r="O485" i="83" l="1"/>
  <c r="H484" i="83"/>
  <c r="M485" i="83"/>
  <c r="F484" i="83"/>
  <c r="N485" i="83"/>
  <c r="G484" i="83"/>
  <c r="L485" i="83"/>
  <c r="E484" i="83"/>
  <c r="P485" i="83"/>
  <c r="I484" i="83"/>
  <c r="K485" i="83"/>
  <c r="D484" i="83"/>
  <c r="K486" i="83" l="1"/>
  <c r="D485" i="83"/>
  <c r="L486" i="83"/>
  <c r="E485" i="83"/>
  <c r="N486" i="83"/>
  <c r="G485" i="83"/>
  <c r="M486" i="83"/>
  <c r="F485" i="83"/>
  <c r="P486" i="83"/>
  <c r="I485" i="83"/>
  <c r="O486" i="83"/>
  <c r="H485" i="83"/>
  <c r="M487" i="83" l="1"/>
  <c r="F486" i="83"/>
  <c r="N487" i="83"/>
  <c r="G486" i="83"/>
  <c r="O487" i="83"/>
  <c r="H486" i="83"/>
  <c r="L487" i="83"/>
  <c r="E486" i="83"/>
  <c r="P487" i="83"/>
  <c r="I486" i="83"/>
  <c r="K487" i="83"/>
  <c r="D486" i="83"/>
  <c r="L488" i="83" l="1"/>
  <c r="E487" i="83"/>
  <c r="O488" i="83"/>
  <c r="H487" i="83"/>
  <c r="K488" i="83"/>
  <c r="D487" i="83"/>
  <c r="N488" i="83"/>
  <c r="G487" i="83"/>
  <c r="P488" i="83"/>
  <c r="I487" i="83"/>
  <c r="M488" i="83"/>
  <c r="F487" i="83"/>
  <c r="N489" i="83" l="1"/>
  <c r="G488" i="83"/>
  <c r="K489" i="83"/>
  <c r="D488" i="83"/>
  <c r="M489" i="83"/>
  <c r="F488" i="83"/>
  <c r="O489" i="83"/>
  <c r="H488" i="83"/>
  <c r="P489" i="83"/>
  <c r="I488" i="83"/>
  <c r="L489" i="83"/>
  <c r="E488" i="83"/>
  <c r="O490" i="83" l="1"/>
  <c r="H489" i="83"/>
  <c r="L490" i="83"/>
  <c r="E489" i="83"/>
  <c r="M490" i="83"/>
  <c r="F489" i="83"/>
  <c r="K490" i="83"/>
  <c r="D489" i="83"/>
  <c r="P490" i="83"/>
  <c r="I489" i="83"/>
  <c r="N490" i="83"/>
  <c r="G489" i="83"/>
  <c r="N491" i="83" l="1"/>
  <c r="G490" i="83"/>
  <c r="K491" i="83"/>
  <c r="D490" i="83"/>
  <c r="M491" i="83"/>
  <c r="F490" i="83"/>
  <c r="L491" i="83"/>
  <c r="E490" i="83"/>
  <c r="P491" i="83"/>
  <c r="I490" i="83"/>
  <c r="O491" i="83"/>
  <c r="H490" i="83"/>
  <c r="O492" i="83" l="1"/>
  <c r="H491" i="83"/>
  <c r="L492" i="83"/>
  <c r="E491" i="83"/>
  <c r="M492" i="83"/>
  <c r="F491" i="83"/>
  <c r="K492" i="83"/>
  <c r="D491" i="83"/>
  <c r="P492" i="83"/>
  <c r="I491" i="83"/>
  <c r="N492" i="83"/>
  <c r="G491" i="83"/>
  <c r="K493" i="83" l="1"/>
  <c r="D492" i="83"/>
  <c r="N493" i="83"/>
  <c r="G492" i="83"/>
  <c r="M493" i="83"/>
  <c r="F492" i="83"/>
  <c r="L493" i="83"/>
  <c r="E492" i="83"/>
  <c r="P493" i="83"/>
  <c r="I492" i="83"/>
  <c r="O493" i="83"/>
  <c r="H492" i="83"/>
  <c r="L494" i="83" l="1"/>
  <c r="E493" i="83"/>
  <c r="O494" i="83"/>
  <c r="H493" i="83"/>
  <c r="M494" i="83"/>
  <c r="F493" i="83"/>
  <c r="N494" i="83"/>
  <c r="G493" i="83"/>
  <c r="P494" i="83"/>
  <c r="I493" i="83"/>
  <c r="K494" i="83"/>
  <c r="D493" i="83"/>
  <c r="N495" i="83" l="1"/>
  <c r="G494" i="83"/>
  <c r="M495" i="83"/>
  <c r="F494" i="83"/>
  <c r="K495" i="83"/>
  <c r="D494" i="83"/>
  <c r="O495" i="83"/>
  <c r="H494" i="83"/>
  <c r="P495" i="83"/>
  <c r="I494" i="83"/>
  <c r="L495" i="83"/>
  <c r="E494" i="83"/>
  <c r="O496" i="83" l="1"/>
  <c r="H495" i="83"/>
  <c r="K496" i="83"/>
  <c r="D495" i="83"/>
  <c r="L496" i="83"/>
  <c r="E495" i="83"/>
  <c r="M496" i="83"/>
  <c r="F495" i="83"/>
  <c r="P496" i="83"/>
  <c r="I495" i="83"/>
  <c r="N496" i="83"/>
  <c r="G495" i="83"/>
  <c r="M497" i="83" l="1"/>
  <c r="F496" i="83"/>
  <c r="K497" i="83"/>
  <c r="D496" i="83"/>
  <c r="L497" i="83"/>
  <c r="E496" i="83"/>
  <c r="N497" i="83"/>
  <c r="G496" i="83"/>
  <c r="P497" i="83"/>
  <c r="I496" i="83"/>
  <c r="O497" i="83"/>
  <c r="H496" i="83"/>
  <c r="N498" i="83" l="1"/>
  <c r="G497" i="83"/>
  <c r="L498" i="83"/>
  <c r="E497" i="83"/>
  <c r="O498" i="83"/>
  <c r="H497" i="83"/>
  <c r="K498" i="83"/>
  <c r="D497" i="83"/>
  <c r="P498" i="83"/>
  <c r="I497" i="83"/>
  <c r="M498" i="83"/>
  <c r="F497" i="83"/>
  <c r="O499" i="83" l="1"/>
  <c r="H498" i="83"/>
  <c r="K499" i="83"/>
  <c r="D498" i="83"/>
  <c r="M499" i="83"/>
  <c r="F498" i="83"/>
  <c r="L499" i="83"/>
  <c r="E498" i="83"/>
  <c r="P499" i="83"/>
  <c r="I498" i="83"/>
  <c r="N499" i="83"/>
  <c r="G498" i="83"/>
  <c r="N500" i="83" l="1"/>
  <c r="G499" i="83"/>
  <c r="L500" i="83"/>
  <c r="E499" i="83"/>
  <c r="M500" i="83"/>
  <c r="F499" i="83"/>
  <c r="K500" i="83"/>
  <c r="D499" i="83"/>
  <c r="P500" i="83"/>
  <c r="I499" i="83"/>
  <c r="O500" i="83"/>
  <c r="H499" i="83"/>
  <c r="K501" i="83" l="1"/>
  <c r="D500" i="83"/>
  <c r="M501" i="83"/>
  <c r="F500" i="83"/>
  <c r="O501" i="83"/>
  <c r="H500" i="83"/>
  <c r="L501" i="83"/>
  <c r="E500" i="83"/>
  <c r="P501" i="83"/>
  <c r="I500" i="83"/>
  <c r="N501" i="83"/>
  <c r="G500" i="83"/>
  <c r="L502" i="83" l="1"/>
  <c r="E501" i="83"/>
  <c r="N502" i="83"/>
  <c r="G501" i="83"/>
  <c r="O502" i="83"/>
  <c r="H501" i="83"/>
  <c r="M502" i="83"/>
  <c r="F501" i="83"/>
  <c r="P502" i="83"/>
  <c r="I501" i="83"/>
  <c r="K502" i="83"/>
  <c r="D501" i="83"/>
  <c r="M503" i="83" l="1"/>
  <c r="F502" i="83"/>
  <c r="K503" i="83"/>
  <c r="D502" i="83"/>
  <c r="O503" i="83"/>
  <c r="H502" i="83"/>
  <c r="N503" i="83"/>
  <c r="G502" i="83"/>
  <c r="P503" i="83"/>
  <c r="I502" i="83"/>
  <c r="L503" i="83"/>
  <c r="E502" i="83"/>
  <c r="N504" i="83" l="1"/>
  <c r="G503" i="83"/>
  <c r="L504" i="83"/>
  <c r="E503" i="83"/>
  <c r="O504" i="83"/>
  <c r="H503" i="83"/>
  <c r="K504" i="83"/>
  <c r="D503" i="83"/>
  <c r="P504" i="83"/>
  <c r="I503" i="83"/>
  <c r="M504" i="83"/>
  <c r="F503" i="83"/>
  <c r="K505" i="83" l="1"/>
  <c r="D504" i="83"/>
  <c r="M505" i="83"/>
  <c r="F504" i="83"/>
  <c r="O505" i="83"/>
  <c r="H504" i="83"/>
  <c r="L505" i="83"/>
  <c r="E504" i="83"/>
  <c r="P505" i="83"/>
  <c r="I504" i="83"/>
  <c r="N505" i="83"/>
  <c r="G504" i="83"/>
  <c r="M506" i="83" l="1"/>
  <c r="F505" i="83"/>
  <c r="O506" i="83"/>
  <c r="H505" i="83"/>
  <c r="L506" i="83"/>
  <c r="E505" i="83"/>
  <c r="N506" i="83"/>
  <c r="G505" i="83"/>
  <c r="P506" i="83"/>
  <c r="I505" i="83"/>
  <c r="K506" i="83"/>
  <c r="D505" i="83"/>
  <c r="N507" i="83" l="1"/>
  <c r="G506" i="83"/>
  <c r="K507" i="83"/>
  <c r="D506" i="83"/>
  <c r="L507" i="83"/>
  <c r="E506" i="83"/>
  <c r="O507" i="83"/>
  <c r="H506" i="83"/>
  <c r="P507" i="83"/>
  <c r="I506" i="83"/>
  <c r="M507" i="83"/>
  <c r="F506" i="83"/>
  <c r="O508" i="83" l="1"/>
  <c r="H507" i="83"/>
  <c r="L508" i="83"/>
  <c r="E507" i="83"/>
  <c r="M508" i="83"/>
  <c r="F507" i="83"/>
  <c r="K508" i="83"/>
  <c r="D507" i="83"/>
  <c r="P508" i="83"/>
  <c r="I507" i="83"/>
  <c r="N508" i="83"/>
  <c r="G507" i="83"/>
  <c r="K509" i="83" l="1"/>
  <c r="D508" i="83"/>
  <c r="N509" i="83"/>
  <c r="G508" i="83"/>
  <c r="M509" i="83"/>
  <c r="F508" i="83"/>
  <c r="L509" i="83"/>
  <c r="E508" i="83"/>
  <c r="P509" i="83"/>
  <c r="I508" i="83"/>
  <c r="O509" i="83"/>
  <c r="H508" i="83"/>
  <c r="L510" i="83" l="1"/>
  <c r="E509" i="83"/>
  <c r="M510" i="83"/>
  <c r="F509" i="83"/>
  <c r="O510" i="83"/>
  <c r="H509" i="83"/>
  <c r="N510" i="83"/>
  <c r="G509" i="83"/>
  <c r="P510" i="83"/>
  <c r="I509" i="83"/>
  <c r="K510" i="83"/>
  <c r="D509" i="83"/>
  <c r="N511" i="83" l="1"/>
  <c r="G510" i="83"/>
  <c r="K511" i="83"/>
  <c r="D510" i="83"/>
  <c r="M511" i="83"/>
  <c r="F510" i="83"/>
  <c r="O511" i="83"/>
  <c r="H510" i="83"/>
  <c r="P511" i="83"/>
  <c r="I510" i="83"/>
  <c r="L511" i="83"/>
  <c r="E510" i="83"/>
  <c r="O512" i="83" l="1"/>
  <c r="H511" i="83"/>
  <c r="L512" i="83"/>
  <c r="E511" i="83"/>
  <c r="M512" i="83"/>
  <c r="F511" i="83"/>
  <c r="K512" i="83"/>
  <c r="D511" i="83"/>
  <c r="P512" i="83"/>
  <c r="I511" i="83"/>
  <c r="N512" i="83"/>
  <c r="G511" i="83"/>
  <c r="K513" i="83" l="1"/>
  <c r="D512" i="83"/>
  <c r="M513" i="83"/>
  <c r="F512" i="83"/>
  <c r="N513" i="83"/>
  <c r="G512" i="83"/>
  <c r="L513" i="83"/>
  <c r="E512" i="83"/>
  <c r="P513" i="83"/>
  <c r="I512" i="83"/>
  <c r="O513" i="83"/>
  <c r="H512" i="83"/>
  <c r="L514" i="83" l="1"/>
  <c r="E513" i="83"/>
  <c r="O514" i="83"/>
  <c r="H513" i="83"/>
  <c r="N514" i="83"/>
  <c r="G513" i="83"/>
  <c r="M514" i="83"/>
  <c r="F513" i="83"/>
  <c r="P514" i="83"/>
  <c r="I513" i="83"/>
  <c r="K514" i="83"/>
  <c r="D513" i="83"/>
  <c r="M515" i="83" l="1"/>
  <c r="F514" i="83"/>
  <c r="K515" i="83"/>
  <c r="D514" i="83"/>
  <c r="N515" i="83"/>
  <c r="G514" i="83"/>
  <c r="O515" i="83"/>
  <c r="H514" i="83"/>
  <c r="P515" i="83"/>
  <c r="I514" i="83"/>
  <c r="L515" i="83"/>
  <c r="E514" i="83"/>
  <c r="O516" i="83" l="1"/>
  <c r="H515" i="83"/>
  <c r="L516" i="83"/>
  <c r="E515" i="83"/>
  <c r="N516" i="83"/>
  <c r="G515" i="83"/>
  <c r="K516" i="83"/>
  <c r="D515" i="83"/>
  <c r="P516" i="83"/>
  <c r="I515" i="83"/>
  <c r="M516" i="83"/>
  <c r="F515" i="83"/>
  <c r="K517" i="83" l="1"/>
  <c r="D516" i="83"/>
  <c r="M517" i="83"/>
  <c r="F516" i="83"/>
  <c r="N517" i="83"/>
  <c r="G516" i="83"/>
  <c r="L517" i="83"/>
  <c r="E516" i="83"/>
  <c r="P517" i="83"/>
  <c r="I516" i="83"/>
  <c r="O517" i="83"/>
  <c r="H516" i="83"/>
  <c r="L518" i="83" l="1"/>
  <c r="E517" i="83"/>
  <c r="N518" i="83"/>
  <c r="G517" i="83"/>
  <c r="O518" i="83"/>
  <c r="H517" i="83"/>
  <c r="M518" i="83"/>
  <c r="F517" i="83"/>
  <c r="P518" i="83"/>
  <c r="I517" i="83"/>
  <c r="K518" i="83"/>
  <c r="D517" i="83"/>
  <c r="M519" i="83" l="1"/>
  <c r="F518" i="83"/>
  <c r="O519" i="83"/>
  <c r="H518" i="83"/>
  <c r="K519" i="83"/>
  <c r="D518" i="83"/>
  <c r="N519" i="83"/>
  <c r="G518" i="83"/>
  <c r="P519" i="83"/>
  <c r="I518" i="83"/>
  <c r="L519" i="83"/>
  <c r="E518" i="83"/>
  <c r="K520" i="83" l="1"/>
  <c r="D519" i="83"/>
  <c r="O520" i="83"/>
  <c r="H519" i="83"/>
  <c r="N520" i="83"/>
  <c r="G519" i="83"/>
  <c r="L520" i="83"/>
  <c r="E519" i="83"/>
  <c r="P520" i="83"/>
  <c r="I519" i="83"/>
  <c r="M520" i="83"/>
  <c r="F519" i="83"/>
  <c r="N521" i="83" l="1"/>
  <c r="G520" i="83"/>
  <c r="O521" i="83"/>
  <c r="H520" i="83"/>
  <c r="L521" i="83"/>
  <c r="E520" i="83"/>
  <c r="M521" i="83"/>
  <c r="F520" i="83"/>
  <c r="P521" i="83"/>
  <c r="I520" i="83"/>
  <c r="K521" i="83"/>
  <c r="D520" i="83"/>
  <c r="M522" i="83" l="1"/>
  <c r="F521" i="83"/>
  <c r="O522" i="83"/>
  <c r="H521" i="83"/>
  <c r="L522" i="83"/>
  <c r="E521" i="83"/>
  <c r="K522" i="83"/>
  <c r="D521" i="83"/>
  <c r="P522" i="83"/>
  <c r="I521" i="83"/>
  <c r="N522" i="83"/>
  <c r="G521" i="83"/>
  <c r="N523" i="83" l="1"/>
  <c r="G522" i="83"/>
  <c r="L523" i="83"/>
  <c r="E522" i="83"/>
  <c r="K523" i="83"/>
  <c r="D522" i="83"/>
  <c r="O523" i="83"/>
  <c r="H522" i="83"/>
  <c r="P523" i="83"/>
  <c r="I522" i="83"/>
  <c r="M523" i="83"/>
  <c r="F522" i="83"/>
  <c r="K524" i="83" l="1"/>
  <c r="D523" i="83"/>
  <c r="L524" i="83"/>
  <c r="E523" i="83"/>
  <c r="O524" i="83"/>
  <c r="H523" i="83"/>
  <c r="M524" i="83"/>
  <c r="F523" i="83"/>
  <c r="P524" i="83"/>
  <c r="I523" i="83"/>
  <c r="N524" i="83"/>
  <c r="G523" i="83"/>
  <c r="O525" i="83" l="1"/>
  <c r="H524" i="83"/>
  <c r="L525" i="83"/>
  <c r="E524" i="83"/>
  <c r="M525" i="83"/>
  <c r="F524" i="83"/>
  <c r="N525" i="83"/>
  <c r="G524" i="83"/>
  <c r="P525" i="83"/>
  <c r="I524" i="83"/>
  <c r="K525" i="83"/>
  <c r="D524" i="83"/>
  <c r="K526" i="83" l="1"/>
  <c r="D525" i="83"/>
  <c r="N526" i="83"/>
  <c r="G525" i="83"/>
  <c r="M526" i="83"/>
  <c r="F525" i="83"/>
  <c r="L526" i="83"/>
  <c r="E525" i="83"/>
  <c r="P526" i="83"/>
  <c r="I525" i="83"/>
  <c r="O526" i="83"/>
  <c r="H525" i="83"/>
  <c r="N527" i="83" l="1"/>
  <c r="G526" i="83"/>
  <c r="L527" i="83"/>
  <c r="E526" i="83"/>
  <c r="M527" i="83"/>
  <c r="F526" i="83"/>
  <c r="O527" i="83"/>
  <c r="H526" i="83"/>
  <c r="P527" i="83"/>
  <c r="I526" i="83"/>
  <c r="K527" i="83"/>
  <c r="D526" i="83"/>
  <c r="M528" i="83" l="1"/>
  <c r="F527" i="83"/>
  <c r="K528" i="83"/>
  <c r="D527" i="83"/>
  <c r="O528" i="83"/>
  <c r="H527" i="83"/>
  <c r="L528" i="83"/>
  <c r="E527" i="83"/>
  <c r="P528" i="83"/>
  <c r="I527" i="83"/>
  <c r="N528" i="83"/>
  <c r="G527" i="83"/>
  <c r="L529" i="83" l="1"/>
  <c r="E528" i="83"/>
  <c r="N529" i="83"/>
  <c r="G528" i="83"/>
  <c r="O529" i="83"/>
  <c r="H528" i="83"/>
  <c r="K529" i="83"/>
  <c r="D528" i="83"/>
  <c r="P529" i="83"/>
  <c r="I528" i="83"/>
  <c r="M529" i="83"/>
  <c r="F528" i="83"/>
  <c r="O530" i="83" l="1"/>
  <c r="H529" i="83"/>
  <c r="M530" i="83"/>
  <c r="F529" i="83"/>
  <c r="K530" i="83"/>
  <c r="D529" i="83"/>
  <c r="N530" i="83"/>
  <c r="G529" i="83"/>
  <c r="P530" i="83"/>
  <c r="I529" i="83"/>
  <c r="L530" i="83"/>
  <c r="E529" i="83"/>
  <c r="K531" i="83" l="1"/>
  <c r="D530" i="83"/>
  <c r="M531" i="83"/>
  <c r="F530" i="83"/>
  <c r="N531" i="83"/>
  <c r="G530" i="83"/>
  <c r="L531" i="83"/>
  <c r="E530" i="83"/>
  <c r="P531" i="83"/>
  <c r="I530" i="83"/>
  <c r="O531" i="83"/>
  <c r="H530" i="83"/>
  <c r="L532" i="83" l="1"/>
  <c r="E531" i="83"/>
  <c r="O532" i="83"/>
  <c r="H531" i="83"/>
  <c r="N532" i="83"/>
  <c r="G531" i="83"/>
  <c r="M532" i="83"/>
  <c r="F531" i="83"/>
  <c r="P532" i="83"/>
  <c r="I531" i="83"/>
  <c r="K532" i="83"/>
  <c r="D531" i="83"/>
  <c r="N533" i="83" l="1"/>
  <c r="G532" i="83"/>
  <c r="O533" i="83"/>
  <c r="H532" i="83"/>
  <c r="M533" i="83"/>
  <c r="F532" i="83"/>
  <c r="K533" i="83"/>
  <c r="D532" i="83"/>
  <c r="P533" i="83"/>
  <c r="I532" i="83"/>
  <c r="L533" i="83"/>
  <c r="E532" i="83"/>
  <c r="L534" i="83" l="1"/>
  <c r="E533" i="83"/>
  <c r="M534" i="83"/>
  <c r="F533" i="83"/>
  <c r="K534" i="83"/>
  <c r="D533" i="83"/>
  <c r="O534" i="83"/>
  <c r="H533" i="83"/>
  <c r="P534" i="83"/>
  <c r="I533" i="83"/>
  <c r="N534" i="83"/>
  <c r="G533" i="83"/>
  <c r="O535" i="83" l="1"/>
  <c r="H534" i="83"/>
  <c r="N535" i="83"/>
  <c r="G534" i="83"/>
  <c r="K535" i="83"/>
  <c r="D534" i="83"/>
  <c r="M535" i="83"/>
  <c r="F534" i="83"/>
  <c r="P535" i="83"/>
  <c r="I534" i="83"/>
  <c r="L535" i="83"/>
  <c r="E534" i="83"/>
  <c r="M536" i="83" l="1"/>
  <c r="F535" i="83"/>
  <c r="L536" i="83"/>
  <c r="E535" i="83"/>
  <c r="K536" i="83"/>
  <c r="D535" i="83"/>
  <c r="N536" i="83"/>
  <c r="G535" i="83"/>
  <c r="P536" i="83"/>
  <c r="I535" i="83"/>
  <c r="O536" i="83"/>
  <c r="H535" i="83"/>
  <c r="N537" i="83" l="1"/>
  <c r="G536" i="83"/>
  <c r="O537" i="83"/>
  <c r="H536" i="83"/>
  <c r="K537" i="83"/>
  <c r="D536" i="83"/>
  <c r="L537" i="83"/>
  <c r="E536" i="83"/>
  <c r="P537" i="83"/>
  <c r="I536" i="83"/>
  <c r="M537" i="83"/>
  <c r="F536" i="83"/>
  <c r="L538" i="83" l="1"/>
  <c r="E537" i="83"/>
  <c r="M538" i="83"/>
  <c r="F537" i="83"/>
  <c r="K538" i="83"/>
  <c r="D537" i="83"/>
  <c r="O538" i="83"/>
  <c r="H537" i="83"/>
  <c r="P538" i="83"/>
  <c r="I537" i="83"/>
  <c r="N538" i="83"/>
  <c r="G537" i="83"/>
  <c r="N539" i="83" l="1"/>
  <c r="G538" i="83"/>
  <c r="O539" i="83"/>
  <c r="H538" i="83"/>
  <c r="K539" i="83"/>
  <c r="D538" i="83"/>
  <c r="M539" i="83"/>
  <c r="F538" i="83"/>
  <c r="P539" i="83"/>
  <c r="I538" i="83"/>
  <c r="L539" i="83"/>
  <c r="E538" i="83"/>
  <c r="L540" i="83" l="1"/>
  <c r="E539" i="83"/>
  <c r="K540" i="83"/>
  <c r="D539" i="83"/>
  <c r="M540" i="83"/>
  <c r="F539" i="83"/>
  <c r="O540" i="83"/>
  <c r="H539" i="83"/>
  <c r="P540" i="83"/>
  <c r="I539" i="83"/>
  <c r="N540" i="83"/>
  <c r="G539" i="83"/>
  <c r="N541" i="83" l="1"/>
  <c r="G540" i="83"/>
  <c r="O541" i="83"/>
  <c r="H540" i="83"/>
  <c r="M541" i="83"/>
  <c r="F540" i="83"/>
  <c r="K541" i="83"/>
  <c r="D540" i="83"/>
  <c r="P541" i="83"/>
  <c r="I540" i="83"/>
  <c r="L541" i="83"/>
  <c r="E540" i="83"/>
  <c r="L542" i="83" l="1"/>
  <c r="E541" i="83"/>
  <c r="K542" i="83"/>
  <c r="D541" i="83"/>
  <c r="M542" i="83"/>
  <c r="F541" i="83"/>
  <c r="O542" i="83"/>
  <c r="H541" i="83"/>
  <c r="P542" i="83"/>
  <c r="I541" i="83"/>
  <c r="N542" i="83"/>
  <c r="G541" i="83"/>
  <c r="O543" i="83" l="1"/>
  <c r="H542" i="83"/>
  <c r="N543" i="83"/>
  <c r="G542" i="83"/>
  <c r="M543" i="83"/>
  <c r="F542" i="83"/>
  <c r="K543" i="83"/>
  <c r="D542" i="83"/>
  <c r="P543" i="83"/>
  <c r="I542" i="83"/>
  <c r="L543" i="83"/>
  <c r="E542" i="83"/>
  <c r="L544" i="83" l="1"/>
  <c r="E543" i="83"/>
  <c r="M544" i="83"/>
  <c r="F543" i="83"/>
  <c r="K544" i="83"/>
  <c r="D543" i="83"/>
  <c r="N544" i="83"/>
  <c r="G543" i="83"/>
  <c r="P544" i="83"/>
  <c r="I543" i="83"/>
  <c r="O544" i="83"/>
  <c r="H543" i="83"/>
  <c r="N545" i="83" l="1"/>
  <c r="G544" i="83"/>
  <c r="O545" i="83"/>
  <c r="H544" i="83"/>
  <c r="K545" i="83"/>
  <c r="D544" i="83"/>
  <c r="M545" i="83"/>
  <c r="F544" i="83"/>
  <c r="P545" i="83"/>
  <c r="I544" i="83"/>
  <c r="L545" i="83"/>
  <c r="E544" i="83"/>
  <c r="M546" i="83" l="1"/>
  <c r="F545" i="83"/>
  <c r="L546" i="83"/>
  <c r="E545" i="83"/>
  <c r="K546" i="83"/>
  <c r="D545" i="83"/>
  <c r="O546" i="83"/>
  <c r="H545" i="83"/>
  <c r="P546" i="83"/>
  <c r="I545" i="83"/>
  <c r="N546" i="83"/>
  <c r="G545" i="83"/>
  <c r="K547" i="83" l="1"/>
  <c r="D546" i="83"/>
  <c r="L547" i="83"/>
  <c r="E546" i="83"/>
  <c r="O547" i="83"/>
  <c r="H546" i="83"/>
  <c r="N547" i="83"/>
  <c r="G546" i="83"/>
  <c r="P547" i="83"/>
  <c r="I546" i="83"/>
  <c r="M547" i="83"/>
  <c r="F546" i="83"/>
  <c r="N548" i="83" l="1"/>
  <c r="G547" i="83"/>
  <c r="L548" i="83"/>
  <c r="E547" i="83"/>
  <c r="O548" i="83"/>
  <c r="H547" i="83"/>
  <c r="M548" i="83"/>
  <c r="F547" i="83"/>
  <c r="P548" i="83"/>
  <c r="I547" i="83"/>
  <c r="K548" i="83"/>
  <c r="D547" i="83"/>
  <c r="K549" i="83" l="1"/>
  <c r="D548" i="83"/>
  <c r="O549" i="83"/>
  <c r="H548" i="83"/>
  <c r="M549" i="83"/>
  <c r="F548" i="83"/>
  <c r="L549" i="83"/>
  <c r="E548" i="83"/>
  <c r="P549" i="83"/>
  <c r="I548" i="83"/>
  <c r="N549" i="83"/>
  <c r="G548" i="83"/>
  <c r="L550" i="83" l="1"/>
  <c r="E549" i="83"/>
  <c r="M550" i="83"/>
  <c r="F549" i="83"/>
  <c r="N550" i="83"/>
  <c r="G549" i="83"/>
  <c r="O550" i="83"/>
  <c r="H549" i="83"/>
  <c r="P550" i="83"/>
  <c r="I549" i="83"/>
  <c r="K550" i="83"/>
  <c r="D549" i="83"/>
  <c r="O551" i="83" l="1"/>
  <c r="H550" i="83"/>
  <c r="N551" i="83"/>
  <c r="G550" i="83"/>
  <c r="M551" i="83"/>
  <c r="F550" i="83"/>
  <c r="K551" i="83"/>
  <c r="D550" i="83"/>
  <c r="P551" i="83"/>
  <c r="I550" i="83"/>
  <c r="L551" i="83"/>
  <c r="E550" i="83"/>
  <c r="K552" i="83" l="1"/>
  <c r="D551" i="83"/>
  <c r="N552" i="83"/>
  <c r="G551" i="83"/>
  <c r="M552" i="83"/>
  <c r="F551" i="83"/>
  <c r="L552" i="83"/>
  <c r="E551" i="83"/>
  <c r="P552" i="83"/>
  <c r="I551" i="83"/>
  <c r="O552" i="83"/>
  <c r="H551" i="83"/>
  <c r="L553" i="83" l="1"/>
  <c r="E552" i="83"/>
  <c r="O553" i="83"/>
  <c r="H552" i="83"/>
  <c r="M553" i="83"/>
  <c r="F552" i="83"/>
  <c r="N553" i="83"/>
  <c r="G552" i="83"/>
  <c r="P553" i="83"/>
  <c r="I552" i="83"/>
  <c r="K553" i="83"/>
  <c r="D552" i="83"/>
  <c r="K554" i="83" l="1"/>
  <c r="D553" i="83"/>
  <c r="M554" i="83"/>
  <c r="F553" i="83"/>
  <c r="N554" i="83"/>
  <c r="G553" i="83"/>
  <c r="O554" i="83"/>
  <c r="H553" i="83"/>
  <c r="P554" i="83"/>
  <c r="I553" i="83"/>
  <c r="L554" i="83"/>
  <c r="E553" i="83"/>
  <c r="N555" i="83" l="1"/>
  <c r="G554" i="83"/>
  <c r="L555" i="83"/>
  <c r="E554" i="83"/>
  <c r="O555" i="83"/>
  <c r="H554" i="83"/>
  <c r="M555" i="83"/>
  <c r="F554" i="83"/>
  <c r="P555" i="83"/>
  <c r="I554" i="83"/>
  <c r="K555" i="83"/>
  <c r="D554" i="83"/>
  <c r="M556" i="83" l="1"/>
  <c r="F555" i="83"/>
  <c r="K556" i="83"/>
  <c r="D555" i="83"/>
  <c r="O556" i="83"/>
  <c r="H555" i="83"/>
  <c r="L556" i="83"/>
  <c r="E555" i="83"/>
  <c r="P556" i="83"/>
  <c r="I555" i="83"/>
  <c r="N556" i="83"/>
  <c r="G555" i="83"/>
  <c r="N557" i="83" l="1"/>
  <c r="G556" i="83"/>
  <c r="O557" i="83"/>
  <c r="H556" i="83"/>
  <c r="L557" i="83"/>
  <c r="E556" i="83"/>
  <c r="K557" i="83"/>
  <c r="D556" i="83"/>
  <c r="P557" i="83"/>
  <c r="I556" i="83"/>
  <c r="M557" i="83"/>
  <c r="F556" i="83"/>
  <c r="K558" i="83" l="1"/>
  <c r="D557" i="83"/>
  <c r="L558" i="83"/>
  <c r="E557" i="83"/>
  <c r="M558" i="83"/>
  <c r="F557" i="83"/>
  <c r="O558" i="83"/>
  <c r="H557" i="83"/>
  <c r="P558" i="83"/>
  <c r="I557" i="83"/>
  <c r="N558" i="83"/>
  <c r="G557" i="83"/>
  <c r="O559" i="83" l="1"/>
  <c r="H558" i="83"/>
  <c r="M559" i="83"/>
  <c r="F558" i="83"/>
  <c r="N559" i="83"/>
  <c r="G558" i="83"/>
  <c r="L559" i="83"/>
  <c r="E558" i="83"/>
  <c r="P559" i="83"/>
  <c r="I558" i="83"/>
  <c r="K559" i="83"/>
  <c r="D558" i="83"/>
  <c r="L560" i="83" l="1"/>
  <c r="E559" i="83"/>
  <c r="K560" i="83"/>
  <c r="D559" i="83"/>
  <c r="N560" i="83"/>
  <c r="G559" i="83"/>
  <c r="M560" i="83"/>
  <c r="F559" i="83"/>
  <c r="P560" i="83"/>
  <c r="I559" i="83"/>
  <c r="O560" i="83"/>
  <c r="H559" i="83"/>
  <c r="O561" i="83" l="1"/>
  <c r="H560" i="83"/>
  <c r="M561" i="83"/>
  <c r="F560" i="83"/>
  <c r="N561" i="83"/>
  <c r="G560" i="83"/>
  <c r="K561" i="83"/>
  <c r="D560" i="83"/>
  <c r="P561" i="83"/>
  <c r="I560" i="83"/>
  <c r="L561" i="83"/>
  <c r="E560" i="83"/>
  <c r="L562" i="83" l="1"/>
  <c r="E561" i="83"/>
  <c r="N562" i="83"/>
  <c r="G561" i="83"/>
  <c r="K562" i="83"/>
  <c r="D561" i="83"/>
  <c r="M562" i="83"/>
  <c r="F561" i="83"/>
  <c r="P562" i="83"/>
  <c r="I561" i="83"/>
  <c r="O562" i="83"/>
  <c r="H561" i="83"/>
  <c r="K563" i="83" l="1"/>
  <c r="D562" i="83"/>
  <c r="N563" i="83"/>
  <c r="G562" i="83"/>
  <c r="M563" i="83"/>
  <c r="F562" i="83"/>
  <c r="O563" i="83"/>
  <c r="H562" i="83"/>
  <c r="P563" i="83"/>
  <c r="I562" i="83"/>
  <c r="L563" i="83"/>
  <c r="E562" i="83"/>
  <c r="O564" i="83" l="1"/>
  <c r="H563" i="83"/>
  <c r="L564" i="83"/>
  <c r="E563" i="83"/>
  <c r="M564" i="83"/>
  <c r="F563" i="83"/>
  <c r="N564" i="83"/>
  <c r="G563" i="83"/>
  <c r="P564" i="83"/>
  <c r="I563" i="83"/>
  <c r="K564" i="83"/>
  <c r="D563" i="83"/>
  <c r="N565" i="83" l="1"/>
  <c r="G564" i="83"/>
  <c r="K565" i="83"/>
  <c r="D564" i="83"/>
  <c r="M565" i="83"/>
  <c r="F564" i="83"/>
  <c r="L565" i="83"/>
  <c r="E564" i="83"/>
  <c r="P565" i="83"/>
  <c r="I564" i="83"/>
  <c r="O565" i="83"/>
  <c r="H564" i="83"/>
  <c r="L566" i="83" l="1"/>
  <c r="E565" i="83"/>
  <c r="O566" i="83"/>
  <c r="H565" i="83"/>
  <c r="M566" i="83"/>
  <c r="F565" i="83"/>
  <c r="K566" i="83"/>
  <c r="D565" i="83"/>
  <c r="P566" i="83"/>
  <c r="I565" i="83"/>
  <c r="N566" i="83"/>
  <c r="G565" i="83"/>
  <c r="M567" i="83" l="1"/>
  <c r="F566" i="83"/>
  <c r="N567" i="83"/>
  <c r="G566" i="83"/>
  <c r="K567" i="83"/>
  <c r="D566" i="83"/>
  <c r="O567" i="83"/>
  <c r="H566" i="83"/>
  <c r="P567" i="83"/>
  <c r="I566" i="83"/>
  <c r="L567" i="83"/>
  <c r="E566" i="83"/>
  <c r="O568" i="83" l="1"/>
  <c r="H567" i="83"/>
  <c r="K568" i="83"/>
  <c r="D567" i="83"/>
  <c r="L568" i="83"/>
  <c r="E567" i="83"/>
  <c r="N568" i="83"/>
  <c r="G567" i="83"/>
  <c r="P568" i="83"/>
  <c r="I567" i="83"/>
  <c r="M568" i="83"/>
  <c r="F567" i="83"/>
  <c r="M569" i="83" l="1"/>
  <c r="F568" i="83"/>
  <c r="N569" i="83"/>
  <c r="G568" i="83"/>
  <c r="L569" i="83"/>
  <c r="E568" i="83"/>
  <c r="K569" i="83"/>
  <c r="D568" i="83"/>
  <c r="P569" i="83"/>
  <c r="I568" i="83"/>
  <c r="O569" i="83"/>
  <c r="H568" i="83"/>
  <c r="O570" i="83" l="1"/>
  <c r="H569" i="83"/>
  <c r="L570" i="83"/>
  <c r="E569" i="83"/>
  <c r="K570" i="83"/>
  <c r="D569" i="83"/>
  <c r="N570" i="83"/>
  <c r="G569" i="83"/>
  <c r="P570" i="83"/>
  <c r="I569" i="83"/>
  <c r="M570" i="83"/>
  <c r="F569" i="83"/>
  <c r="M571" i="83" l="1"/>
  <c r="F570" i="83"/>
  <c r="N571" i="83"/>
  <c r="G570" i="83"/>
  <c r="K571" i="83"/>
  <c r="D570" i="83"/>
  <c r="L571" i="83"/>
  <c r="E570" i="83"/>
  <c r="P571" i="83"/>
  <c r="I570" i="83"/>
  <c r="O571" i="83"/>
  <c r="H570" i="83"/>
  <c r="K572" i="83" l="1"/>
  <c r="D571" i="83"/>
  <c r="O572" i="83"/>
  <c r="H571" i="83"/>
  <c r="L572" i="83"/>
  <c r="E571" i="83"/>
  <c r="N572" i="83"/>
  <c r="G571" i="83"/>
  <c r="P572" i="83"/>
  <c r="I571" i="83"/>
  <c r="M572" i="83"/>
  <c r="F571" i="83"/>
  <c r="L573" i="83" l="1"/>
  <c r="E572" i="83"/>
  <c r="M573" i="83"/>
  <c r="F572" i="83"/>
  <c r="N573" i="83"/>
  <c r="G572" i="83"/>
  <c r="O573" i="83"/>
  <c r="H572" i="83"/>
  <c r="P573" i="83"/>
  <c r="I572" i="83"/>
  <c r="K573" i="83"/>
  <c r="D572" i="83"/>
  <c r="K574" i="83" l="1"/>
  <c r="D573" i="83"/>
  <c r="O574" i="83"/>
  <c r="H573" i="83"/>
  <c r="N574" i="83"/>
  <c r="G573" i="83"/>
  <c r="M574" i="83"/>
  <c r="F573" i="83"/>
  <c r="P574" i="83"/>
  <c r="I573" i="83"/>
  <c r="L574" i="83"/>
  <c r="E573" i="83"/>
  <c r="L575" i="83" l="1"/>
  <c r="E574" i="83"/>
  <c r="M575" i="83"/>
  <c r="F574" i="83"/>
  <c r="N575" i="83"/>
  <c r="G574" i="83"/>
  <c r="O575" i="83"/>
  <c r="H574" i="83"/>
  <c r="P575" i="83"/>
  <c r="I574" i="83"/>
  <c r="K575" i="83"/>
  <c r="D574" i="83"/>
  <c r="N576" i="83" l="1"/>
  <c r="G575" i="83"/>
  <c r="K576" i="83"/>
  <c r="D575" i="83"/>
  <c r="O576" i="83"/>
  <c r="H575" i="83"/>
  <c r="M576" i="83"/>
  <c r="F575" i="83"/>
  <c r="P576" i="83"/>
  <c r="I575" i="83"/>
  <c r="L576" i="83"/>
  <c r="E575" i="83"/>
  <c r="L577" i="83" l="1"/>
  <c r="E576" i="83"/>
  <c r="M577" i="83"/>
  <c r="F576" i="83"/>
  <c r="O577" i="83"/>
  <c r="H576" i="83"/>
  <c r="K577" i="83"/>
  <c r="D576" i="83"/>
  <c r="P577" i="83"/>
  <c r="I576" i="83"/>
  <c r="N577" i="83"/>
  <c r="G576" i="83"/>
  <c r="K578" i="83" l="1"/>
  <c r="D577" i="83"/>
  <c r="O578" i="83"/>
  <c r="H577" i="83"/>
  <c r="N578" i="83"/>
  <c r="G577" i="83"/>
  <c r="M578" i="83"/>
  <c r="F577" i="83"/>
  <c r="P578" i="83"/>
  <c r="I577" i="83"/>
  <c r="L578" i="83"/>
  <c r="E577" i="83"/>
  <c r="M579" i="83" l="1"/>
  <c r="F578" i="83"/>
  <c r="L579" i="83"/>
  <c r="E578" i="83"/>
  <c r="N579" i="83"/>
  <c r="G578" i="83"/>
  <c r="O579" i="83"/>
  <c r="H578" i="83"/>
  <c r="P579" i="83"/>
  <c r="I578" i="83"/>
  <c r="K579" i="83"/>
  <c r="D578" i="83"/>
  <c r="K580" i="83" l="1"/>
  <c r="D579" i="83"/>
  <c r="N580" i="83"/>
  <c r="G579" i="83"/>
  <c r="O580" i="83"/>
  <c r="H579" i="83"/>
  <c r="L580" i="83"/>
  <c r="E579" i="83"/>
  <c r="P580" i="83"/>
  <c r="I579" i="83"/>
  <c r="M580" i="83"/>
  <c r="F579" i="83"/>
  <c r="M581" i="83" l="1"/>
  <c r="F580" i="83"/>
  <c r="O581" i="83"/>
  <c r="H580" i="83"/>
  <c r="L581" i="83"/>
  <c r="E580" i="83"/>
  <c r="N581" i="83"/>
  <c r="G580" i="83"/>
  <c r="P581" i="83"/>
  <c r="I580" i="83"/>
  <c r="K581" i="83"/>
  <c r="D580" i="83"/>
  <c r="L582" i="83" l="1"/>
  <c r="E581" i="83"/>
  <c r="K582" i="83"/>
  <c r="D581" i="83"/>
  <c r="N582" i="83"/>
  <c r="G581" i="83"/>
  <c r="O582" i="83"/>
  <c r="H581" i="83"/>
  <c r="P582" i="83"/>
  <c r="I581" i="83"/>
  <c r="M582" i="83"/>
  <c r="F581" i="83"/>
  <c r="N583" i="83" l="1"/>
  <c r="G582" i="83"/>
  <c r="M583" i="83"/>
  <c r="F582" i="83"/>
  <c r="O583" i="83"/>
  <c r="H582" i="83"/>
  <c r="K583" i="83"/>
  <c r="D582" i="83"/>
  <c r="P583" i="83"/>
  <c r="I582" i="83"/>
  <c r="L583" i="83"/>
  <c r="E582" i="83"/>
  <c r="O584" i="83" l="1"/>
  <c r="H583" i="83"/>
  <c r="M584" i="83"/>
  <c r="F583" i="83"/>
  <c r="L584" i="83"/>
  <c r="E583" i="83"/>
  <c r="K584" i="83"/>
  <c r="D583" i="83"/>
  <c r="P584" i="83"/>
  <c r="I583" i="83"/>
  <c r="N584" i="83"/>
  <c r="G583" i="83"/>
  <c r="L585" i="83" l="1"/>
  <c r="E584" i="83"/>
  <c r="M585" i="83"/>
  <c r="F584" i="83"/>
  <c r="K585" i="83"/>
  <c r="D584" i="83"/>
  <c r="N585" i="83"/>
  <c r="G584" i="83"/>
  <c r="P585" i="83"/>
  <c r="I584" i="83"/>
  <c r="O585" i="83"/>
  <c r="H584" i="83"/>
  <c r="N586" i="83" l="1"/>
  <c r="G585" i="83"/>
  <c r="O586" i="83"/>
  <c r="H585" i="83"/>
  <c r="K586" i="83"/>
  <c r="D585" i="83"/>
  <c r="M586" i="83"/>
  <c r="F585" i="83"/>
  <c r="P586" i="83"/>
  <c r="I585" i="83"/>
  <c r="L586" i="83"/>
  <c r="E585" i="83"/>
  <c r="M587" i="83" l="1"/>
  <c r="F586" i="83"/>
  <c r="L587" i="83"/>
  <c r="E586" i="83"/>
  <c r="K587" i="83"/>
  <c r="D586" i="83"/>
  <c r="O587" i="83"/>
  <c r="H586" i="83"/>
  <c r="P587" i="83"/>
  <c r="I586" i="83"/>
  <c r="N587" i="83"/>
  <c r="G586" i="83"/>
  <c r="O588" i="83" l="1"/>
  <c r="H587" i="83"/>
  <c r="N588" i="83"/>
  <c r="G587" i="83"/>
  <c r="K588" i="83"/>
  <c r="D587" i="83"/>
  <c r="L588" i="83"/>
  <c r="E587" i="83"/>
  <c r="P588" i="83"/>
  <c r="I587" i="83"/>
  <c r="M588" i="83"/>
  <c r="F587" i="83"/>
  <c r="M589" i="83" l="1"/>
  <c r="F588" i="83"/>
  <c r="L589" i="83"/>
  <c r="E588" i="83"/>
  <c r="K589" i="83"/>
  <c r="D588" i="83"/>
  <c r="N589" i="83"/>
  <c r="G588" i="83"/>
  <c r="P589" i="83"/>
  <c r="I588" i="83"/>
  <c r="O589" i="83"/>
  <c r="H588" i="83"/>
  <c r="O590" i="83" l="1"/>
  <c r="H589" i="83"/>
  <c r="K590" i="83"/>
  <c r="D589" i="83"/>
  <c r="N590" i="83"/>
  <c r="G589" i="83"/>
  <c r="L590" i="83"/>
  <c r="E589" i="83"/>
  <c r="P590" i="83"/>
  <c r="I589" i="83"/>
  <c r="M590" i="83"/>
  <c r="F589" i="83"/>
  <c r="M591" i="83" l="1"/>
  <c r="F590" i="83"/>
  <c r="N591" i="83"/>
  <c r="G590" i="83"/>
  <c r="L591" i="83"/>
  <c r="E590" i="83"/>
  <c r="K591" i="83"/>
  <c r="D590" i="83"/>
  <c r="P591" i="83"/>
  <c r="I590" i="83"/>
  <c r="O591" i="83"/>
  <c r="H590" i="83"/>
  <c r="K592" i="83" l="1"/>
  <c r="D591" i="83"/>
  <c r="O592" i="83"/>
  <c r="H591" i="83"/>
  <c r="L592" i="83"/>
  <c r="E591" i="83"/>
  <c r="N592" i="83"/>
  <c r="G591" i="83"/>
  <c r="P592" i="83"/>
  <c r="I591" i="83"/>
  <c r="M592" i="83"/>
  <c r="F591" i="83"/>
  <c r="M593" i="83" l="1"/>
  <c r="F592" i="83"/>
  <c r="L593" i="83"/>
  <c r="E592" i="83"/>
  <c r="N593" i="83"/>
  <c r="G592" i="83"/>
  <c r="O593" i="83"/>
  <c r="H592" i="83"/>
  <c r="P593" i="83"/>
  <c r="I592" i="83"/>
  <c r="K593" i="83"/>
  <c r="D592" i="83"/>
  <c r="O594" i="83" l="1"/>
  <c r="H593" i="83"/>
  <c r="K594" i="83"/>
  <c r="D593" i="83"/>
  <c r="N594" i="83"/>
  <c r="G593" i="83"/>
  <c r="L594" i="83"/>
  <c r="E593" i="83"/>
  <c r="P594" i="83"/>
  <c r="I593" i="83"/>
  <c r="M594" i="83"/>
  <c r="F593" i="83"/>
  <c r="K595" i="83" l="1"/>
  <c r="D594" i="83"/>
  <c r="N595" i="83"/>
  <c r="G594" i="83"/>
  <c r="L595" i="83"/>
  <c r="E594" i="83"/>
  <c r="M595" i="83"/>
  <c r="F594" i="83"/>
  <c r="P595" i="83"/>
  <c r="I594" i="83"/>
  <c r="O595" i="83"/>
  <c r="H594" i="83"/>
  <c r="M596" i="83" l="1"/>
  <c r="F595" i="83"/>
  <c r="O596" i="83"/>
  <c r="H595" i="83"/>
  <c r="L596" i="83"/>
  <c r="E595" i="83"/>
  <c r="N596" i="83"/>
  <c r="G595" i="83"/>
  <c r="P596" i="83"/>
  <c r="I595" i="83"/>
  <c r="K596" i="83"/>
  <c r="D595" i="83"/>
  <c r="N597" i="83" l="1"/>
  <c r="G596" i="83"/>
  <c r="K597" i="83"/>
  <c r="D596" i="83"/>
  <c r="L597" i="83"/>
  <c r="E596" i="83"/>
  <c r="O597" i="83"/>
  <c r="H596" i="83"/>
  <c r="P597" i="83"/>
  <c r="I596" i="83"/>
  <c r="M597" i="83"/>
  <c r="F596" i="83"/>
  <c r="M598" i="83" l="1"/>
  <c r="F597" i="83"/>
  <c r="L598" i="83"/>
  <c r="E597" i="83"/>
  <c r="O598" i="83"/>
  <c r="H597" i="83"/>
  <c r="K598" i="83"/>
  <c r="D597" i="83"/>
  <c r="P598" i="83"/>
  <c r="I597" i="83"/>
  <c r="N598" i="83"/>
  <c r="G597" i="83"/>
  <c r="L599" i="83" l="1"/>
  <c r="E598" i="83"/>
  <c r="K599" i="83"/>
  <c r="D598" i="83"/>
  <c r="O599" i="83"/>
  <c r="H598" i="83"/>
  <c r="N599" i="83"/>
  <c r="G598" i="83"/>
  <c r="P599" i="83"/>
  <c r="I598" i="83"/>
  <c r="M599" i="83"/>
  <c r="F598" i="83"/>
  <c r="N600" i="83" l="1"/>
  <c r="G599" i="83"/>
  <c r="M600" i="83"/>
  <c r="F599" i="83"/>
  <c r="O600" i="83"/>
  <c r="H599" i="83"/>
  <c r="K600" i="83"/>
  <c r="D599" i="83"/>
  <c r="P600" i="83"/>
  <c r="I599" i="83"/>
  <c r="L600" i="83"/>
  <c r="E599" i="83"/>
  <c r="L601" i="83" l="1"/>
  <c r="E600" i="83"/>
  <c r="O601" i="83"/>
  <c r="H600" i="83"/>
  <c r="K601" i="83"/>
  <c r="D600" i="83"/>
  <c r="M601" i="83"/>
  <c r="F600" i="83"/>
  <c r="P601" i="83"/>
  <c r="I600" i="83"/>
  <c r="N601" i="83"/>
  <c r="G600" i="83"/>
  <c r="K602" i="83" l="1"/>
  <c r="D601" i="83"/>
  <c r="N602" i="83"/>
  <c r="G601" i="83"/>
  <c r="M602" i="83"/>
  <c r="F601" i="83"/>
  <c r="O602" i="83"/>
  <c r="H601" i="83"/>
  <c r="P602" i="83"/>
  <c r="I601" i="83"/>
  <c r="L602" i="83"/>
  <c r="E601" i="83"/>
  <c r="L603" i="83" l="1"/>
  <c r="E602" i="83"/>
  <c r="O603" i="83"/>
  <c r="H602" i="83"/>
  <c r="M603" i="83"/>
  <c r="F602" i="83"/>
  <c r="N603" i="83"/>
  <c r="G602" i="83"/>
  <c r="P603" i="83"/>
  <c r="I602" i="83"/>
  <c r="K603" i="83"/>
  <c r="D602" i="83"/>
  <c r="K604" i="83" l="1"/>
  <c r="D603" i="83"/>
  <c r="M604" i="83"/>
  <c r="F603" i="83"/>
  <c r="N604" i="83"/>
  <c r="G603" i="83"/>
  <c r="O604" i="83"/>
  <c r="H603" i="83"/>
  <c r="P604" i="83"/>
  <c r="I603" i="83"/>
  <c r="L604" i="83"/>
  <c r="E603" i="83"/>
  <c r="N605" i="83" l="1"/>
  <c r="G604" i="83"/>
  <c r="L605" i="83"/>
  <c r="E604" i="83"/>
  <c r="O605" i="83"/>
  <c r="H604" i="83"/>
  <c r="M605" i="83"/>
  <c r="F604" i="83"/>
  <c r="P605" i="83"/>
  <c r="I604" i="83"/>
  <c r="K605" i="83"/>
  <c r="D604" i="83"/>
  <c r="M606" i="83" l="1"/>
  <c r="F605" i="83"/>
  <c r="K606" i="83"/>
  <c r="D605" i="83"/>
  <c r="O606" i="83"/>
  <c r="H605" i="83"/>
  <c r="L606" i="83"/>
  <c r="E605" i="83"/>
  <c r="P606" i="83"/>
  <c r="I605" i="83"/>
  <c r="N606" i="83"/>
  <c r="G605" i="83"/>
  <c r="O607" i="83" l="1"/>
  <c r="H606" i="83"/>
  <c r="L607" i="83"/>
  <c r="E606" i="83"/>
  <c r="N607" i="83"/>
  <c r="G606" i="83"/>
  <c r="K607" i="83"/>
  <c r="D606" i="83"/>
  <c r="P607" i="83"/>
  <c r="I606" i="83"/>
  <c r="M607" i="83"/>
  <c r="F606" i="83"/>
  <c r="M608" i="83" l="1"/>
  <c r="F607" i="83"/>
  <c r="N608" i="83"/>
  <c r="G607" i="83"/>
  <c r="K608" i="83"/>
  <c r="D607" i="83"/>
  <c r="L608" i="83"/>
  <c r="E607" i="83"/>
  <c r="P608" i="83"/>
  <c r="I607" i="83"/>
  <c r="O608" i="83"/>
  <c r="H607" i="83"/>
  <c r="L609" i="83" l="1"/>
  <c r="E608" i="83"/>
  <c r="O609" i="83"/>
  <c r="H608" i="83"/>
  <c r="K609" i="83"/>
  <c r="D608" i="83"/>
  <c r="N609" i="83"/>
  <c r="G608" i="83"/>
  <c r="P609" i="83"/>
  <c r="I608" i="83"/>
  <c r="M609" i="83"/>
  <c r="F608" i="83"/>
  <c r="N610" i="83" l="1"/>
  <c r="G609" i="83"/>
  <c r="K610" i="83"/>
  <c r="D609" i="83"/>
  <c r="M610" i="83"/>
  <c r="F609" i="83"/>
  <c r="O610" i="83"/>
  <c r="H609" i="83"/>
  <c r="P610" i="83"/>
  <c r="I609" i="83"/>
  <c r="L610" i="83"/>
  <c r="E609" i="83"/>
  <c r="M611" i="83" l="1"/>
  <c r="F610" i="83"/>
  <c r="K611" i="83"/>
  <c r="D610" i="83"/>
  <c r="O611" i="83"/>
  <c r="H610" i="83"/>
  <c r="L611" i="83"/>
  <c r="E610" i="83"/>
  <c r="P611" i="83"/>
  <c r="I610" i="83"/>
  <c r="N611" i="83"/>
  <c r="G610" i="83"/>
  <c r="L612" i="83" l="1"/>
  <c r="E611" i="83"/>
  <c r="N612" i="83"/>
  <c r="G611" i="83"/>
  <c r="O612" i="83"/>
  <c r="H611" i="83"/>
  <c r="K612" i="83"/>
  <c r="D611" i="83"/>
  <c r="P612" i="83"/>
  <c r="I611" i="83"/>
  <c r="M612" i="83"/>
  <c r="F611" i="83"/>
  <c r="M613" i="83" l="1"/>
  <c r="F612" i="83"/>
  <c r="K613" i="83"/>
  <c r="D612" i="83"/>
  <c r="O613" i="83"/>
  <c r="H612" i="83"/>
  <c r="N613" i="83"/>
  <c r="G612" i="83"/>
  <c r="P613" i="83"/>
  <c r="I612" i="83"/>
  <c r="L613" i="83"/>
  <c r="E612" i="83"/>
  <c r="L614" i="83" l="1"/>
  <c r="E613" i="83"/>
  <c r="N614" i="83"/>
  <c r="G613" i="83"/>
  <c r="K614" i="83"/>
  <c r="D613" i="83"/>
  <c r="O614" i="83"/>
  <c r="H613" i="83"/>
  <c r="P614" i="83"/>
  <c r="I613" i="83"/>
  <c r="M614" i="83"/>
  <c r="F613" i="83"/>
  <c r="K615" i="83" l="1"/>
  <c r="D614" i="83"/>
  <c r="N615" i="83"/>
  <c r="G614" i="83"/>
  <c r="O615" i="83"/>
  <c r="H614" i="83"/>
  <c r="M615" i="83"/>
  <c r="F614" i="83"/>
  <c r="P615" i="83"/>
  <c r="I614" i="83"/>
  <c r="L615" i="83"/>
  <c r="E614" i="83"/>
  <c r="M616" i="83" l="1"/>
  <c r="F615" i="83"/>
  <c r="L616" i="83"/>
  <c r="E615" i="83"/>
  <c r="O616" i="83"/>
  <c r="H615" i="83"/>
  <c r="N616" i="83"/>
  <c r="G615" i="83"/>
  <c r="P616" i="83"/>
  <c r="I615" i="83"/>
  <c r="K616" i="83"/>
  <c r="D615" i="83"/>
  <c r="K617" i="83" l="1"/>
  <c r="D616" i="83"/>
  <c r="O617" i="83"/>
  <c r="H616" i="83"/>
  <c r="N617" i="83"/>
  <c r="G616" i="83"/>
  <c r="L617" i="83"/>
  <c r="E616" i="83"/>
  <c r="P617" i="83"/>
  <c r="I616" i="83"/>
  <c r="M617" i="83"/>
  <c r="F616" i="83"/>
  <c r="O618" i="83" l="1"/>
  <c r="H617" i="83"/>
  <c r="N618" i="83"/>
  <c r="G617" i="83"/>
  <c r="L618" i="83"/>
  <c r="E617" i="83"/>
  <c r="M618" i="83"/>
  <c r="F617" i="83"/>
  <c r="P618" i="83"/>
  <c r="I617" i="83"/>
  <c r="K618" i="83"/>
  <c r="D617" i="83"/>
  <c r="N619" i="83" l="1"/>
  <c r="G618" i="83"/>
  <c r="L619" i="83"/>
  <c r="E618" i="83"/>
  <c r="M619" i="83"/>
  <c r="F618" i="83"/>
  <c r="K619" i="83"/>
  <c r="D618" i="83"/>
  <c r="P619" i="83"/>
  <c r="I618" i="83"/>
  <c r="O619" i="83"/>
  <c r="H618" i="83"/>
  <c r="K620" i="83" l="1"/>
  <c r="D619" i="83"/>
  <c r="O620" i="83"/>
  <c r="H619" i="83"/>
  <c r="M620" i="83"/>
  <c r="F619" i="83"/>
  <c r="L620" i="83"/>
  <c r="E619" i="83"/>
  <c r="P620" i="83"/>
  <c r="I619" i="83"/>
  <c r="N620" i="83"/>
  <c r="G619" i="83"/>
  <c r="M621" i="83" l="1"/>
  <c r="F620" i="83"/>
  <c r="N621" i="83"/>
  <c r="G620" i="83"/>
  <c r="L621" i="83"/>
  <c r="E620" i="83"/>
  <c r="O621" i="83"/>
  <c r="H620" i="83"/>
  <c r="P621" i="83"/>
  <c r="I620" i="83"/>
  <c r="K621" i="83"/>
  <c r="D620" i="83"/>
  <c r="K622" i="83" l="1"/>
  <c r="D621" i="83"/>
  <c r="L622" i="83"/>
  <c r="E621" i="83"/>
  <c r="O622" i="83"/>
  <c r="H621" i="83"/>
  <c r="N622" i="83"/>
  <c r="G621" i="83"/>
  <c r="P622" i="83"/>
  <c r="I621" i="83"/>
  <c r="M622" i="83"/>
  <c r="F621" i="83"/>
  <c r="N623" i="83" l="1"/>
  <c r="G622" i="83"/>
  <c r="M623" i="83"/>
  <c r="F622" i="83"/>
  <c r="O623" i="83"/>
  <c r="H622" i="83"/>
  <c r="L623" i="83"/>
  <c r="E622" i="83"/>
  <c r="P623" i="83"/>
  <c r="I622" i="83"/>
  <c r="K623" i="83"/>
  <c r="D622" i="83"/>
  <c r="K624" i="83" l="1"/>
  <c r="D623" i="83"/>
  <c r="L624" i="83"/>
  <c r="E623" i="83"/>
  <c r="O624" i="83"/>
  <c r="H623" i="83"/>
  <c r="M624" i="83"/>
  <c r="F623" i="83"/>
  <c r="P624" i="83"/>
  <c r="I623" i="83"/>
  <c r="N624" i="83"/>
  <c r="G623" i="83"/>
  <c r="M625" i="83" l="1"/>
  <c r="F624" i="83"/>
  <c r="N625" i="83"/>
  <c r="G624" i="83"/>
  <c r="O625" i="83"/>
  <c r="H624" i="83"/>
  <c r="L625" i="83"/>
  <c r="E624" i="83"/>
  <c r="P625" i="83"/>
  <c r="I624" i="83"/>
  <c r="K625" i="83"/>
  <c r="D624" i="83"/>
  <c r="L626" i="83" l="1"/>
  <c r="E625" i="83"/>
  <c r="K626" i="83"/>
  <c r="D625" i="83"/>
  <c r="O626" i="83"/>
  <c r="H625" i="83"/>
  <c r="N626" i="83"/>
  <c r="G625" i="83"/>
  <c r="P626" i="83"/>
  <c r="I625" i="83"/>
  <c r="M626" i="83"/>
  <c r="F625" i="83"/>
  <c r="M627" i="83" l="1"/>
  <c r="F626" i="83"/>
  <c r="N627" i="83"/>
  <c r="G626" i="83"/>
  <c r="O627" i="83"/>
  <c r="H626" i="83"/>
  <c r="K627" i="83"/>
  <c r="D626" i="83"/>
  <c r="P627" i="83"/>
  <c r="I626" i="83"/>
  <c r="L627" i="83"/>
  <c r="E626" i="83"/>
  <c r="L628" i="83" l="1"/>
  <c r="E627" i="83"/>
  <c r="O628" i="83"/>
  <c r="H627" i="83"/>
  <c r="K628" i="83"/>
  <c r="D627" i="83"/>
  <c r="N628" i="83"/>
  <c r="G627" i="83"/>
  <c r="P628" i="83"/>
  <c r="I627" i="83"/>
  <c r="M628" i="83"/>
  <c r="F627" i="83"/>
  <c r="N629" i="83" l="1"/>
  <c r="G628" i="83"/>
  <c r="M629" i="83"/>
  <c r="F628" i="83"/>
  <c r="K629" i="83"/>
  <c r="D628" i="83"/>
  <c r="O629" i="83"/>
  <c r="H628" i="83"/>
  <c r="P629" i="83"/>
  <c r="I628" i="83"/>
  <c r="L629" i="83"/>
  <c r="E628" i="83"/>
  <c r="O630" i="83" l="1"/>
  <c r="H629" i="83"/>
  <c r="L630" i="83"/>
  <c r="E629" i="83"/>
  <c r="K630" i="83"/>
  <c r="D629" i="83"/>
  <c r="M630" i="83"/>
  <c r="F629" i="83"/>
  <c r="P630" i="83"/>
  <c r="I629" i="83"/>
  <c r="N630" i="83"/>
  <c r="G629" i="83"/>
  <c r="N631" i="83" l="1"/>
  <c r="G630" i="83"/>
  <c r="K631" i="83"/>
  <c r="D630" i="83"/>
  <c r="M631" i="83"/>
  <c r="F630" i="83"/>
  <c r="L631" i="83"/>
  <c r="E630" i="83"/>
  <c r="P631" i="83"/>
  <c r="I630" i="83"/>
  <c r="O631" i="83"/>
  <c r="H630" i="83"/>
  <c r="O632" i="83" l="1"/>
  <c r="H631" i="83"/>
  <c r="L632" i="83"/>
  <c r="E631" i="83"/>
  <c r="M632" i="83"/>
  <c r="F631" i="83"/>
  <c r="K632" i="83"/>
  <c r="D631" i="83"/>
  <c r="P632" i="83"/>
  <c r="I631" i="83"/>
  <c r="N632" i="83"/>
  <c r="G631" i="83"/>
  <c r="N633" i="83" l="1"/>
  <c r="G632" i="83"/>
  <c r="M633" i="83"/>
  <c r="F632" i="83"/>
  <c r="K633" i="83"/>
  <c r="D632" i="83"/>
  <c r="L633" i="83"/>
  <c r="E632" i="83"/>
  <c r="P633" i="83"/>
  <c r="I632" i="83"/>
  <c r="O633" i="83"/>
  <c r="H632" i="83"/>
  <c r="L634" i="83" l="1"/>
  <c r="E633" i="83"/>
  <c r="O634" i="83"/>
  <c r="H633" i="83"/>
  <c r="K634" i="83"/>
  <c r="D633" i="83"/>
  <c r="M634" i="83"/>
  <c r="F633" i="83"/>
  <c r="P634" i="83"/>
  <c r="I633" i="83"/>
  <c r="N634" i="83"/>
  <c r="G633" i="83"/>
  <c r="N635" i="83" l="1"/>
  <c r="G634" i="83"/>
  <c r="K635" i="83"/>
  <c r="D634" i="83"/>
  <c r="M635" i="83"/>
  <c r="F634" i="83"/>
  <c r="O635" i="83"/>
  <c r="H634" i="83"/>
  <c r="P635" i="83"/>
  <c r="I634" i="83"/>
  <c r="L635" i="83"/>
  <c r="E634" i="83"/>
  <c r="O636" i="83" l="1"/>
  <c r="H635" i="83"/>
  <c r="L636" i="83"/>
  <c r="E635" i="83"/>
  <c r="M636" i="83"/>
  <c r="F635" i="83"/>
  <c r="K636" i="83"/>
  <c r="D635" i="83"/>
  <c r="P636" i="83"/>
  <c r="I635" i="83"/>
  <c r="N636" i="83"/>
  <c r="G635" i="83"/>
  <c r="M637" i="83" l="1"/>
  <c r="F636" i="83"/>
  <c r="N637" i="83"/>
  <c r="G636" i="83"/>
  <c r="K637" i="83"/>
  <c r="D636" i="83"/>
  <c r="L637" i="83"/>
  <c r="E636" i="83"/>
  <c r="P637" i="83"/>
  <c r="I636" i="83"/>
  <c r="O637" i="83"/>
  <c r="H636" i="83"/>
  <c r="O638" i="83" l="1"/>
  <c r="H637" i="83"/>
  <c r="K638" i="83"/>
  <c r="D637" i="83"/>
  <c r="L638" i="83"/>
  <c r="E637" i="83"/>
  <c r="N638" i="83"/>
  <c r="G637" i="83"/>
  <c r="P638" i="83"/>
  <c r="I637" i="83"/>
  <c r="M638" i="83"/>
  <c r="F637" i="83"/>
  <c r="N639" i="83" l="1"/>
  <c r="G638" i="83"/>
  <c r="L639" i="83"/>
  <c r="E638" i="83"/>
  <c r="M639" i="83"/>
  <c r="F638" i="83"/>
  <c r="K639" i="83"/>
  <c r="D638" i="83"/>
  <c r="P639" i="83"/>
  <c r="I638" i="83"/>
  <c r="O639" i="83"/>
  <c r="H638" i="83"/>
  <c r="K640" i="83" l="1"/>
  <c r="D639" i="83"/>
  <c r="O640" i="83"/>
  <c r="H639" i="83"/>
  <c r="M640" i="83"/>
  <c r="F639" i="83"/>
  <c r="L640" i="83"/>
  <c r="E639" i="83"/>
  <c r="P640" i="83"/>
  <c r="I639" i="83"/>
  <c r="N640" i="83"/>
  <c r="G639" i="83"/>
  <c r="N641" i="83" l="1"/>
  <c r="G640" i="83"/>
  <c r="M641" i="83"/>
  <c r="F640" i="83"/>
  <c r="L641" i="83"/>
  <c r="E640" i="83"/>
  <c r="O641" i="83"/>
  <c r="H640" i="83"/>
  <c r="P641" i="83"/>
  <c r="I640" i="83"/>
  <c r="K641" i="83"/>
  <c r="D640" i="83"/>
  <c r="K642" i="83" l="1"/>
  <c r="D641" i="83"/>
  <c r="L642" i="83"/>
  <c r="E641" i="83"/>
  <c r="O642" i="83"/>
  <c r="H641" i="83"/>
  <c r="M642" i="83"/>
  <c r="F641" i="83"/>
  <c r="P642" i="83"/>
  <c r="I641" i="83"/>
  <c r="N642" i="83"/>
  <c r="G641" i="83"/>
  <c r="M643" i="83" l="1"/>
  <c r="F642" i="83"/>
  <c r="O643" i="83"/>
  <c r="H642" i="83"/>
  <c r="L643" i="83"/>
  <c r="E642" i="83"/>
  <c r="N643" i="83"/>
  <c r="G642" i="83"/>
  <c r="P643" i="83"/>
  <c r="I642" i="83"/>
  <c r="K643" i="83"/>
  <c r="D642" i="83"/>
  <c r="N644" i="83" l="1"/>
  <c r="G643" i="83"/>
  <c r="K644" i="83"/>
  <c r="D643" i="83"/>
  <c r="L644" i="83"/>
  <c r="E643" i="83"/>
  <c r="O644" i="83"/>
  <c r="H643" i="83"/>
  <c r="P644" i="83"/>
  <c r="I643" i="83"/>
  <c r="M644" i="83"/>
  <c r="F643" i="83"/>
  <c r="O645" i="83" l="1"/>
  <c r="H644" i="83"/>
  <c r="M645" i="83"/>
  <c r="F644" i="83"/>
  <c r="L645" i="83"/>
  <c r="E644" i="83"/>
  <c r="K645" i="83"/>
  <c r="D644" i="83"/>
  <c r="P645" i="83"/>
  <c r="I644" i="83"/>
  <c r="N645" i="83"/>
  <c r="G644" i="83"/>
  <c r="K646" i="83" l="1"/>
  <c r="D645" i="83"/>
  <c r="N646" i="83"/>
  <c r="G645" i="83"/>
  <c r="L646" i="83"/>
  <c r="E645" i="83"/>
  <c r="M646" i="83"/>
  <c r="F645" i="83"/>
  <c r="P646" i="83"/>
  <c r="I645" i="83"/>
  <c r="O646" i="83"/>
  <c r="H645" i="83"/>
  <c r="O647" i="83" l="1"/>
  <c r="H646" i="83"/>
  <c r="M647" i="83"/>
  <c r="F646" i="83"/>
  <c r="L647" i="83"/>
  <c r="E646" i="83"/>
  <c r="N647" i="83"/>
  <c r="G646" i="83"/>
  <c r="P647" i="83"/>
  <c r="I646" i="83"/>
  <c r="K647" i="83"/>
  <c r="D646" i="83"/>
  <c r="K648" i="83" l="1"/>
  <c r="D647" i="83"/>
  <c r="L648" i="83"/>
  <c r="E647" i="83"/>
  <c r="N648" i="83"/>
  <c r="G647" i="83"/>
  <c r="M648" i="83"/>
  <c r="F647" i="83"/>
  <c r="P648" i="83"/>
  <c r="I647" i="83"/>
  <c r="O648" i="83"/>
  <c r="H647" i="83"/>
  <c r="M649" i="83" l="1"/>
  <c r="F648" i="83"/>
  <c r="N649" i="83"/>
  <c r="G648" i="83"/>
  <c r="O649" i="83"/>
  <c r="H648" i="83"/>
  <c r="L649" i="83"/>
  <c r="E648" i="83"/>
  <c r="P649" i="83"/>
  <c r="I648" i="83"/>
  <c r="K649" i="83"/>
  <c r="D648" i="83"/>
  <c r="L650" i="83" l="1"/>
  <c r="E649" i="83"/>
  <c r="K650" i="83"/>
  <c r="D649" i="83"/>
  <c r="O650" i="83"/>
  <c r="H649" i="83"/>
  <c r="N650" i="83"/>
  <c r="G649" i="83"/>
  <c r="P650" i="83"/>
  <c r="I649" i="83"/>
  <c r="M650" i="83"/>
  <c r="F649" i="83"/>
  <c r="N651" i="83" l="1"/>
  <c r="G650" i="83"/>
  <c r="M651" i="83"/>
  <c r="F650" i="83"/>
  <c r="O651" i="83"/>
  <c r="H650" i="83"/>
  <c r="K651" i="83"/>
  <c r="D650" i="83"/>
  <c r="P651" i="83"/>
  <c r="I650" i="83"/>
  <c r="L651" i="83"/>
  <c r="E650" i="83"/>
  <c r="L652" i="83" l="1"/>
  <c r="E651" i="83"/>
  <c r="K652" i="83"/>
  <c r="D651" i="83"/>
  <c r="O652" i="83"/>
  <c r="H651" i="83"/>
  <c r="M652" i="83"/>
  <c r="F651" i="83"/>
  <c r="P652" i="83"/>
  <c r="I651" i="83"/>
  <c r="N652" i="83"/>
  <c r="G651" i="83"/>
  <c r="M653" i="83" l="1"/>
  <c r="F652" i="83"/>
  <c r="O653" i="83"/>
  <c r="H652" i="83"/>
  <c r="N653" i="83"/>
  <c r="G652" i="83"/>
  <c r="K653" i="83"/>
  <c r="D652" i="83"/>
  <c r="P653" i="83"/>
  <c r="I652" i="83"/>
  <c r="L653" i="83"/>
  <c r="E652" i="83"/>
  <c r="N654" i="83" l="1"/>
  <c r="G653" i="83"/>
  <c r="K654" i="83"/>
  <c r="D653" i="83"/>
  <c r="L654" i="83"/>
  <c r="E653" i="83"/>
  <c r="O654" i="83"/>
  <c r="H653" i="83"/>
  <c r="P654" i="83"/>
  <c r="I653" i="83"/>
  <c r="M654" i="83"/>
  <c r="F653" i="83"/>
  <c r="O655" i="83" l="1"/>
  <c r="H654" i="83"/>
  <c r="L655" i="83"/>
  <c r="E654" i="83"/>
  <c r="M655" i="83"/>
  <c r="F654" i="83"/>
  <c r="K655" i="83"/>
  <c r="D654" i="83"/>
  <c r="P655" i="83"/>
  <c r="I654" i="83"/>
  <c r="N655" i="83"/>
  <c r="G654" i="83"/>
  <c r="K656" i="83" l="1"/>
  <c r="D655" i="83"/>
  <c r="M656" i="83"/>
  <c r="F655" i="83"/>
  <c r="N656" i="83"/>
  <c r="G655" i="83"/>
  <c r="L656" i="83"/>
  <c r="E655" i="83"/>
  <c r="P656" i="83"/>
  <c r="I655" i="83"/>
  <c r="O656" i="83"/>
  <c r="H655" i="83"/>
  <c r="L657" i="83" l="1"/>
  <c r="E656" i="83"/>
  <c r="O657" i="83"/>
  <c r="H656" i="83"/>
  <c r="N657" i="83"/>
  <c r="G656" i="83"/>
  <c r="M657" i="83"/>
  <c r="F656" i="83"/>
  <c r="P657" i="83"/>
  <c r="I656" i="83"/>
  <c r="K657" i="83"/>
  <c r="D656" i="83"/>
  <c r="M658" i="83" l="1"/>
  <c r="F657" i="83"/>
  <c r="N658" i="83"/>
  <c r="G657" i="83"/>
  <c r="K658" i="83"/>
  <c r="D657" i="83"/>
  <c r="O658" i="83"/>
  <c r="H657" i="83"/>
  <c r="P658" i="83"/>
  <c r="I657" i="83"/>
  <c r="L658" i="83"/>
  <c r="E657" i="83"/>
  <c r="O659" i="83" l="1"/>
  <c r="H658" i="83"/>
  <c r="K659" i="83"/>
  <c r="D658" i="83"/>
  <c r="N659" i="83"/>
  <c r="G658" i="83"/>
  <c r="L659" i="83"/>
  <c r="E658" i="83"/>
  <c r="P659" i="83"/>
  <c r="I658" i="83"/>
  <c r="M659" i="83"/>
  <c r="F658" i="83"/>
  <c r="L660" i="83" l="1"/>
  <c r="E659" i="83"/>
  <c r="K660" i="83"/>
  <c r="D659" i="83"/>
  <c r="N660" i="83"/>
  <c r="G659" i="83"/>
  <c r="M660" i="83"/>
  <c r="F659" i="83"/>
  <c r="P660" i="83"/>
  <c r="I659" i="83"/>
  <c r="O660" i="83"/>
  <c r="H659" i="83"/>
  <c r="N661" i="83" l="1"/>
  <c r="G660" i="83"/>
  <c r="O661" i="83"/>
  <c r="H660" i="83"/>
  <c r="M661" i="83"/>
  <c r="F660" i="83"/>
  <c r="K661" i="83"/>
  <c r="D660" i="83"/>
  <c r="P661" i="83"/>
  <c r="I660" i="83"/>
  <c r="L661" i="83"/>
  <c r="E660" i="83"/>
  <c r="L662" i="83" l="1"/>
  <c r="E661" i="83"/>
  <c r="M662" i="83"/>
  <c r="F661" i="83"/>
  <c r="K662" i="83"/>
  <c r="D661" i="83"/>
  <c r="O662" i="83"/>
  <c r="H661" i="83"/>
  <c r="P662" i="83"/>
  <c r="I661" i="83"/>
  <c r="N662" i="83"/>
  <c r="G661" i="83"/>
  <c r="N663" i="83" l="1"/>
  <c r="G662" i="83"/>
  <c r="O663" i="83"/>
  <c r="H662" i="83"/>
  <c r="K663" i="83"/>
  <c r="D662" i="83"/>
  <c r="M663" i="83"/>
  <c r="F662" i="83"/>
  <c r="P663" i="83"/>
  <c r="I662" i="83"/>
  <c r="L663" i="83"/>
  <c r="E662" i="83"/>
  <c r="L664" i="83" l="1"/>
  <c r="E663" i="83"/>
  <c r="M664" i="83"/>
  <c r="F663" i="83"/>
  <c r="K664" i="83"/>
  <c r="D663" i="83"/>
  <c r="O664" i="83"/>
  <c r="H663" i="83"/>
  <c r="P664" i="83"/>
  <c r="I663" i="83"/>
  <c r="N664" i="83"/>
  <c r="G663" i="83"/>
  <c r="N665" i="83" l="1"/>
  <c r="G664" i="83"/>
  <c r="O665" i="83"/>
  <c r="H664" i="83"/>
  <c r="K665" i="83"/>
  <c r="D664" i="83"/>
  <c r="M665" i="83"/>
  <c r="F664" i="83"/>
  <c r="P665" i="83"/>
  <c r="I664" i="83"/>
  <c r="L665" i="83"/>
  <c r="E664" i="83"/>
  <c r="L666" i="83" l="1"/>
  <c r="E665" i="83"/>
  <c r="K666" i="83"/>
  <c r="D665" i="83"/>
  <c r="M666" i="83"/>
  <c r="F665" i="83"/>
  <c r="O666" i="83"/>
  <c r="H665" i="83"/>
  <c r="P666" i="83"/>
  <c r="I665" i="83"/>
  <c r="N666" i="83"/>
  <c r="G665" i="83"/>
  <c r="N667" i="83" l="1"/>
  <c r="G666" i="83"/>
  <c r="M667" i="83"/>
  <c r="F666" i="83"/>
  <c r="O667" i="83"/>
  <c r="H666" i="83"/>
  <c r="K667" i="83"/>
  <c r="D666" i="83"/>
  <c r="P667" i="83"/>
  <c r="I666" i="83"/>
  <c r="L667" i="83"/>
  <c r="E666" i="83"/>
  <c r="O668" i="83" l="1"/>
  <c r="H667" i="83"/>
  <c r="L668" i="83"/>
  <c r="E667" i="83"/>
  <c r="K668" i="83"/>
  <c r="D667" i="83"/>
  <c r="M668" i="83"/>
  <c r="F667" i="83"/>
  <c r="P668" i="83"/>
  <c r="I667" i="83"/>
  <c r="N668" i="83"/>
  <c r="G667" i="83"/>
  <c r="M669" i="83" l="1"/>
  <c r="F668" i="83"/>
  <c r="N669" i="83"/>
  <c r="G668" i="83"/>
  <c r="K669" i="83"/>
  <c r="D668" i="83"/>
  <c r="L669" i="83"/>
  <c r="E668" i="83"/>
  <c r="P669" i="83"/>
  <c r="I668" i="83"/>
  <c r="O669" i="83"/>
  <c r="H668" i="83"/>
  <c r="O670" i="83" l="1"/>
  <c r="H669" i="83"/>
  <c r="L670" i="83"/>
  <c r="E669" i="83"/>
  <c r="K670" i="83"/>
  <c r="D669" i="83"/>
  <c r="N670" i="83"/>
  <c r="G669" i="83"/>
  <c r="P670" i="83"/>
  <c r="I669" i="83"/>
  <c r="M670" i="83"/>
  <c r="F669" i="83"/>
  <c r="N671" i="83" l="1"/>
  <c r="G670" i="83"/>
  <c r="K671" i="83"/>
  <c r="D670" i="83"/>
  <c r="M671" i="83"/>
  <c r="F670" i="83"/>
  <c r="L671" i="83"/>
  <c r="E670" i="83"/>
  <c r="P671" i="83"/>
  <c r="I670" i="83"/>
  <c r="O671" i="83"/>
  <c r="H670" i="83"/>
  <c r="O672" i="83" l="1"/>
  <c r="H671" i="83"/>
  <c r="M672" i="83"/>
  <c r="F671" i="83"/>
  <c r="L672" i="83"/>
  <c r="E671" i="83"/>
  <c r="K672" i="83"/>
  <c r="D671" i="83"/>
  <c r="P672" i="83"/>
  <c r="I671" i="83"/>
  <c r="N672" i="83"/>
  <c r="G671" i="83"/>
  <c r="L673" i="83" l="1"/>
  <c r="E672" i="83"/>
  <c r="N673" i="83"/>
  <c r="G672" i="83"/>
  <c r="K673" i="83"/>
  <c r="D672" i="83"/>
  <c r="M673" i="83"/>
  <c r="F672" i="83"/>
  <c r="P673" i="83"/>
  <c r="I672" i="83"/>
  <c r="O673" i="83"/>
  <c r="H672" i="83"/>
  <c r="M674" i="83" l="1"/>
  <c r="F673" i="83"/>
  <c r="O674" i="83"/>
  <c r="H673" i="83"/>
  <c r="K674" i="83"/>
  <c r="D673" i="83"/>
  <c r="N674" i="83"/>
  <c r="G673" i="83"/>
  <c r="P674" i="83"/>
  <c r="I673" i="83"/>
  <c r="L674" i="83"/>
  <c r="E673" i="83"/>
  <c r="N675" i="83" l="1"/>
  <c r="G674" i="83"/>
  <c r="L675" i="83"/>
  <c r="E674" i="83"/>
  <c r="K675" i="83"/>
  <c r="D674" i="83"/>
  <c r="O675" i="83"/>
  <c r="H674" i="83"/>
  <c r="P675" i="83"/>
  <c r="I674" i="83"/>
  <c r="M675" i="83"/>
  <c r="F674" i="83"/>
  <c r="M676" i="83" l="1"/>
  <c r="F675" i="83"/>
  <c r="O676" i="83"/>
  <c r="H675" i="83"/>
  <c r="K676" i="83"/>
  <c r="D675" i="83"/>
  <c r="L676" i="83"/>
  <c r="E675" i="83"/>
  <c r="P676" i="83"/>
  <c r="I675" i="83"/>
  <c r="N676" i="83"/>
  <c r="G675" i="83"/>
  <c r="L677" i="83" l="1"/>
  <c r="E676" i="83"/>
  <c r="N677" i="83"/>
  <c r="G676" i="83"/>
  <c r="K677" i="83"/>
  <c r="D676" i="83"/>
  <c r="O677" i="83"/>
  <c r="H676" i="83"/>
  <c r="P677" i="83"/>
  <c r="I676" i="83"/>
  <c r="M677" i="83"/>
  <c r="F676" i="83"/>
  <c r="M678" i="83" l="1"/>
  <c r="F677" i="83"/>
  <c r="K678" i="83"/>
  <c r="D677" i="83"/>
  <c r="O678" i="83"/>
  <c r="H677" i="83"/>
  <c r="N678" i="83"/>
  <c r="G677" i="83"/>
  <c r="P678" i="83"/>
  <c r="I677" i="83"/>
  <c r="L678" i="83"/>
  <c r="E677" i="83"/>
  <c r="L679" i="83" l="1"/>
  <c r="E678" i="83"/>
  <c r="O679" i="83"/>
  <c r="H678" i="83"/>
  <c r="N679" i="83"/>
  <c r="G678" i="83"/>
  <c r="K679" i="83"/>
  <c r="D678" i="83"/>
  <c r="P679" i="83"/>
  <c r="I678" i="83"/>
  <c r="M679" i="83"/>
  <c r="F678" i="83"/>
  <c r="M680" i="83" l="1"/>
  <c r="F679" i="83"/>
  <c r="K680" i="83"/>
  <c r="D679" i="83"/>
  <c r="N680" i="83"/>
  <c r="G679" i="83"/>
  <c r="O680" i="83"/>
  <c r="H679" i="83"/>
  <c r="P680" i="83"/>
  <c r="I679" i="83"/>
  <c r="L680" i="83"/>
  <c r="E679" i="83"/>
  <c r="O681" i="83" l="1"/>
  <c r="H680" i="83"/>
  <c r="N681" i="83"/>
  <c r="G680" i="83"/>
  <c r="L681" i="83"/>
  <c r="E680" i="83"/>
  <c r="K681" i="83"/>
  <c r="D680" i="83"/>
  <c r="P681" i="83"/>
  <c r="I680" i="83"/>
  <c r="M681" i="83"/>
  <c r="F680" i="83"/>
  <c r="K682" i="83" l="1"/>
  <c r="D681" i="83"/>
  <c r="M682" i="83"/>
  <c r="F681" i="83"/>
  <c r="L682" i="83"/>
  <c r="E681" i="83"/>
  <c r="N682" i="83"/>
  <c r="G681" i="83"/>
  <c r="P682" i="83"/>
  <c r="I681" i="83"/>
  <c r="O682" i="83"/>
  <c r="H681" i="83"/>
  <c r="N683" i="83" l="1"/>
  <c r="G682" i="83"/>
  <c r="O683" i="83"/>
  <c r="H682" i="83"/>
  <c r="L683" i="83"/>
  <c r="E682" i="83"/>
  <c r="M683" i="83"/>
  <c r="F682" i="83"/>
  <c r="P683" i="83"/>
  <c r="I682" i="83"/>
  <c r="K683" i="83"/>
  <c r="D682" i="83"/>
  <c r="K684" i="83" l="1"/>
  <c r="D683" i="83"/>
  <c r="M684" i="83"/>
  <c r="F683" i="83"/>
  <c r="L684" i="83"/>
  <c r="E683" i="83"/>
  <c r="O684" i="83"/>
  <c r="H683" i="83"/>
  <c r="P684" i="83"/>
  <c r="I683" i="83"/>
  <c r="N684" i="83"/>
  <c r="G683" i="83"/>
  <c r="N685" i="83" l="1"/>
  <c r="G684" i="83"/>
  <c r="L685" i="83"/>
  <c r="E684" i="83"/>
  <c r="O685" i="83"/>
  <c r="H684" i="83"/>
  <c r="M685" i="83"/>
  <c r="F684" i="83"/>
  <c r="P685" i="83"/>
  <c r="I684" i="83"/>
  <c r="K685" i="83"/>
  <c r="D684" i="83"/>
  <c r="M686" i="83" l="1"/>
  <c r="F685" i="83"/>
  <c r="O686" i="83"/>
  <c r="H685" i="83"/>
  <c r="K686" i="83"/>
  <c r="D685" i="83"/>
  <c r="L686" i="83"/>
  <c r="E685" i="83"/>
  <c r="P686" i="83"/>
  <c r="I685" i="83"/>
  <c r="N686" i="83"/>
  <c r="G685" i="83"/>
  <c r="K687" i="83" l="1"/>
  <c r="D686" i="83"/>
  <c r="N687" i="83"/>
  <c r="G686" i="83"/>
  <c r="L687" i="83"/>
  <c r="E686" i="83"/>
  <c r="O687" i="83"/>
  <c r="H686" i="83"/>
  <c r="P687" i="83"/>
  <c r="I686" i="83"/>
  <c r="M687" i="83"/>
  <c r="F686" i="83"/>
  <c r="L688" i="83" l="1"/>
  <c r="E687" i="83"/>
  <c r="M688" i="83"/>
  <c r="F687" i="83"/>
  <c r="O688" i="83"/>
  <c r="H687" i="83"/>
  <c r="N688" i="83"/>
  <c r="G687" i="83"/>
  <c r="P688" i="83"/>
  <c r="I687" i="83"/>
  <c r="K688" i="83"/>
  <c r="D687" i="83"/>
  <c r="N689" i="83" l="1"/>
  <c r="G688" i="83"/>
  <c r="O689" i="83"/>
  <c r="H688" i="83"/>
  <c r="K689" i="83"/>
  <c r="D688" i="83"/>
  <c r="M689" i="83"/>
  <c r="F688" i="83"/>
  <c r="P689" i="83"/>
  <c r="I688" i="83"/>
  <c r="L689" i="83"/>
  <c r="E688" i="83"/>
  <c r="K690" i="83" l="1"/>
  <c r="D689" i="83"/>
  <c r="L690" i="83"/>
  <c r="E689" i="83"/>
  <c r="M690" i="83"/>
  <c r="F689" i="83"/>
  <c r="O690" i="83"/>
  <c r="H689" i="83"/>
  <c r="P690" i="83"/>
  <c r="I689" i="83"/>
  <c r="N690" i="83"/>
  <c r="G689" i="83"/>
  <c r="O691" i="83" l="1"/>
  <c r="H690" i="83"/>
  <c r="N691" i="83"/>
  <c r="G690" i="83"/>
  <c r="M691" i="83"/>
  <c r="F690" i="83"/>
  <c r="L691" i="83"/>
  <c r="E690" i="83"/>
  <c r="P691" i="83"/>
  <c r="I690" i="83"/>
  <c r="K691" i="83"/>
  <c r="D690" i="83"/>
  <c r="K692" i="83" l="1"/>
  <c r="D691" i="83"/>
  <c r="M692" i="83"/>
  <c r="F691" i="83"/>
  <c r="L692" i="83"/>
  <c r="E691" i="83"/>
  <c r="N692" i="83"/>
  <c r="G691" i="83"/>
  <c r="P692" i="83"/>
  <c r="I691" i="83"/>
  <c r="O692" i="83"/>
  <c r="H691" i="83"/>
  <c r="N693" i="83" l="1"/>
  <c r="G692" i="83"/>
  <c r="O693" i="83"/>
  <c r="H692" i="83"/>
  <c r="L693" i="83"/>
  <c r="E692" i="83"/>
  <c r="M693" i="83"/>
  <c r="F692" i="83"/>
  <c r="P693" i="83"/>
  <c r="I692" i="83"/>
  <c r="K693" i="83"/>
  <c r="D692" i="83"/>
  <c r="M694" i="83" l="1"/>
  <c r="F693" i="83"/>
  <c r="K694" i="83"/>
  <c r="D693" i="83"/>
  <c r="L694" i="83"/>
  <c r="E693" i="83"/>
  <c r="O694" i="83"/>
  <c r="H693" i="83"/>
  <c r="P694" i="83"/>
  <c r="I693" i="83"/>
  <c r="N694" i="83"/>
  <c r="G693" i="83"/>
  <c r="O695" i="83" l="1"/>
  <c r="H694" i="83"/>
  <c r="L695" i="83"/>
  <c r="E694" i="83"/>
  <c r="N695" i="83"/>
  <c r="G694" i="83"/>
  <c r="K695" i="83"/>
  <c r="D694" i="83"/>
  <c r="P695" i="83"/>
  <c r="I694" i="83"/>
  <c r="M695" i="83"/>
  <c r="F694" i="83"/>
  <c r="N696" i="83" l="1"/>
  <c r="G695" i="83"/>
  <c r="M696" i="83"/>
  <c r="F695" i="83"/>
  <c r="K696" i="83"/>
  <c r="D695" i="83"/>
  <c r="L696" i="83"/>
  <c r="E695" i="83"/>
  <c r="P696" i="83"/>
  <c r="I695" i="83"/>
  <c r="O696" i="83"/>
  <c r="H695" i="83"/>
  <c r="L697" i="83" l="1"/>
  <c r="E696" i="83"/>
  <c r="O697" i="83"/>
  <c r="H696" i="83"/>
  <c r="K697" i="83"/>
  <c r="D696" i="83"/>
  <c r="M697" i="83"/>
  <c r="F696" i="83"/>
  <c r="P697" i="83"/>
  <c r="I696" i="83"/>
  <c r="N697" i="83"/>
  <c r="G696" i="83"/>
  <c r="N698" i="83" l="1"/>
  <c r="G697" i="83"/>
  <c r="K698" i="83"/>
  <c r="D697" i="83"/>
  <c r="M698" i="83"/>
  <c r="F697" i="83"/>
  <c r="O698" i="83"/>
  <c r="H697" i="83"/>
  <c r="P698" i="83"/>
  <c r="I697" i="83"/>
  <c r="L698" i="83"/>
  <c r="E697" i="83"/>
  <c r="O699" i="83" l="1"/>
  <c r="H698" i="83"/>
  <c r="L699" i="83"/>
  <c r="E698" i="83"/>
  <c r="M699" i="83"/>
  <c r="F698" i="83"/>
  <c r="K699" i="83"/>
  <c r="D698" i="83"/>
  <c r="P699" i="83"/>
  <c r="I698" i="83"/>
  <c r="N699" i="83"/>
  <c r="G698" i="83"/>
  <c r="K700" i="83" l="1"/>
  <c r="D699" i="83"/>
  <c r="N700" i="83"/>
  <c r="G699" i="83"/>
  <c r="M700" i="83"/>
  <c r="F699" i="83"/>
  <c r="L700" i="83"/>
  <c r="E699" i="83"/>
  <c r="P700" i="83"/>
  <c r="I699" i="83"/>
  <c r="O700" i="83"/>
  <c r="H699" i="83"/>
  <c r="O701" i="83" l="1"/>
  <c r="H700" i="83"/>
  <c r="M701" i="83"/>
  <c r="F700" i="83"/>
  <c r="L701" i="83"/>
  <c r="E700" i="83"/>
  <c r="N701" i="83"/>
  <c r="G700" i="83"/>
  <c r="P701" i="83"/>
  <c r="I700" i="83"/>
  <c r="K701" i="83"/>
  <c r="D700" i="83"/>
  <c r="N702" i="83" l="1"/>
  <c r="G701" i="83"/>
  <c r="L702" i="83"/>
  <c r="E701" i="83"/>
  <c r="K702" i="83"/>
  <c r="D701" i="83"/>
  <c r="M702" i="83"/>
  <c r="F701" i="83"/>
  <c r="P702" i="83"/>
  <c r="I701" i="83"/>
  <c r="O702" i="83"/>
  <c r="H701" i="83"/>
  <c r="O703" i="83" l="1"/>
  <c r="H702" i="83"/>
  <c r="K703" i="83"/>
  <c r="D702" i="83"/>
  <c r="M703" i="83"/>
  <c r="F702" i="83"/>
  <c r="L703" i="83"/>
  <c r="E702" i="83"/>
  <c r="P703" i="83"/>
  <c r="I702" i="83"/>
  <c r="N703" i="83"/>
  <c r="G702" i="83"/>
  <c r="L704" i="83" l="1"/>
  <c r="E703" i="83"/>
  <c r="N704" i="83"/>
  <c r="G703" i="83"/>
  <c r="M704" i="83"/>
  <c r="F703" i="83"/>
  <c r="K704" i="83"/>
  <c r="D703" i="83"/>
  <c r="P704" i="83"/>
  <c r="I703" i="83"/>
  <c r="O704" i="83"/>
  <c r="H703" i="83"/>
  <c r="K705" i="83" l="1"/>
  <c r="D704" i="83"/>
  <c r="M705" i="83"/>
  <c r="F704" i="83"/>
  <c r="O705" i="83"/>
  <c r="H704" i="83"/>
  <c r="N705" i="83"/>
  <c r="G704" i="83"/>
  <c r="P705" i="83"/>
  <c r="I704" i="83"/>
  <c r="L705" i="83"/>
  <c r="E704" i="83"/>
  <c r="N706" i="83" l="1"/>
  <c r="G705" i="83"/>
  <c r="O706" i="83"/>
  <c r="H705" i="83"/>
  <c r="L706" i="83"/>
  <c r="E705" i="83"/>
  <c r="M706" i="83"/>
  <c r="F705" i="83"/>
  <c r="P706" i="83"/>
  <c r="I705" i="83"/>
  <c r="K706" i="83"/>
  <c r="D705" i="83"/>
  <c r="L707" i="83" l="1"/>
  <c r="E706" i="83"/>
  <c r="O707" i="83"/>
  <c r="H706" i="83"/>
  <c r="M707" i="83"/>
  <c r="F706" i="83"/>
  <c r="K707" i="83"/>
  <c r="D706" i="83"/>
  <c r="P707" i="83"/>
  <c r="I706" i="83"/>
  <c r="N707" i="83"/>
  <c r="G706" i="83"/>
  <c r="M708" i="83" l="1"/>
  <c r="F707" i="83"/>
  <c r="O708" i="83"/>
  <c r="H707" i="83"/>
  <c r="K708" i="83"/>
  <c r="D707" i="83"/>
  <c r="N708" i="83"/>
  <c r="G707" i="83"/>
  <c r="P708" i="83"/>
  <c r="I707" i="83"/>
  <c r="L708" i="83"/>
  <c r="E707" i="83"/>
  <c r="O709" i="83" l="1"/>
  <c r="H708" i="83"/>
  <c r="N709" i="83"/>
  <c r="G708" i="83"/>
  <c r="K709" i="83"/>
  <c r="D708" i="83"/>
  <c r="L709" i="83"/>
  <c r="E708" i="83"/>
  <c r="P709" i="83"/>
  <c r="I708" i="83"/>
  <c r="M709" i="83"/>
  <c r="F708" i="83"/>
  <c r="N710" i="83" l="1"/>
  <c r="G709" i="83"/>
  <c r="L710" i="83"/>
  <c r="E709" i="83"/>
  <c r="K710" i="83"/>
  <c r="D709" i="83"/>
  <c r="M710" i="83"/>
  <c r="F709" i="83"/>
  <c r="P710" i="83"/>
  <c r="I709" i="83"/>
  <c r="O710" i="83"/>
  <c r="H709" i="83"/>
  <c r="O711" i="83" l="1"/>
  <c r="H710" i="83"/>
  <c r="K711" i="83"/>
  <c r="D710" i="83"/>
  <c r="M711" i="83"/>
  <c r="F710" i="83"/>
  <c r="L711" i="83"/>
  <c r="E710" i="83"/>
  <c r="P711" i="83"/>
  <c r="I710" i="83"/>
  <c r="N711" i="83"/>
  <c r="G710" i="83"/>
  <c r="M712" i="83" l="1"/>
  <c r="F711" i="83"/>
  <c r="L712" i="83"/>
  <c r="E711" i="83"/>
  <c r="N712" i="83"/>
  <c r="G711" i="83"/>
  <c r="K712" i="83"/>
  <c r="D711" i="83"/>
  <c r="P712" i="83"/>
  <c r="I711" i="83"/>
  <c r="O712" i="83"/>
  <c r="H711" i="83"/>
  <c r="N713" i="83" l="1"/>
  <c r="G712" i="83"/>
  <c r="K713" i="83"/>
  <c r="D712" i="83"/>
  <c r="O713" i="83"/>
  <c r="H712" i="83"/>
  <c r="L713" i="83"/>
  <c r="E712" i="83"/>
  <c r="P713" i="83"/>
  <c r="I712" i="83"/>
  <c r="M713" i="83"/>
  <c r="F712" i="83"/>
  <c r="O714" i="83" l="1"/>
  <c r="H713" i="83"/>
  <c r="K714" i="83"/>
  <c r="D713" i="83"/>
  <c r="L714" i="83"/>
  <c r="E713" i="83"/>
  <c r="M714" i="83"/>
  <c r="F713" i="83"/>
  <c r="P714" i="83"/>
  <c r="I713" i="83"/>
  <c r="N714" i="83"/>
  <c r="G713" i="83"/>
  <c r="P715" i="83" l="1"/>
  <c r="I714" i="83"/>
  <c r="L715" i="83"/>
  <c r="E714" i="83"/>
  <c r="O715" i="83"/>
  <c r="H714" i="83"/>
  <c r="K715" i="83"/>
  <c r="D714" i="83"/>
  <c r="M715" i="83"/>
  <c r="F714" i="83"/>
  <c r="N715" i="83"/>
  <c r="G714" i="83"/>
  <c r="P716" i="83" l="1"/>
  <c r="I715" i="83"/>
  <c r="L716" i="83"/>
  <c r="E715" i="83"/>
  <c r="M716" i="83"/>
  <c r="F715" i="83"/>
  <c r="K716" i="83"/>
  <c r="D715" i="83"/>
  <c r="O716" i="83"/>
  <c r="H715" i="83"/>
  <c r="N716" i="83"/>
  <c r="G715" i="83"/>
  <c r="K717" i="83" l="1"/>
  <c r="D716" i="83"/>
  <c r="M717" i="83"/>
  <c r="F716" i="83"/>
  <c r="N717" i="83"/>
  <c r="G716" i="83"/>
  <c r="L717" i="83"/>
  <c r="E716" i="83"/>
  <c r="O717" i="83"/>
  <c r="H716" i="83"/>
  <c r="P717" i="83"/>
  <c r="I716" i="83"/>
  <c r="L718" i="83" l="1"/>
  <c r="E717" i="83"/>
  <c r="P718" i="83"/>
  <c r="I717" i="83"/>
  <c r="M718" i="83"/>
  <c r="F717" i="83"/>
  <c r="N718" i="83"/>
  <c r="G717" i="83"/>
  <c r="O718" i="83"/>
  <c r="H717" i="83"/>
  <c r="K718" i="83"/>
  <c r="D717" i="83"/>
  <c r="P719" i="83" l="1"/>
  <c r="I718" i="83"/>
  <c r="N719" i="83"/>
  <c r="G718" i="83"/>
  <c r="M719" i="83"/>
  <c r="F718" i="83"/>
  <c r="K719" i="83"/>
  <c r="D718" i="83"/>
  <c r="O719" i="83"/>
  <c r="H718" i="83"/>
  <c r="L719" i="83"/>
  <c r="E718" i="83"/>
  <c r="K720" i="83" l="1"/>
  <c r="D719" i="83"/>
  <c r="M720" i="83"/>
  <c r="F719" i="83"/>
  <c r="L720" i="83"/>
  <c r="E719" i="83"/>
  <c r="N720" i="83"/>
  <c r="G719" i="83"/>
  <c r="O720" i="83"/>
  <c r="H719" i="83"/>
  <c r="P720" i="83"/>
  <c r="I719" i="83"/>
  <c r="P721" i="83" l="1"/>
  <c r="I720" i="83"/>
  <c r="N721" i="83"/>
  <c r="G720" i="83"/>
  <c r="L721" i="83"/>
  <c r="E720" i="83"/>
  <c r="M721" i="83"/>
  <c r="F720" i="83"/>
  <c r="O721" i="83"/>
  <c r="H720" i="83"/>
  <c r="K721" i="83"/>
  <c r="D720" i="83"/>
  <c r="M722" i="83" l="1"/>
  <c r="F721" i="83"/>
  <c r="N722" i="83"/>
  <c r="G721" i="83"/>
  <c r="L722" i="83"/>
  <c r="E721" i="83"/>
  <c r="K722" i="83"/>
  <c r="D721" i="83"/>
  <c r="O722" i="83"/>
  <c r="H721" i="83"/>
  <c r="P722" i="83"/>
  <c r="I721" i="83"/>
  <c r="K723" i="83" l="1"/>
  <c r="D722" i="83"/>
  <c r="L723" i="83"/>
  <c r="E722" i="83"/>
  <c r="N723" i="83"/>
  <c r="G722" i="83"/>
  <c r="P723" i="83"/>
  <c r="I722" i="83"/>
  <c r="O723" i="83"/>
  <c r="H722" i="83"/>
  <c r="M723" i="83"/>
  <c r="F722" i="83"/>
  <c r="L724" i="83" l="1"/>
  <c r="E723" i="83"/>
  <c r="P724" i="83"/>
  <c r="I723" i="83"/>
  <c r="N724" i="83"/>
  <c r="G723" i="83"/>
  <c r="M724" i="83"/>
  <c r="F723" i="83"/>
  <c r="O724" i="83"/>
  <c r="H723" i="83"/>
  <c r="K724" i="83"/>
  <c r="D723" i="83"/>
  <c r="M725" i="83" l="1"/>
  <c r="F724" i="83"/>
  <c r="N725" i="83"/>
  <c r="G724" i="83"/>
  <c r="K725" i="83"/>
  <c r="D724" i="83"/>
  <c r="P725" i="83"/>
  <c r="I724" i="83"/>
  <c r="O725" i="83"/>
  <c r="H724" i="83"/>
  <c r="L725" i="83"/>
  <c r="E724" i="83"/>
  <c r="K726" i="83" l="1"/>
  <c r="D725" i="83"/>
  <c r="P726" i="83"/>
  <c r="I725" i="83"/>
  <c r="L726" i="83"/>
  <c r="E725" i="83"/>
  <c r="N726" i="83"/>
  <c r="G725" i="83"/>
  <c r="O726" i="83"/>
  <c r="H725" i="83"/>
  <c r="M726" i="83"/>
  <c r="F725" i="83"/>
  <c r="N727" i="83" l="1"/>
  <c r="G726" i="83"/>
  <c r="M727" i="83"/>
  <c r="F726" i="83"/>
  <c r="L727" i="83"/>
  <c r="E726" i="83"/>
  <c r="P727" i="83"/>
  <c r="I726" i="83"/>
  <c r="O727" i="83"/>
  <c r="H726" i="83"/>
  <c r="K727" i="83"/>
  <c r="D726" i="83"/>
  <c r="P728" i="83" l="1"/>
  <c r="I727" i="83"/>
  <c r="L728" i="83"/>
  <c r="E727" i="83"/>
  <c r="M728" i="83"/>
  <c r="F727" i="83"/>
  <c r="K728" i="83"/>
  <c r="D727" i="83"/>
  <c r="O728" i="83"/>
  <c r="H727" i="83"/>
  <c r="N728" i="83"/>
  <c r="G727" i="83"/>
  <c r="M729" i="83" l="1"/>
  <c r="F728" i="83"/>
  <c r="N729" i="83"/>
  <c r="G728" i="83"/>
  <c r="K729" i="83"/>
  <c r="D728" i="83"/>
  <c r="L729" i="83"/>
  <c r="E728" i="83"/>
  <c r="O729" i="83"/>
  <c r="H728" i="83"/>
  <c r="P729" i="83"/>
  <c r="I728" i="83"/>
  <c r="L730" i="83" l="1"/>
  <c r="E729" i="83"/>
  <c r="P730" i="83"/>
  <c r="I729" i="83"/>
  <c r="K730" i="83"/>
  <c r="D729" i="83"/>
  <c r="N730" i="83"/>
  <c r="G729" i="83"/>
  <c r="O730" i="83"/>
  <c r="H729" i="83"/>
  <c r="M730" i="83"/>
  <c r="F729" i="83"/>
  <c r="K731" i="83" l="1"/>
  <c r="D730" i="83"/>
  <c r="N731" i="83"/>
  <c r="G730" i="83"/>
  <c r="M731" i="83"/>
  <c r="F730" i="83"/>
  <c r="P731" i="83"/>
  <c r="I730" i="83"/>
  <c r="O731" i="83"/>
  <c r="H730" i="83"/>
  <c r="L731" i="83"/>
  <c r="E730" i="83"/>
  <c r="P732" i="83" l="1"/>
  <c r="I731" i="83"/>
  <c r="L732" i="83"/>
  <c r="E731" i="83"/>
  <c r="M732" i="83"/>
  <c r="F731" i="83"/>
  <c r="N732" i="83"/>
  <c r="G731" i="83"/>
  <c r="O732" i="83"/>
  <c r="H731" i="83"/>
  <c r="K732" i="83"/>
  <c r="D731" i="83"/>
  <c r="M733" i="83" l="1"/>
  <c r="F732" i="83"/>
  <c r="N733" i="83"/>
  <c r="G732" i="83"/>
  <c r="K733" i="83"/>
  <c r="D732" i="83"/>
  <c r="L733" i="83"/>
  <c r="E732" i="83"/>
  <c r="O733" i="83"/>
  <c r="H732" i="83"/>
  <c r="P733" i="83"/>
  <c r="I732" i="83"/>
  <c r="L734" i="83" l="1"/>
  <c r="E733" i="83"/>
  <c r="K734" i="83"/>
  <c r="D733" i="83"/>
  <c r="N734" i="83"/>
  <c r="G733" i="83"/>
  <c r="P734" i="83"/>
  <c r="I733" i="83"/>
  <c r="O734" i="83"/>
  <c r="H733" i="83"/>
  <c r="M734" i="83"/>
  <c r="F733" i="83"/>
  <c r="N735" i="83" l="1"/>
  <c r="G734" i="83"/>
  <c r="P735" i="83"/>
  <c r="I734" i="83"/>
  <c r="M735" i="83"/>
  <c r="F734" i="83"/>
  <c r="K735" i="83"/>
  <c r="D734" i="83"/>
  <c r="O735" i="83"/>
  <c r="H734" i="83"/>
  <c r="L735" i="83"/>
  <c r="E734" i="83"/>
  <c r="K736" i="83" l="1"/>
  <c r="D735" i="83"/>
  <c r="M736" i="83"/>
  <c r="F735" i="83"/>
  <c r="L736" i="83"/>
  <c r="E735" i="83"/>
  <c r="P736" i="83"/>
  <c r="I735" i="83"/>
  <c r="O736" i="83"/>
  <c r="H735" i="83"/>
  <c r="N736" i="83"/>
  <c r="G735" i="83"/>
  <c r="N737" i="83" l="1"/>
  <c r="G736" i="83"/>
  <c r="P737" i="83"/>
  <c r="I736" i="83"/>
  <c r="L737" i="83"/>
  <c r="E736" i="83"/>
  <c r="M737" i="83"/>
  <c r="F736" i="83"/>
  <c r="O737" i="83"/>
  <c r="H736" i="83"/>
  <c r="K737" i="83"/>
  <c r="D736" i="83"/>
  <c r="L738" i="83" l="1"/>
  <c r="E737" i="83"/>
  <c r="P738" i="83"/>
  <c r="I737" i="83"/>
  <c r="M738" i="83"/>
  <c r="F737" i="83"/>
  <c r="K738" i="83"/>
  <c r="D737" i="83"/>
  <c r="O738" i="83"/>
  <c r="H737" i="83"/>
  <c r="N738" i="83"/>
  <c r="G737" i="83"/>
  <c r="M739" i="83" l="1"/>
  <c r="F738" i="83"/>
  <c r="K739" i="83"/>
  <c r="D738" i="83"/>
  <c r="N739" i="83"/>
  <c r="G738" i="83"/>
  <c r="P739" i="83"/>
  <c r="I738" i="83"/>
  <c r="O739" i="83"/>
  <c r="H738" i="83"/>
  <c r="L739" i="83"/>
  <c r="E738" i="83"/>
  <c r="P740" i="83" l="1"/>
  <c r="I739" i="83"/>
  <c r="K740" i="83"/>
  <c r="D739" i="83"/>
  <c r="N740" i="83"/>
  <c r="G739" i="83"/>
  <c r="L740" i="83"/>
  <c r="E739" i="83"/>
  <c r="O740" i="83"/>
  <c r="H739" i="83"/>
  <c r="M740" i="83"/>
  <c r="F739" i="83"/>
  <c r="L741" i="83" l="1"/>
  <c r="E740" i="83"/>
  <c r="K741" i="83"/>
  <c r="D740" i="83"/>
  <c r="N741" i="83"/>
  <c r="G740" i="83"/>
  <c r="M741" i="83"/>
  <c r="F740" i="83"/>
  <c r="O741" i="83"/>
  <c r="H740" i="83"/>
  <c r="P741" i="83"/>
  <c r="I740" i="83"/>
  <c r="M742" i="83" l="1"/>
  <c r="F741" i="83"/>
  <c r="P742" i="83"/>
  <c r="I741" i="83"/>
  <c r="N742" i="83"/>
  <c r="G741" i="83"/>
  <c r="K742" i="83"/>
  <c r="D741" i="83"/>
  <c r="O742" i="83"/>
  <c r="H741" i="83"/>
  <c r="L742" i="83"/>
  <c r="E741" i="83"/>
  <c r="K743" i="83" l="1"/>
  <c r="D742" i="83"/>
  <c r="N743" i="83"/>
  <c r="G742" i="83"/>
  <c r="L743" i="83"/>
  <c r="E742" i="83"/>
  <c r="P743" i="83"/>
  <c r="I742" i="83"/>
  <c r="O743" i="83"/>
  <c r="H742" i="83"/>
  <c r="M743" i="83"/>
  <c r="F742" i="83"/>
  <c r="P744" i="83" l="1"/>
  <c r="I743" i="83"/>
  <c r="L744" i="83"/>
  <c r="E743" i="83"/>
  <c r="M744" i="83"/>
  <c r="F743" i="83"/>
  <c r="N744" i="83"/>
  <c r="G743" i="83"/>
  <c r="O744" i="83"/>
  <c r="H743" i="83"/>
  <c r="K744" i="83"/>
  <c r="D743" i="83"/>
  <c r="M745" i="83" l="1"/>
  <c r="F744" i="83"/>
  <c r="K745" i="83"/>
  <c r="D744" i="83"/>
  <c r="N745" i="83"/>
  <c r="G744" i="83"/>
  <c r="L745" i="83"/>
  <c r="E744" i="83"/>
  <c r="O745" i="83"/>
  <c r="H744" i="83"/>
  <c r="P745" i="83"/>
  <c r="I744" i="83"/>
  <c r="L746" i="83" l="1"/>
  <c r="E745" i="83"/>
  <c r="K746" i="83"/>
  <c r="D745" i="83"/>
  <c r="N746" i="83"/>
  <c r="G745" i="83"/>
  <c r="P746" i="83"/>
  <c r="I745" i="83"/>
  <c r="O746" i="83"/>
  <c r="H745" i="83"/>
  <c r="M746" i="83"/>
  <c r="F745" i="83"/>
  <c r="P747" i="83" l="1"/>
  <c r="I746" i="83"/>
  <c r="N747" i="83"/>
  <c r="G746" i="83"/>
  <c r="M747" i="83"/>
  <c r="F746" i="83"/>
  <c r="K747" i="83"/>
  <c r="D746" i="83"/>
  <c r="O747" i="83"/>
  <c r="H746" i="83"/>
  <c r="L747" i="83"/>
  <c r="E746" i="83"/>
  <c r="M748" i="83" l="1"/>
  <c r="F747" i="83"/>
  <c r="K748" i="83"/>
  <c r="D747" i="83"/>
  <c r="L748" i="83"/>
  <c r="E747" i="83"/>
  <c r="N748" i="83"/>
  <c r="G747" i="83"/>
  <c r="O748" i="83"/>
  <c r="H747" i="83"/>
  <c r="P748" i="83"/>
  <c r="I747" i="83"/>
  <c r="N749" i="83" l="1"/>
  <c r="G748" i="83"/>
  <c r="L749" i="83"/>
  <c r="E748" i="83"/>
  <c r="P749" i="83"/>
  <c r="I748" i="83"/>
  <c r="K749" i="83"/>
  <c r="D748" i="83"/>
  <c r="O749" i="83"/>
  <c r="H748" i="83"/>
  <c r="M749" i="83"/>
  <c r="F748" i="83"/>
  <c r="K750" i="83" l="1"/>
  <c r="D749" i="83"/>
  <c r="M750" i="83"/>
  <c r="F749" i="83"/>
  <c r="P750" i="83"/>
  <c r="I749" i="83"/>
  <c r="L750" i="83"/>
  <c r="E749" i="83"/>
  <c r="O750" i="83"/>
  <c r="H749" i="83"/>
  <c r="N750" i="83"/>
  <c r="G749" i="83"/>
  <c r="L751" i="83" l="1"/>
  <c r="E750" i="83"/>
  <c r="P751" i="83"/>
  <c r="I750" i="83"/>
  <c r="N751" i="83"/>
  <c r="G750" i="83"/>
  <c r="M751" i="83"/>
  <c r="F750" i="83"/>
  <c r="O751" i="83"/>
  <c r="H750" i="83"/>
  <c r="K751" i="83"/>
  <c r="D750" i="83"/>
  <c r="M752" i="83" l="1"/>
  <c r="F751" i="83"/>
  <c r="N752" i="83"/>
  <c r="G751" i="83"/>
  <c r="K752" i="83"/>
  <c r="D751" i="83"/>
  <c r="P752" i="83"/>
  <c r="I751" i="83"/>
  <c r="O752" i="83"/>
  <c r="H751" i="83"/>
  <c r="L752" i="83"/>
  <c r="E751" i="83"/>
  <c r="P753" i="83" l="1"/>
  <c r="I752" i="83"/>
  <c r="K753" i="83"/>
  <c r="D752" i="83"/>
  <c r="L753" i="83"/>
  <c r="E752" i="83"/>
  <c r="N753" i="83"/>
  <c r="G752" i="83"/>
  <c r="O753" i="83"/>
  <c r="H752" i="83"/>
  <c r="M753" i="83"/>
  <c r="F752" i="83"/>
  <c r="L754" i="83" l="1"/>
  <c r="E753" i="83"/>
  <c r="K754" i="83"/>
  <c r="D753" i="83"/>
  <c r="N754" i="83"/>
  <c r="G753" i="83"/>
  <c r="M754" i="83"/>
  <c r="F753" i="83"/>
  <c r="O754" i="83"/>
  <c r="H753" i="83"/>
  <c r="P754" i="83"/>
  <c r="I753" i="83"/>
  <c r="M755" i="83" l="1"/>
  <c r="F754" i="83"/>
  <c r="P755" i="83"/>
  <c r="I754" i="83"/>
  <c r="N755" i="83"/>
  <c r="G754" i="83"/>
  <c r="K755" i="83"/>
  <c r="D754" i="83"/>
  <c r="O755" i="83"/>
  <c r="H754" i="83"/>
  <c r="L755" i="83"/>
  <c r="E754" i="83"/>
  <c r="K756" i="83" l="1"/>
  <c r="D755" i="83"/>
  <c r="N756" i="83"/>
  <c r="G755" i="83"/>
  <c r="P756" i="83"/>
  <c r="I755" i="83"/>
  <c r="L756" i="83"/>
  <c r="E755" i="83"/>
  <c r="O756" i="83"/>
  <c r="H755" i="83"/>
  <c r="M756" i="83"/>
  <c r="F755" i="83"/>
  <c r="L757" i="83" l="1"/>
  <c r="E756" i="83"/>
  <c r="P757" i="83"/>
  <c r="I756" i="83"/>
  <c r="N757" i="83"/>
  <c r="G756" i="83"/>
  <c r="M757" i="83"/>
  <c r="F756" i="83"/>
  <c r="O757" i="83"/>
  <c r="H756" i="83"/>
  <c r="K757" i="83"/>
  <c r="D756" i="83"/>
  <c r="M758" i="83" l="1"/>
  <c r="F757" i="83"/>
  <c r="N758" i="83"/>
  <c r="G757" i="83"/>
  <c r="K758" i="83"/>
  <c r="D757" i="83"/>
  <c r="P758" i="83"/>
  <c r="I757" i="83"/>
  <c r="O758" i="83"/>
  <c r="H757" i="83"/>
  <c r="L758" i="83"/>
  <c r="E757" i="83"/>
  <c r="P759" i="83" l="1"/>
  <c r="I758" i="83"/>
  <c r="K759" i="83"/>
  <c r="D758" i="83"/>
  <c r="N759" i="83"/>
  <c r="G758" i="83"/>
  <c r="L759" i="83"/>
  <c r="E758" i="83"/>
  <c r="O759" i="83"/>
  <c r="H758" i="83"/>
  <c r="M759" i="83"/>
  <c r="F758" i="83"/>
  <c r="N760" i="83" l="1"/>
  <c r="G759" i="83"/>
  <c r="M760" i="83"/>
  <c r="F759" i="83"/>
  <c r="L760" i="83"/>
  <c r="E759" i="83"/>
  <c r="K760" i="83"/>
  <c r="D759" i="83"/>
  <c r="O760" i="83"/>
  <c r="H759" i="83"/>
  <c r="P760" i="83"/>
  <c r="I759" i="83"/>
  <c r="K761" i="83" l="1"/>
  <c r="D760" i="83"/>
  <c r="L761" i="83"/>
  <c r="E760" i="83"/>
  <c r="P761" i="83"/>
  <c r="I760" i="83"/>
  <c r="M761" i="83"/>
  <c r="F760" i="83"/>
  <c r="O761" i="83"/>
  <c r="H760" i="83"/>
  <c r="N761" i="83"/>
  <c r="G760" i="83"/>
  <c r="N762" i="83" l="1"/>
  <c r="G761" i="83"/>
  <c r="M762" i="83"/>
  <c r="F761" i="83"/>
  <c r="P762" i="83"/>
  <c r="I761" i="83"/>
  <c r="L762" i="83"/>
  <c r="E761" i="83"/>
  <c r="O762" i="83"/>
  <c r="H761" i="83"/>
  <c r="K762" i="83"/>
  <c r="D761" i="83"/>
  <c r="L763" i="83" l="1"/>
  <c r="E762" i="83"/>
  <c r="P763" i="83"/>
  <c r="I762" i="83"/>
  <c r="K763" i="83"/>
  <c r="D762" i="83"/>
  <c r="M763" i="83"/>
  <c r="F762" i="83"/>
  <c r="O763" i="83"/>
  <c r="H762" i="83"/>
  <c r="N763" i="83"/>
  <c r="G762" i="83"/>
  <c r="N764" i="83" l="1"/>
  <c r="G763" i="83"/>
  <c r="M764" i="83"/>
  <c r="F763" i="83"/>
  <c r="K764" i="83"/>
  <c r="D763" i="83"/>
  <c r="P764" i="83"/>
  <c r="I763" i="83"/>
  <c r="O764" i="83"/>
  <c r="H763" i="83"/>
  <c r="L764" i="83"/>
  <c r="E763" i="83"/>
  <c r="K765" i="83" l="1"/>
  <c r="D764" i="83"/>
  <c r="P765" i="83"/>
  <c r="I764" i="83"/>
  <c r="M765" i="83"/>
  <c r="F764" i="83"/>
  <c r="L765" i="83"/>
  <c r="E764" i="83"/>
  <c r="O765" i="83"/>
  <c r="H764" i="83"/>
  <c r="N765" i="83"/>
  <c r="G764" i="83"/>
  <c r="M766" i="83" l="1"/>
  <c r="F765" i="83"/>
  <c r="L766" i="83"/>
  <c r="E765" i="83"/>
  <c r="N766" i="83"/>
  <c r="G765" i="83"/>
  <c r="P766" i="83"/>
  <c r="I765" i="83"/>
  <c r="O766" i="83"/>
  <c r="H765" i="83"/>
  <c r="K766" i="83"/>
  <c r="D765" i="83"/>
  <c r="P767" i="83" l="1"/>
  <c r="I766" i="83"/>
  <c r="L767" i="83"/>
  <c r="E766" i="83"/>
  <c r="N767" i="83"/>
  <c r="G766" i="83"/>
  <c r="K767" i="83"/>
  <c r="D766" i="83"/>
  <c r="O767" i="83"/>
  <c r="H766" i="83"/>
  <c r="M767" i="83"/>
  <c r="F766" i="83"/>
  <c r="K768" i="83" l="1"/>
  <c r="D767" i="83"/>
  <c r="N768" i="83"/>
  <c r="G767" i="83"/>
  <c r="L768" i="83"/>
  <c r="E767" i="83"/>
  <c r="M768" i="83"/>
  <c r="F767" i="83"/>
  <c r="O768" i="83"/>
  <c r="H767" i="83"/>
  <c r="P768" i="83"/>
  <c r="I767" i="83"/>
  <c r="M769" i="83" l="1"/>
  <c r="F768" i="83"/>
  <c r="L769" i="83"/>
  <c r="E768" i="83"/>
  <c r="N769" i="83"/>
  <c r="G768" i="83"/>
  <c r="P769" i="83"/>
  <c r="I768" i="83"/>
  <c r="O769" i="83"/>
  <c r="H768" i="83"/>
  <c r="K769" i="83"/>
  <c r="D768" i="83"/>
  <c r="P770" i="83" l="1"/>
  <c r="I769" i="83"/>
  <c r="N770" i="83"/>
  <c r="G769" i="83"/>
  <c r="K770" i="83"/>
  <c r="D769" i="83"/>
  <c r="L770" i="83"/>
  <c r="E769" i="83"/>
  <c r="O770" i="83"/>
  <c r="H769" i="83"/>
  <c r="M770" i="83"/>
  <c r="F769" i="83"/>
  <c r="K771" i="83" l="1"/>
  <c r="D770" i="83"/>
  <c r="M771" i="83"/>
  <c r="F770" i="83"/>
  <c r="L771" i="83"/>
  <c r="E770" i="83"/>
  <c r="N771" i="83"/>
  <c r="G770" i="83"/>
  <c r="O771" i="83"/>
  <c r="H770" i="83"/>
  <c r="P771" i="83"/>
  <c r="I770" i="83"/>
  <c r="N772" i="83" l="1"/>
  <c r="G771" i="83"/>
  <c r="L772" i="83"/>
  <c r="E771" i="83"/>
  <c r="P772" i="83"/>
  <c r="I771" i="83"/>
  <c r="M772" i="83"/>
  <c r="F771" i="83"/>
  <c r="O772" i="83"/>
  <c r="H771" i="83"/>
  <c r="K772" i="83"/>
  <c r="D771" i="83"/>
  <c r="P773" i="83" l="1"/>
  <c r="I772" i="83"/>
  <c r="M773" i="83"/>
  <c r="F772" i="83"/>
  <c r="K773" i="83"/>
  <c r="D772" i="83"/>
  <c r="L773" i="83"/>
  <c r="E772" i="83"/>
  <c r="O773" i="83"/>
  <c r="H772" i="83"/>
  <c r="N773" i="83"/>
  <c r="G772" i="83"/>
  <c r="L774" i="83" l="1"/>
  <c r="E773" i="83"/>
  <c r="K774" i="83"/>
  <c r="D773" i="83"/>
  <c r="N774" i="83"/>
  <c r="G773" i="83"/>
  <c r="M774" i="83"/>
  <c r="F773" i="83"/>
  <c r="O774" i="83"/>
  <c r="H773" i="83"/>
  <c r="P774" i="83"/>
  <c r="I773" i="83"/>
  <c r="M775" i="83" l="1"/>
  <c r="F774" i="83"/>
  <c r="K775" i="83"/>
  <c r="D774" i="83"/>
  <c r="N775" i="83"/>
  <c r="G774" i="83"/>
  <c r="P775" i="83"/>
  <c r="I774" i="83"/>
  <c r="O775" i="83"/>
  <c r="H774" i="83"/>
  <c r="L775" i="83"/>
  <c r="E774" i="83"/>
  <c r="K776" i="83" l="1"/>
  <c r="D775" i="83"/>
  <c r="P776" i="83"/>
  <c r="I775" i="83"/>
  <c r="N776" i="83"/>
  <c r="G775" i="83"/>
  <c r="L776" i="83"/>
  <c r="E775" i="83"/>
  <c r="O776" i="83"/>
  <c r="H775" i="83"/>
  <c r="M776" i="83"/>
  <c r="F775" i="83"/>
  <c r="L777" i="83" l="1"/>
  <c r="E776" i="83"/>
  <c r="P777" i="83"/>
  <c r="I776" i="83"/>
  <c r="N777" i="83"/>
  <c r="G776" i="83"/>
  <c r="M777" i="83"/>
  <c r="F776" i="83"/>
  <c r="O777" i="83"/>
  <c r="H776" i="83"/>
  <c r="K777" i="83"/>
  <c r="D776" i="83"/>
  <c r="M778" i="83" l="1"/>
  <c r="F777" i="83"/>
  <c r="N778" i="83"/>
  <c r="G777" i="83"/>
  <c r="K778" i="83"/>
  <c r="D777" i="83"/>
  <c r="P778" i="83"/>
  <c r="I777" i="83"/>
  <c r="O778" i="83"/>
  <c r="H777" i="83"/>
  <c r="L778" i="83"/>
  <c r="E777" i="83"/>
  <c r="N779" i="83" l="1"/>
  <c r="G778" i="83"/>
  <c r="P779" i="83"/>
  <c r="I778" i="83"/>
  <c r="K779" i="83"/>
  <c r="D778" i="83"/>
  <c r="L779" i="83"/>
  <c r="E778" i="83"/>
  <c r="O779" i="83"/>
  <c r="H778" i="83"/>
  <c r="M779" i="83"/>
  <c r="F778" i="83"/>
  <c r="M780" i="83" l="1"/>
  <c r="F779" i="83"/>
  <c r="L780" i="83"/>
  <c r="E779" i="83"/>
  <c r="K780" i="83"/>
  <c r="D779" i="83"/>
  <c r="P780" i="83"/>
  <c r="I779" i="83"/>
  <c r="O780" i="83"/>
  <c r="H779" i="83"/>
  <c r="N780" i="83"/>
  <c r="G779" i="83"/>
  <c r="P781" i="83" l="1"/>
  <c r="I780" i="83"/>
  <c r="K781" i="83"/>
  <c r="D780" i="83"/>
  <c r="N781" i="83"/>
  <c r="G780" i="83"/>
  <c r="L781" i="83"/>
  <c r="E780" i="83"/>
  <c r="O781" i="83"/>
  <c r="H780" i="83"/>
  <c r="M781" i="83"/>
  <c r="F780" i="83"/>
  <c r="L782" i="83" l="1"/>
  <c r="E781" i="83"/>
  <c r="N782" i="83"/>
  <c r="G781" i="83"/>
  <c r="M782" i="83"/>
  <c r="F781" i="83"/>
  <c r="K782" i="83"/>
  <c r="D781" i="83"/>
  <c r="O782" i="83"/>
  <c r="H781" i="83"/>
  <c r="P782" i="83"/>
  <c r="I781" i="83"/>
  <c r="M783" i="83" l="1"/>
  <c r="F782" i="83"/>
  <c r="K783" i="83"/>
  <c r="D782" i="83"/>
  <c r="P783" i="83"/>
  <c r="I782" i="83"/>
  <c r="N783" i="83"/>
  <c r="G782" i="83"/>
  <c r="O783" i="83"/>
  <c r="H782" i="83"/>
  <c r="L783" i="83"/>
  <c r="E782" i="83"/>
  <c r="L784" i="83" l="1"/>
  <c r="E783" i="83"/>
  <c r="N784" i="83"/>
  <c r="G783" i="83"/>
  <c r="P784" i="83"/>
  <c r="I783" i="83"/>
  <c r="K784" i="83"/>
  <c r="D783" i="83"/>
  <c r="O784" i="83"/>
  <c r="H783" i="83"/>
  <c r="M784" i="83"/>
  <c r="F783" i="83"/>
  <c r="K785" i="83" l="1"/>
  <c r="D784" i="83"/>
  <c r="N785" i="83"/>
  <c r="G784" i="83"/>
  <c r="P785" i="83"/>
  <c r="I784" i="83"/>
  <c r="M785" i="83"/>
  <c r="F784" i="83"/>
  <c r="O785" i="83"/>
  <c r="H784" i="83"/>
  <c r="L785" i="83"/>
  <c r="E784" i="83"/>
  <c r="M786" i="83" l="1"/>
  <c r="F785" i="83"/>
  <c r="L786" i="83"/>
  <c r="E785" i="83"/>
  <c r="P786" i="83"/>
  <c r="I785" i="83"/>
  <c r="N786" i="83"/>
  <c r="G785" i="83"/>
  <c r="O786" i="83"/>
  <c r="H785" i="83"/>
  <c r="K786" i="83"/>
  <c r="D785" i="83"/>
  <c r="K787" i="83" l="1"/>
  <c r="D786" i="83"/>
  <c r="N787" i="83"/>
  <c r="G786" i="83"/>
  <c r="P787" i="83"/>
  <c r="I786" i="83"/>
  <c r="L787" i="83"/>
  <c r="E786" i="83"/>
  <c r="O787" i="83"/>
  <c r="H786" i="83"/>
  <c r="M787" i="83"/>
  <c r="F786" i="83"/>
  <c r="L788" i="83" l="1"/>
  <c r="E787" i="83"/>
  <c r="P788" i="83"/>
  <c r="I787" i="83"/>
  <c r="O788" i="83"/>
  <c r="H787" i="83"/>
  <c r="M788" i="83"/>
  <c r="F787" i="83"/>
  <c r="N788" i="83"/>
  <c r="G787" i="83"/>
  <c r="K788" i="83"/>
  <c r="D787" i="83"/>
  <c r="O789" i="83" l="1"/>
  <c r="H788" i="83"/>
  <c r="K789" i="83"/>
  <c r="D788" i="83"/>
  <c r="M789" i="83"/>
  <c r="F788" i="83"/>
  <c r="P789" i="83"/>
  <c r="I788" i="83"/>
  <c r="N789" i="83"/>
  <c r="G788" i="83"/>
  <c r="L789" i="83"/>
  <c r="E788" i="83"/>
  <c r="P790" i="83" l="1"/>
  <c r="I789" i="83"/>
  <c r="M790" i="83"/>
  <c r="F789" i="83"/>
  <c r="L790" i="83"/>
  <c r="E789" i="83"/>
  <c r="K790" i="83"/>
  <c r="D789" i="83"/>
  <c r="N790" i="83"/>
  <c r="G789" i="83"/>
  <c r="O790" i="83"/>
  <c r="H789" i="83"/>
  <c r="K791" i="83" l="1"/>
  <c r="D790" i="83"/>
  <c r="L791" i="83"/>
  <c r="E790" i="83"/>
  <c r="O791" i="83"/>
  <c r="H790" i="83"/>
  <c r="M791" i="83"/>
  <c r="F790" i="83"/>
  <c r="N791" i="83"/>
  <c r="G790" i="83"/>
  <c r="P791" i="83"/>
  <c r="I790" i="83"/>
  <c r="M792" i="83" l="1"/>
  <c r="F791" i="83"/>
  <c r="O792" i="83"/>
  <c r="H791" i="83"/>
  <c r="P792" i="83"/>
  <c r="I791" i="83"/>
  <c r="L792" i="83"/>
  <c r="E791" i="83"/>
  <c r="N792" i="83"/>
  <c r="G791" i="83"/>
  <c r="K792" i="83"/>
  <c r="D791" i="83"/>
  <c r="P793" i="83" l="1"/>
  <c r="I792" i="83"/>
  <c r="L793" i="83"/>
  <c r="E792" i="83"/>
  <c r="K793" i="83"/>
  <c r="D792" i="83"/>
  <c r="O793" i="83"/>
  <c r="H792" i="83"/>
  <c r="N793" i="83"/>
  <c r="G792" i="83"/>
  <c r="M793" i="83"/>
  <c r="F792" i="83"/>
  <c r="O794" i="83" l="1"/>
  <c r="H793" i="83"/>
  <c r="L794" i="83"/>
  <c r="E793" i="83"/>
  <c r="K794" i="83"/>
  <c r="D793" i="83"/>
  <c r="M794" i="83"/>
  <c r="F793" i="83"/>
  <c r="N794" i="83"/>
  <c r="G793" i="83"/>
  <c r="P794" i="83"/>
  <c r="I793" i="83"/>
  <c r="K795" i="83" l="1"/>
  <c r="D794" i="83"/>
  <c r="M795" i="83"/>
  <c r="F794" i="83"/>
  <c r="P795" i="83"/>
  <c r="I794" i="83"/>
  <c r="L795" i="83"/>
  <c r="E794" i="83"/>
  <c r="N795" i="83"/>
  <c r="G794" i="83"/>
  <c r="O795" i="83"/>
  <c r="H794" i="83"/>
  <c r="P796" i="83" l="1"/>
  <c r="I795" i="83"/>
  <c r="L796" i="83"/>
  <c r="E795" i="83"/>
  <c r="O796" i="83"/>
  <c r="H795" i="83"/>
  <c r="M796" i="83"/>
  <c r="F795" i="83"/>
  <c r="N796" i="83"/>
  <c r="G795" i="83"/>
  <c r="K796" i="83"/>
  <c r="D795" i="83"/>
  <c r="O797" i="83" l="1"/>
  <c r="H796" i="83"/>
  <c r="M797" i="83"/>
  <c r="F796" i="83"/>
  <c r="K797" i="83"/>
  <c r="D796" i="83"/>
  <c r="L797" i="83"/>
  <c r="E796" i="83"/>
  <c r="N797" i="83"/>
  <c r="G796" i="83"/>
  <c r="P797" i="83"/>
  <c r="I796" i="83"/>
  <c r="L798" i="83" l="1"/>
  <c r="E797" i="83"/>
  <c r="K798" i="83"/>
  <c r="D797" i="83"/>
  <c r="P798" i="83"/>
  <c r="I797" i="83"/>
  <c r="M798" i="83"/>
  <c r="F797" i="83"/>
  <c r="N798" i="83"/>
  <c r="G797" i="83"/>
  <c r="O798" i="83"/>
  <c r="H797" i="83"/>
  <c r="M799" i="83" l="1"/>
  <c r="F798" i="83"/>
  <c r="P799" i="83"/>
  <c r="I798" i="83"/>
  <c r="O799" i="83"/>
  <c r="H798" i="83"/>
  <c r="K799" i="83"/>
  <c r="D798" i="83"/>
  <c r="N799" i="83"/>
  <c r="G798" i="83"/>
  <c r="L799" i="83"/>
  <c r="E798" i="83"/>
  <c r="K800" i="83" l="1"/>
  <c r="D799" i="83"/>
  <c r="O800" i="83"/>
  <c r="H799" i="83"/>
  <c r="L800" i="83"/>
  <c r="E799" i="83"/>
  <c r="P800" i="83"/>
  <c r="I799" i="83"/>
  <c r="N800" i="83"/>
  <c r="G799" i="83"/>
  <c r="M800" i="83"/>
  <c r="F799" i="83"/>
  <c r="L801" i="83" l="1"/>
  <c r="E800" i="83"/>
  <c r="P801" i="83"/>
  <c r="I800" i="83"/>
  <c r="O801" i="83"/>
  <c r="H800" i="83"/>
  <c r="M801" i="83"/>
  <c r="F800" i="83"/>
  <c r="N801" i="83"/>
  <c r="G800" i="83"/>
  <c r="K801" i="83"/>
  <c r="D800" i="83"/>
  <c r="O802" i="83" l="1"/>
  <c r="H801" i="83"/>
  <c r="P802" i="83"/>
  <c r="I801" i="83"/>
  <c r="M802" i="83"/>
  <c r="F801" i="83"/>
  <c r="K802" i="83"/>
  <c r="D801" i="83"/>
  <c r="N802" i="83"/>
  <c r="G801" i="83"/>
  <c r="L802" i="83"/>
  <c r="E801" i="83"/>
  <c r="L803" i="83" l="1"/>
  <c r="E802" i="83"/>
  <c r="M803" i="83"/>
  <c r="F802" i="83"/>
  <c r="K803" i="83"/>
  <c r="D802" i="83"/>
  <c r="P803" i="83"/>
  <c r="I802" i="83"/>
  <c r="N803" i="83"/>
  <c r="G802" i="83"/>
  <c r="O803" i="83"/>
  <c r="H802" i="83"/>
  <c r="P804" i="83" l="1"/>
  <c r="I803" i="83"/>
  <c r="K804" i="83"/>
  <c r="D803" i="83"/>
  <c r="O804" i="83"/>
  <c r="H803" i="83"/>
  <c r="M804" i="83"/>
  <c r="F803" i="83"/>
  <c r="N804" i="83"/>
  <c r="G803" i="83"/>
  <c r="L804" i="83"/>
  <c r="E803" i="83"/>
  <c r="M805" i="83" l="1"/>
  <c r="F804" i="83"/>
  <c r="O805" i="83"/>
  <c r="H804" i="83"/>
  <c r="L805" i="83"/>
  <c r="E804" i="83"/>
  <c r="K805" i="83"/>
  <c r="D804" i="83"/>
  <c r="N805" i="83"/>
  <c r="G804" i="83"/>
  <c r="P805" i="83"/>
  <c r="I804" i="83"/>
  <c r="K806" i="83" l="1"/>
  <c r="D805" i="83"/>
  <c r="L806" i="83"/>
  <c r="E805" i="83"/>
  <c r="P806" i="83"/>
  <c r="I805" i="83"/>
  <c r="O806" i="83"/>
  <c r="H805" i="83"/>
  <c r="N806" i="83"/>
  <c r="G805" i="83"/>
  <c r="M806" i="83"/>
  <c r="F805" i="83"/>
  <c r="P807" i="83" l="1"/>
  <c r="I806" i="83"/>
  <c r="O807" i="83"/>
  <c r="H806" i="83"/>
  <c r="M807" i="83"/>
  <c r="F806" i="83"/>
  <c r="L807" i="83"/>
  <c r="E806" i="83"/>
  <c r="N807" i="83"/>
  <c r="G806" i="83"/>
  <c r="K807" i="83"/>
  <c r="D806" i="83"/>
  <c r="L808" i="83" l="1"/>
  <c r="E807" i="83"/>
  <c r="M808" i="83"/>
  <c r="F807" i="83"/>
  <c r="K808" i="83"/>
  <c r="D807" i="83"/>
  <c r="O808" i="83"/>
  <c r="H807" i="83"/>
  <c r="N808" i="83"/>
  <c r="G807" i="83"/>
  <c r="P808" i="83"/>
  <c r="I807" i="83"/>
  <c r="K809" i="83" l="1"/>
  <c r="D808" i="83"/>
  <c r="O809" i="83"/>
  <c r="H808" i="83"/>
  <c r="P809" i="83"/>
  <c r="I808" i="83"/>
  <c r="M809" i="83"/>
  <c r="F808" i="83"/>
  <c r="N809" i="83"/>
  <c r="G808" i="83"/>
  <c r="L809" i="83"/>
  <c r="E808" i="83"/>
  <c r="P810" i="83" l="1"/>
  <c r="I809" i="83"/>
  <c r="O810" i="83"/>
  <c r="H809" i="83"/>
  <c r="M810" i="83"/>
  <c r="F809" i="83"/>
  <c r="L810" i="83"/>
  <c r="E809" i="83"/>
  <c r="N810" i="83"/>
  <c r="G809" i="83"/>
  <c r="K810" i="83"/>
  <c r="D809" i="83"/>
  <c r="L811" i="83" l="1"/>
  <c r="E810" i="83"/>
  <c r="M811" i="83"/>
  <c r="F810" i="83"/>
  <c r="K811" i="83"/>
  <c r="D810" i="83"/>
  <c r="O811" i="83"/>
  <c r="H810" i="83"/>
  <c r="N811" i="83"/>
  <c r="G810" i="83"/>
  <c r="P811" i="83"/>
  <c r="I810" i="83"/>
  <c r="O812" i="83" l="1"/>
  <c r="H811" i="83"/>
  <c r="K812" i="83"/>
  <c r="D811" i="83"/>
  <c r="P812" i="83"/>
  <c r="I811" i="83"/>
  <c r="M812" i="83"/>
  <c r="F811" i="83"/>
  <c r="N812" i="83"/>
  <c r="G811" i="83"/>
  <c r="L812" i="83"/>
  <c r="E811" i="83"/>
  <c r="M813" i="83" l="1"/>
  <c r="F812" i="83"/>
  <c r="L813" i="83"/>
  <c r="E812" i="83"/>
  <c r="P813" i="83"/>
  <c r="I812" i="83"/>
  <c r="K813" i="83"/>
  <c r="D812" i="83"/>
  <c r="N813" i="83"/>
  <c r="G812" i="83"/>
  <c r="O813" i="83"/>
  <c r="H812" i="83"/>
  <c r="O814" i="83" l="1"/>
  <c r="H813" i="83"/>
  <c r="K814" i="83"/>
  <c r="D813" i="83"/>
  <c r="P814" i="83"/>
  <c r="I813" i="83"/>
  <c r="L814" i="83"/>
  <c r="E813" i="83"/>
  <c r="N814" i="83"/>
  <c r="G813" i="83"/>
  <c r="M814" i="83"/>
  <c r="F813" i="83"/>
  <c r="P815" i="83" l="1"/>
  <c r="I814" i="83"/>
  <c r="L815" i="83"/>
  <c r="E814" i="83"/>
  <c r="M815" i="83"/>
  <c r="F814" i="83"/>
  <c r="K815" i="83"/>
  <c r="D814" i="83"/>
  <c r="N815" i="83"/>
  <c r="G814" i="83"/>
  <c r="O815" i="83"/>
  <c r="H814" i="83"/>
  <c r="K816" i="83" l="1"/>
  <c r="D815" i="83"/>
  <c r="O816" i="83"/>
  <c r="H815" i="83"/>
  <c r="M816" i="83"/>
  <c r="F815" i="83"/>
  <c r="L816" i="83"/>
  <c r="E815" i="83"/>
  <c r="N816" i="83"/>
  <c r="G815" i="83"/>
  <c r="P816" i="83"/>
  <c r="I815" i="83"/>
  <c r="M817" i="83" l="1"/>
  <c r="F816" i="83"/>
  <c r="L817" i="83"/>
  <c r="E816" i="83"/>
  <c r="P817" i="83"/>
  <c r="I816" i="83"/>
  <c r="O817" i="83"/>
  <c r="H816" i="83"/>
  <c r="N817" i="83"/>
  <c r="G816" i="83"/>
  <c r="K817" i="83"/>
  <c r="D816" i="83"/>
  <c r="P818" i="83" l="1"/>
  <c r="I817" i="83"/>
  <c r="L818" i="83"/>
  <c r="E817" i="83"/>
  <c r="O818" i="83"/>
  <c r="H817" i="83"/>
  <c r="K818" i="83"/>
  <c r="D817" i="83"/>
  <c r="N818" i="83"/>
  <c r="G817" i="83"/>
  <c r="M818" i="83"/>
  <c r="F817" i="83"/>
  <c r="K819" i="83" l="1"/>
  <c r="D818" i="83"/>
  <c r="O819" i="83"/>
  <c r="H818" i="83"/>
  <c r="M819" i="83"/>
  <c r="F818" i="83"/>
  <c r="L819" i="83"/>
  <c r="E818" i="83"/>
  <c r="N819" i="83"/>
  <c r="G818" i="83"/>
  <c r="P819" i="83"/>
  <c r="I818" i="83"/>
  <c r="M820" i="83" l="1"/>
  <c r="F819" i="83"/>
  <c r="L820" i="83"/>
  <c r="E819" i="83"/>
  <c r="P820" i="83"/>
  <c r="I819" i="83"/>
  <c r="O820" i="83"/>
  <c r="H819" i="83"/>
  <c r="N820" i="83"/>
  <c r="G819" i="83"/>
  <c r="K820" i="83"/>
  <c r="D819" i="83"/>
  <c r="L821" i="83" l="1"/>
  <c r="E820" i="83"/>
  <c r="O821" i="83"/>
  <c r="H820" i="83"/>
  <c r="P821" i="83"/>
  <c r="I820" i="83"/>
  <c r="K821" i="83"/>
  <c r="D820" i="83"/>
  <c r="N821" i="83"/>
  <c r="G820" i="83"/>
  <c r="M821" i="83"/>
  <c r="F820" i="83"/>
  <c r="P822" i="83" l="1"/>
  <c r="I821" i="83"/>
  <c r="K822" i="83"/>
  <c r="D821" i="83"/>
  <c r="O822" i="83"/>
  <c r="H821" i="83"/>
  <c r="M822" i="83"/>
  <c r="F821" i="83"/>
  <c r="N822" i="83"/>
  <c r="G821" i="83"/>
  <c r="L822" i="83"/>
  <c r="E821" i="83"/>
  <c r="O823" i="83" l="1"/>
  <c r="H822" i="83"/>
  <c r="M823" i="83"/>
  <c r="F822" i="83"/>
  <c r="L823" i="83"/>
  <c r="E822" i="83"/>
  <c r="K823" i="83"/>
  <c r="D822" i="83"/>
  <c r="N823" i="83"/>
  <c r="G822" i="83"/>
  <c r="P823" i="83"/>
  <c r="I822" i="83"/>
  <c r="K824" i="83" l="1"/>
  <c r="D823" i="83"/>
  <c r="P824" i="83"/>
  <c r="I823" i="83"/>
  <c r="L824" i="83"/>
  <c r="E823" i="83"/>
  <c r="M824" i="83"/>
  <c r="F823" i="83"/>
  <c r="N824" i="83"/>
  <c r="G823" i="83"/>
  <c r="O824" i="83"/>
  <c r="H823" i="83"/>
  <c r="L825" i="83" l="1"/>
  <c r="E824" i="83"/>
  <c r="P825" i="83"/>
  <c r="I824" i="83"/>
  <c r="M825" i="83"/>
  <c r="F824" i="83"/>
  <c r="O825" i="83"/>
  <c r="H824" i="83"/>
  <c r="N825" i="83"/>
  <c r="G824" i="83"/>
  <c r="K825" i="83"/>
  <c r="D824" i="83"/>
  <c r="M826" i="83" l="1"/>
  <c r="F825" i="83"/>
  <c r="P826" i="83"/>
  <c r="I825" i="83"/>
  <c r="O826" i="83"/>
  <c r="H825" i="83"/>
  <c r="K826" i="83"/>
  <c r="D825" i="83"/>
  <c r="N826" i="83"/>
  <c r="G825" i="83"/>
  <c r="L826" i="83"/>
  <c r="E825" i="83"/>
  <c r="L827" i="83" l="1"/>
  <c r="E826" i="83"/>
  <c r="K827" i="83"/>
  <c r="D826" i="83"/>
  <c r="O827" i="83"/>
  <c r="H826" i="83"/>
  <c r="P827" i="83"/>
  <c r="I826" i="83"/>
  <c r="N827" i="83"/>
  <c r="G826" i="83"/>
  <c r="M827" i="83"/>
  <c r="F826" i="83"/>
  <c r="O828" i="83" l="1"/>
  <c r="H827" i="83"/>
  <c r="P828" i="83"/>
  <c r="I827" i="83"/>
  <c r="M828" i="83"/>
  <c r="F827" i="83"/>
  <c r="K828" i="83"/>
  <c r="D827" i="83"/>
  <c r="N828" i="83"/>
  <c r="G827" i="83"/>
  <c r="L828" i="83"/>
  <c r="E827" i="83"/>
  <c r="K829" i="83" l="1"/>
  <c r="D828" i="83"/>
  <c r="M829" i="83"/>
  <c r="F828" i="83"/>
  <c r="L829" i="83"/>
  <c r="E828" i="83"/>
  <c r="P829" i="83"/>
  <c r="I828" i="83"/>
  <c r="N829" i="83"/>
  <c r="G828" i="83"/>
  <c r="O829" i="83"/>
  <c r="H828" i="83"/>
  <c r="O830" i="83" l="1"/>
  <c r="H829" i="83"/>
  <c r="P830" i="83"/>
  <c r="I829" i="83"/>
  <c r="L830" i="83"/>
  <c r="E829" i="83"/>
  <c r="M830" i="83"/>
  <c r="F829" i="83"/>
  <c r="N830" i="83"/>
  <c r="G829" i="83"/>
  <c r="K830" i="83"/>
  <c r="D829" i="83"/>
  <c r="M831" i="83" l="1"/>
  <c r="F830" i="83"/>
  <c r="L831" i="83"/>
  <c r="E830" i="83"/>
  <c r="K831" i="83"/>
  <c r="D830" i="83"/>
  <c r="P831" i="83"/>
  <c r="I830" i="83"/>
  <c r="N831" i="83"/>
  <c r="G830" i="83"/>
  <c r="O831" i="83"/>
  <c r="H830" i="83"/>
  <c r="P832" i="83" l="1"/>
  <c r="I831" i="83"/>
  <c r="L832" i="83"/>
  <c r="E831" i="83"/>
  <c r="K832" i="83"/>
  <c r="D831" i="83"/>
  <c r="O832" i="83"/>
  <c r="H831" i="83"/>
  <c r="N832" i="83"/>
  <c r="G831" i="83"/>
  <c r="M832" i="83"/>
  <c r="F831" i="83"/>
  <c r="O833" i="83" l="1"/>
  <c r="H832" i="83"/>
  <c r="K833" i="83"/>
  <c r="D832" i="83"/>
  <c r="M833" i="83"/>
  <c r="F832" i="83"/>
  <c r="L833" i="83"/>
  <c r="E832" i="83"/>
  <c r="N833" i="83"/>
  <c r="G832" i="83"/>
  <c r="P833" i="83"/>
  <c r="I832" i="83"/>
  <c r="L834" i="83" l="1"/>
  <c r="E833" i="83"/>
  <c r="P834" i="83"/>
  <c r="I833" i="83"/>
  <c r="M834" i="83"/>
  <c r="F833" i="83"/>
  <c r="K834" i="83"/>
  <c r="D833" i="83"/>
  <c r="N834" i="83"/>
  <c r="G833" i="83"/>
  <c r="O834" i="83"/>
  <c r="H833" i="83"/>
  <c r="O835" i="83" l="1"/>
  <c r="H834" i="83"/>
  <c r="K835" i="83"/>
  <c r="D834" i="83"/>
  <c r="M835" i="83"/>
  <c r="F834" i="83"/>
  <c r="P835" i="83"/>
  <c r="I834" i="83"/>
  <c r="N835" i="83"/>
  <c r="G834" i="83"/>
  <c r="L835" i="83"/>
  <c r="E834" i="83"/>
  <c r="P836" i="83" l="1"/>
  <c r="I835" i="83"/>
  <c r="M836" i="83"/>
  <c r="F835" i="83"/>
  <c r="L836" i="83"/>
  <c r="E835" i="83"/>
  <c r="K836" i="83"/>
  <c r="D835" i="83"/>
  <c r="N836" i="83"/>
  <c r="G835" i="83"/>
  <c r="O836" i="83"/>
  <c r="H835" i="83"/>
  <c r="K837" i="83" l="1"/>
  <c r="D836" i="83"/>
  <c r="O837" i="83"/>
  <c r="H836" i="83"/>
  <c r="L837" i="83"/>
  <c r="E836" i="83"/>
  <c r="M837" i="83"/>
  <c r="F836" i="83"/>
  <c r="N837" i="83"/>
  <c r="G836" i="83"/>
  <c r="P837" i="83"/>
  <c r="I836" i="83"/>
  <c r="L838" i="83" l="1"/>
  <c r="E837" i="83"/>
  <c r="M838" i="83"/>
  <c r="F837" i="83"/>
  <c r="P838" i="83"/>
  <c r="I837" i="83"/>
  <c r="O838" i="83"/>
  <c r="H837" i="83"/>
  <c r="N838" i="83"/>
  <c r="G837" i="83"/>
  <c r="K838" i="83"/>
  <c r="D837" i="83"/>
  <c r="O839" i="83" l="1"/>
  <c r="H838" i="83"/>
  <c r="P839" i="83"/>
  <c r="I838" i="83"/>
  <c r="K839" i="83"/>
  <c r="D838" i="83"/>
  <c r="M839" i="83"/>
  <c r="F838" i="83"/>
  <c r="N839" i="83"/>
  <c r="G838" i="83"/>
  <c r="L839" i="83"/>
  <c r="E838" i="83"/>
  <c r="K840" i="83" l="1"/>
  <c r="D839" i="83"/>
  <c r="M840" i="83"/>
  <c r="F839" i="83"/>
  <c r="L840" i="83"/>
  <c r="E839" i="83"/>
  <c r="P840" i="83"/>
  <c r="I839" i="83"/>
  <c r="N840" i="83"/>
  <c r="G839" i="83"/>
  <c r="O840" i="83"/>
  <c r="H839" i="83"/>
  <c r="P841" i="83" l="1"/>
  <c r="I840" i="83"/>
  <c r="L841" i="83"/>
  <c r="E840" i="83"/>
  <c r="O841" i="83"/>
  <c r="H840" i="83"/>
  <c r="M841" i="83"/>
  <c r="F840" i="83"/>
  <c r="N841" i="83"/>
  <c r="G840" i="83"/>
  <c r="K841" i="83"/>
  <c r="D840" i="83"/>
  <c r="M842" i="83" l="1"/>
  <c r="F841" i="83"/>
  <c r="O842" i="83"/>
  <c r="H841" i="83"/>
  <c r="K842" i="83"/>
  <c r="D841" i="83"/>
  <c r="L842" i="83"/>
  <c r="E841" i="83"/>
  <c r="N842" i="83"/>
  <c r="G841" i="83"/>
  <c r="P842" i="83"/>
  <c r="I841" i="83"/>
  <c r="L843" i="83" l="1"/>
  <c r="E842" i="83"/>
  <c r="K843" i="83"/>
  <c r="D842" i="83"/>
  <c r="P843" i="83"/>
  <c r="I842" i="83"/>
  <c r="O843" i="83"/>
  <c r="H842" i="83"/>
  <c r="N843" i="83"/>
  <c r="G842" i="83"/>
  <c r="M843" i="83"/>
  <c r="F842" i="83"/>
  <c r="O844" i="83" l="1"/>
  <c r="H843" i="83"/>
  <c r="P844" i="83"/>
  <c r="I843" i="83"/>
  <c r="M844" i="83"/>
  <c r="F843" i="83"/>
  <c r="K844" i="83"/>
  <c r="D843" i="83"/>
  <c r="N844" i="83"/>
  <c r="G843" i="83"/>
  <c r="L844" i="83"/>
  <c r="E843" i="83"/>
  <c r="K845" i="83" l="1"/>
  <c r="D844" i="83"/>
  <c r="L845" i="83"/>
  <c r="E844" i="83"/>
  <c r="M845" i="83"/>
  <c r="F844" i="83"/>
  <c r="P845" i="83"/>
  <c r="I844" i="83"/>
  <c r="N845" i="83"/>
  <c r="G844" i="83"/>
  <c r="O845" i="83"/>
  <c r="H844" i="83"/>
  <c r="P846" i="83" l="1"/>
  <c r="I845" i="83"/>
  <c r="M846" i="83"/>
  <c r="F845" i="83"/>
  <c r="O846" i="83"/>
  <c r="H845" i="83"/>
  <c r="L846" i="83"/>
  <c r="E845" i="83"/>
  <c r="N846" i="83"/>
  <c r="G845" i="83"/>
  <c r="K846" i="83"/>
  <c r="D845" i="83"/>
  <c r="L847" i="83" l="1"/>
  <c r="E846" i="83"/>
  <c r="K847" i="83"/>
  <c r="D846" i="83"/>
  <c r="O847" i="83"/>
  <c r="H846" i="83"/>
  <c r="M847" i="83"/>
  <c r="F846" i="83"/>
  <c r="N847" i="83"/>
  <c r="G846" i="83"/>
  <c r="P847" i="83"/>
  <c r="I846" i="83"/>
  <c r="M848" i="83" l="1"/>
  <c r="F847" i="83"/>
  <c r="P848" i="83"/>
  <c r="I847" i="83"/>
  <c r="O848" i="83"/>
  <c r="H847" i="83"/>
  <c r="K848" i="83"/>
  <c r="D847" i="83"/>
  <c r="N848" i="83"/>
  <c r="G847" i="83"/>
  <c r="L848" i="83"/>
  <c r="E847" i="83"/>
  <c r="O849" i="83" l="1"/>
  <c r="H848" i="83"/>
  <c r="P849" i="83"/>
  <c r="I848" i="83"/>
  <c r="K849" i="83"/>
  <c r="D848" i="83"/>
  <c r="L849" i="83"/>
  <c r="E848" i="83"/>
  <c r="N849" i="83"/>
  <c r="G848" i="83"/>
  <c r="M849" i="83"/>
  <c r="F848" i="83"/>
  <c r="L850" i="83" l="1"/>
  <c r="E849" i="83"/>
  <c r="K850" i="83"/>
  <c r="D849" i="83"/>
  <c r="M850" i="83"/>
  <c r="F849" i="83"/>
  <c r="P850" i="83"/>
  <c r="I849" i="83"/>
  <c r="N850" i="83"/>
  <c r="G849" i="83"/>
  <c r="O850" i="83"/>
  <c r="H849" i="83"/>
  <c r="P851" i="83" l="1"/>
  <c r="I850" i="83"/>
  <c r="O851" i="83"/>
  <c r="H850" i="83"/>
  <c r="M851" i="83"/>
  <c r="F850" i="83"/>
  <c r="K851" i="83"/>
  <c r="D850" i="83"/>
  <c r="N851" i="83"/>
  <c r="G850" i="83"/>
  <c r="L851" i="83"/>
  <c r="E850" i="83"/>
  <c r="K852" i="83" l="1"/>
  <c r="D852" i="83" s="1"/>
  <c r="D851" i="83"/>
  <c r="L852" i="83"/>
  <c r="E852" i="83" s="1"/>
  <c r="E851" i="83"/>
  <c r="M852" i="83"/>
  <c r="F852" i="83" s="1"/>
  <c r="F851" i="83"/>
  <c r="O852" i="83"/>
  <c r="H852" i="83" s="1"/>
  <c r="H851" i="83"/>
  <c r="N852" i="83"/>
  <c r="G852" i="83" s="1"/>
  <c r="G851" i="83"/>
  <c r="P852" i="83"/>
  <c r="I852" i="83" s="1"/>
  <c r="I851" i="83"/>
</calcChain>
</file>

<file path=xl/sharedStrings.xml><?xml version="1.0" encoding="utf-8"?>
<sst xmlns="http://schemas.openxmlformats.org/spreadsheetml/2006/main" count="14385" uniqueCount="2684">
  <si>
    <t>S&amp;F Vinyl Flooring with Tiles 1.5mm thick in rolls</t>
  </si>
  <si>
    <t>b)</t>
  </si>
  <si>
    <t>b</t>
  </si>
  <si>
    <t>c</t>
  </si>
  <si>
    <t>High polished granite 16 to 18mm thick</t>
  </si>
  <si>
    <t>1 sqm</t>
  </si>
  <si>
    <t xml:space="preserve">Cement for joining </t>
  </si>
  <si>
    <t>1 st class mason</t>
  </si>
  <si>
    <t>Rete per 1 sqm</t>
  </si>
  <si>
    <t>Earth/Sand/Gravel/Murrum/Lime/Surki</t>
  </si>
  <si>
    <t>Rubble/Size Stone/Cut Stone/Coarse aggregates</t>
  </si>
  <si>
    <t>Cement/Steel/RCC poles/A.C &amp; G.I Sheets/Packed materials</t>
  </si>
  <si>
    <t xml:space="preserve">CHAJJAS -  SUNSHADES </t>
  </si>
  <si>
    <t>Supply and fixing of  Ding dong of Anchor/Goldmedal/Million make  on 6"x8" decolam block including giving connections, cost of all accessories and labour charges etc., complete.</t>
  </si>
  <si>
    <t>PCC Slabs/Shabad Slabs/CC &amp; Laterite Blocks/Wood</t>
  </si>
  <si>
    <t>Bricks</t>
  </si>
  <si>
    <t>Proviging plinth protection with a bed of 100mm thick PCC (1:5:10) using 40mm size HBG metal and on top of PCC, 20 mm thick granolithic concrete flooring with CC (1:1:2) prop; machine crushed metal of size 6mm to 12 mm laid monolithically already laid in alternate panels and finishing the top surface to required smoothness and slopes inculing grooves, thread lining as cost and coveyance of all materials to site including seignorage charges, sales &amp; other taxes and all materials and operatinal &amp; incidental and labour charges like mixing of cement concrete, laying ,curing lift charges etc., complete including of CC bedfor finished item of work (APSS No.701 &amp; 710)</t>
  </si>
  <si>
    <t>1st - Floor</t>
  </si>
  <si>
    <t>2nd - Floor</t>
  </si>
  <si>
    <t>Rate per 10 Sqmts.</t>
  </si>
  <si>
    <t>l)</t>
  </si>
  <si>
    <t>m)</t>
  </si>
  <si>
    <t>n)</t>
  </si>
  <si>
    <t>Rate per RM</t>
  </si>
  <si>
    <t>Add Differenc in Seignio-   rage Charges</t>
  </si>
  <si>
    <t>Avg. Thickness in mm</t>
  </si>
  <si>
    <t>CSSR-A.05</t>
  </si>
  <si>
    <t>Head mazdoor</t>
  </si>
  <si>
    <t>II-10</t>
  </si>
  <si>
    <t>(b)</t>
  </si>
  <si>
    <t xml:space="preserve">per 1 sqm </t>
  </si>
  <si>
    <t xml:space="preserve">F </t>
  </si>
  <si>
    <t>L</t>
  </si>
  <si>
    <t>x</t>
  </si>
  <si>
    <t>(i) Loading charges:</t>
  </si>
  <si>
    <t>a) Labour:</t>
  </si>
  <si>
    <t>day Head mazdoor</t>
  </si>
  <si>
    <t>day Mazdoor</t>
  </si>
  <si>
    <t>Total labour charges</t>
  </si>
  <si>
    <t>(ii) Unloading charges:</t>
  </si>
  <si>
    <t>65 mm nominal bore</t>
  </si>
  <si>
    <t>35mm thick flush door shutter of soild wood block board type with commercial play on both faces</t>
  </si>
  <si>
    <t>e</t>
  </si>
  <si>
    <t>Constructing 457.2mm x 457.2mm (1'-6" x 1'-6") brick in CM (1:6) prop. Masonry inspection chamber upto 914.4mm (3'-0") and fitted with light weight 457.2mm x 457.2mm (1'-6" x 1"-6") frame and cover of 20kg., including cost and convenyance of all materials to site, all labour charges, sales and otehr taxes on all materials etc., complete for finished item of work</t>
  </si>
  <si>
    <t>Supply and Fixing of AC Cowls 88.9 mn dia with all  necessary requirements including all operational , incidental sales and other taxes and all labour charges etc., complete including cost and convenyance of all materials complete for finished item of work for all Floors.</t>
  </si>
  <si>
    <t>Supply and Fixing of AC Cowls 63.50 mn dia with all  necessary requirements including all operational , incidental sales and other taxes and all labour charges etc., complete including cost and convenyance of all materials complete for finished item of work for all Floors.</t>
  </si>
  <si>
    <t>Division</t>
  </si>
  <si>
    <t>Sub Division</t>
  </si>
  <si>
    <t>section</t>
  </si>
  <si>
    <t>Supply and Fixing of 914.4mm  x 457.2mm Light Weight CI Manhole Frame and Cover (30 Kgs) complete for finished item of work including cost and conveyance of all materials to site, all labour charges, sales and other taxes on  all materials etc., complete for finished item of work.</t>
  </si>
  <si>
    <t>MT</t>
  </si>
  <si>
    <t>g)</t>
  </si>
  <si>
    <t>h)</t>
  </si>
  <si>
    <t>Unit</t>
  </si>
  <si>
    <t>1 rmt</t>
  </si>
  <si>
    <t>SQM</t>
  </si>
  <si>
    <t>Rate per sqmt.</t>
  </si>
  <si>
    <t>Hrs. hire charges of Tipper 10 Tonnes capacity @ Rs.</t>
  </si>
  <si>
    <t>Hrs. fuel charges of Tipper 10 Tonnes capacity @ Rs.</t>
  </si>
  <si>
    <t>Hrs. crew charges of Tipper 10 Tonnes capacity @ Rs.</t>
  </si>
  <si>
    <t>Hrs. hire charges of FE loader 1.00 Cum bucket capacity @ 45 Cum @ Rs.</t>
  </si>
  <si>
    <t>Ltrs</t>
  </si>
  <si>
    <t>Hrs. hire charges of Truck 10 Tonnes capacity @ Rs.</t>
  </si>
  <si>
    <t>Hrs. fuel charges of Truck 10 Tonnes capacity @ Rs.</t>
  </si>
  <si>
    <t>Hrs. crew charges of Truck 10 Tonnes capacity @ Rs.</t>
  </si>
  <si>
    <t>Lead for every Km beyond 5 Kms up to 30 Kms:</t>
  </si>
  <si>
    <t>1Sqm.</t>
  </si>
  <si>
    <t>Loading charges</t>
  </si>
  <si>
    <t xml:space="preserve">A </t>
  </si>
  <si>
    <t xml:space="preserve">FOOTINGS </t>
  </si>
  <si>
    <t xml:space="preserve">per 1 cum </t>
  </si>
  <si>
    <t xml:space="preserve">Rs. </t>
  </si>
  <si>
    <t xml:space="preserve">B </t>
  </si>
  <si>
    <t xml:space="preserve">PEDESTALS </t>
  </si>
  <si>
    <t xml:space="preserve">C </t>
  </si>
  <si>
    <t xml:space="preserve">PLINTH BEAMS </t>
  </si>
  <si>
    <t xml:space="preserve">D </t>
  </si>
  <si>
    <t xml:space="preserve">E </t>
  </si>
  <si>
    <t>LEAD CHART</t>
  </si>
  <si>
    <t>cost of cement for Cement Mortar (1:3)</t>
  </si>
  <si>
    <t>Lead for every Km beyond 30 Kms:</t>
  </si>
  <si>
    <t>or say</t>
  </si>
  <si>
    <t>Wood Primer</t>
  </si>
  <si>
    <t>Red Oxide Primer Paint Grade - I</t>
  </si>
  <si>
    <t xml:space="preserve">Impervious Water proofing compound </t>
  </si>
  <si>
    <t>Rabbit wire mesh (Chicken Mesh)</t>
  </si>
  <si>
    <t>Cost of VRCC for 100 mm thick slab</t>
  </si>
  <si>
    <t>Hrs. fuel charges of FE loader 1.00 Cum bucket capacity @ 45 Cum @ Rs.</t>
  </si>
  <si>
    <t>Hrs. crew charges of FE loader 1.00 Cum bucket capacity @ 45 Cum @ Rs.</t>
  </si>
  <si>
    <t>Providing and Fixing of expansion joint filler board for Buildings , Columns , Beams and Slabs  Armour Board " sillfill including cost and convenyance of all materials to site, all incidental, operational , labour charges etc., complete for finished item of work as per approved drawing for all floors</t>
  </si>
  <si>
    <t>Description of Item</t>
  </si>
  <si>
    <t>SSR Sl. No</t>
  </si>
  <si>
    <t>Rate</t>
  </si>
  <si>
    <t xml:space="preserve">White Cement </t>
  </si>
  <si>
    <t>Length of footting</t>
  </si>
  <si>
    <t>Bredth of footting</t>
  </si>
  <si>
    <t>Depth of footting</t>
  </si>
  <si>
    <t>Months</t>
  </si>
  <si>
    <t>completion period</t>
  </si>
  <si>
    <t>provision for price escalation</t>
  </si>
  <si>
    <t xml:space="preserve">LABOUR CHARGES for Further Floors </t>
  </si>
  <si>
    <t xml:space="preserve">2nd - Floor </t>
  </si>
  <si>
    <t xml:space="preserve">3rd - Floor </t>
  </si>
  <si>
    <t xml:space="preserve">4th - Floor </t>
  </si>
  <si>
    <t xml:space="preserve">5th - Floor </t>
  </si>
  <si>
    <t>toal</t>
  </si>
  <si>
    <t>for platforms of 50 mm thick</t>
  </si>
  <si>
    <t>for shelves of 25 mm thick</t>
  </si>
  <si>
    <t>Cost of RCC for 25 mm thick shelves</t>
  </si>
  <si>
    <t>(ii) Unloading &amp; Stacking charges:</t>
  </si>
  <si>
    <t>For Structural steel, Steel bars (per Tonne):</t>
  </si>
  <si>
    <t>B)</t>
  </si>
  <si>
    <t>B</t>
  </si>
  <si>
    <t>Supply and Fixing of C.I. (Spun ) Soil waste and ventilating pipe of 3.00 Mt length of 100mm dia with double socket for vent over septic tank including cost and convenyance of all materials to site, all labour charges sales and all other taxes on all materials etc., complete for finished item of work.</t>
  </si>
  <si>
    <t>Ceramic tiles 7.3mm thick</t>
  </si>
  <si>
    <t>AREA ALLOWENCE</t>
  </si>
  <si>
    <t>DESCRIPTION</t>
  </si>
  <si>
    <t>ITEM CODE</t>
  </si>
  <si>
    <t>UNIT</t>
  </si>
  <si>
    <t>RATE</t>
  </si>
  <si>
    <t>PER</t>
  </si>
  <si>
    <t>101.60 mm dia SWG pipe upto 3' depth</t>
  </si>
  <si>
    <t>Area allowence on labour charges</t>
  </si>
  <si>
    <t>add overheads @</t>
  </si>
  <si>
    <t>Total rate per 1 Rmt</t>
  </si>
  <si>
    <t>152.40mm dia SWG pipe upto 5' depth</t>
  </si>
  <si>
    <t>101.60 mm dia SWG pipe upto 5' depth</t>
  </si>
  <si>
    <t>152.40mm dia SWG pipe upto 3' depth</t>
  </si>
  <si>
    <t>basic rate as per ssr item</t>
  </si>
  <si>
    <t>Total rate per 1 Nos</t>
  </si>
  <si>
    <t>Basic rate as per ssr item</t>
  </si>
  <si>
    <t>HIRE CHARGES FOR STAGE SCAFFOLDING - up to 3.66 M using Casurina Bellies, Bamboos, Wooden Reapers, Runners, Wood Posts, Wall Plates etc., for CEILING PLASTERING - 1 sqm</t>
  </si>
  <si>
    <t>manpower</t>
  </si>
  <si>
    <t>Ltr</t>
  </si>
  <si>
    <t>Oil Bound Washable Distemper Acrylic based</t>
  </si>
  <si>
    <t xml:space="preserve">ARCH BEAMS - up to 1.5 M Span </t>
  </si>
  <si>
    <t xml:space="preserve">N </t>
  </si>
  <si>
    <t xml:space="preserve">ARCH BEAMS - above 1.5 M Span </t>
  </si>
  <si>
    <t xml:space="preserve">O </t>
  </si>
  <si>
    <t xml:space="preserve">DOME SLABS </t>
  </si>
  <si>
    <t xml:space="preserve">P </t>
  </si>
  <si>
    <t xml:space="preserve">HELICAL STAIRCASES </t>
  </si>
  <si>
    <t>Supply &amp; fixing of Rolling shutter made of 80 x 1.25 mm machine rolled CRCA  laths, interlocked together through their entire length and jointed together at the ends by end-locks, mounted on specially designed pipe shaft of 50mm dia nominal bore MS B class pipe with brackets, plates, guide channels, stoppers, bottom locking plates and arrangements for inside &amp; outside locking with push-pull operations including cost of hood cover and springs complete, painted with one coat of approved steel primer, locks, ball bearings, all accessories etc complete for finished item of work as per special spn: 1108</t>
  </si>
  <si>
    <t>materials</t>
  </si>
  <si>
    <t>43 Grade cement</t>
  </si>
  <si>
    <t>Polished Black Kadapa slabs minimum of 15 mm thick  (0.457M x 0.457M)</t>
  </si>
  <si>
    <t>BMT-B.06</t>
  </si>
  <si>
    <t>Kadapa</t>
  </si>
  <si>
    <t>BMT-B.01</t>
  </si>
  <si>
    <t>Sl.No</t>
  </si>
  <si>
    <t>Qty</t>
  </si>
  <si>
    <t>Amount</t>
  </si>
  <si>
    <t>Rough Tandur slab</t>
  </si>
  <si>
    <t>Cement for slurry</t>
  </si>
  <si>
    <t>Rmt.</t>
  </si>
  <si>
    <t>6mm to 12mm HBG metal</t>
  </si>
  <si>
    <t>PCC bed (1:5:10) 100mm thick</t>
  </si>
  <si>
    <t>Ceramic Tiles</t>
  </si>
  <si>
    <t>Grey Cement for slurry</t>
  </si>
  <si>
    <t>White Cement for pointing</t>
  </si>
  <si>
    <t>Grey cement</t>
  </si>
  <si>
    <t>White cement</t>
  </si>
  <si>
    <t>Surya Cem</t>
  </si>
  <si>
    <t>Painter</t>
  </si>
  <si>
    <t>Cement Primer Grade I</t>
  </si>
  <si>
    <t>Labour for Priming Coat</t>
  </si>
  <si>
    <t>1st class painter</t>
  </si>
  <si>
    <t>2nd class painter</t>
  </si>
  <si>
    <t>Labour for Two Coats</t>
  </si>
  <si>
    <t>Total rate per 1 No</t>
  </si>
  <si>
    <t>Total rate per 1 Ltr</t>
  </si>
  <si>
    <t>Total rate per 1Rmt</t>
  </si>
  <si>
    <t>QTY</t>
  </si>
  <si>
    <t xml:space="preserve">       Qty</t>
  </si>
  <si>
    <t xml:space="preserve">   Rate</t>
  </si>
  <si>
    <t>Ground floor</t>
  </si>
  <si>
    <t>Cost of VRCC for 115 mm thick slab</t>
  </si>
  <si>
    <t>Cost of VRCC for 110 mm thick slab</t>
  </si>
  <si>
    <t>Cost of VRCC for 120 mm thick slab</t>
  </si>
  <si>
    <t>Cost of VRCC for 125 mm thick slab</t>
  </si>
  <si>
    <t>LA on centering labour charges</t>
  </si>
  <si>
    <t>Cost of VRCC for 140 mm thick slab</t>
  </si>
  <si>
    <t>Sno</t>
  </si>
  <si>
    <t xml:space="preserve">for sun-shades of any width as per approved plan / design and of average thickness of 62.50mm ( thickness at support 75mm and thickness at edge 50mm) (APSS No. 402, 403) </t>
  </si>
  <si>
    <t>Basic rate per Cu.m</t>
  </si>
  <si>
    <t>Chajja / Sunshade</t>
  </si>
  <si>
    <t>Sqmt</t>
  </si>
  <si>
    <t>Rate per Sqmt.</t>
  </si>
  <si>
    <t>Hrs. fuel charges of Tipper 5.00 Cum @ Rs.</t>
  </si>
  <si>
    <t>Hrs. crew charges of Tipper 5.00 Cum @ Rs.</t>
  </si>
  <si>
    <t>Rate for</t>
  </si>
  <si>
    <t>Total rate for</t>
  </si>
  <si>
    <t>Lead up to 2 Km:</t>
  </si>
  <si>
    <t>Lead up to 3 Km:</t>
  </si>
  <si>
    <t>Lead up to 4 Km:</t>
  </si>
  <si>
    <t>Lead up to 5 Km:</t>
  </si>
  <si>
    <t>Pointing with CM (1:3)</t>
  </si>
  <si>
    <t>Treads of 0.30 Mt wide</t>
  </si>
  <si>
    <t xml:space="preserve">Rate per Sqmt. </t>
  </si>
  <si>
    <t>300 grams</t>
  </si>
  <si>
    <t>(a)</t>
  </si>
  <si>
    <t xml:space="preserve">90mm dia 3 Mts single socket </t>
  </si>
  <si>
    <t>Initial Cost including Stacking Charges wherever necesssary</t>
  </si>
  <si>
    <t xml:space="preserve">Convence Charges </t>
  </si>
  <si>
    <t>Q</t>
  </si>
  <si>
    <t>Shear walls RCC walls,Water tank walls</t>
  </si>
  <si>
    <t>Hire charges of machinery</t>
  </si>
  <si>
    <t>SL. No</t>
  </si>
  <si>
    <t>Description of machinery</t>
  </si>
  <si>
    <t xml:space="preserve">Hire charges </t>
  </si>
  <si>
    <t>fuel charges</t>
  </si>
  <si>
    <t>crew charges</t>
  </si>
  <si>
    <t>Units</t>
  </si>
  <si>
    <t>Blacksmith</t>
  </si>
  <si>
    <t>At Site</t>
  </si>
  <si>
    <t>M.T</t>
  </si>
  <si>
    <t>Mild Steel, Structural steel, I,e, Angles, Channels &amp; I-Sections</t>
  </si>
  <si>
    <t>M.S. Plates</t>
  </si>
  <si>
    <t>CERTIFICATES:-</t>
  </si>
  <si>
    <t>Certified that the above leads are true and correct to the best of my knowledge</t>
  </si>
  <si>
    <t>E</t>
  </si>
  <si>
    <t>Basic rate as per ssr item 31.75 MM dia PVC fleible waste pipe of 914.4 mm length of first quality</t>
  </si>
  <si>
    <t>Rmt</t>
  </si>
  <si>
    <t xml:space="preserve">Flooringwith 16 to 18mm thick high polished granite stone slabs of black colour approved by the engineer-incharge laid over RCC slab or bed alredy laid and set over base coat of   CM (1:8) 20mm thick including neat cement , slurry of honey like consistency spread  at the rate of 3.30kg per sqm and joined with neat white cement paste mixed with pisment of matching shade to ful allmaterials to work site depth including cost and conveyence of and all materials to work site and operational , incidentallabour and lift charges and seignorage charges etc., complete for finshed item of work for platform in kitchen/diniing (SS 701 &amp; special) </t>
  </si>
  <si>
    <t>Tandur</t>
  </si>
  <si>
    <t>Vitrified polish floor tiles 600 x 600 mm of 8 to 10 mm thickness normal colour 1 st quality</t>
  </si>
  <si>
    <t>Cost of Synthetic Enamel Paint</t>
  </si>
  <si>
    <t>BMT-B.05</t>
  </si>
  <si>
    <t>BMT-B.04</t>
  </si>
  <si>
    <t xml:space="preserve">DATAS FOR DOORS AND WINDOWS </t>
  </si>
  <si>
    <t>Rate per MT</t>
  </si>
  <si>
    <t>Basic rate per MT</t>
  </si>
  <si>
    <t>Rate per One MT</t>
  </si>
  <si>
    <t>Cost of Mild steel</t>
  </si>
  <si>
    <t>Water proof Cement paint of Superior Quality</t>
  </si>
  <si>
    <t>Cement</t>
  </si>
  <si>
    <t>kg</t>
  </si>
  <si>
    <t>labour</t>
  </si>
  <si>
    <t>men &amp;women Mazdoor</t>
  </si>
  <si>
    <t>LA on crew charges</t>
  </si>
  <si>
    <t>SSR Sl.No.</t>
  </si>
  <si>
    <t>Source of Material</t>
  </si>
  <si>
    <t>Lead in KM</t>
  </si>
  <si>
    <t>2nd Class Bricks of size 23x11x7cm</t>
  </si>
  <si>
    <t>LINTELS</t>
  </si>
  <si>
    <t>per 1 sqm</t>
  </si>
  <si>
    <t>Lead for every Km from 5 to 30 Km:</t>
  </si>
  <si>
    <t>Lead for every Km beyond 30 Km:</t>
  </si>
  <si>
    <t xml:space="preserve">Type Design </t>
  </si>
  <si>
    <t>SBC</t>
  </si>
  <si>
    <t>Plinth Area</t>
  </si>
  <si>
    <t>Circle</t>
  </si>
  <si>
    <t>Over Head Charges</t>
  </si>
  <si>
    <t xml:space="preserve">110mm dia 3 Mts single socket </t>
  </si>
  <si>
    <t>15mm Nominal bore</t>
  </si>
  <si>
    <t>BMW-F80</t>
  </si>
  <si>
    <t>20mm Nominal bore</t>
  </si>
  <si>
    <t>BMW-F82</t>
  </si>
  <si>
    <t>25mm Nominal bore</t>
  </si>
  <si>
    <t>BMW-F84</t>
  </si>
  <si>
    <t>40mm Nominal bore</t>
  </si>
  <si>
    <t>BMW-F88</t>
  </si>
  <si>
    <t>50mm Nominal bore</t>
  </si>
  <si>
    <t>BMW-F90</t>
  </si>
  <si>
    <t>F</t>
  </si>
  <si>
    <t>65mm Nominal bore</t>
  </si>
  <si>
    <t>15 mm dia nominal bore</t>
  </si>
  <si>
    <t>Polished Shabad/Tandur blue Slabas 15 to 18 mm thick  (0.457M x 0.457M)</t>
  </si>
  <si>
    <t>Each</t>
  </si>
  <si>
    <t>cost of sand for Cement Mortar (1:3)</t>
  </si>
  <si>
    <t xml:space="preserve">Labour charges </t>
  </si>
  <si>
    <t>Cost of VRCC for 150 mm thick slab</t>
  </si>
  <si>
    <t>Cost of VRCC for 165 mm thick slab</t>
  </si>
  <si>
    <t>Cost of VRCC for 200 mm thick slab</t>
  </si>
  <si>
    <t>Cost of VRCC for 180 mm thick slab</t>
  </si>
  <si>
    <t>Cost of VRCC for 225 mm thick slab</t>
  </si>
  <si>
    <t>Rate per 10 Rmt.</t>
  </si>
  <si>
    <t>Rate per 1 Rmt.</t>
  </si>
  <si>
    <t>RR Stone</t>
  </si>
  <si>
    <t>Or say</t>
  </si>
  <si>
    <t>Cost of VRCC for 75 mm thick slab</t>
  </si>
  <si>
    <t>Rate per 1 Sqmts.</t>
  </si>
  <si>
    <t>Providing and Fixing of 24 guage alluminium sheet over expansion joint groove of width 15cm fixed to walls / columns at one edge and resting over the other blcok walls / columns concealing expansion joint with slotted holes for free edge of aluminium sheet to faciliate free movement of aluminium  sheet over the finished surface of expansion joint and wall face using sheet metal screws with nylon receiver complete including cost and convenyance of all materials to site, all incidental , operational  labour charges etc.,, complete for finsihed item of work as per approved drawing ( for all floors for vertical joints and bottom of slab).</t>
  </si>
  <si>
    <t>Basic Rate of P.C.C(1:3:6) per Cum.</t>
  </si>
  <si>
    <t>Graded Metal 20mm to 6mm</t>
  </si>
  <si>
    <t xml:space="preserve">Chajjas - Sun Shades </t>
  </si>
  <si>
    <t xml:space="preserve">Beams </t>
  </si>
  <si>
    <t xml:space="preserve">Slabs - Up To 150 mm Thick </t>
  </si>
  <si>
    <t xml:space="preserve">Half Rounding the edges of granite slab including polishing all labour charges, hire charegs of tools and plants  All incidental charges etc., complete for finished item of work as directed by the engineer incharge </t>
  </si>
  <si>
    <t>Supplying and fixing 580 mm x 440 mm long Orissa pan white glazed Water Closet 1st qualityISI marked confirming to IS:2556-Part-3-1981 with "P" or "S" trap Hindware / Parryware / Neycer with brick masonry seat, CC squatting plate and fixing 12.70mm dia NP Push cock 1st quality ,  P trap or S trap of Indian W.C. shall be encased on CC (1:2:4) 150mm alround well above the joint to stop leakage at the joint etc., complete including cost and conveyance of all materials to site, cost of CC bed, labour charges and seigniorage charges etc., complete for finished item of work.</t>
  </si>
  <si>
    <t>Rs</t>
  </si>
  <si>
    <t>Labour charges for run of U.G cable on wall / existing pipe with necessary fixing arrangments such as saddles, clamps,wooden separators etc., (as directed by departmental official) with No.10 SWG G.I wire for eath connections for the cables.</t>
  </si>
  <si>
    <t>Coarse sand for mortor(C.M. 1:8)</t>
  </si>
  <si>
    <t>Machine charges for rubbuing/polishing floor</t>
  </si>
  <si>
    <t>LA charges on crew charges</t>
  </si>
  <si>
    <t>sand for Cement Mortar (1:3)</t>
  </si>
  <si>
    <t>cement for Cement Mortar (1:3) base coat</t>
  </si>
  <si>
    <t xml:space="preserve">COLUMNS </t>
  </si>
  <si>
    <t xml:space="preserve">G </t>
  </si>
  <si>
    <t xml:space="preserve">H </t>
  </si>
  <si>
    <t xml:space="preserve">I </t>
  </si>
  <si>
    <t xml:space="preserve">J </t>
  </si>
  <si>
    <t>White Glazed Tiles of any Size 1st. Quality</t>
  </si>
  <si>
    <t>Sal Wood for Frame</t>
  </si>
  <si>
    <t xml:space="preserve">Flooring with   </t>
  </si>
  <si>
    <t xml:space="preserve">                                       Total          = </t>
  </si>
  <si>
    <t>Cement for Cement Mortar (1:8)</t>
  </si>
  <si>
    <t>Sand for Cement Mortar (1:8)</t>
  </si>
  <si>
    <t>Rate per Cum.</t>
  </si>
  <si>
    <t>Second class Bricks</t>
  </si>
  <si>
    <t>Basic Rate per One Sqmt.</t>
  </si>
  <si>
    <t>Basic rate per sqm</t>
  </si>
  <si>
    <t>Top Coat 4mm thick in C.M. (1:3)</t>
  </si>
  <si>
    <t>Water proof compound</t>
  </si>
  <si>
    <t>Cement for jointing</t>
  </si>
  <si>
    <t>3.5 Core  25.00 Sq.mm.</t>
  </si>
  <si>
    <t>Supply and fixing of stainless steel sink with drain board of size 914.4 mm x 457.2 mm 1 mm thick of indian make on cantilever brackets including 32 mm CP waste coupling including supply &amp; fixing of 31.75 mm dia PVC flexible waste pipe of 914.4 mm length of 1st quality, chasing brick masonry wall and making good after construction i.e., restoring to original srufaces etc., complete including cost and conveyance of all materials and labour charges for all operations etc., complete for finished item of work in all floors</t>
  </si>
  <si>
    <t>Supply &amp; Fixing of 22" dia RCC Cover for manhole with nominal reinforecement 3" thick with hooks for lfifting including cost and conveyance of all materials, labour charges etc., complete for finished tiem of work</t>
  </si>
  <si>
    <t>to check labour rae for this !</t>
  </si>
  <si>
    <t>Supply and fixing of 100 mm dia CI Vent pipe of 3 mts length double socket fitted with AC cowl and mosquito proof wire mesh including cost and conveyance of all materials to site and labour charges for placing and fixing in position etc., complete for finished item of work.</t>
  </si>
  <si>
    <t>Supply and fixing of  CI pipes 101.6mm Single socket ISI marked confirming to IS: 1729 - 1979 of reputed make  with cement caulked joints and paintaed black with japan paint and fixing with necessary woden blocks fixed in the masoery walls in CM (1.5:1) including fixing of MS clamps of necessary size and  required no of Bombay nails   etc., complete including cost and conveyance of all materials to site all labour charges sales and other taxes on all materials etc.,, complete for finished item of work all Floors</t>
  </si>
  <si>
    <t>Batchingplant 0.5 cum</t>
  </si>
  <si>
    <t>needle vibrator 40 mm (petrol)</t>
  </si>
  <si>
    <t>Man and Mazdoor</t>
  </si>
  <si>
    <t>Rate per One Sqmt.</t>
  </si>
  <si>
    <t>Fly Ash Bricks 290x225x140mm</t>
  </si>
  <si>
    <t>e)</t>
  </si>
  <si>
    <t>Nos</t>
  </si>
  <si>
    <t>Kg</t>
  </si>
  <si>
    <t>No</t>
  </si>
  <si>
    <t>Helper</t>
  </si>
  <si>
    <t>each</t>
  </si>
  <si>
    <t>AC Sheet Corrugated 6mm thick</t>
  </si>
  <si>
    <t>wall thickness</t>
  </si>
  <si>
    <t>sand for mortor</t>
  </si>
  <si>
    <t>B Labour</t>
  </si>
  <si>
    <t>Hire charges of stage scafflding per cum</t>
  </si>
  <si>
    <t>Labour charges for stage scaffolding per cum</t>
  </si>
  <si>
    <t>Add LA on Labour for scaffolding</t>
  </si>
  <si>
    <t>Fly Ash Bricks of size 290 x225 x 140 mm with compressive strength of  50 Kg/sq .cm</t>
  </si>
  <si>
    <t>Wall thickness</t>
  </si>
  <si>
    <t>Fly Ash Bricks of size 290 x100 x140 mm with compressive strength of 50 Kg /sq.cm</t>
  </si>
  <si>
    <t>cost of binding wire</t>
  </si>
  <si>
    <t>Cost of steel including 5% wastage and overlaps</t>
  </si>
  <si>
    <t>Cost of binding wire</t>
  </si>
  <si>
    <t>Blacksmith/Tin Smith/Rivetor</t>
  </si>
  <si>
    <t>Light mazdoor</t>
  </si>
  <si>
    <t>Lift Charges per MT @10% extra on labour per floor</t>
  </si>
  <si>
    <t>cost of sand for mortor</t>
  </si>
  <si>
    <t xml:space="preserve">Rate per 1 Sqmt. </t>
  </si>
  <si>
    <t>3rd - Floor</t>
  </si>
  <si>
    <t>4th - Floor</t>
  </si>
  <si>
    <t>Overheads</t>
  </si>
  <si>
    <t>sand for Cement Mortar (1:8)</t>
  </si>
  <si>
    <t>Cement for Cement Mortar CM (1:5)</t>
  </si>
  <si>
    <t>Sand  Mortar CM (1:5)</t>
  </si>
  <si>
    <t>Cost of coarse sand</t>
  </si>
  <si>
    <t>Miller operator</t>
  </si>
  <si>
    <t xml:space="preserve">Hire charges of miller </t>
  </si>
  <si>
    <t>Labour charges for laying and jointing</t>
  </si>
  <si>
    <t>Amount (Rs.)</t>
  </si>
  <si>
    <t>d)</t>
  </si>
  <si>
    <t>Rate for 1 sq.m</t>
  </si>
  <si>
    <t>c)</t>
  </si>
  <si>
    <t>Kgs</t>
  </si>
  <si>
    <t xml:space="preserve">Unit </t>
  </si>
  <si>
    <t>Steel</t>
  </si>
  <si>
    <t>1 Cum</t>
  </si>
  <si>
    <t>Basic rate per 1 Sqmt.</t>
  </si>
  <si>
    <t xml:space="preserve">Base coat 16 mm thick in C.M. (1:6) </t>
  </si>
  <si>
    <t>Hire charges of access scafflding pers qm</t>
  </si>
  <si>
    <t>Labour charges for access scaffolding per sqm</t>
  </si>
  <si>
    <t>Hire charges of stage scafflding per sqm</t>
  </si>
  <si>
    <t>Labour charges for stage scaffolding per sqm</t>
  </si>
  <si>
    <t>Basic Rate of P.C.C(1:2:4) per Cum.</t>
  </si>
  <si>
    <t>1st class Masons</t>
  </si>
  <si>
    <t>Basic Rate of P.C.C(1:1.5:3) per Cum.</t>
  </si>
  <si>
    <t>1st Class Mason</t>
  </si>
  <si>
    <t>2nd Class Mason</t>
  </si>
  <si>
    <t>Basic Rate per Cum.</t>
  </si>
  <si>
    <t>Centering Charges per Cum.</t>
  </si>
  <si>
    <t>Rate as worked out above per Cum.</t>
  </si>
  <si>
    <t>1% towards storage</t>
  </si>
  <si>
    <t>Unit per</t>
  </si>
  <si>
    <t>MR</t>
  </si>
  <si>
    <t xml:space="preserve">CT </t>
  </si>
  <si>
    <t>Cum.</t>
  </si>
  <si>
    <t>Sand for filling&amp; blindage</t>
  </si>
  <si>
    <t>Local</t>
  </si>
  <si>
    <t>Gravel</t>
  </si>
  <si>
    <t xml:space="preserve">C.R. Stone(Granite, Dolamite &amp;Trap variety) </t>
  </si>
  <si>
    <t>40mm HBG Metal                   (IS383-1970)</t>
  </si>
  <si>
    <t>say</t>
  </si>
  <si>
    <t>Labour charges for fixing of Exhaust fan in wall with necessary connections and masonary work of making hole, finishing etc., complete</t>
  </si>
  <si>
    <t>Mason</t>
  </si>
  <si>
    <t>1st class mason</t>
  </si>
  <si>
    <t>Man Mazdoor</t>
  </si>
  <si>
    <t>Woman Mazdoor</t>
  </si>
  <si>
    <t xml:space="preserve">Supplying and fixing of </t>
  </si>
  <si>
    <t>Rate per 1 cum</t>
  </si>
  <si>
    <t>RMT</t>
  </si>
  <si>
    <t xml:space="preserve">Total Hire Charges (H+L) </t>
  </si>
  <si>
    <t xml:space="preserve">T </t>
  </si>
  <si>
    <t>1st Class Painter</t>
  </si>
  <si>
    <t>2nd Class Painter</t>
  </si>
  <si>
    <t>Rate per 3 Rmt.</t>
  </si>
  <si>
    <t>Rate per Rmt.</t>
  </si>
  <si>
    <t xml:space="preserve">Costof rabit wire mesh </t>
  </si>
  <si>
    <t>PRIMARY COAT</t>
  </si>
  <si>
    <t>Kg.</t>
  </si>
  <si>
    <t>Ready mixed primer</t>
  </si>
  <si>
    <t>lit</t>
  </si>
  <si>
    <t>Lt</t>
  </si>
  <si>
    <t>Ist class painter</t>
  </si>
  <si>
    <t>TWO COATS OF PAINTING</t>
  </si>
  <si>
    <t>Synthetic enamel paint</t>
  </si>
  <si>
    <t>Rate as per SSR</t>
  </si>
  <si>
    <t>La on centering labour charges</t>
  </si>
  <si>
    <t>Lift charges @ 10% extra on each floor</t>
  </si>
  <si>
    <t>Providing and placing on terrace (at all floor levels) polyetheylene water storage tank with double layer approved brand and manufacture with cover and suitable locking arrangement and making necessary holes for inlet and outlets and over flow pipes but without fittings and base support for tanks including cost and conveyance of all materials and labour charges for placing and fixing in position as directed by Engineer-in-Charge.</t>
  </si>
  <si>
    <t>Water</t>
  </si>
  <si>
    <t>KL</t>
  </si>
  <si>
    <t>water</t>
  </si>
  <si>
    <t>material</t>
  </si>
  <si>
    <t>Machinery</t>
  </si>
  <si>
    <t>Rate per 1 Sqmt.</t>
  </si>
  <si>
    <t>unloading charges</t>
  </si>
  <si>
    <t xml:space="preserve">Graded Metal  20mm to 6mm </t>
  </si>
  <si>
    <t>Rate for other Floors</t>
  </si>
  <si>
    <t>Hrs. fuel charges of water tanker 8000 ltrs capacity @ Rs.</t>
  </si>
  <si>
    <t>Hrs. crew charges of water tanker 8000 ltrs capacity @ Rs.</t>
  </si>
  <si>
    <t>F)</t>
  </si>
  <si>
    <t>For Bricks (per 1000 Nos):</t>
  </si>
  <si>
    <t>Industrial area allowance</t>
  </si>
  <si>
    <t>Agency area allowance</t>
  </si>
  <si>
    <t>Allowable allowance</t>
  </si>
  <si>
    <t>Add Overhead Charges &amp; Contractor's Profit</t>
  </si>
  <si>
    <t>A)</t>
  </si>
  <si>
    <t xml:space="preserve">Slabs - Above 150 Mm - Up To 300 mm Thick </t>
  </si>
  <si>
    <t>For Raisers of 0.15 Mt. Height</t>
  </si>
  <si>
    <t>DOOR SIZE 1.22 x 2.13 mtrs : Area = 2.60 Sqm</t>
  </si>
  <si>
    <t xml:space="preserve">Verticals   2 x 2.13 x 0.075 x 0.10       = </t>
  </si>
  <si>
    <t>Horizental 1 x 1.22 x 0.075 x 0.10       =</t>
  </si>
  <si>
    <t xml:space="preserve">DOOR SIZE 0.90 x 2.13 mtrs : Area = </t>
  </si>
  <si>
    <t xml:space="preserve">Horizental 1 x 0.90 x 0.075 x 0.10       = </t>
  </si>
  <si>
    <t xml:space="preserve">                                   1x0.78x2.05 =  </t>
  </si>
  <si>
    <t>Verticals   2 x 2.13 x 0.075 x 0.10       =</t>
  </si>
  <si>
    <t xml:space="preserve">                                       Total          =</t>
  </si>
  <si>
    <t>1000 Nos</t>
  </si>
  <si>
    <t>First floor</t>
  </si>
  <si>
    <t>phase :1</t>
  </si>
  <si>
    <t>Frount wing</t>
  </si>
  <si>
    <t>Left wing</t>
  </si>
  <si>
    <t>Right wing</t>
  </si>
  <si>
    <t>Back wing</t>
  </si>
  <si>
    <t xml:space="preserve"> </t>
  </si>
  <si>
    <t>LOADING &amp; UNLOADING CHARGES BY MANUAL MEANS (EXCLUDING IDLE HIRE CHARGES OF TRUCKS)</t>
  </si>
  <si>
    <t xml:space="preserve">Slabs - Above 300 mm Thick </t>
  </si>
  <si>
    <t>5th - Floor</t>
  </si>
  <si>
    <t>Sl. No</t>
  </si>
  <si>
    <t>f)</t>
  </si>
  <si>
    <t>Sqm</t>
  </si>
  <si>
    <t>kgs</t>
  </si>
  <si>
    <t>Sl. No.</t>
  </si>
  <si>
    <t>Quantity</t>
  </si>
  <si>
    <t>Cum</t>
  </si>
  <si>
    <t>Total</t>
  </si>
  <si>
    <t>Say</t>
  </si>
  <si>
    <t>RM</t>
  </si>
  <si>
    <t>a)</t>
  </si>
  <si>
    <t xml:space="preserve">Columns </t>
  </si>
  <si>
    <t>add seigniorage charges</t>
  </si>
  <si>
    <t>Supply and fixing of  CI pipes 76.2 mm Single socket ISI marked confirming to IS: 1729 - 1979 of reputed make  with cement caulked joints and paintaed black with japan paint and fixing with necessary woden blocks fixed in the masoery walls in CM (1.5:1) including fixing of MS clamps of necessary size and  required no of Bombay nails   etc., complete including cost and conveyance of all materials to site all labour charges sales and other taxes on all materials etc.,, complete for finished item of work all Floors</t>
  </si>
  <si>
    <t>Lead in Kms</t>
  </si>
  <si>
    <t>CEMENT MORTAR (1:4)</t>
  </si>
  <si>
    <t>CEMENT MORTAR (1:5)</t>
  </si>
  <si>
    <t>CEMENT MORTAR (1:6)</t>
  </si>
  <si>
    <t>CEMENT MORTAR (1:8)</t>
  </si>
  <si>
    <t>Cost andConvenyance of 20mm to 6mm HBG  Graded Metal / (Trap Metal)</t>
  </si>
  <si>
    <t>20mm</t>
  </si>
  <si>
    <t>12mm</t>
  </si>
  <si>
    <t>10mm</t>
  </si>
  <si>
    <t>6mm</t>
  </si>
  <si>
    <t>Rate per 1 cu.m.</t>
  </si>
  <si>
    <t>Per Unit</t>
  </si>
  <si>
    <t xml:space="preserve">Add 75% for excavation of foundation of building </t>
  </si>
  <si>
    <t>Cost of Gravel</t>
  </si>
  <si>
    <t>o)</t>
  </si>
  <si>
    <t>Basic rate per Cum</t>
  </si>
  <si>
    <t>ABSTRACT</t>
  </si>
  <si>
    <t>Rate per / Each</t>
  </si>
  <si>
    <t xml:space="preserve">Base coat 8mm thick in C.M. (1:6) </t>
  </si>
  <si>
    <t>Top Coat 4mm thick in C.M. (1:4)</t>
  </si>
  <si>
    <t xml:space="preserve">Basic rate as per ssr item Nahany trap </t>
  </si>
  <si>
    <t>Total cost (A +B)</t>
  </si>
  <si>
    <t xml:space="preserve">Basic rate as per ssr item </t>
  </si>
  <si>
    <t>Providing brick masonry seat</t>
  </si>
  <si>
    <t>Lit</t>
  </si>
  <si>
    <t>Supply and fixing of 75 mm dia CI Vent pipe of 3 mts lenth fitted with AC cowl and mosquito proof wire mesh including cost and conveyance of all materials to site and labour charges for placing and fixing in position etc., complete for finished item of work.</t>
  </si>
  <si>
    <t>Nos.</t>
  </si>
  <si>
    <t>For columns / RCC walls and Water tanks</t>
  </si>
  <si>
    <t>GF</t>
  </si>
  <si>
    <t>FF</t>
  </si>
  <si>
    <t>SF</t>
  </si>
  <si>
    <t>For Lintels</t>
  </si>
  <si>
    <t>Rater per 1 Sqmt. for all floors</t>
  </si>
  <si>
    <t>sundries including brushes,ladders, etc.,</t>
  </si>
  <si>
    <t>to be verified</t>
  </si>
  <si>
    <t>Rate per 1 Sqmt. for all Floors</t>
  </si>
  <si>
    <t>a)MATERIAL</t>
  </si>
  <si>
    <t>a) LABOUR</t>
  </si>
  <si>
    <t>Add overheads @</t>
  </si>
  <si>
    <t>Rate per 10 sqm</t>
  </si>
  <si>
    <t>total</t>
  </si>
  <si>
    <t>1 cum</t>
  </si>
  <si>
    <t>Rate per 1 sqm</t>
  </si>
  <si>
    <t>Fly Ash Bricks 290x100x140mm</t>
  </si>
  <si>
    <t>Rate per Cu.m.</t>
  </si>
  <si>
    <t>Metal 40mm</t>
  </si>
  <si>
    <t>Sand</t>
  </si>
  <si>
    <t>cost of cement</t>
  </si>
  <si>
    <t>trough stones25 x25x45 to 60 cms</t>
  </si>
  <si>
    <t xml:space="preserve">C R </t>
  </si>
  <si>
    <t>Through stones 25 x 25x 45 to 60 cms</t>
  </si>
  <si>
    <t>Light  Mazdoor</t>
  </si>
  <si>
    <t>Length Of Compound Wall in Rmt</t>
  </si>
  <si>
    <t>Depth of Foundation for Building</t>
  </si>
  <si>
    <t>Height of Basement for Building</t>
  </si>
  <si>
    <t>Per</t>
  </si>
  <si>
    <t>cu.m.</t>
  </si>
  <si>
    <t>Supply and Fixing of CI Steps for Septic Tank / Manhole complete for finished item of work including cost and conveyance of all materials to site, all labour charges, sales and other taxes on  all materials etc., complete for finished item of work.</t>
  </si>
  <si>
    <t>Supply and Fixing 10 Litres capacity Single Flush white PVC low level flushing system parryware, slimline with internal components and short bend including cost and conveyance of all materials to site, all labour charges, sales and other taxes on  all materials etc., complete for finished item of work for all floors.</t>
  </si>
  <si>
    <t>For Cement (per Tonne):</t>
  </si>
  <si>
    <t>X</t>
  </si>
  <si>
    <t>COEF.</t>
  </si>
  <si>
    <t xml:space="preserve">           Per</t>
  </si>
  <si>
    <t>CEMENT MORTAR (1:2)</t>
  </si>
  <si>
    <t xml:space="preserve">Cost of Sand </t>
  </si>
  <si>
    <t xml:space="preserve">Cost of Cement </t>
  </si>
  <si>
    <t>Rate per cu.m.</t>
  </si>
  <si>
    <t>CEMENT MORTAR (1:3)</t>
  </si>
  <si>
    <t>For Earth/Gravel/Sand/Morrum/Lime/Surki (per Cum):</t>
  </si>
  <si>
    <t>Lead up to 1 Km:</t>
  </si>
  <si>
    <t>Out put</t>
  </si>
  <si>
    <t>=</t>
  </si>
  <si>
    <t>For Roof  Beams</t>
  </si>
  <si>
    <t>Add La charges on labour on centering</t>
  </si>
  <si>
    <t>sqm</t>
  </si>
  <si>
    <t>For Rubble/Size stones/Cut stones/Coarse aggregates (per Cum):</t>
  </si>
  <si>
    <t>C)</t>
  </si>
  <si>
    <t>For Cement/Steel/RCC poles/A.C &amp; G.I sheets/Packed materials (per Tonne):</t>
  </si>
  <si>
    <t>D)</t>
  </si>
  <si>
    <t>For PCC Slabs/Shabad Slabs/CC &amp; Laterite Blocks/Wood (per Cum):</t>
  </si>
  <si>
    <t>E)</t>
  </si>
  <si>
    <t>For Water (per 1000 Ltrs):</t>
  </si>
  <si>
    <t>Hrs. hire charges of water tanker 8000 ltrs capacity @ Rs.</t>
  </si>
  <si>
    <t xml:space="preserve">CENTERING &amp; SCAFFOLDING CHARGES- FLOOR WISE RATES for Casurina Ballies, Bamboos, Wooden Reapers, Runners, Wood Posts, Wall plates, Steel Centering Plates,etc., for unsupported height 3.66 M </t>
  </si>
  <si>
    <t>Material</t>
  </si>
  <si>
    <t>Man Power</t>
  </si>
  <si>
    <t>Light Mazdoor</t>
  </si>
  <si>
    <t>Day</t>
  </si>
  <si>
    <t>3.5 Core  35.00 Sq.mm.</t>
  </si>
  <si>
    <t>Sl.
No</t>
  </si>
  <si>
    <t>Description</t>
  </si>
  <si>
    <t>Amount Rs.</t>
  </si>
  <si>
    <t>Hrs. hire charges of Tipper 5.00 Cum @ Rs.</t>
  </si>
  <si>
    <t xml:space="preserve">Base coat 8mm thick in C.M. (1:5) </t>
  </si>
  <si>
    <t>Sand for Cement Mortar (1:4)</t>
  </si>
  <si>
    <t>Cement for Cement Mortar (1:4)</t>
  </si>
  <si>
    <t>6MM To 12MM HBG metal</t>
  </si>
  <si>
    <t>corese sand for C.M. 1:8</t>
  </si>
  <si>
    <t xml:space="preserve">Lintels </t>
  </si>
  <si>
    <t>C</t>
  </si>
  <si>
    <t>Total rate per 1 RMT</t>
  </si>
  <si>
    <t>For Earth, Sand, Morrum, Manure, Fly Ash (per Cum):</t>
  </si>
  <si>
    <t>For Lime, Agrregate, Stone Boulder, Brick aggregate, Kankar, Building rubbish, Crushed slag, Stone for masonry work (per Cum):</t>
  </si>
  <si>
    <t>III-4</t>
  </si>
  <si>
    <t>III-3</t>
  </si>
  <si>
    <t>I-11</t>
  </si>
  <si>
    <t>I-35</t>
  </si>
  <si>
    <t>Hire charges on centering material</t>
  </si>
  <si>
    <t>Labour charges for centering</t>
  </si>
  <si>
    <t>Certified that the quarry requries blasting for RR, CRS, 6mm, 10mm, 12mm, 20mm &amp; 40mm Metal</t>
  </si>
  <si>
    <t>Certified that the 20mm, 12mm, 10mm, 6mm Metal requires Machine Crushing</t>
  </si>
  <si>
    <t xml:space="preserve">K </t>
  </si>
  <si>
    <t xml:space="preserve">WAFFLE - (GRID) SLABS (Rib Beams with Slabs) </t>
  </si>
  <si>
    <t xml:space="preserve">L </t>
  </si>
  <si>
    <t xml:space="preserve">PERGOLA SLABS (Only Rib Beams) </t>
  </si>
  <si>
    <t xml:space="preserve">M </t>
  </si>
  <si>
    <t>Basic Rate of P.C.C(1:5:10) per Cum.</t>
  </si>
  <si>
    <t>Lift Charges per Cum.</t>
  </si>
  <si>
    <t xml:space="preserve">Graded Metal 20 to 6 mm </t>
  </si>
  <si>
    <t xml:space="preserve">Cement </t>
  </si>
  <si>
    <t>Basic rate per Cum.</t>
  </si>
  <si>
    <t>day</t>
  </si>
  <si>
    <t>Rate per Cum</t>
  </si>
  <si>
    <t>Rs.</t>
  </si>
  <si>
    <t>Internal wiring with approved make cable</t>
  </si>
  <si>
    <t>Metering Set:</t>
  </si>
  <si>
    <t>Supplying , laying , aligning &amp; jointing of RCC Hume Pipes of 300mm dia NP2 class including all necessary fixtures like collars of respective diameter including cost and convenyance of all materilas to site, sales and othe taxes on all materials , lifting, placing and fixing in position for finished item of work.</t>
  </si>
  <si>
    <t>Supply and fixing of white glazed flat back bowl urinals of size 440 mm x 265 mm x 315 mm with internal rim  flushing mm fixied with screws complete inidan make (HS W/Parry/Neycer) conforming to IS 2556 -1995 as approved be Engineer - in - charge 12.7 mm PVC connection with brass plumber union nuts CM Coated. including 12.70 mm push cock 1st qulaity of approved make including supply &amp; fixing 31.75 m dia PVC flexible waser pipe of 914.40 mm lenght of 1st including cost and conveyance of all materials to site labour charges etc., complete for finished item of work for all floors</t>
  </si>
  <si>
    <t>Sand for plastering works</t>
  </si>
  <si>
    <t>Municipal area allowence</t>
  </si>
  <si>
    <t>Rural area allowence</t>
  </si>
  <si>
    <t>Industrial area allowence</t>
  </si>
  <si>
    <t>Agency area allowence</t>
  </si>
  <si>
    <t>Column1</t>
  </si>
  <si>
    <t>NOS</t>
  </si>
  <si>
    <t>HIRE CHARGES FOR ACCESS SCAFFOLDING - up to 3.66 M using Casurina Bellies, Bamboos, Wooden Reapers, Runners, Wood Posts, Wall Plates etc., for PLASTERING TO WALLS - 1 sqm</t>
  </si>
  <si>
    <t>materal</t>
  </si>
  <si>
    <t>1st floor</t>
  </si>
  <si>
    <t>2nd floor</t>
  </si>
  <si>
    <t>3rd floor</t>
  </si>
  <si>
    <t>For Bricks of size 225 x 140 x 70mm (per 1000 Nos):</t>
  </si>
  <si>
    <t>LOADING &amp; UNLOADING CHARGES BY MANUAL MEANS (INCLUDING IDLE HIRE CHARGES OF TRUCKS)</t>
  </si>
  <si>
    <t>b) Machinery:</t>
  </si>
  <si>
    <t>Total machinery charges</t>
  </si>
  <si>
    <t>Total labour and machinery charges</t>
  </si>
  <si>
    <t>For Lime, Agrregate, Stone Boulder, Brick aggregate, Kankar, Building rubbish, Crushed slag, Stone for machinery work (per Cum):</t>
  </si>
  <si>
    <t>LOADING &amp; UNLOADING CHARGES BY MECHANICAL MEANS (INCLUDING IDLE HIRE CHARGES OF TRUCKS)</t>
  </si>
  <si>
    <t>a) Machinery:</t>
  </si>
  <si>
    <t>Man mazdoor</t>
  </si>
  <si>
    <t>Woman mazdoor</t>
  </si>
  <si>
    <t>Sqmt.</t>
  </si>
  <si>
    <t>AGENCY / MUNICIPAL / LALI ALLOWANCE</t>
  </si>
  <si>
    <t>LABOUR CHARGES</t>
  </si>
  <si>
    <t>Initial Rate</t>
  </si>
  <si>
    <t xml:space="preserve">Final Rate </t>
  </si>
  <si>
    <t xml:space="preserve">1st class mason </t>
  </si>
  <si>
    <t>per</t>
  </si>
  <si>
    <t>2nd class mason</t>
  </si>
  <si>
    <t>1st class Brick Layer</t>
  </si>
  <si>
    <t>2nd class Brick layer</t>
  </si>
  <si>
    <t>1st class Painter</t>
  </si>
  <si>
    <t>2nd class Painter</t>
  </si>
  <si>
    <t>cement</t>
  </si>
  <si>
    <t>1000 kgs</t>
  </si>
  <si>
    <t>PCC BED (1:5:10) 100mm thick</t>
  </si>
  <si>
    <t>1 st class Mason</t>
  </si>
  <si>
    <t>2 nd class mason</t>
  </si>
  <si>
    <t>women mazdoor</t>
  </si>
  <si>
    <t xml:space="preserve">Rate per 1 sqm </t>
  </si>
  <si>
    <t>a</t>
  </si>
  <si>
    <t>No.</t>
  </si>
  <si>
    <t>cum</t>
  </si>
  <si>
    <t>Rate per 1 Sqm</t>
  </si>
  <si>
    <t>A</t>
  </si>
  <si>
    <t xml:space="preserve">RM </t>
  </si>
  <si>
    <t>Polished Marble Slabs of any variety 16 to 20 mm thick (size 0.457 x 0.457 M / 0.6 x 0.6 M)</t>
  </si>
  <si>
    <t>High polished Granite 16 to 18 mm thick up to 8' 00" (2.43M) other than black and regular colours</t>
  </si>
  <si>
    <t xml:space="preserve">High polished Granite 16 to 18 mm thick up to 8' 00" (2.43M)  black </t>
  </si>
  <si>
    <t>Cost of RCC for 62.5 mm thick sunshade</t>
  </si>
  <si>
    <t xml:space="preserve">1st - Floor </t>
  </si>
  <si>
    <t xml:space="preserve">Material Hire for any Floor </t>
  </si>
  <si>
    <t xml:space="preserve">Labour Charges for 1st Floor </t>
  </si>
  <si>
    <t>Providing Mild Steel Bars (Fe 250 grade as per IS 432) of 6mm diameter,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in all floors.</t>
  </si>
  <si>
    <t>Providing skirting to internal  walls 12.5 Cm high with</t>
  </si>
  <si>
    <t>Manand women  Mazdoor</t>
  </si>
  <si>
    <t>nos</t>
  </si>
  <si>
    <t>3.5 Core  50.00 Sq.mm.</t>
  </si>
  <si>
    <t>cost of cement for Cement Mortar (1:4)</t>
  </si>
  <si>
    <t>sand for Cement Mortar (1:4)</t>
  </si>
  <si>
    <t>Cement for Morter and slurry</t>
  </si>
  <si>
    <t>cost of cement for Cement Mortar (1:8)</t>
  </si>
  <si>
    <t>D</t>
  </si>
  <si>
    <t>Hire charges of FE loader 1.00 Cum bucket capacity @ 45 Cum</t>
  </si>
  <si>
    <t>RATES FOR CONVEYANCE BY MACHINERY</t>
  </si>
  <si>
    <t>Mincipal area allowance</t>
  </si>
  <si>
    <t>Rate per 1 Rmt</t>
  </si>
  <si>
    <t xml:space="preserve">Sl </t>
  </si>
  <si>
    <t xml:space="preserve">NAME OF THE STRUCTURAL MEMBER </t>
  </si>
  <si>
    <t xml:space="preserve">Unit of Measurement </t>
  </si>
  <si>
    <t xml:space="preserve">Material Hire charges </t>
  </si>
  <si>
    <t xml:space="preserve">Waffle Slabs (Rib Beams With Slabs) </t>
  </si>
  <si>
    <t xml:space="preserve">Pergola Slabs (Only Rib Beams) </t>
  </si>
  <si>
    <t xml:space="preserve">Arch Beams - Up To 1.5 M Span </t>
  </si>
  <si>
    <t>Materials</t>
  </si>
  <si>
    <t>HIRE CHARGES OF MACHINERY</t>
  </si>
  <si>
    <t>Hire Charges</t>
  </si>
  <si>
    <t>Fuel Charges</t>
  </si>
  <si>
    <t>Crew Charges</t>
  </si>
  <si>
    <t>Hire charges of Tipper 5.00 Cum capacity</t>
  </si>
  <si>
    <t>Hire charges of Tipper 10 Tonnes capacity</t>
  </si>
  <si>
    <t>Hire charges of Water Tanker 8000 Ltrs capacity</t>
  </si>
  <si>
    <t>Hire charges of Truck 10 Tonnes capacity</t>
  </si>
  <si>
    <t>DATA</t>
  </si>
  <si>
    <t>Cement for CM1: 8 base coat</t>
  </si>
  <si>
    <t xml:space="preserve">Arch Beams - Above 1.5 M Span </t>
  </si>
  <si>
    <t xml:space="preserve">Dome Slabs </t>
  </si>
  <si>
    <t xml:space="preserve">Helical Staircases </t>
  </si>
  <si>
    <t>Labour</t>
  </si>
  <si>
    <t>concrete mixer300/200 (diesel)</t>
  </si>
  <si>
    <t>Hour</t>
  </si>
  <si>
    <t>LA oncrew charges</t>
  </si>
  <si>
    <t>.</t>
  </si>
  <si>
    <t>i)</t>
  </si>
  <si>
    <t>j)</t>
  </si>
  <si>
    <t>k)</t>
  </si>
  <si>
    <t xml:space="preserve">MATERIAL RATES OF MISCELLANEOUS BUILDING ITEMS </t>
  </si>
  <si>
    <t>Rate (Rs.)</t>
  </si>
  <si>
    <t>Kgs.</t>
  </si>
  <si>
    <t>Edit only Entries in RED Font</t>
  </si>
  <si>
    <t>Village :</t>
  </si>
  <si>
    <t>Mandal :</t>
  </si>
  <si>
    <t>District :</t>
  </si>
  <si>
    <t>Steel &amp; Cement Rates</t>
  </si>
  <si>
    <t>KN/SQMT</t>
  </si>
  <si>
    <t>Rate per Rmt</t>
  </si>
  <si>
    <t>Cost of sand</t>
  </si>
  <si>
    <t>TF</t>
  </si>
  <si>
    <t>Sand for Concrete items</t>
  </si>
  <si>
    <t>urban</t>
  </si>
  <si>
    <t xml:space="preserve">Rural </t>
  </si>
  <si>
    <t>Water charges area</t>
  </si>
  <si>
    <t>bed blocks and bands</t>
  </si>
  <si>
    <t xml:space="preserve">Ornamental Plastering 12mm thick in two coats with base coat of 8mm thick in CM (1:5) and top coat of 4mm thick in CM (1:3)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for  Even Surfaces of  Wall but excluding seigniorage charges  for finished item of work. (APSS 901,903 &amp; 904) </t>
  </si>
  <si>
    <t>Dy. Executive Engineer</t>
  </si>
  <si>
    <t>Executive Engineer</t>
  </si>
  <si>
    <t>Kl</t>
  </si>
  <si>
    <t>Add water charges @ 1% on cost of material &amp; Labour</t>
  </si>
  <si>
    <t>Reinforced Fly Ash Brick Masonry 10cm thick for partition walls in CM (1:4) prop: Fly Bricks of size 290x100x140mm with compressive of 50 Kgs / Sqcm from approved source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&amp; seignerage charges complete for finished item of work. (APSS No. 501 &amp; 509).</t>
  </si>
  <si>
    <t>Pre painted windows</t>
  </si>
  <si>
    <t>Supply and fixing of Ashirvad/Ajay/Astral Flowgaurd or equivalent CPVC pipes and fittings to meet the requirement of ASTM-D 2846 and are produced in CTS( copper tube sizes 1/4" to 2" ) ashirwad flowgaurd SDR11 and SDR 13.5 pipes are made from identical CPVC components having the same physical properties for Hot and cold Water confirming to  (IS 15778-2007)</t>
  </si>
  <si>
    <t>15.9 mm OD Pipe SDR 13.5</t>
  </si>
  <si>
    <t>BMW-I415</t>
  </si>
  <si>
    <t>22.2 mm OD Pipe SDR 13.5</t>
  </si>
  <si>
    <t>28.6 mm OD Pipe SDR 13.5</t>
  </si>
  <si>
    <t>34.9 mm OD Pipe SDR 13.5</t>
  </si>
  <si>
    <t>41.3 mm OD Pipe SDR 13.5</t>
  </si>
  <si>
    <t>BMW-I416</t>
  </si>
  <si>
    <t>54.0 mm OD Pipe SDR 13.5</t>
  </si>
  <si>
    <t>15.9 mm OD Pipe SDR 11</t>
  </si>
  <si>
    <t>22.2 mm OD Pipe SDR 11</t>
  </si>
  <si>
    <t>28.6 mm OD Pipe SDR 11</t>
  </si>
  <si>
    <t>34.9 mm OD Pipe SDR 11</t>
  </si>
  <si>
    <t>41.3 mm OD Pipe SDR 11</t>
  </si>
  <si>
    <t>54.0 mm OD Pipe SDR 11</t>
  </si>
  <si>
    <t xml:space="preserve">Supplying and fixing Indian make white glazed vitreous chaina porcelain sink confirming to IS:2556-part -5-1994 on cantilever brackets with waste fittings like rubbur plug chain, 32 mm nominal size C.P fitting with parallel pipe thread confirming to IS:2963-1979 for sink size 600 mm x 400 mm x 250 mm </t>
  </si>
  <si>
    <t>1st class carpenter</t>
  </si>
  <si>
    <t>Column2</t>
  </si>
  <si>
    <t>municipal corporation area allowence</t>
  </si>
  <si>
    <t>GHMC/GVMC/VMC allowence</t>
  </si>
  <si>
    <t>for platforms of 75 mm thick</t>
  </si>
  <si>
    <t>Cost of RCC for 75 mm thick platform</t>
  </si>
  <si>
    <t>oesay</t>
  </si>
  <si>
    <t>Ground Floor</t>
  </si>
  <si>
    <t>No of footting</t>
  </si>
  <si>
    <t>Unit = 1 SQM</t>
  </si>
  <si>
    <t>A) MATERIALS :</t>
  </si>
  <si>
    <t>B) LABOUR</t>
  </si>
  <si>
    <t>RATE PER 1 SQM</t>
  </si>
  <si>
    <t>Overheads &amp; Contractors Profit</t>
  </si>
  <si>
    <t>For French spirit polishing two or more coats on new wood work including coat of filler</t>
  </si>
  <si>
    <t>A. MATERIALS :</t>
  </si>
  <si>
    <t>B. LABOUR</t>
  </si>
  <si>
    <t>Painter day</t>
  </si>
  <si>
    <t>Sundries such as pigment, terpentaine, sand paper, putty, wood filler, white woolen cloth, linseed oil, cotton etc., LS</t>
  </si>
  <si>
    <t>Total cost for 10 sqm</t>
  </si>
  <si>
    <t>L.S</t>
  </si>
  <si>
    <t>Total rate per 1 sqm</t>
  </si>
  <si>
    <t>for 12 Rmt</t>
  </si>
  <si>
    <t>Manufacturing supplying and fixing of MS gate for compound wall by using MS tubes, angles and square rods as per approved designs and drawings including fixing in position, cost conveyance of all materials and labour charges for finished item of work</t>
  </si>
  <si>
    <t>Cost of structural steel members</t>
  </si>
  <si>
    <t>Ls amount</t>
  </si>
  <si>
    <t>Unit = 10 sqm</t>
  </si>
  <si>
    <t>Brick work</t>
  </si>
  <si>
    <t>Fly ash</t>
  </si>
  <si>
    <t xml:space="preserve">2nd class </t>
  </si>
  <si>
    <t>Fro foundation, plinth, pedastals(below plinth)</t>
  </si>
  <si>
    <t>For Roof  Beams &amp;Slabs</t>
  </si>
  <si>
    <t>Putty for woodwork</t>
  </si>
  <si>
    <t>Painter 1st class</t>
  </si>
  <si>
    <t>Painter 2nd class</t>
  </si>
  <si>
    <t>2nd class carpenter</t>
  </si>
  <si>
    <t>I-4</t>
  </si>
  <si>
    <t>I-2</t>
  </si>
  <si>
    <t>II-35</t>
  </si>
  <si>
    <t>II-37</t>
  </si>
  <si>
    <t>(BLKD-CSTN-2-2)</t>
  </si>
  <si>
    <t>Ordinary Soil - Mechanical Means up to 3m depth</t>
  </si>
  <si>
    <t>Unit : 1 cum</t>
  </si>
  <si>
    <t xml:space="preserve">Taking output : </t>
  </si>
  <si>
    <t>a) Labour</t>
  </si>
  <si>
    <t>Mazdoor ( Unskilled)</t>
  </si>
  <si>
    <t>b) Machinery</t>
  </si>
  <si>
    <t>Shovel 0.85 cum 110hp</t>
  </si>
  <si>
    <t>hours</t>
  </si>
  <si>
    <t>Crew charges</t>
  </si>
  <si>
    <t>Add MA on crew charges</t>
  </si>
  <si>
    <t>Cost for 240 cum ( a+b+c+d)</t>
  </si>
  <si>
    <t>month &amp; year</t>
  </si>
  <si>
    <t>OPC</t>
  </si>
  <si>
    <t>PPC</t>
  </si>
  <si>
    <t>PSC</t>
  </si>
  <si>
    <t>6mm MS rods</t>
  </si>
  <si>
    <t>MS flats</t>
  </si>
  <si>
    <t>Structural steel</t>
  </si>
  <si>
    <t>TMT/HYSD bars</t>
  </si>
  <si>
    <t>Fe 415</t>
  </si>
  <si>
    <t>HSCR steel bars Fe 500</t>
  </si>
  <si>
    <t>doors</t>
  </si>
  <si>
    <t>windows</t>
  </si>
  <si>
    <t>sal wood frame &amp; flush door</t>
  </si>
  <si>
    <t xml:space="preserve">NCL or equivalent Prepainted </t>
  </si>
  <si>
    <t>Ms frame &amp; shutters</t>
  </si>
  <si>
    <t>Type of doors &amp;windows</t>
  </si>
  <si>
    <t>Spec</t>
  </si>
  <si>
    <t>Name of Work  ::-</t>
  </si>
  <si>
    <t xml:space="preserve">per </t>
  </si>
  <si>
    <t xml:space="preserve">Forming embankment with Side earth by mechanical means upto SDR including pre-watering of soil , removal of top soil, excavation of soils , depositing the soils on the embankment, spreading soil, breaking clods, sectioning , grading and consolidation with 8 to 10 Tonnes Vibratory Road Roller @ OMC to meet requirement of table 300-2 of MoRT&amp;H,  including  all hire and operational charges of T&amp;P  and , complete for finished item of work as per MoRT&amp;H specification 305 (4th revision)  (Payment will be made based on level for finished item of work). </t>
  </si>
  <si>
    <t>Unit : Cum</t>
  </si>
  <si>
    <t xml:space="preserve">Taking out put = 100 Cum </t>
  </si>
  <si>
    <t>Page 70 of MoRT&amp;H SDB</t>
  </si>
  <si>
    <t>(A)</t>
  </si>
  <si>
    <t>Mate</t>
  </si>
  <si>
    <t>Mazdoor unskilled</t>
  </si>
  <si>
    <t>(B)</t>
  </si>
  <si>
    <t>Rate as per G.O. Ms No 10, Dt 26/7/2005</t>
  </si>
  <si>
    <t>hr</t>
  </si>
  <si>
    <t>Motor Grador for Grading @ 100 cum per hour</t>
  </si>
  <si>
    <t>Water tanker 6 KL</t>
  </si>
  <si>
    <t>Vibratory roller 8T</t>
  </si>
  <si>
    <t>(C)</t>
  </si>
  <si>
    <t>(D)</t>
  </si>
  <si>
    <t>Over head charges @4% (10%-VAT) on (A) + (B)+( C)</t>
  </si>
  <si>
    <t>(E)</t>
  </si>
  <si>
    <t>Total of (A) + (B)+( C)+(D)</t>
  </si>
  <si>
    <t>(F)</t>
  </si>
  <si>
    <t>Add Contractors Profit at 10% on (E)</t>
  </si>
  <si>
    <t>Cost  per 100 cum  (E) + (F)</t>
  </si>
  <si>
    <t xml:space="preserve">Rate per 1 cum </t>
  </si>
  <si>
    <t xml:space="preserve">Forming embankment with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and , complete for finished item of work as per MoRT&amp;H specification 305 (4th revision)  (Payment will be made based on level for finished item of work). </t>
  </si>
  <si>
    <t>Page 68,69 of MoRT&amp;H SDB</t>
  </si>
  <si>
    <t>t.km</t>
  </si>
  <si>
    <t>Tipper (for 1 Km = 160x1 = 160)</t>
  </si>
  <si>
    <t>Add 10% of cost of carriage to cover cost of loading and unloading</t>
  </si>
  <si>
    <t>Dozer 80 HP for spreading @ 200 cum per hour</t>
  </si>
  <si>
    <t>Unit = cum</t>
  </si>
  <si>
    <t>Taking output = 15 cum</t>
  </si>
  <si>
    <t>Mazdoor</t>
  </si>
  <si>
    <t>Cost of 40mm SS-5 HBG M/C metal</t>
  </si>
  <si>
    <t>Sand at site</t>
  </si>
  <si>
    <t>Cement at site</t>
  </si>
  <si>
    <t>©</t>
  </si>
  <si>
    <t>Concrete mixer 0.4/0.28 cum</t>
  </si>
  <si>
    <t>Generator set 35 KVA</t>
  </si>
  <si>
    <t>%</t>
  </si>
  <si>
    <t>Cost per 15 cum (E) + (F)</t>
  </si>
  <si>
    <t>Rate for 1 cum</t>
  </si>
  <si>
    <t>Rate to be adopted</t>
  </si>
  <si>
    <t>Page 345,346 of MoRT&amp;H SDB</t>
  </si>
  <si>
    <t>Cost of 20mm SS-5 HBG M/C  metal</t>
  </si>
  <si>
    <t>Cost of 10mm SS-5 HBG M/C  metal</t>
  </si>
  <si>
    <t>Form work</t>
  </si>
  <si>
    <t>Form work @ 3.50% on (A)+(B)+( C)</t>
  </si>
  <si>
    <t xml:space="preserve">Over head charges @ 6% (10%-VAT) </t>
  </si>
  <si>
    <t>Add for Over head charges @ 4% on (A)+(B)+( C)+(D)</t>
  </si>
  <si>
    <t>Total of (A) + (B)+( C)+(D)+(E)</t>
  </si>
  <si>
    <t>(G)</t>
  </si>
  <si>
    <t>Add Contractors Profit at 10% on (F)</t>
  </si>
  <si>
    <t>Cost per 15 cum (F)+(G)</t>
  </si>
  <si>
    <t xml:space="preserve">Rate for 1 cum </t>
  </si>
  <si>
    <t>Taking output = 300 cum</t>
  </si>
  <si>
    <t>Mazdoor skilled</t>
  </si>
  <si>
    <t>Cost per 300 cum (E) + (F)</t>
  </si>
  <si>
    <t>Page 340,501 of MoRT&amp;H SDB</t>
  </si>
  <si>
    <t>Cost of 20mm HBG  metal</t>
  </si>
  <si>
    <t>Cost of 10mm HBG  metal</t>
  </si>
  <si>
    <t>Cost per 15 cum</t>
  </si>
  <si>
    <t>Rate for 1 cum M 25 Concrete</t>
  </si>
  <si>
    <t>mate</t>
  </si>
  <si>
    <t>TBSC-A.II-11</t>
  </si>
  <si>
    <t>TBSC-A.II-08</t>
  </si>
  <si>
    <t>TBSC-B.I-03</t>
  </si>
  <si>
    <t>TBSC-B.I-02</t>
  </si>
  <si>
    <t>TBSC-B.II-03</t>
  </si>
  <si>
    <t>I-10</t>
  </si>
  <si>
    <t>II-04</t>
  </si>
  <si>
    <t>TBSC-R.I-01</t>
  </si>
  <si>
    <t>Paint grade lime for white / colour wash</t>
  </si>
  <si>
    <t>TBSC-G.II-01</t>
  </si>
  <si>
    <t>TBSC-G.II-04</t>
  </si>
  <si>
    <t>TBSC-G.II-02</t>
  </si>
  <si>
    <t>TBSC-G.II-03</t>
  </si>
  <si>
    <t>TBSC-G.I-07</t>
  </si>
  <si>
    <t>TBSC-G.I-05</t>
  </si>
  <si>
    <t>TBSC-G.I-01</t>
  </si>
  <si>
    <t>TBSC-G.V-01</t>
  </si>
  <si>
    <t>TBSC-Q.II-05</t>
  </si>
  <si>
    <t>TBSC-C.I-01</t>
  </si>
  <si>
    <t>TBSC-B.II-01</t>
  </si>
  <si>
    <t>TBSC-B.III-02</t>
  </si>
  <si>
    <t>TBSC-B.III-03</t>
  </si>
  <si>
    <t>TBSC-C.II-03</t>
  </si>
  <si>
    <t>TBSC-D.VI-01</t>
  </si>
  <si>
    <t xml:space="preserve">HIRE CHARGES FOR CENTERING &amp; SCAFFOLDING - Unsupported height up to 3.66 M using Casurina Bellies, Bamboos, Wooden Reapers, Runners, Wood Posts, Steel Centering Plates etc., </t>
  </si>
  <si>
    <t>OLD FILE</t>
  </si>
  <si>
    <t>Flat nosing edges as per TBSC-T.I-14</t>
  </si>
  <si>
    <t>Cost of MS Pipe 50mm dia asper (TBSC-E.I-15)</t>
  </si>
  <si>
    <t>Fabrication, Cutting and Fixing charges               (TBSC-T.I-18)</t>
  </si>
  <si>
    <t>Rate as per SSR TBSC-Q.VIII-05</t>
  </si>
  <si>
    <t>As per SSR TBSC-T.I-11</t>
  </si>
  <si>
    <t>TBSP-A.I-02</t>
  </si>
  <si>
    <t>TBSP-A.I-03</t>
  </si>
  <si>
    <t>TBSP-A.I-09</t>
  </si>
  <si>
    <t>TBSP-H.II-04</t>
  </si>
  <si>
    <t>TBSP-J.I-25</t>
  </si>
  <si>
    <t>TBSP-J.I-35</t>
  </si>
  <si>
    <t>TBSP-F.I-01</t>
  </si>
  <si>
    <t>TBSP-F.III-01</t>
  </si>
  <si>
    <t>TBSP-H.IV-01</t>
  </si>
  <si>
    <t>TBSP-H.I-03</t>
  </si>
  <si>
    <t>TBSP-H.I-02</t>
  </si>
  <si>
    <t>TBSP-G.I-07</t>
  </si>
  <si>
    <t>TBSP-G.I-08</t>
  </si>
  <si>
    <t>TBSP-G.I-09</t>
  </si>
  <si>
    <t>TBSP-G.I-11</t>
  </si>
  <si>
    <t>TBSP-G.I-12</t>
  </si>
  <si>
    <t>TBSP-G.I-13</t>
  </si>
  <si>
    <t>TBSP-G.III-01</t>
  </si>
  <si>
    <t>TBSP-G.III-02</t>
  </si>
  <si>
    <t>TBSP-G.III-03</t>
  </si>
  <si>
    <t>TBSP-G.III-05</t>
  </si>
  <si>
    <t>TBSP-G.III-06</t>
  </si>
  <si>
    <t>TBSP-G.III-07</t>
  </si>
  <si>
    <t>TBSP-G.IV-01</t>
  </si>
  <si>
    <t>TBSP-J.III-185</t>
  </si>
  <si>
    <t>TBSP-J.III-187</t>
  </si>
  <si>
    <t>TBSP-E.VII-01</t>
  </si>
  <si>
    <t>TBSP-E.VIII-11</t>
  </si>
  <si>
    <t>TBSP-A.III-05</t>
  </si>
  <si>
    <t>TBSP-E.I-03</t>
  </si>
  <si>
    <t>TBSP-E.VIII-02</t>
  </si>
  <si>
    <t>TBSP-E.II-01</t>
  </si>
  <si>
    <t>TBSP-E.VIII-06</t>
  </si>
  <si>
    <t>TBSP-E.V-01</t>
  </si>
  <si>
    <t>TBSP-E.VIII-07</t>
  </si>
  <si>
    <t>TBSP-H.II-01</t>
  </si>
  <si>
    <t>TBSP-E.VI-13</t>
  </si>
  <si>
    <t>TBSP-B.II-05</t>
  </si>
  <si>
    <t>TBSP-D.I-05</t>
  </si>
  <si>
    <t>TBSP-D.I-04</t>
  </si>
  <si>
    <t>TBSP-C.I-02</t>
  </si>
  <si>
    <t>TBSP-C.III-01</t>
  </si>
  <si>
    <t>TBSP-C.I-01</t>
  </si>
  <si>
    <t>TBSP-B.II-02</t>
  </si>
  <si>
    <t>TBSP-J.I-29</t>
  </si>
  <si>
    <t>TBSP-J.I-30</t>
  </si>
  <si>
    <t>TBSP-B.II-09</t>
  </si>
  <si>
    <t>TBSP-B.II-11</t>
  </si>
  <si>
    <t>TBSP-J.III-01</t>
  </si>
  <si>
    <t>TBSP-J.III-02</t>
  </si>
  <si>
    <t>TBSP-J.III-03</t>
  </si>
  <si>
    <t>TBSP-J.III-04</t>
  </si>
  <si>
    <t>TBSP-J.III-05</t>
  </si>
  <si>
    <t>TBSP-J.III-06</t>
  </si>
  <si>
    <t>TBSP-J.III-07</t>
  </si>
  <si>
    <t>TBSP-J.III-08</t>
  </si>
  <si>
    <t>TBSP-J.III-09</t>
  </si>
  <si>
    <t>TBSP-J.III-10</t>
  </si>
  <si>
    <t>TBSP-J.III-11</t>
  </si>
  <si>
    <t>TBSP-J.III-12</t>
  </si>
  <si>
    <t>TBSP-A.I-01</t>
  </si>
  <si>
    <t>TBSP-A.I-04</t>
  </si>
  <si>
    <t>TBSP-B.I-01</t>
  </si>
  <si>
    <t>TBSP-B.I-02</t>
  </si>
  <si>
    <t>TBSP-B.I-03</t>
  </si>
  <si>
    <t>Rough shabad / Tandur Stone slabs of minimum25 to  40 mm thick (0.457 x 457M)</t>
  </si>
  <si>
    <t>Rough Kadapa slabs of minimum 25 to 40 mm thick, size not less than  (0.457 x 457M)</t>
  </si>
  <si>
    <t>TBSC-G.I-09</t>
  </si>
  <si>
    <t>S&amp;F of Pre cast RCC grills of any design of 50 mm thick</t>
  </si>
  <si>
    <t>TBSC-R.I-22</t>
  </si>
  <si>
    <t>Nano polished /stain free soluble salt
porcelain vitrified tiles screen printed of size 600 x 600
mm and thickness between 8-10 mm 1st quality</t>
  </si>
  <si>
    <t>TBSC-E.I-02</t>
  </si>
  <si>
    <t>TBSC-E.I-01</t>
  </si>
  <si>
    <t>cost of cinder meterial TBSC-R.I-02</t>
  </si>
  <si>
    <t>TBSP-A.III-01</t>
  </si>
  <si>
    <t>TBSP-A.III-02</t>
  </si>
  <si>
    <t>Flush door shutters, solid bond wood block board type with commercial ply on both faces.: 35 mm thick conforming to IS:2202 of ANAND/ RAAVILA/ KUTTY/ STANDARD/ SHUBHDWAR/ ITP (TBSC-L.II-06)</t>
  </si>
  <si>
    <t>cost of rajasri door frame (TBSC-L.I-03)</t>
  </si>
  <si>
    <t>Cost of RCC for 50 mm thick platform</t>
  </si>
  <si>
    <t>(BLD-CSTN-9-5)</t>
  </si>
  <si>
    <t>Unit = 10 sqm.</t>
  </si>
  <si>
    <t>A. MATERIALS:</t>
  </si>
  <si>
    <t>Cement for CM(1:8)proportion for base coat</t>
  </si>
  <si>
    <t>Sand for CM(1:8)</t>
  </si>
  <si>
    <t>B .LABOUR</t>
  </si>
  <si>
    <t>Mason 1st class</t>
  </si>
  <si>
    <t>Mason 2nd class</t>
  </si>
  <si>
    <t>Mazdoor(un skilled)</t>
  </si>
  <si>
    <t>Rate for 10sqm</t>
  </si>
  <si>
    <t>Rate as worked out above</t>
  </si>
  <si>
    <t>Lift charges ( Page 131 of Std. Data )</t>
  </si>
  <si>
    <t>Rate per 10 Sqm</t>
  </si>
  <si>
    <t>(BLD-CSTN-9-20)</t>
  </si>
  <si>
    <t>Cost of vitrified tiles 8mm thick</t>
  </si>
  <si>
    <t>Sand for CM(1:5) base coat</t>
  </si>
  <si>
    <t>Cement for CM(1:5) base coat</t>
  </si>
  <si>
    <t>White cement for jointing &amp; pointing</t>
  </si>
  <si>
    <t>B.LABOUR</t>
  </si>
  <si>
    <t>Mazdoor(unskilled)</t>
  </si>
  <si>
    <t>Rate for 10 sqm</t>
  </si>
  <si>
    <t>Rate per 1 RM</t>
  </si>
  <si>
    <t>TBSP-H.I-22</t>
  </si>
  <si>
    <t xml:space="preserve">160mm dia 3 Mts double socket </t>
  </si>
  <si>
    <t>Depth of Foundation for Ext.walls</t>
  </si>
  <si>
    <t>Rate per SFT</t>
  </si>
  <si>
    <t>Steel per SFT</t>
  </si>
  <si>
    <t>RATE PER 1 Rmt</t>
  </si>
  <si>
    <t>Height of parapet wall</t>
  </si>
  <si>
    <t>HIRE CHARGES FOR ACCESS SCAFFOLDING - up to 3.66 M using Casurina Bellies, Bamboos, Wooden Reapers, Runners, Wood Posts, Wall Plates etc., for BRICK MASONRY/STONE MASONRY - 1 sqm(WALL AREA)</t>
  </si>
  <si>
    <t>TBSC-E.I-12</t>
  </si>
  <si>
    <t>TBSC-C.II-02</t>
  </si>
  <si>
    <t>TBSC-C.X-03</t>
  </si>
  <si>
    <t>Add 13.615% over heads</t>
  </si>
  <si>
    <t>TBSP-A.II-23</t>
  </si>
  <si>
    <t>Plumber 1st Class-I.36</t>
  </si>
  <si>
    <t>Plumber 2nd class-II.9</t>
  </si>
  <si>
    <t>TBSC-Q.VII-07</t>
  </si>
  <si>
    <t>TBSC-R.I-23</t>
  </si>
  <si>
    <t>Melamine polishTBSC-G.VII-01</t>
  </si>
  <si>
    <t>Shellac TBSC-G.I-16</t>
  </si>
  <si>
    <t>Spirit TBSC-G.I-12</t>
  </si>
  <si>
    <t>Fabrication chargesTBSC-T.I-16</t>
  </si>
  <si>
    <t>Labour charges for fixing in positionTBSC-T.I-17</t>
  </si>
  <si>
    <t>TBSC-A.I-01</t>
  </si>
  <si>
    <t>MS Hold FastsTBSC-P.IX-08</t>
  </si>
  <si>
    <t>Add 13.615% overheads</t>
  </si>
  <si>
    <t>BASIC INPUT DATA FOR IRRIGATION WORK ITEMS s.no.76</t>
  </si>
  <si>
    <t>TBSP-B.I-04</t>
  </si>
  <si>
    <t>TBSP-E.VI-04</t>
  </si>
  <si>
    <t>TBSP-J.I-32</t>
  </si>
  <si>
    <t>TBSP-B.II-04</t>
  </si>
  <si>
    <t>TBSP-B.III-01</t>
  </si>
  <si>
    <t>TBSP-E.VIII-04</t>
  </si>
  <si>
    <t>TBSP-E.VIII-12</t>
  </si>
  <si>
    <t>CF7</t>
  </si>
  <si>
    <t>CF8</t>
  </si>
  <si>
    <t>CF9</t>
  </si>
  <si>
    <t>RAF</t>
  </si>
  <si>
    <t>Cost of VRCC for 175 mm thick slab</t>
  </si>
  <si>
    <t>Add water charges @1% on labour &amp; materials</t>
  </si>
  <si>
    <t>Supply and laying of LAN cable Cat-6(A) UTP CABLE in the existing metallic/non metallic conduit pipe with connections etc.,complete                          
  Makes:D Link/ AMP / Molex / Legrand / Krone</t>
  </si>
  <si>
    <t>4th  floor</t>
  </si>
  <si>
    <t>Cost of Medium teak wood scantling of  size 2.0 to 3.0 m TBSC-D.I-02</t>
  </si>
  <si>
    <t>Cost of Medium teak wood scantling of  size upto 2.0m  TBSC-D.I-01</t>
  </si>
  <si>
    <t xml:space="preserve">DOOR SIZE 0.75 x 2.13 mtrs : Area = </t>
  </si>
  <si>
    <t xml:space="preserve">Horizental 1 x 0.75 x 0.075 x 0.10       = </t>
  </si>
  <si>
    <t>Flooring with   16 to 18mm thick high polished granite stone slabs of other than black colour and regular colours approved by the engineer-incharge laid over existing CC bed or roof slab set over a base coat of CM (1:8), 12mm thick and pointing with CM(1:3) to full depth of flooring slabs dully filling joints neatly , including cost and conveyance of all materials like flooring stones, cement, sand, water, etc. to site,  sales and other taxes on all materials, all operational, incidental and labour charges such as mixing of cement mortar, laying, pointing, curing, lift charges etc., complete but excluding seigniorage charges for finished item of work.(APSS No.703 &amp; 701)</t>
  </si>
  <si>
    <t xml:space="preserve">Providing skirting to internal  walls 12.5 Cm high with 16 to 18mm thick high polished granite stone slabs of other than black colour and regular colours approved by the engineer-incharge with length equal to flooring stones set over a base coat of CM (1:3), 12mm thick with cement slurry of honey like consistency spread @ 3.3 Kgs per sqm and jointed with neat cement paste mixed with pigment of matching shade to full depth (joints of stone should be flushed),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work.(APSS No.701 &amp; 707) </t>
  </si>
  <si>
    <t>(BLD-CSTN-12-1)</t>
  </si>
  <si>
    <t>Unit = 10 Sqm</t>
  </si>
  <si>
    <t>Cost of White Cement</t>
  </si>
  <si>
    <t>Cost of washable Oil Bound Distemper</t>
  </si>
  <si>
    <t>Sundries including brushes , ladders etc., @ 1%</t>
  </si>
  <si>
    <t>TBSP-J.III-186</t>
  </si>
  <si>
    <t>TBSP-J.III-188</t>
  </si>
  <si>
    <t/>
  </si>
  <si>
    <t>Cost of 125mm long M.S.Powder Coated but hinges (TBSC-P.II-11)</t>
  </si>
  <si>
    <t>cost of cement for Cement Mortar (1:6)</t>
  </si>
  <si>
    <t>sand for Cement Mortar (1:6)</t>
  </si>
  <si>
    <t>as per SSR TBSC-Q.VII-07</t>
  </si>
  <si>
    <t xml:space="preserve">Cost of alluminium sheet 24 Gauge TBSC-R.I-23
</t>
  </si>
  <si>
    <t>6th - Floor</t>
  </si>
  <si>
    <t>Arcylic Emulsion Paint</t>
  </si>
  <si>
    <t>TBSC-G.III-01</t>
  </si>
  <si>
    <t>Cement Primer Grade II</t>
  </si>
  <si>
    <t>Supply of water based Cement Primer of Exterior
Grade- 2</t>
  </si>
  <si>
    <t>Supply of water based Cement Primer of interior
Grade- 1</t>
  </si>
  <si>
    <t>TBSC-G.I-02</t>
  </si>
  <si>
    <t>Supply of acrylic emulsion paint interior grade having
VOC (Volatile Organic Compound ) content less than
50 grams/ liter.</t>
  </si>
  <si>
    <t>Supply of acrylic emulsion paint exterior grade with
silicon additives having VOC (Volatile Organic
Compound ) content less than 50 grams/ liter.</t>
  </si>
  <si>
    <t>TBSC-G.III-02</t>
  </si>
  <si>
    <t>DOOR SIZE 1.5 x 2.13 mtrs : Area =3.2 Sqm</t>
  </si>
  <si>
    <t>Horizental 1 x 1.5 x 0.075 x 0.10       = 0.01125</t>
  </si>
  <si>
    <t>S&amp;F of 15 mm premium variety Chromium plated finish brass body wall mixer with hand shower with a provision for over head shower with 115 mm long bend pipe on upper side, connecting legs &amp; wall flanges conforming to IS 8931 with 10 years warranty</t>
  </si>
  <si>
    <t>32mm Nominal bore</t>
  </si>
  <si>
    <t xml:space="preserve">Total cost&gt;&gt;&gt;&gt;&gt;&gt;&gt;&gt;A </t>
  </si>
  <si>
    <t>Total cost&gt;&gt;&gt;&gt;&gt;&gt;&gt;&gt;B</t>
  </si>
  <si>
    <t>Plastic seat &amp; lid as per IS 2548-1996</t>
  </si>
  <si>
    <t>TBSP-H.II-07</t>
  </si>
  <si>
    <t>ADD 13.615% OVERHEADS</t>
  </si>
  <si>
    <t>Supplying and fixing approved make wash down European Water Closet of 1st quality conforming to IS:2556-Part-2-2004 of white glazed with 'S' trap,supplying and fixing  best Indian make plastic seat and lid for European water closets with rubber or plastic Buffers as per IS 2548-1996  and 10 litres capacity single flush PVC  low level cistern with internal components and fixed using required size of nails and screws, 15 mm brass angle stop valve of quarter turn spindle type of not less than 400 grams weight with internal threaded conforming to IS 8931, 15mm PVC connections with brass union nuts CP coated including cost and conveyance of all materials to site, overheads &amp; contractors profit etc., complete  for finished item of work for all floors.</t>
  </si>
  <si>
    <t>TBSP-E.VIII-
08</t>
  </si>
  <si>
    <t>Basic rate as per ssr item 15MM DIA PVC conection with brass union nut CP coated</t>
  </si>
  <si>
    <t>Basic rate as per ssr item 15 MM ANGLE STOP COCK first quality Indian make 400 gms Seiko</t>
  </si>
  <si>
    <t>TOTAL COST  (A+B+C)</t>
  </si>
  <si>
    <t>TBSP-F.IV-07</t>
  </si>
  <si>
    <t>TBSP-F.VIII-01</t>
  </si>
  <si>
    <t>Supplying and fixing of 15 mm brass body CP finish bib tap of not less than 300 grams weight screw type (full turn) with internal /external threaded conenction conforming to IS 8931 including cost and conveyance of all materials, labour charges etc., complete for finished item of work in all floors.</t>
  </si>
  <si>
    <t>TBSP-E.VII-02</t>
  </si>
  <si>
    <t>Supplying &amp; Fixing white glazed flat back half stall urinals 1st quality conforming to IS:2556-1995 with standard C.P. Spreader fixed with screws complete Indian make : 410 x265 x 305 mm  (HS W/Parry/Neycer) conforming to IS 2556 -1995 as approved be Engineer - in - charge 12.7 mm PVC connection with brass plumber union nuts CM Coated. including 12.70 mm push cock 1st qulaity of approved make including supply &amp; fixing 31.75 m dia PVC flexible waser pipe of 914.40 mm lenght of 1st including cost and conveyance of all materials to site labour charges etc., complete for finished item of work for all floors</t>
  </si>
  <si>
    <t xml:space="preserve">Rate as per SSR </t>
  </si>
  <si>
    <t>Rate for 1 RM</t>
  </si>
  <si>
    <t>(1/0.6096)</t>
  </si>
  <si>
    <t>Supplying and fixing Bronze Gate/ Globe valve as per IS - 778 Class - I,Indian make heavy type including cost and conveyance of all materials , labour charges etc. complete for finished item of work.</t>
  </si>
  <si>
    <t>TBSP-G.IV-02</t>
  </si>
  <si>
    <t>TBSP-G.III-04</t>
  </si>
  <si>
    <t xml:space="preserve">75mm dia 3 Mts single socket </t>
  </si>
  <si>
    <t>TBSP-H.I-01</t>
  </si>
  <si>
    <t>TBSP-A.I-08</t>
  </si>
  <si>
    <t>Rate per Each</t>
  </si>
  <si>
    <t>TBSP-F.I-07</t>
  </si>
  <si>
    <t>TBSP-F.V-03</t>
  </si>
  <si>
    <t>Chiselling the brick masonry wall</t>
  </si>
  <si>
    <t>Rounding the edges of marble</t>
  </si>
  <si>
    <t>Labour charges for fixing ( dadooing labour charges )</t>
  </si>
  <si>
    <t>TBSP-H.II-73</t>
  </si>
  <si>
    <t>TBSP-H.II-74</t>
  </si>
  <si>
    <r>
      <t xml:space="preserve">Supplying and fixing of 3" (76.2mm) multi floor trap with jali - </t>
    </r>
    <r>
      <rPr>
        <sz val="12"/>
        <color theme="1"/>
        <rFont val="Times New Roman"/>
        <family val="1"/>
      </rPr>
      <t xml:space="preserve">UPVC/SWR pipe fittings </t>
    </r>
    <r>
      <rPr>
        <b/>
        <sz val="12"/>
        <color theme="1"/>
        <rFont val="Times New Roman"/>
        <family val="1"/>
      </rPr>
      <t xml:space="preserve"> </t>
    </r>
    <r>
      <rPr>
        <sz val="12"/>
        <color theme="1"/>
        <rFont val="Times New Roman"/>
        <family val="1"/>
      </rPr>
      <t>as per site requirements with standard practice  for all floors including cost and conveyance of all materials to site, labour charges , overheads &amp; contractors profit etc., complete for finished item of work.</t>
    </r>
  </si>
  <si>
    <r>
      <t xml:space="preserve">Supplying and fixing of 4" (101.6mm) multi floor trap with jali - </t>
    </r>
    <r>
      <rPr>
        <sz val="12"/>
        <color theme="1"/>
        <rFont val="Times New Roman"/>
        <family val="1"/>
      </rPr>
      <t>UPVC/SWR pipe fittings as per site requirements with standard practice  for all floors including cost and conveyance of all materials to site, labour charges , overheads &amp; contractors profit etc., complete for finished item of work.</t>
    </r>
  </si>
  <si>
    <t>Sl No.</t>
  </si>
  <si>
    <t>FG1</t>
  </si>
  <si>
    <t>FG2</t>
  </si>
  <si>
    <t>FG3</t>
  </si>
  <si>
    <t>FG4</t>
  </si>
  <si>
    <t>FG5</t>
  </si>
  <si>
    <t>FG6</t>
  </si>
  <si>
    <t>FG7</t>
  </si>
  <si>
    <t>FG8</t>
  </si>
  <si>
    <t>FG9</t>
  </si>
  <si>
    <t>FG10</t>
  </si>
  <si>
    <t>FG11</t>
  </si>
  <si>
    <t>FG12</t>
  </si>
  <si>
    <t>FG13</t>
  </si>
  <si>
    <t>FG14</t>
  </si>
  <si>
    <t>FG15</t>
  </si>
  <si>
    <t>FG16</t>
  </si>
  <si>
    <t>HYDERABAD</t>
  </si>
  <si>
    <t>basic rate ( TBSC-R.I-39)</t>
  </si>
  <si>
    <t>Per Sqm</t>
  </si>
  <si>
    <t>d</t>
  </si>
  <si>
    <t>Entrance steps</t>
  </si>
  <si>
    <t>Toilet</t>
  </si>
  <si>
    <t xml:space="preserve">           Description of Work</t>
  </si>
  <si>
    <t xml:space="preserve">Rate </t>
  </si>
  <si>
    <t xml:space="preserve">(LEAD) CONVEYANCE CHARGES FOR MACHINERY PER KILOMETER FOR TRANSPORTING MATERIALS BY TIPPERS AND TRUCKS EXCLUDING LOADING, UNLOADING AND IDLE HIRE CHARGES OF MACHINERY FOR THE YEAR: 2017-18 </t>
  </si>
  <si>
    <t>SL.No</t>
  </si>
  <si>
    <t>Distance</t>
  </si>
  <si>
    <t>(Lead)
charges for
trucks and
tippers for
Earth / Sand
/Gravel /
Murrum/
Lime/ Surki/
per cu.meter</t>
  </si>
  <si>
    <t>(Lead)
charges for
trucks and
tippers for
Rubble/Size
stones/ Cut
Stones/
Coarse
aggregate per
cu.meter</t>
  </si>
  <si>
    <t>(Lead)
charges for
trucks and
tippers for
Cement/
Steel/ RCC
poles/ AC &amp;
GI sheets/
Packed
materials/
tonne</t>
  </si>
  <si>
    <t>(Lead)
charges for
trucks and
tippers per
cu.meter
for PCC
slabs/
Shahabad
slabs/ CC &amp;
Laterite
blocks/
Wood/ cum</t>
  </si>
  <si>
    <t>(Lead)
charges
for
trucks
and
tippers
per
cu.met
er
water/
1000
litres</t>
  </si>
  <si>
    <t>(Lead)
charges
for
trucks
per
1000
nos. of
bricks</t>
  </si>
  <si>
    <t>Lead up to 1 km</t>
  </si>
  <si>
    <t>Lead up to 2km</t>
  </si>
  <si>
    <t>Lead up to 3km</t>
  </si>
  <si>
    <t>Lead up to 4km</t>
  </si>
  <si>
    <t>Lead up to 5km</t>
  </si>
  <si>
    <t>for Every km
beyond 30 km</t>
  </si>
  <si>
    <t xml:space="preserve">for Every km
beyond 5 km up to 30 km
</t>
  </si>
  <si>
    <t>(No loading and unloading charges allowed for machinery loading and unloading)                             Note: The lead &amp; lift charges are inclusive of 13.615% Contractor
Profit and Over Head charge</t>
  </si>
  <si>
    <t>(No loading and unloading charges allowed for machinery loading and unloading)                             Note: The lead &amp; lift charges are exclusive of 13.615% Contractor
Profit and Over Head charge</t>
  </si>
  <si>
    <t xml:space="preserve">BEAMS </t>
  </si>
  <si>
    <t xml:space="preserve">SLABS - Up to 150 mm thick </t>
  </si>
  <si>
    <t>Dry Distemper POWDER</t>
  </si>
  <si>
    <t>TBSP-E.I-06</t>
  </si>
  <si>
    <t>TBSP-E.VI-9</t>
  </si>
  <si>
    <t>PG no.369-S.no.12b/PH</t>
  </si>
  <si>
    <t>Table 15.1.PG no.413/PH</t>
  </si>
  <si>
    <t>TBSP-F.VIII-03</t>
  </si>
  <si>
    <t>In - situ - Granolithic Concrete Flooring 20mm thick with CC(1:1:2) Prop: using 6mm to 12mm size HBG machine crushed metal laid monolithically over 100mm thick CC flooring bed (1:5:10) with 40mm HBG metal in alternate panels of size not exceeding 1.50m x 1.50m  and finishing the top surface to required smoothness and slopes, thread lining as directed by the Engineer - in - charge including cost and conveyance of all materials like cement, sand, water, etc. to site, seigniorage charges, sales and other taxes on all materials, all operational, incidental and labour charges such as mixing of cement concrete, laying, curing, lift charges etc., complete for finished item of work  (APSS No.701 &amp; 710)</t>
  </si>
  <si>
    <t>Description of item</t>
  </si>
  <si>
    <t>Earth
/
Sand
/Gravel
Murrum/
/ Surki/
Rs /
cum</t>
  </si>
  <si>
    <t>Rubble/
size stone/
cut stone/
Coarse
aggretgate,
Lime in
Rs/cum</t>
  </si>
  <si>
    <t>Cement in
Rs/tonne</t>
  </si>
  <si>
    <t>Steel in
Rs./tonne</t>
  </si>
  <si>
    <t>Brick
work
Rs/100
0 No</t>
  </si>
  <si>
    <t>Loading</t>
  </si>
  <si>
    <t>Unloading</t>
  </si>
  <si>
    <t>C. LOADING AND UNLOADING CHARGES BY MANUAL MEANS (idle hire
charges of trucks are not added) Note: The lead &amp; lift charges are inclusive of 13.615% Contractor
Profit and Over Head charge</t>
  </si>
  <si>
    <t>C. LOADING AND UNLOADING CHARGES BY MANUAL MEANS (idle hire
charges of trucks are not added) Note: The lead &amp; lift charges are exclusive of 13.615% Contractor
Profit and Over Head charge</t>
  </si>
  <si>
    <t>S&amp;F of 15 mm brass body premium variety Chromium Plated finish bib tap with wall flange of not less than 500 grams weight with quarter turn spindle with either internal or external threaded connection conforming to IS 8931 and with 10 years warranty including cost and conveyance of all materials, labour charges etc., complete for finished item of work in all floors.</t>
  </si>
  <si>
    <t xml:space="preserve">500 gms </t>
  </si>
  <si>
    <t>Supplying and fixing UPVC/SWR Nahani traps 4" or  101.6mm dia 1st quality ISI marked conforming to IS:1729-1979 with 4" dia SS  Grating fixing with white cement as per site requirements with standard practice  for all floors including cost and conveyance of all materials to site, labour charges etc., complete for finished item of work.</t>
  </si>
  <si>
    <t>Basic rate as per ssr item  4" dia SS  Grating</t>
  </si>
  <si>
    <t>TBSP-F.VII-26</t>
  </si>
  <si>
    <t>SANGAREDDY</t>
  </si>
  <si>
    <t>M-89</t>
  </si>
  <si>
    <t xml:space="preserve">R.R. Stone(Granite, Dolamite &amp; Trap variety) </t>
  </si>
  <si>
    <t>20mm M/c chips/Trap metal               (IS383-1970)</t>
  </si>
  <si>
    <t>6mm M/c chips/Trap metal                  (IS383-1970)</t>
  </si>
  <si>
    <t xml:space="preserve">Asst Engineer </t>
  </si>
  <si>
    <t>ZAHEERABAD</t>
  </si>
  <si>
    <t>KHAMMAM</t>
  </si>
  <si>
    <t>KOTHAGUDEM</t>
  </si>
  <si>
    <t>BHADRACHALAM</t>
  </si>
  <si>
    <t>CSSR-A.03</t>
  </si>
  <si>
    <t xml:space="preserve">SLABS - above 150 mm - Up to 300 mm thick </t>
  </si>
  <si>
    <t xml:space="preserve">SLABS - above 300 mm thick </t>
  </si>
  <si>
    <t>Supply of ready mixed Synthetic Enamel paints in
all shades Grade - I having VOC (Volatile Organic
Compound ) content less than 50 grams/ Lit.</t>
  </si>
  <si>
    <t>TBSC-C.VI-03</t>
  </si>
  <si>
    <t>Plain Cement Concrete  M20 Design Mix ( by weigh batching ) using 20mm size (SS5)  hard blasted Trap machine crushed graded metal (Coarse aggregate) from approved quarry, using a minimum quantity of 350 kgs. of cement per 1 cum of concrete including cost and conveyance of  all materials  like cement,  fine aggregate (Sand), coarse aggregate, water etc., to site and cost of  all materials including steel centering, shuttering, machine mixing, laying concrete, lift charges, curing etc., complete but excluding seigniorage charges for finished item of work for steps</t>
  </si>
  <si>
    <t>Reinforced Cement Concrete  M 20 Design Mix ( by weigh batching  ) using 20mm size (SS5)  hard blasted Trap machine crushed graded metal (Coarse aggregate) from approved quarry, using a minimum quantity of 350 kgs. of cement per 1 cum of concrete including cost and conveyance of  all materials  like cement,  fine aggregate (Sand), coarse aggregate, water etc., to site and cost of  all materials including  centering using  Cashewrina Ballies and Wooden runners &amp; staging including all bracings, cross members etc., shuttering , machine mixing, laying concrete, lift charges, curing etc., complete but excluding cost of steel and it’s fabrication charges but excluding seigniorage charges for finished item of work (APSS No. 402 &amp; 403)</t>
  </si>
  <si>
    <t>Reinforced cement concrete with M 20 grade Design mix ( by weigh batching )  using 20mm size (SS 5) machine crushed hard blasted Trap graded metal (coarse  aggregate)  from approved  quarry using a minimum quantity of 350 Kg of cement per 1 Cum of concrete including cost and conveyance of all materials like cement, fine aggregate (sand) ,coarse  aggregate, water  etc.  to site  and cost of    all  materials   including  centering using Cashewrina Ballies and Wooden runners &amp; staging including all bracings, cross members etc.,  shuttering, machine mixing, laying  concrete, for sunshade of 7.5cm thick  at  fixed end  and 5cm thick at free end  with  an average  thickness of  6.25cm   including   labour  charges   for mixing,  laying, curing  etc.,  complete but  excluding cost of  steel  and  its fabrication charges but excluding seigniorage charges for finished item of work</t>
  </si>
  <si>
    <t>Brick Masonry in superstructure with CM (1:8) prop: using Fly ASH Bricks of size 290x225x140mm with compressive of 50 Kgs / Sqcm from approved source including cost and conveyance of all materials like cement, sand, fly ash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(APSS No. 501 &amp; 504).</t>
  </si>
  <si>
    <t>Brick Masonry in superstructure with CM (1:6) prop: using Fly ASH Bricks of size 290x225x140mm with compressive of 50 Kgs / Sqcm from approved source including cost and conveyance of all materials like cement, sand, fly ash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for basement (APSS No. 501 &amp; 504).</t>
  </si>
  <si>
    <t xml:space="preserve">Plastering 12mm thick in two coats with base coat of 8mm thick in CM (1:6) and top coat of 4mm thick in CM (1:4)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but excluding seigniorage charges for  Even Surfaces of  Wall for finished item of work. (APSS 901,903 &amp; 904) </t>
  </si>
  <si>
    <t>Flooring with   Polished Shabad/Tandur blue Slabas 15 to 18 mm thick  (0.457M x 0.457M) set over a base coat of CM (1:8), 12mm thick (joints of stone must be flushed) over C.C. bed already laid or R.C.C. roof slab  only after  it  is  properly  cured, cleaned, moistered and  where necessary treated with  neat grey cement slurry of honey like consistency spred at3.3 kgs of cement for 1 sqm. and jointed with neat cement paste to full depth,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work.(APSS No.703 &amp; 701)</t>
  </si>
  <si>
    <t xml:space="preserve">Supplying and fixing of Polished Shabad/Tandur blue Slabas 15 to 18 mm thick  (0.457M x 0.457M) in Single piece with the edges flat nosed and set over a base coat of CM (1:3), 12mm thick,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For raisers (APSS No.701 &amp; 707) </t>
  </si>
  <si>
    <t xml:space="preserve">Supplying and fixing of High polished Granite 16 to 18 mm thick up to 8' 00" (2.43M)  black  in Single piece with the edges flat nosed and set over a base coat of CM (1:3), 12mm thick,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For raisers (APSS No.701 &amp; 707) </t>
  </si>
  <si>
    <t xml:space="preserve">Supplying and fixing of Polished Shabad/Tandur blue Slabas 15 to 18 mm thick  (0.457M x 0.457M) in Single piece with the edges flat nosed and set over a base coat of CM (1:8), 12mm thick,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for Treads (APSS No.701 &amp; 707) </t>
  </si>
  <si>
    <t xml:space="preserve">Flooring with Ceramic Tiles of 7.3mm thick 1st. quality of Non-skid red or white full body Ceramic floor tiles of size not less than 300 x 300 mm and thickness between 7-8 size  as approved by Engineer - in - charge  set over a base coat of CM (1:8), 12mm thick laid over flooring bed / V.R.C.C. slab, with neat cement slurry of honey like consistency spread at the rate of 3.3 Kgs of cement per Sq.m and jointed with neat white cement paste  to full depth mixed with pigment of matching shade including cost and conveyance of all materials like cement, sand, water, ceramic tiles etc. to site,  sales and other taxes on all materials, all operational, incidental and labour charges such as mixing of cement mortar, laying, curing, lift charges etc., complete but excluding seigniorage charges for finished item of work.(APSS No.701 &amp; 707)  </t>
  </si>
  <si>
    <t>Dadooing to walls with any color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like cement, sand, water, tiles, etc. to site,  sales and other taxes on all materials, C921 such as mixing of cement mortar, laying in position, curing, lift charges etc., complete but excluding seigniorage charges for finished item of work  (APSS No.701 &amp; 707) in All Floors</t>
  </si>
  <si>
    <t xml:space="preserve">white glazed tiles of 18-20mm thick  </t>
  </si>
  <si>
    <t>Luppam finish</t>
  </si>
  <si>
    <t>Supply and Fixing MS Pipes 50mm dia including Labour Charges for fixing complete including cost and conveyance of all materials to site, sales and other taxes, all labour charges etc., complete for finished item of work</t>
  </si>
  <si>
    <t>Providing and applying Wall putty of White Cement or Polymer or Cement based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to work site and all operational, incidental, labour charges, over heads and contractors profit etc., complete for finished item of work in all floors for Internal walls</t>
  </si>
  <si>
    <t xml:space="preserve"> (As per Amendment in SoR 2011-12)</t>
  </si>
  <si>
    <t>wall putty TBSC-G.I-03</t>
  </si>
  <si>
    <t>Sundries for emery papers, fillers, knife etc., @ 1%</t>
  </si>
  <si>
    <t>Rater per 10 Sqmt. for all floors</t>
  </si>
  <si>
    <t>As per SSR Item No : (Table No.1)</t>
  </si>
  <si>
    <t>Add collars (Table No.2)</t>
  </si>
  <si>
    <t xml:space="preserve">Flooring with  Nano polished vitrified floor tiles of 1st quality and make  as approved by  Engineer-in-charge  of size not less than 600 mm x 600 mm , 8mm thickness regular finish and normal colours with borders and design as per the approved flooring pattern as directed by the Engineer-In -Charge, laying tiles using spacers of 2mm thick,  set over  a base coat  of CM  (1:8) prop. 12mm thick  using screened sand over CC bed already laid or RCC roof slab , including neat cement slurry   of honey  like consistancy spread @ 3.3 kgs per  Sqm. and jointed neately with white cement paste to full depth  mixed with pigment of matching shade  including cost and conveyance  of all  materials  like cement,  sand, water, tiles, white cement etc., to  site (excluding cost  of C.C. bed) including cost  of  base coat  and all labour charges for  mixing of  cement mortar, laying tiles  to  required  slope  as directed  by  the  Engineer- in-charge  etc.,and overheads &amp; contractors profit complete for finished item of work. (APSS No.701 &amp; 707) </t>
  </si>
  <si>
    <t>Add for MA @ 0%</t>
  </si>
  <si>
    <t xml:space="preserve">Add water charges 1% </t>
  </si>
  <si>
    <t>Providing skirting to internal walls to 10 cm height with Nano polished vitrified tiles 8mm thick , regular finish and normal colour, length equal to flooring tiles,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etc.,and overheads &amp; contractors profit complete for finished item of work.(APSS No.701 &amp;707)</t>
  </si>
  <si>
    <t>Add for MA @</t>
  </si>
  <si>
    <t>Cost of 110mm dia PVC Pipe 4Kg/Sq cm.TBSP-H.I-03</t>
  </si>
  <si>
    <t>Cost of P.V.C.Bend TBSP-H.II-12</t>
  </si>
  <si>
    <t>Roofing will be provided with 0.5mm thick galvanized / pre painted G.I. profiled sheets fixed to the purlins with 14 size self drilling screws with neoprene washer. Side laps are stitched with self tapping / drilling screws. End laps are to be sealed with 25x3 mm Butyl tape. The sheets are provided with anti capillary
grove.</t>
  </si>
  <si>
    <t>DOOR SIZE 2.4 x 2.13 mtrs : Area =5.11 Sqm</t>
  </si>
  <si>
    <t>Medium Teak Wood for Frame</t>
  </si>
  <si>
    <t>Horizental 1 x 2.4 x 0.075 x 0.10       = 0.0180</t>
  </si>
  <si>
    <t xml:space="preserve">                                       Total          = 0.05025</t>
  </si>
  <si>
    <t xml:space="preserve">                                   1x2.30x2.03 =  4.67Sqm</t>
  </si>
  <si>
    <t>Cost of 300mm Long MS Powder coated Aldrops(TBSC-P.IV-09)</t>
  </si>
  <si>
    <t>Cost of 250 long MS Powder coated Towerbolts (TBSC-P.I-17)</t>
  </si>
  <si>
    <t>Cost of 150mm Long MS Powder coated Handles (TBSC-P.III-06)</t>
  </si>
  <si>
    <t>Cost of 125mm long MS Powder coated but hinges (TBSC-P.II-11)</t>
  </si>
  <si>
    <t>Cost of 300lon MS Powder coated Flat latch (TBSC-P.V-08)</t>
  </si>
  <si>
    <t>Cost of Heavy duty  MS Powder coated Door Stoper  (TBSC-P.IX-02)</t>
  </si>
  <si>
    <t>DOOR SIZE 2.0 x 2.13 mtrs : Area =4.26 Sqm</t>
  </si>
  <si>
    <t>Horizental 1 x 2.0 x 0.075 x 0.10       = 0.0150</t>
  </si>
  <si>
    <t xml:space="preserve">                                       Total          = 0.04725</t>
  </si>
  <si>
    <t xml:space="preserve">                                   1x1.90x2.03 =  3.86Sqm</t>
  </si>
  <si>
    <t xml:space="preserve">                                       Total          = 0.04350</t>
  </si>
  <si>
    <t xml:space="preserve">                                   1x1.40x2.03 =  2.84 Sqm</t>
  </si>
  <si>
    <t>Medium teak Wood for Frame</t>
  </si>
  <si>
    <t xml:space="preserve">                                   1x1.10x2.05 =  2.26Sqm</t>
  </si>
  <si>
    <t>Labour charges  for wrought and put up including fixing in position frames of any size , shutters for doors, windows, ventilators including fixing all necesssary fixtures etc complete for   teak wood flush type door shutter  including frame.(TBSC-T.I-31)</t>
  </si>
  <si>
    <t xml:space="preserve">                                   1x0.63x2.05 =  </t>
  </si>
  <si>
    <t xml:space="preserve">DOOR SIZE 1.00 x 2.13 mtrs : Area = </t>
  </si>
  <si>
    <t xml:space="preserve">Horizental 1 x 1.00 x 0.075 x 0.10       = </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</si>
  <si>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</si>
  <si>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10mm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t>
  </si>
  <si>
    <r>
      <t xml:space="preserve">cost of door shutter </t>
    </r>
    <r>
      <rPr>
        <b/>
        <sz val="11"/>
        <rFont val="Arial"/>
        <family val="2"/>
      </rPr>
      <t>TBSC-L.III-01</t>
    </r>
  </si>
  <si>
    <r>
      <t>basic rate as per ssr item no 743 item code</t>
    </r>
    <r>
      <rPr>
        <b/>
        <sz val="11"/>
        <rFont val="Arial"/>
        <family val="2"/>
      </rPr>
      <t xml:space="preserve"> TBSC-M.I-07</t>
    </r>
  </si>
  <si>
    <r>
      <t xml:space="preserve">Deduct 5 mm plain glass </t>
    </r>
    <r>
      <rPr>
        <b/>
        <sz val="11"/>
        <rFont val="Arial"/>
        <family val="2"/>
      </rPr>
      <t>(TBSC-F.I-02)</t>
    </r>
  </si>
  <si>
    <r>
      <t>Add 0.5 mm thick Galvalume corrugated sheet</t>
    </r>
    <r>
      <rPr>
        <b/>
        <sz val="11"/>
        <rFont val="Arial"/>
        <family val="2"/>
      </rPr>
      <t xml:space="preserve"> (TBSC-D.VI-05)</t>
    </r>
  </si>
  <si>
    <r>
      <t>basic rate as per ssr item no 746 item code</t>
    </r>
    <r>
      <rPr>
        <b/>
        <sz val="11"/>
        <rFont val="Arial"/>
        <family val="2"/>
      </rPr>
      <t xml:space="preserve"> TBSC-M.I-06</t>
    </r>
  </si>
  <si>
    <r>
      <t>basic rate as per ssr item no 763 item code</t>
    </r>
    <r>
      <rPr>
        <b/>
        <sz val="11"/>
        <rFont val="Arial"/>
        <family val="2"/>
      </rPr>
      <t xml:space="preserve"> TBSC-M.I-10</t>
    </r>
  </si>
  <si>
    <t>Providing and fixing of louvered Ventilators made of pre-painted steel as per IS 513 of 0.80 mm thick galvanized as per IS 277 with a polyester paint with and fitted with 4 mm thick plain float glass including fixing the frames in concrete/masonry wall by means of self expanding screws, etc., complete for finished item of work for (i) Single fixed Louvers Ventilator size of 2’ 0” x 2’ 0” (609.6 x 609.6mm) outer frame box section size of 80 x 45mm and (ii) Double fixed Louvers ventilator Size of 4’ 0” x 2’ 0” (1219.2mm x 609.6mm) outer frame box section size of 80 x 45mm, vertical mullion section size of 80 x 60 mm and (iii) Double fixed Louvers Ventilator size of 4’0” x 3’0” (1219.2mm x 914.4mm) outer frame box section size of 80 x 45mm , Vertical mullion section size of 80 x 60 mm</t>
  </si>
  <si>
    <r>
      <t>basic rate as per ssr item no 554 item code</t>
    </r>
    <r>
      <rPr>
        <b/>
        <sz val="11"/>
        <rFont val="Arial"/>
        <family val="2"/>
      </rPr>
      <t xml:space="preserve"> TBSC-M.III-04</t>
    </r>
  </si>
  <si>
    <r>
      <t xml:space="preserve">Providing </t>
    </r>
    <r>
      <rPr>
        <b/>
        <sz val="12"/>
        <color indexed="10"/>
        <rFont val="Arial"/>
        <family val="2"/>
      </rPr>
      <t>Plain Cement Concrete</t>
    </r>
    <r>
      <rPr>
        <sz val="12"/>
        <rFont val="Arial"/>
        <family val="2"/>
      </rPr>
      <t xml:space="preserve"> (1:4:8) mix using 40mm size  HBG crushed stone aggregate and fine aggregate conforming to table 1000-2 of MoRT&amp;H including cost, seigniorage conveyance of all materials to site and labour charges, centering, machine mixing, laying,  Vibrating, curing etc., including all other incidental and operational charges of all T&amp;P  etc., complete for finished item of work as per MoRT&amp;H specification 1500,1700,  2100  (4</t>
    </r>
    <r>
      <rPr>
        <vertAlign val="superscript"/>
        <sz val="12"/>
        <rFont val="Arial"/>
        <family val="2"/>
      </rPr>
      <t>th</t>
    </r>
    <r>
      <rPr>
        <sz val="12"/>
        <rFont val="Arial"/>
        <family val="2"/>
      </rPr>
      <t xml:space="preserve">  Revision) and as directed by the Engineer-in-Charge </t>
    </r>
    <r>
      <rPr>
        <b/>
        <sz val="12"/>
        <color indexed="10"/>
        <rFont val="Arial"/>
        <family val="2"/>
      </rPr>
      <t>for base coarse below CC Pavement.</t>
    </r>
  </si>
  <si>
    <r>
      <t>Vibrated  cement concrete M 35 grade</t>
    </r>
    <r>
      <rPr>
        <sz val="12"/>
        <rFont val="Arial"/>
        <family val="2"/>
      </rPr>
      <t xml:space="preserve"> using  20mm &amp; 10mm  HBG crushed stone aggregate (Coarse aggregate conforming to table 1000-1 and fine aggregate conforming to table 1000-2) including cost, seigniorage conveyance of all materials to site and labour charges, centering, machine mixing, laying, vibrating, curing etc., including all other incidental and operational charges of all T&amp;P  etc., complete for finished item of work  as per MoRT&amp;H specification  1500, 1700,  2100 &amp; 2702  (4</t>
    </r>
    <r>
      <rPr>
        <vertAlign val="superscript"/>
        <sz val="12"/>
        <rFont val="Arial"/>
        <family val="2"/>
      </rPr>
      <t>th</t>
    </r>
    <r>
      <rPr>
        <sz val="12"/>
        <rFont val="Arial"/>
        <family val="2"/>
      </rPr>
      <t xml:space="preserve"> Revision) and  as directed by the Engineer-in-Charge</t>
    </r>
    <r>
      <rPr>
        <b/>
        <sz val="12"/>
        <color indexed="10"/>
        <rFont val="Arial"/>
        <family val="2"/>
      </rPr>
      <t xml:space="preserve"> for C.C Pavement.</t>
    </r>
  </si>
  <si>
    <t>Generator set 33 KVA</t>
  </si>
  <si>
    <t>Add for Over head charges @ 14% on (A)+(B)+( C)+(D)</t>
  </si>
  <si>
    <t>Run of Mains</t>
  </si>
  <si>
    <t>Supply and run of 4 of 6 Sq mm F.R L.S. / HFFR P.V.C. insulated flexible copper cable 1100 V grade as per IS: 694 / 1990 specifications and 1 run of 4 Sq mm  F.R L.S. / HFFR P.V.C. insulated flexible copper cable 1100 V grade as per IS: 694 / 1990 specifications in the existing conduit pipe for run  of mains from main panel  board to TPN  DB'S  with pin type lugs and connections  Makes of Wires : Finolex / RR kabel / Havells / APAR EBXL / KEI /L&amp;T / V-Guard.</t>
  </si>
  <si>
    <t>Supply and run of 4 of 10 Sq mm F.R L.S. / HFFR P.V.C. insulated flexible copper cable 1100 V grade as per IS: 694 / 1990 specifications and 1 run of 6 Sq mm  F.R L.S. / HFFR P.V.C. insulated flexible copper cable 1100 V grade as per IS: 694 / 1990 specifications in the existing conduit pipe for run  of mains from main panel  board to TPN  DB'S  with pin type lugs and connections  Makes of Wires : Finolex / RR kabel / Havells / APAR EBXL / KEI /L&amp;T / V-Guard.</t>
  </si>
  <si>
    <t>Supply and Run of  25mm x 6mm G.I Strip including cost of all accessories and labour charges etc., complete. (1.18Kgs/1Mtr)</t>
  </si>
  <si>
    <t>Supply and Run of  50mm x 6mm G.I Strip including cost of all accessories and labour charges etc., complete. (2.36 Kg / Mtr)</t>
  </si>
  <si>
    <t>Supply,Transportation  of light duty exhaust fan 9"(225 mm) size 900 rpm  with metal blades  wiremesh with all accessories etc complete.   Makes : Crompton  / Bajaj Bahar WG / Havells Ventil Air-DB / Orient hill air.</t>
  </si>
  <si>
    <t>Supply and laying of 2 pair telephone wire in the existing metallic/non metallic conduit pipe with connections etc.,complete                          
  Makes : Finolex / Delton / Surabi / Polycab</t>
  </si>
  <si>
    <t>Supply and fixing of  cat-6 RJ-45information outlets including dual face plate with  MS box with modular plate cover with screws connections etc., (Makes : D Link / AMP / Molex / Legrand / Krone.)</t>
  </si>
  <si>
    <t>Supply of 7 feet length moulded patch cord Makes : D Link / AMP / Molex / Legrand / Krone.</t>
  </si>
  <si>
    <t>Supply, Transportation and Fixing of 20 pair Telephone distribution box with back mount frame, krone connector, powder coated metal body with lock and key arrangement including all accessories and labour charges etc., complete.</t>
  </si>
  <si>
    <t>Supply, Transportation and Fixing of 19" 6U floor / Wall mounting net work rack Makes : HCL / Vall with power spike including all accessories and labour charges etc., complete.</t>
  </si>
  <si>
    <t>Supply, Transportation and Fixing of 19" 12U floor / Wall mounting net work rack Makes : HCL / Vall with power spike including all accessories and labour charges etc., complete.</t>
  </si>
  <si>
    <t>Supply, Transportation and Fixing of 24 Port manageble switches Makes : CISCO / Net Gear / HP /  D link including all accessories and labour charges etc., complete.</t>
  </si>
  <si>
    <t>Main Panel</t>
  </si>
  <si>
    <t>Supply, installation, commissioning of 3Phases, neutral 415V,  free standing type cubical panel board made of 16 Gauge CRCA sheet steel, the panel shall be painted after processing 7 tank process with RAL 7032 siemens grey. The panel shall be consisting of suitable rating of allumunium bus bars ( At the rating of 0.8 A/Sq.mm) supported with DMC/SMC  and colour coded with heat shrinkable sleeves. The bus bars fault level shall be 50 KA and shall be as per requirement of local CEIG, fire regulations, other authorities etc. Panel shall be suitable for accomdating the following switch gears including supply of all components, hard wares etc including all necessary civil works, adequate reinforcement foundation bolts suitable  G.I earth strip , 100 x 50mm MS base channel, earth bar,  door loop earthings . Bus bar to switch interconnections, All cables shall have proper cable entry,gland plates, suitable size of glands, earth tags for glands, lugs, cadmium plated nuts , bolts, feeder identification marks, shall be installed on performed trench and consisting of the  following as required and as per IS standards and panel should be manufactures only from panel builds with CPRI Test certificate.</t>
  </si>
  <si>
    <t>3.5 Core  120.00 Sq.mm.</t>
  </si>
  <si>
    <t>3.5 Core  70.00 Sq.mm.</t>
  </si>
  <si>
    <t>Earth work excavation of Trench in hard ground soil and Sand filling shall be provided at the bottom of trench before laying the cable and laying of U.G cables from 70 Sqmm up to 400 sqmm covering the cable with bricks and back filling of Trench duly providing route indicator  at every 8 Mtrs distance embedded in C.C including  cost and conveyance of materials and labour charges etc., complete.</t>
  </si>
  <si>
    <t>No's</t>
  </si>
  <si>
    <t>Steps</t>
  </si>
  <si>
    <t>WIRING</t>
  </si>
  <si>
    <t>FIXTURES</t>
  </si>
  <si>
    <t>B1-B2</t>
  </si>
  <si>
    <t xml:space="preserve">HIRE CHARGES FOR CENTERING &amp; SCAFFOLDING - Unsupported height up to 3.66 M using Steel scaffolding pipes, jack Props, wallers, Foot plates, brackets, steel Centering Plates,etc., </t>
  </si>
  <si>
    <t xml:space="preserve">Supplying and fixing of High polished Granite 16 to 18 mm thick up to 8' 00" (2.43M)  black  in Single piece with the edges flat nosed and set over a base coat of CM (1:8), 12mm thick using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for Treads (APSS No.701 &amp; 707) </t>
  </si>
  <si>
    <t>Providing expansion joint treatment with ploy sulphide compound of approved make of finsihed size 25 x 25 mm including making of 25mm x 25mm groove and primer coat over finished groove with finishing of edges true to straight line and level over the finished surface of expansion joint including cost and convenyance of all materials to site, all incidental , operational , labour charges etc., complete for finished item of work as per approved drawing ( for all floors on top slab i.e, in the flooring and for internal vertical joints of grooves in dadooing surface).</t>
  </si>
  <si>
    <t>Cement for pointing</t>
  </si>
  <si>
    <t>Supply and Fixing and transportation of 20W, 2000 lumens, 1200mm length LED retro tube light, housing made with alluminium anodised body, wide operating voltage with double side connection, PF≥0.9, Surge protection: &gt; 2KV, THD&lt;15%, with inbuilt driver and frosted cover CCT: 3000K - 6500K as desired by the department and as per ISspecifications, minimum CRI≥80,.etc complete with 50,000 burning hours with BIs Certification.                                                                                                   LUMINAIRE MAKE: Phillips / OSRAM / Wipro / Crompton / Bajaj / Havells / Jaquar / IB LED / Panasonic / Halonix / HPL / Syska / Eveready / Surya / Keselec. LED MAKE : PHILIPS LUMILEDS / CREE / NICHIA / OSRAM / SAMSUNG / LG LEDs.</t>
  </si>
  <si>
    <t>Verticals   2 x 2.13 x 0.075 x 0.10       = 0.03225</t>
  </si>
  <si>
    <t xml:space="preserve">                                   1x0.88x2.05 =  1.80 Sqm</t>
  </si>
  <si>
    <t xml:space="preserve">Flooring with chequered cement concrete heavy duty tiles confirming to IS:13801 using aggregates, cement, pigments of size 300mm x 300mm and thickness 25mm of any shade as approved by Engineer - In - Charge set over base coat of cement mortar (1:6), 12 mm thick using screened sand over CC bed alredy laid or RCC roof slab including neat cement slurry of honey like consistency spread @ 3.3 kgs per sqm and jointed with neat white cement to full depth mixed with pigment of matching shade including cost and conveyance of all materials like cement, sand, water and tiles etc.,and overheads &amp; contractors profit complete for finished item of work. </t>
  </si>
  <si>
    <t>(BLD-CSTN-9-4)</t>
  </si>
  <si>
    <t>Cement for CM (1:6) proportion for base coat</t>
  </si>
  <si>
    <t>kg.</t>
  </si>
  <si>
    <t xml:space="preserve">Cement for slurry </t>
  </si>
  <si>
    <t xml:space="preserve">kg. </t>
  </si>
  <si>
    <t xml:space="preserve">Pigment </t>
  </si>
  <si>
    <t>Seigniorage charges of sand</t>
  </si>
  <si>
    <t>B. MACHINERY</t>
  </si>
  <si>
    <t>Nill</t>
  </si>
  <si>
    <t>C. LABOUR</t>
  </si>
  <si>
    <t>Mazdoor (unskiled)</t>
  </si>
  <si>
    <t>Add water charges 1%</t>
  </si>
  <si>
    <r>
      <t xml:space="preserve">Providing  &amp;  Fixing  of  Open able  Windows  with  Flymesh made of pre-painted steel as per IS 513 of 0.58mm thick galvanized as per IS 277 finish painted with a polyester paint and the section for outer frame of 72 x  55mm,  centre  mullion  of  72  x  50mm,  section  for fixed glass beading section of 12 x 12 mm and section for shutters of 48 x 25 mm and outer frame &amp; mullion sections with rebate for glazed shutters, fly mesh and a 20 mm provision for guard bars/grills and fly mesh shutter section  of 20 x 40  mm, stay, handles, latch 2 Nos  of  heavy  duty  stainless  steel  pivot  hinges  per shutter and panelled with </t>
    </r>
    <r>
      <rPr>
        <b/>
        <sz val="11"/>
        <rFont val="Arial"/>
        <family val="2"/>
      </rPr>
      <t>0.5 mm thick Galvalume corrugated sheet</t>
    </r>
    <r>
      <rPr>
        <sz val="11"/>
        <rFont val="Arial"/>
        <family val="2"/>
      </rPr>
      <t xml:space="preserve">  and S.S. Mesh for fly mesh shutter (304 grade), fitted using rubber gaskets including fixing the windows in the concrete/masonry  wall  by  means  of  self expanding  screws,  including  10mm  Square  guard bars  with  6”  (152.4mm)  pitch  ,  complete  for  Centre fixed  both  side  open  able  shutter  window for a size 5’0”x4’0” (1524mm x1219.2mm).</t>
    </r>
  </si>
  <si>
    <t>Providing and fixing of Casement/ Open able Windows made of pre-painted steel as per IS 513 of 0.58 mm thick galvanized as per IS 277, finish painted with a polyester paint and section for outer frame of 48 x 50 mm, centre mullion of 48 x 50 mm, section for shutter of 48 x 25 mm and the fixed glass beading section should be 12 x 12 mm and the outer frame and mullions to have rebate for glazed shutter with a 20 mm provision for guard bars/grills, handle, stay, 2 nos. of stainless steel heavy duty pivot hinges provided per shutter and windows fitted with 50.5 mm thick Galvalume corrugated sheet including fixing the frames in concrete/masonry wall by means of self expanding screws, Including 10mm Square guard bars with 6” (152.4mm) pitch etc., complete Three shutter window</t>
  </si>
  <si>
    <t>Providing and laying of cinder concrete in cement cinder mix (1:1.5) prop. Using 12.5 mm nominal  size cinder laid in layers and compacted as directed for filling sunken floors including cost and conveyence of all materials, water to the work site, seinerage charges and all operational, incidental labour charges such as mixing cement &amp; cinder etc. complete for finished item of work.</t>
  </si>
  <si>
    <t xml:space="preserve">Supply and Fixing of Door with Single leaf shutter, Door Size 0.90x2.13 mtrs with Medium teak Wood Frame of sections size 75mm x 100mm with Flush Door Shutter Solid Bond Wood black board type with commercial ply on both faces of 35mm thick including cost of fixtures such as M.S.Powder Coated Tower Bolts 250mm long 1 Nos, MS Powder coated Handels 150mm long 1 No, 300mm long MS Powder coatedAldrops 1No, 125mm long MS Powder coated butt hinges 3 Nos, 300 mm long MS Powder coated Flat latch 1No, Door stoppers 1 Nos, MS Hold fasts 6Nos, Sales and Other Taxes cost and convenyance of all materials to site all Labour charges such as Fixing of Door Frame on shutter Fixing in position , with Hardware fixtures etc., complete for finsihed item of work. </t>
  </si>
  <si>
    <t xml:space="preserve">Supply and Fixing of Door with Double leaf shutter, Door Size 2.4 x2.13mtrs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Door stoppers 2 Nos, MS Hold fasts 6Nos, Sales and Other Taxes cost and convenyance of all materials to site all Labour charges such as Fixing of Door Frame and shutter Fixing in position , with Hardware fixtures etc., complete for finsihed item of work. </t>
  </si>
  <si>
    <t xml:space="preserve">Supply and Fixing of Door with Double leaf shutter, Door Size 2.0 x2.13mtrs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Door stoppers 2 Nos, MS Hold fasts 6Nos, Sales and Other Taxes cost and convenyance of all materials to site all Labour charges such as Fixing of Door Frame and shutter Fixing in position , with Hardware fixtures etc., complete for finsihed item of work. </t>
  </si>
  <si>
    <t xml:space="preserve">Supply and Fixing of Door with Double leaf shutter, Door Size 1.5x2.13mtrs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Door stoppers 2 Nos, MS Hold fasts 6Nos, Sales and Other Taxes cost and convenyance of all materials to site all Labour charges such as Fixing of Door Frame and shutter Fixing in position , with Hardware fixtures etc., complete for finsihed item of work. </t>
  </si>
  <si>
    <t xml:space="preserve">Supply and Fixing of Door with Double leaf shutter, Door Size 1.22x2.13 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MS Powder coated heavy Door stoppers 2 Nos, MS Hold fasts 6Nos, Sales and Other Taxes cost and convenyance of all materials to site all Labour charges such as Fixing of Door Frame on shutter Fixing in position , with Hardware fixtures etc., complete for finsihed item of work. </t>
  </si>
  <si>
    <r>
      <t>Supply and Fixing of Door with Single leaf shutter,</t>
    </r>
    <r>
      <rPr>
        <b/>
        <sz val="11"/>
        <rFont val="Arial"/>
        <family val="2"/>
      </rPr>
      <t xml:space="preserve"> Door Size 0.75x2.13 mtrs with Medium teak Wood Frame</t>
    </r>
    <r>
      <rPr>
        <sz val="11"/>
        <rFont val="Arial"/>
        <family val="2"/>
      </rPr>
      <t xml:space="preserve"> of sections size 75mm x 100mm with Flush Door Shutter Solid Bond Wood black board type with commercial ply on both faces of 35mm thick including cost of fixtures such as M.S.Powder Coated Tower Bolts 250mm long 2 Nos, M.S.Powder Coated Handels 150mm long 1 No, 300mm long M.S.Powder Coated Aldrops 1No, 125mm long M.S.Powder Coated butt hinges 3 Nos, 300 mm long M.S.Powder Coated Flat latch 1No, Door stoppers 2 Nos, MS Hold fasts 6Nos, Sales and Other Taxes cost and convenyance of all materials to site all Labour charges such as Fixing of Door Frame on shutter Fixing in position , with Hardware fixtures etc., complete for finsihed item of work. </t>
    </r>
  </si>
  <si>
    <t xml:space="preserve">Supply and Fixing of Door with Single leaf shutter, Door Size 1.00x2.13 mtrs with Medium teak Wood Frame of sections size 75mm x 100mm with Flush Door Shutter Solid Bond Wood black board type with commercial ply on both faces of 35mm thick including cost of fixtures such as MS Powder coated Tower Bolts 250mm long 1 Nos, MS Powder coated Handels 150mm long 1 No, 300mm long MS Powder coated Aldrops 1No, 125mm long MS Powder coated butt hinges 3 Nos, 250 mm long MS Powder coated Flat latch 1No, Door stoppers 1 Nos, MS Hold fasts 6Nos Sales and Other Taxes cost and convenyance of all materials to site all Labour charges such as Fixing of Door Frame on shutter Fixing in position , with Hardware fixtures etc., complte for finsihed item of work. </t>
  </si>
  <si>
    <t xml:space="preserve">Supplying &amp; fixing collapsible steel shutters with vertical, double channel of 20 x10x2 mm of 100 mm centre ,Bracers with flat iron 40x40x6 mm with 38 mm dia steel pulleys, the top, bottom and side vertical frames of the collapsible gate with 65x65mmx8mm MS Angle and middle guide rail at site height with 65mmx8mm MS flat for the pulleys to guide and fixed with necessary hold fasts, bolts, nuts, rivets, locking arrangements, stoppers, handles, all accessories all fixtures and painted with one coat of approved steel primer etc., complete for finished item of work </t>
  </si>
  <si>
    <t>Total of (A) + (B)</t>
  </si>
  <si>
    <t>Add Contractors Profit at 13.615% on (E)</t>
  </si>
  <si>
    <t>Total of (A) + (B)+( C)</t>
  </si>
  <si>
    <t>Supply and  fixing of Mild Steel Door of size 1.22 mx2.13 m (doublle leaf shitter) with  DOOR frame of  Mild Steel square hollow section of size 80 x80x4 mm (TATA make or equalent),Hold Fast-6 no s  of MS equal angle of ISA 25x25x4 MM thick,Door frame embedded in the flooring to a depth of 50 mm connecting  the bottom of two vertical of door frame with MS FLAT 25 MM  WIDE-4MM thick.Door shutter; Shutter  Frame made up of  mild steel  square hollow  Section  OF SIZE 25 MMX25MMX2.60MM (TATA MAKE OF EQUALENT) with styles and flanks of MS SHEET 1.25 MM thick,Tower Bolts-4 no(2nos.each for one shutter) of MS 12  MM round bars including hard ware fixture 1) MS PC Butt Hinges IS;205  150mm long -6nos , 2) MSPC Aldrops IS ;2681 300 MM LONG-2NOS 3) MSPC Door Handle IS;208 125 MM LONG -4 NOS including cost and convenyace of all materials at site,Fabrication charges of MS Door frame Shutte  including welding of hardware  fixture  Door frame and shutter labour chages for fixing of door in position, Red oxide paint of Grade -I quality to MS Door Frame and Shutters,Sales and other taxes, operational and incidental charges, Labour charges including welding charges etc.,etc, complete for finished item of work.</t>
  </si>
  <si>
    <t>Supply and  fixing of Mild Steel Door of size 1.00 mx2.13 m (doublle leaf shitter) with  DOOR frame of  Mild Steel square hollow section of size 80 x80x4 mm (TATA make or equalent),Hold Fast-6 no s  of MS equal angle of ISA 2525 A 4 MM thick,Door frame embedded in the flooring to a depth of 50 mm connecting  the bottom of two vertical of door frame with MS FLAT 25 MM  WIDE-4MM thick.Door shutter; Shutter  Frame made up of  mild steel  square hollow  Section  OF SIZE 25 MMX25MMX2.60MM (TATA MAKE OF EQUALENT) with styles and flanks of MS SHEET 1.25 MM thick,Tower Bolts-4 no(2nos.each for one shutter) of MS 12  MM round bars including hard ware fixture 1) MS PC Butt Hinges IS;205  150mm long -6nos , 2) MSPC Aldrops IS ;2681 300 MM LONG-2NOS 3) MSPC Door Handle IS;208 125 MM LONG -4 NOS including cost and convenyace of all materials at site,Fabrication charges of MS Door frame Shutte  including welding of hardware  fixture  Door frame and shutter labour chages for fixing of door in position, Red oxide paint of Grade -I quality to MS Door Frame and Shutters,Sales and other taxes, operational and incidental charges, Labour charges including welding charges etc.,etc, complete for finished item of work.</t>
  </si>
  <si>
    <t>Supply  and fixing of Mild steel Window of saze 1.5 mt x 1.35 mt ( Three Leaf Shutters) with window frame of Mild Steel Square hollow section of size 40 mm x40 mmx3.20 mm (TATA make or equalant) , Hold Fast-4 nos. of MS equal angle of ISA 2525 OF 4MM thick, WINDOW SHUTTER ;Shutter frame made up  of mild steel square hollow section of size 25 mmx25mm x2.60 mm(TATA make  or euavalent),with styles and planks of MS  corrugated sheet 1.00  mm thick,including hardware fixture  1) MS PC Butt Hinges IS ;205 100 MM long  - 4 Nos,safety bars  of 10 mm square rods @125 mm center to center walded horizontally to full widh of window including cost and conveyance  all materials to site.Fabrication charges of MS Window frame and shutter including welding of hard ware fixtures to window frame and shutters, labour chargesfor fixing of window in position.Red oxide paint of grade -i quality to MS Window Frame and shutters, sales ans other taxes, operational and incidental charges, labour charges including welding charges and 2 coats of synthetic enamil paint etc., complete for finished item of work.</t>
  </si>
  <si>
    <t>TSEWIDC, Sangareddy</t>
  </si>
  <si>
    <r>
      <t>Vibrated  cement concrete M.25 grade  using  20mm &amp; 10mm  HBG crushed stone aggregate (Coarse aggregate conforming to table 1000-1 and fine aggregate conforming to table 1000-2) including cost,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(4</t>
    </r>
    <r>
      <rPr>
        <vertAlign val="superscript"/>
        <sz val="12"/>
        <rFont val="Arial"/>
        <family val="2"/>
      </rPr>
      <t>th</t>
    </r>
    <r>
      <rPr>
        <sz val="12"/>
        <rFont val="Arial"/>
        <family val="2"/>
      </rPr>
      <t xml:space="preserve"> Revision) and  as directed by the Engineer-in-Charge for CC Pavements.</t>
    </r>
  </si>
  <si>
    <t>M- 27 a</t>
  </si>
  <si>
    <t>M-27 b</t>
  </si>
  <si>
    <t>M-28</t>
  </si>
  <si>
    <t>M- 22 g</t>
  </si>
  <si>
    <t>M- 23 a</t>
  </si>
  <si>
    <t>M - 75</t>
  </si>
  <si>
    <t>M- 33 f</t>
  </si>
  <si>
    <t>12 mm M/c chips /Trap metal (IS383-1970)</t>
  </si>
  <si>
    <t>M- 33 c</t>
  </si>
  <si>
    <t>M- 33 b</t>
  </si>
  <si>
    <t>M- 33 a</t>
  </si>
  <si>
    <t>M- 276</t>
  </si>
  <si>
    <t>M- 33 d</t>
  </si>
  <si>
    <t>I-45</t>
  </si>
  <si>
    <t>II-42</t>
  </si>
  <si>
    <t xml:space="preserve">Centring Charges for 2020-21 </t>
  </si>
  <si>
    <t>COMMON STANDARD SCHEDULE OF RATES FOR THE YEAR 2020-21</t>
  </si>
  <si>
    <t xml:space="preserve">CENTERING &amp; SCAFFOLDING CHARGES- FLOOR WISE RATES for Steel scaffolding pipes, jack Props, Steel Centering Plates,etc., for unsupported height 3.66 M </t>
  </si>
  <si>
    <t>glazed red or white full body ceramic
wall tiles of size 200 x 300 mm / 245 mm x 325
mm and thickness 6 mm of any size 1st quality</t>
  </si>
  <si>
    <t>53 Grade cement</t>
  </si>
  <si>
    <t xml:space="preserve">Labour charges for laying &amp; jointing </t>
  </si>
  <si>
    <t>Cost PVC shoe  TBSP-H.II-
18</t>
  </si>
  <si>
    <t>Cost of Clips  TBSP-H.II-
61</t>
  </si>
  <si>
    <r>
      <t>Labour charges  for wrought and put up including fixing in position frames of any size , shutters for doors, windows, ventilators including fixing all necesssary fixtures etc complete</t>
    </r>
    <r>
      <rPr>
        <b/>
        <sz val="11"/>
        <rFont val="Arial"/>
        <family val="2"/>
      </rPr>
      <t xml:space="preserve"> for  teak wood flush type door shutter </t>
    </r>
    <r>
      <rPr>
        <sz val="11"/>
        <rFont val="Arial"/>
        <family val="2"/>
      </rPr>
      <t xml:space="preserve"> including frame.</t>
    </r>
    <r>
      <rPr>
        <b/>
        <sz val="11"/>
        <rFont val="Arial"/>
        <family val="2"/>
      </rPr>
      <t>(TBSC-T.I-31)</t>
    </r>
  </si>
  <si>
    <t>Providing and fixing of Casement/ Open able Windows made of pre-painted steel as per IS 513 of 0.58 mm thick galvanized as per IS 277, finish painted with a polyester paint and section for outer frame of 48 x 50 mm, centre mullion of 48 x 50 mm, section for shutter of 48 x 25 mm and the fixed glass beading section should be 12 x 12 mm and the outer frame and mullions to have rebate for glazed shutter with a 20 mm provision for guard bars/grills, handle, stay, 2 nos. of stainless steel heavy duty pivot hinges provided per shutter and windows fitted with 5 mm thick plain float glass with rubber gaskets including fixing the frames in concrete/masonry wall by means of self expanding screws, Including 10mm Square guard bars with 6” (152.4mm) pitch etc., complete Centre fixed both side open able shutter window for sizes 5’0”x4’0” (1524mm x1219.2mm) and 6’0”x4’0” (1828.8mmx1219.2mm)</t>
  </si>
  <si>
    <t>Basic rate as per ssr item 38.1 MM CP WASTE COUPLING half or full thread 1st quality indian make paryware or equivalent</t>
  </si>
  <si>
    <t>TBSP-F.VII-07</t>
  </si>
  <si>
    <t>TBSP-H.II- 69</t>
  </si>
  <si>
    <t>Manufacture, supply &amp; delivery of 50mm of outer dia  Polyethylene pipes (PE-100 Grade) of 6Kg/Sqcm.  conforming to IS 4984 - 1995 including transportation to site including laying and jointing of HDPE pipes as per BIS No.7634 Part -II/75 including fixing required specials /fittings including excavation of trenches up to 0.50 mts depth in all soils except rock requires blasting and refilling trenches after laying and jointing of pipes as per standard specifications including cost and conveyance of all materials to site, all labour charges, sales and other taxes on all materials etc., complete for finished item of work.</t>
  </si>
  <si>
    <r>
      <rPr>
        <b/>
        <sz val="12"/>
        <color theme="1"/>
        <rFont val="Times New Roman"/>
        <family val="1"/>
      </rPr>
      <t>Supplying and fixing Chromium plated finish brass body quarter turn Bibcock cum Health Faucet with 1m long tube and wall hook with 10 years warranty</t>
    </r>
    <r>
      <rPr>
        <sz val="12"/>
        <color theme="1"/>
        <rFont val="Times New Roman"/>
        <family val="1"/>
      </rPr>
      <t xml:space="preserve"> with necessary fittings etc., complete including cost and conveyance of all materials, labour charges, overheads &amp; contractor profit complete for finished item of work in all floors. </t>
    </r>
  </si>
  <si>
    <t>Supplying and fixing CP finish brass soap dish type complete including cost and conveyance of all materials, labour charges for fixing etc., complete for finished item of work in all floors</t>
  </si>
  <si>
    <t>TBSP-F.VII-21</t>
  </si>
  <si>
    <t>TBSP-F.VIII-04</t>
  </si>
  <si>
    <t>TBSP-F.I-03</t>
  </si>
  <si>
    <t xml:space="preserve"> SANITARY &amp; WATER SUPPLY DATAS (SOR 2020-21)</t>
  </si>
  <si>
    <t xml:space="preserve">DATAS </t>
  </si>
  <si>
    <r>
      <t>Supplying and laying, filling, jointing and testing SWG SP-1 pipes</t>
    </r>
    <r>
      <rPr>
        <sz val="12"/>
        <color theme="1"/>
        <rFont val="Times New Roman"/>
        <family val="1"/>
      </rPr>
      <t xml:space="preserve">  of ISI make confirming to IS 1651 &amp; 4127 1st quality with air tight Cement joints in CM (1.5:1)prop. including excavation of trenches and socket pits in any soil  (except rock requiring blasting)  and refilling with watering and tamping  including cost and conveyance of all materials to site and all labour charges for finished item of work (APSS NO 1301 &amp; 1318)</t>
    </r>
  </si>
  <si>
    <r>
      <t>Constructing 904.0 mm (3’0”) dia brick masonry inspection chamber</t>
    </r>
    <r>
      <rPr>
        <sz val="12"/>
        <color theme="1"/>
        <rFont val="Times New Roman"/>
        <family val="1"/>
      </rPr>
      <t xml:space="preserve"> as per IS - 4111: Part-1:1986 with cement mortar (1:6) prop using 2nd Class Clay Bricks of 225 mm thick from approved source having a minimum crushing strength of 5 N/sq.mm  including plastering with cement mortar 1:3 prop; ½” thick both inside and outside fitted with 20” dia RCC manhole covers and frames</t>
    </r>
    <r>
      <rPr>
        <b/>
        <sz val="12"/>
        <color theme="1"/>
        <rFont val="Times New Roman"/>
        <family val="1"/>
      </rPr>
      <t xml:space="preserve"> including excavating pits up to a depth of 904 mm (3'-0") </t>
    </r>
    <r>
      <rPr>
        <sz val="12"/>
        <color theme="1"/>
        <rFont val="Times New Roman"/>
        <family val="1"/>
      </rPr>
      <t>in all sorts of soils (exculding rock) and laying cement conrete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r>
  </si>
  <si>
    <r>
      <t xml:space="preserve">Constructing 904.0 mm (3’0”) dia brick masonry inspection chamber </t>
    </r>
    <r>
      <rPr>
        <sz val="12"/>
        <color theme="1"/>
        <rFont val="Times New Roman"/>
        <family val="1"/>
      </rPr>
      <t xml:space="preserve">as per IS - 4111: Part-1:1986 with cement mortar (1:6) prop using 2nd Class Clay Bricks of 225 mm thick from approved source having a minimum crushing strength of 5 N/sq.mm  including plastering with cement mortar 1:3 prop; ½” thick both inside and outside fitted with 20” dia RCC manhole covers and frames </t>
    </r>
    <r>
      <rPr>
        <b/>
        <sz val="12"/>
        <color theme="1"/>
        <rFont val="Times New Roman"/>
        <family val="1"/>
      </rPr>
      <t>including excavating pits up to a depth of 1524 mm (5'-0")</t>
    </r>
    <r>
      <rPr>
        <sz val="12"/>
        <color theme="1"/>
        <rFont val="Times New Roman"/>
        <family val="1"/>
      </rPr>
      <t xml:space="preserve"> in all sorts of soils (exculding rock) and laying cement conrete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r>
  </si>
  <si>
    <r>
      <t xml:space="preserve">Constructing 904.0 mm (3’0”) dia solid block masonry  inspection chamber </t>
    </r>
    <r>
      <rPr>
        <sz val="12"/>
        <color theme="1"/>
        <rFont val="Times New Roman"/>
        <family val="1"/>
      </rPr>
      <t xml:space="preserve">as per IS - 4111: Part-1:1986 with cement mortar (1:6) prop using fly ash blocks of 225mm thick from approved source having a minimum crushing strength of 10 N/sq.mm  including plastering with cement mortar 1:3 prop; ½” thick both inside and outside fitted with 20” dia RCC manhole covers and frames </t>
    </r>
    <r>
      <rPr>
        <b/>
        <sz val="12"/>
        <color theme="1"/>
        <rFont val="Times New Roman"/>
        <family val="1"/>
      </rPr>
      <t>including excavating pits up to a depth of 1524 mm (5'-0")</t>
    </r>
    <r>
      <rPr>
        <sz val="12"/>
        <color theme="1"/>
        <rFont val="Times New Roman"/>
        <family val="1"/>
      </rPr>
      <t xml:space="preserve"> in all sorts of soils (exculding rock) and laying cement conrete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r>
  </si>
  <si>
    <r>
      <t xml:space="preserve">Constructing 904.0 mm (3’0”) dia solid block masonry  inspection chamber </t>
    </r>
    <r>
      <rPr>
        <sz val="12"/>
        <color theme="1"/>
        <rFont val="Times New Roman"/>
        <family val="1"/>
      </rPr>
      <t xml:space="preserve">as per IS - 4111: Part-1:1986 with cement mortar (1:6) prop using fly ash blocks of 225mm thick from approved source having a minimum crushing strength of 10 N/sq.mm  including plastering with cement mortar 1:3 prop; ½” thick both inside and outside fitted with 20” dia RCC manhole covers and frames </t>
    </r>
    <r>
      <rPr>
        <b/>
        <sz val="12"/>
        <color theme="1"/>
        <rFont val="Times New Roman"/>
        <family val="1"/>
      </rPr>
      <t>including excavating pits up to a depth of 904 mm (3'-0")</t>
    </r>
    <r>
      <rPr>
        <sz val="12"/>
        <color theme="1"/>
        <rFont val="Times New Roman"/>
        <family val="1"/>
      </rPr>
      <t xml:space="preserve"> in all sorts of soils (exculding rock) and laying cement conrete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r>
  </si>
  <si>
    <r>
      <rPr>
        <b/>
        <sz val="12"/>
        <color theme="1"/>
        <rFont val="Times New Roman"/>
        <family val="1"/>
      </rPr>
      <t xml:space="preserve">Constructing 904.0 mm (3’0”) dia </t>
    </r>
    <r>
      <rPr>
        <sz val="12"/>
        <color theme="1"/>
        <rFont val="Times New Roman"/>
        <family val="1"/>
      </rPr>
      <t xml:space="preserve">solid block masonry inspection chamber as per IS - 4111: Part-1:1986 with
cement mortar (1:6) prop </t>
    </r>
    <r>
      <rPr>
        <b/>
        <sz val="12"/>
        <color theme="1"/>
        <rFont val="Times New Roman"/>
        <family val="1"/>
      </rPr>
      <t>using fly-ash blocks of 225 m</t>
    </r>
    <r>
      <rPr>
        <sz val="12"/>
        <color theme="1"/>
        <rFont val="Times New Roman"/>
        <family val="1"/>
      </rPr>
      <t xml:space="preserve">m thick from approved source having a minimum crushing strength of 10 N/sq.mm including plastering with cement mortar 1:3 prop; ½” thick both inside and outside fitted with 20” dia RCC manhole covers and frames including excavating pits up to a depth of </t>
    </r>
    <r>
      <rPr>
        <b/>
        <sz val="12"/>
        <color theme="1"/>
        <rFont val="Times New Roman"/>
        <family val="1"/>
      </rPr>
      <t xml:space="preserve">1524 mm (5'-0") in all sorts of soils (excluding rock) and laying cement concrete (1:4:8) 150 mm thick using 40 mm HBG Metal </t>
    </r>
    <r>
      <rPr>
        <sz val="12"/>
        <color theme="1"/>
        <rFont val="Times New Roman"/>
        <family val="1"/>
      </rPr>
      <t>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t>
    </r>
  </si>
  <si>
    <r>
      <t>Supplying and fixing 150.00mmx100.00mm SWG  gully trap</t>
    </r>
    <r>
      <rPr>
        <sz val="12"/>
        <color theme="1"/>
        <rFont val="Times New Roman"/>
        <family val="1"/>
      </rPr>
      <t xml:space="preserve"> 1st class confirming to  ISI 651 &amp; 4127 with CI grating and constructing single brick masonry wall chamber of size 20" x 14" x 12” in CM (1:6) prop. Over a CC (1:5:10)prop. bed, and fitted with 304.8 mm x 225.6 mm(12" x 9") CI frame and hinged cover  and plastering 12mm thk. in CM (1:4) prop. both inside and outside surfaces and including cost and conveyance of all materials to site, labour charges etc., complete for finished item of work. </t>
    </r>
  </si>
  <si>
    <r>
      <t>Supplying and fixing Indian make  Flat Back Wash Hand Basin</t>
    </r>
    <r>
      <rPr>
        <sz val="12"/>
        <color theme="1"/>
        <rFont val="Times New Roman"/>
        <family val="1"/>
      </rPr>
      <t xml:space="preserve"> (HSW/Parryware/ Neycer) 1st quality conforming to IS:2556-Part-4:1972 of size 550mm x 400mm with waste fittings like rubber plug, chain,  32 mm nominal size C.P. Fitting with parallel pipe thread conforming to IS:2963-1979 and fitted with 15 mm nominal bore Chromium Plated Pillar Tap of 1st quality Indian make 400 grams Seiko/ Esso or equivalent complete with standard CI brackets including wooden block ,1 No.12.70mm PVC connection with brass union nuts CP coated , 1 No.12.70mm NP bib tap 300 gms Seiko or equivalent including cost and conveyance of all materials to site, labour charges etc. complete for finished item of work</t>
    </r>
  </si>
  <si>
    <r>
      <t>Supplying and fixing TV shape mirror with plastic frame of size 609.6mm x 457.2mm</t>
    </r>
    <r>
      <rPr>
        <sz val="12"/>
        <color theme="1"/>
        <rFont val="Times New Roman"/>
        <family val="1"/>
      </rPr>
      <t xml:space="preserve"> , plywood back with NP screws 1st quality including cost and conveyance of all materials, labour charges etc., complete for finished item of work in all floors.</t>
    </r>
  </si>
  <si>
    <r>
      <t>Supplying and fixing of  25.4mm dia , 609.6mm long aluminium anodized towel rods</t>
    </r>
    <r>
      <rPr>
        <sz val="12"/>
        <color theme="1"/>
        <rFont val="Times New Roman"/>
        <family val="1"/>
      </rPr>
      <t xml:space="preserve"> with brackets and aluminium screws including cost and conveyance of all materials, labour charges etc., complete for finished item of work.</t>
    </r>
  </si>
  <si>
    <r>
      <t>S&amp;F of 15 mm brass body CP finish self closing tap lift type conforming to IS 1711</t>
    </r>
    <r>
      <rPr>
        <sz val="12"/>
        <color theme="1"/>
        <rFont val="Times New Roman"/>
        <family val="1"/>
      </rPr>
      <t xml:space="preserve"> including cost and conveyance of all materials, labour charges etc., complete for finished item of work in all floors.</t>
    </r>
  </si>
  <si>
    <r>
      <t>Supplying and fixing of SWR/ PVC pipes</t>
    </r>
    <r>
      <rPr>
        <sz val="12"/>
        <color theme="1"/>
        <rFont val="Times New Roman"/>
        <family val="1"/>
      </rPr>
      <t xml:space="preserve"> (as per ISI standards) 4 Kg/Sq.cm. Prince/sudhakar or any ISI brand and fixing all special such as plain bends, off sets, door bends, single junctions, double junctions as per site requirement, fixing with PVC clamps if necessary with required number of Bombay nails including cost and conveyance of all materials to site, labour charges etc.complete for finished item of work at all floor levels. (APSS No. 1302  1319 &amp; 1326)</t>
    </r>
  </si>
  <si>
    <r>
      <t xml:space="preserve">Supplying &amp; fixing </t>
    </r>
    <r>
      <rPr>
        <b/>
        <sz val="12"/>
        <color theme="1"/>
        <rFont val="Times New Roman"/>
        <family val="1"/>
      </rPr>
      <t>GI  pipe Medium Grade properties &amp; weight</t>
    </r>
    <r>
      <rPr>
        <sz val="12"/>
        <color theme="1"/>
        <rFont val="Times New Roman"/>
        <family val="1"/>
      </rPr>
      <t xml:space="preserve"> as per IS 1239 ISI mark  with GI fittings in ground or on wall  including cost of tees, elbows, bends, reducers, couplings, running joints, union flanges, unions etc.  with necessary excavation in all types of soils except rock requiring blasting, refilling, chiselling masonry walls and making good the walls &amp; floors to the original surface and fixing MS clamps on TW blocks on walls including cost and conveyance of all materials and labour charges complete for finished item of work.</t>
    </r>
  </si>
  <si>
    <r>
      <t>Supplying and fixing PPR ball  valve</t>
    </r>
    <r>
      <rPr>
        <sz val="12"/>
        <color theme="1"/>
        <rFont val="Times New Roman"/>
        <family val="1"/>
      </rPr>
      <t xml:space="preserve"> of 25 mm dia confirming to DIN standards 8077/8092 , Indian make heavy type including cost and conveyance of all materials , labour charges etc. complete for finished item of work.</t>
    </r>
  </si>
  <si>
    <r>
      <t>Supplying and fixing PPR ball  valve</t>
    </r>
    <r>
      <rPr>
        <sz val="12"/>
        <color theme="1"/>
        <rFont val="Times New Roman"/>
        <family val="1"/>
      </rPr>
      <t xml:space="preserve"> of 32 mm dia confirming to DIN standards 8077/8092 , Indian make heavy type including cost and conveyance of all materials , labour charges etc. complete for finished item of work.</t>
    </r>
  </si>
  <si>
    <r>
      <t>Supplying and fixing PPR ball  valve</t>
    </r>
    <r>
      <rPr>
        <sz val="12"/>
        <color theme="1"/>
        <rFont val="Times New Roman"/>
        <family val="1"/>
      </rPr>
      <t xml:space="preserve"> of 40 mm dia confirming to DIN standards 8077/8092 , Indian make heavy type including cost and conveyance of all materials , labour charges etc. complete for finished item of work.</t>
    </r>
  </si>
  <si>
    <r>
      <t>Supplying and fixing PPR ball  valve</t>
    </r>
    <r>
      <rPr>
        <sz val="12"/>
        <color theme="1"/>
        <rFont val="Times New Roman"/>
        <family val="1"/>
      </rPr>
      <t xml:space="preserve"> of 50 mm dia confirming to DIN standards 8077/8092 , Indian make heavy type including cost and conveyance of all materials , labour charges etc. complete for finished item of work.</t>
    </r>
  </si>
  <si>
    <r>
      <rPr>
        <b/>
        <sz val="12"/>
        <color theme="1"/>
        <rFont val="Times New Roman"/>
        <family val="1"/>
      </rPr>
      <t xml:space="preserve">Supplying &amp; Laying 152.4 mm SWG channels with cement mortar joints with suitable brick masonry for fixing the channels in position </t>
    </r>
    <r>
      <rPr>
        <sz val="12"/>
        <color theme="1"/>
        <rFont val="Times New Roman"/>
        <family val="1"/>
      </rPr>
      <t xml:space="preserve"> including cost and conveyance of all materials and labour charges, overheads &amp; contractors profit complete for finished item of work for all  floors.</t>
    </r>
  </si>
  <si>
    <r>
      <t>Supplying and fixing of 101.60mm x 609.60mm white glazed porcelain channels</t>
    </r>
    <r>
      <rPr>
        <sz val="12"/>
        <color theme="1"/>
        <rFont val="Times New Roman"/>
        <family val="1"/>
      </rPr>
      <t xml:space="preserve"> 1st quality fixed in brick masonry  to the required slopes , white cement pointing including cost and conveyance of all materials and labour charges , overheads &amp; contractors profit complete for finished item of work for all  floors.</t>
    </r>
  </si>
  <si>
    <r>
      <t>Construction of brick masonry support for GI pipe of size 304.80mm x 228.60mm x 228.60 mm</t>
    </r>
    <r>
      <rPr>
        <sz val="12"/>
        <color theme="1"/>
        <rFont val="Times New Roman"/>
        <family val="1"/>
      </rPr>
      <t xml:space="preserve"> in CM (1:8) prop including plastering and finishing with 12mm thick in CM (1:5)  including cost and conveyance of all materials and all labour charges etc. complete </t>
    </r>
  </si>
  <si>
    <r>
      <t>Supplying and fixing of 16mm to 20 mm thick polished marble slab partitioins of size 4' 0" x 2' 0" for urinals</t>
    </r>
    <r>
      <rPr>
        <sz val="12"/>
        <color theme="1"/>
        <rFont val="Times New Roman"/>
        <family val="1"/>
      </rPr>
      <t xml:space="preserve"> including full rounding the edges , fixing in position, polishing, including cost and conveyance of all materials and labour charges , overheads &amp; contractors profit complete for finished item of work for all  floors.</t>
    </r>
  </si>
  <si>
    <t>Reinforced cement mortar Facia 5 cm thick  in CM (1:3) for drop walls, Fins &amp; staircase railing with rabbit wire mesh &amp; nominal reinforcement as directed by Engineer-in-charge with dubara spong finishing including cost &amp; conveyence of all materials to site, including  sales and other taxes on all  materials and all operational, incidental charges such as labour charges, like mixing cement mortar, scaffolding charges, lift charges, curing, for making 50 mm thick RCM Paradah walls (RCM Drop walls) including tying Rabbit (chicken) wire mesh to the existing mild steel / HYSD Steel reinforcement applying mortar lumps, finishing, plastering to both faces, sponge finishing etc complete for finished item of work but excluding cost of steel and its fabrication charges and seigniorage charges in All Floors</t>
  </si>
  <si>
    <t xml:space="preserve">Vibrated Reinforced Cement Concrete  M 25 Design Mix ( by weigh batching / Mixer  ) using 20mm size (SS5)  hard blasted Trap machine crushed graded metal (Coarse aggregate) from approved quarry, using a minimum quantity of 380 kgs. of cement per 1 cum of concreteincluding cost and conveyance of  all materials  like cement,  fine aggregate (Sand), coarse aggregate, water etc., to site and cost of  all materials including  centering using  Steel scaffolding pipes, jack Props, wallers, Foot plates, brackets, steel Centering Plates,etc., shuttering , machine mixing, laying concrete, vibrating,lift charges, curing etc, complete but excluding cost of steel and it’s fabrication charges but excluding seigniorage charges for finished item of work (APSS No. 402 &amp; 403) </t>
  </si>
  <si>
    <t>Vibrated Reinforced Cement Concrete  M 25 Design Mix ( by weigh batching  ) using 20mm size (SS5)  hard blasted Trap machine crushed graded metal (Coarse aggregate) from approved quarry, using a minimum quantity of 380 kgs. of cement per 1 cum of concreteincluding cost and conveyance of  all materials  like cement,  fine aggregate (Sand), coarse aggregate, water etc., to site and cost of  all materials including  centering using  Steel scaffolding pipes, jack Props, wallers, Foot plates, brackets, steel Centering Plates,etc., shuttering , machine mixing, laying concrete, vibrating,lift charges, curing etc complete but excluding cost of steel and it’s fabrication charges for finished item of work but excluding seigniorage charges (APSS No. 402 &amp; 403)</t>
  </si>
  <si>
    <t>GENERAL ABSTRACT</t>
  </si>
  <si>
    <t>Sl.No.</t>
  </si>
  <si>
    <t>Internal Sanitary &amp; Water Supply</t>
  </si>
  <si>
    <t>Internal Electrification</t>
  </si>
  <si>
    <t>Sub total &gt;&gt;&gt;</t>
  </si>
  <si>
    <t>Add GST @ 12%</t>
  </si>
  <si>
    <t xml:space="preserve">Provision for PS charges @ 5% </t>
  </si>
  <si>
    <t>Provision for NAC Contribution @ 0.1 %</t>
  </si>
  <si>
    <t>Provision for Seginarage Charges @ 1 %</t>
  </si>
  <si>
    <t xml:space="preserve">Provision for QC Charges 0.5% </t>
  </si>
  <si>
    <t>Provision for RO plants 3 no</t>
  </si>
  <si>
    <t>LS amount towards other unforeseen items</t>
  </si>
  <si>
    <t>Grand Total &gt;&gt;&gt;</t>
  </si>
  <si>
    <t>S.No</t>
  </si>
  <si>
    <t>Amount 
(Rs.)</t>
  </si>
  <si>
    <t>NO</t>
  </si>
  <si>
    <t xml:space="preserve"> 75mmdia</t>
  </si>
  <si>
    <t>15.90mm OD pipe</t>
  </si>
  <si>
    <t>22.20mm OD pipe</t>
  </si>
  <si>
    <t>28.60mm OD pipe</t>
  </si>
  <si>
    <t>Sub Total (WS):</t>
  </si>
  <si>
    <t>S. NO.</t>
  </si>
  <si>
    <t>Description of Work</t>
  </si>
  <si>
    <t>in fig.</t>
  </si>
  <si>
    <t>CONDUIT PIPE</t>
  </si>
  <si>
    <t>Supply and Fixing of ISI 25mm outer dia heavygrade, FRLS with IS:9537 part 3 regid PVC pipe. concealed in Roof Slabs with all required accessories including masonary work  and labour charges etc., complete. Makes : Sudhakar / Goldmedal / Modi / AKG / VIP / MillionPlast / Precision</t>
  </si>
  <si>
    <t>mts</t>
  </si>
  <si>
    <t xml:space="preserve">Supply and Fixing of ISI 25mm outer dia mediumgrade, FRLS with IS:9537 part 3 regid PVC pipe. concealed in wall with all required accessories including masonary work for light, fan and separate plug point with 8 or 9 Module Hot dip galvanized Metal Box including all labour charges etc., complete.  Makes : Sudhakar / Goldmedal / Modi / AKG / VIP / MillionPlast / Precision
</t>
  </si>
  <si>
    <t xml:space="preserve">Supply and fixing of concealed box PVC/MS with hook for fan Supply and fixing PVC / MS galvanished Fan hook box with hook including all Labour charges etc., complete. </t>
  </si>
  <si>
    <t>Pts</t>
  </si>
  <si>
    <t>Wiring with 2 runs of 14/0.3mm (1.0 Sq.mm) Fire Retardant Low Smoke (FRLS) /  HFFR P.V.C. insulated 1100 V Grade as per IS: 694 / 1990 specification for flexible copper cable (ISI MARK) in existing pipe with 6A 1 way  modular switch, Ceiling rose  including all labour charges etc., complete for light, bell, fan and exhaust fan points in Residential Buildings  Makes of Wires : Finolex / RR kabel / Havells / APAR EBXL / KEI /L&amp;T / V-Guard                               
 Makes of Switches : Legrand Myrius / Cabtree Verona / Million / Logus/ Gold Medal Curve / Anchor Roma viola / CPL / GreatWhite / Vimal / GM Four-Five / HPL / L&amp;T / Salzar / Stanjo</t>
  </si>
  <si>
    <t>Wiring with 2 runs of 14/0.3mm (1.0 Sq.mm) Fire Retardant Low Smoke (FRLS) P.V.C. insulated flexible copper cable (ISI MARK) in existing pipe with 6A 2 Way MODULAR switch, Ceiling rose and modular cover frame to switch control box including all labour charges etc., complete for Stair case and 2 way light / fan points in Non-Residential Buildings 
Makes of Wires : Finolex / RR kabel                                       Makes of Switches : GM G Home /Anchor Penta Cherry / Gold Madel Olive / Million Zoom / Great White</t>
  </si>
  <si>
    <t>Sockets &amp; Switches</t>
  </si>
  <si>
    <t>Supply and fixing of 6A 3/2 pin Modular wall plug socket with shutter and 6A 1 way  modular switch control on a common switch board with earth continuity including wire leads, earth connections along with all labour charges etc., complete.   Makes of Switches : Legrand myreus/Crabtree verona / Gold Madel curve / Million / LogusAnchor Roma viola / Great White /CPL/Vimal/ GM four-five/HPL/L&amp;T/Salzar / Stanjo</t>
  </si>
  <si>
    <t>Supply and fixing of 3 Nos 6A ISI mark Modular type switch with 3Nos  6A 3/2 pin wall plug socket on suitable size Modular deep box with cover frame  GI switch box  fixing on separate board including all labour charges etc., complete.
Makes of Wires : Finolex / RR kabel / Havells / APAR EBXL / KEI /L&amp;T / V-Guard                               
 Makes of Switches : Legrand Myrius / Cabtree Verona / Million / Logus/ Gold Medal Curve / Anchor Roma viola / CPL / GreatWhite / Vimal / GM Four-Five / HPL / L&amp;T / Salzar / Stanjo</t>
  </si>
  <si>
    <t>Supply and Fixing of 16A/6A 3pin plug socket with shutter and 16A modular  switch control  duly recessed in wall with Galvanised hot deep box of with common switch board including earth connections and all labour charges etc., complete. Makes of Switches : Legrand myreus/Crabtree verona / Gold Madel curve / Million / LogusAnchor Roma viola / Great White /CPL/Vimal/ GM four-five/HPL/L&amp;T</t>
  </si>
  <si>
    <t>Supply and run of 1 of 22/0.3 mm ( 1.5 sq.mm) FRLS  / HFFR PVC insulated 1100 V grade as per IS: 694 / 1990 specifications for flexible copper cable for existing pipe for earth continuity including all labour charges etc., complete.                    
Makes of Wires : Finolex / RR kabel / Havells / APAR EBXL / KEI /L&amp;T / V-Guard.</t>
  </si>
  <si>
    <t>Mts</t>
  </si>
  <si>
    <t>Supply and run of 2 of 2.5 Sq mm PVC F.R L.S. / HFFR P.V.C. insulated flexible copper cable 1100 V grade as per IS: 694 / 1990 specifications and 1 run of 1.00 Sq mm  F.R L.S. / HFFR P.V.C. insulated flexible copper cable 1100 V grade as per IS: 694 / 1990 specifications in the existing conduit pipe for run  of mains from main panel  board to TPN  DB'S  with pin type lugs and connection. Makes of Wires : Finolex / RR kabel / Havells / APAR EBXL / KEI /L&amp;T / V-Guard.</t>
  </si>
  <si>
    <t>Distribution Board</t>
  </si>
  <si>
    <t>Supply and fixing  Distribution board with 20A single phase plug and Socket, in sheet steel enclosure with 10/16/20A SP MCB including internal connection and labour charges for flush mounting etc., complete
Makes  : Legrand / Schneider / Siemens / L&amp;T Makes of MCB: Legrand-DX3 / Schneider-Acti9 / Siemens / L&amp;T Exora.</t>
  </si>
  <si>
    <t>Supply and fixing 8 Way SPN Distribution board with IP-43 protection (Metal Door) suitable for 1 No. 40 A single phase ELCB / RCCB/DP Isolator as incomer and 8 Nos. 6-32 A 10kA SP MCBs as outing going including internal connection and labour charges for surface / flush mounting etc., complete Makes : Legrand / Schneider / Siemens / L&amp;T</t>
  </si>
  <si>
    <t>Supply and fixing 4 WAY TPN Distribution board with IP-43 protection (Metal Door) as per IS 13032 and  suitable for 1 No. 3 phase 40A FP Isolator as incomer and 12 Nos 10kA 10-32 A SP MCBs as outing goings including internal connection and labour charges for  flush mounting etc., complete. Make: Legrand / Schneider/Seimens/L&amp;T</t>
  </si>
  <si>
    <t>Supply and fixing 4 WAY TPN Distribution board with IP-43 protection (Metal Door) as per IS 13032 and  suitable for 1 No. 3 phase 63A FP Isolator as incomer and 12 Nos 10kA 10-32 A SP MCBs as outing goings including internal connection and labour charges for  flush mounting etc., complete. Make: Legrand / Schneider/Seimens/L&amp;T</t>
  </si>
  <si>
    <t>Supply and fixing 8 Way TPN  - Vertical type Distribution board with IP -43 Protection  with 125A, 4 Pole 25 kA MCCB as incomer with 4Nos 63A TP MCBs and 12 Nos. 10 kA SPMCBs as outgoing including internal connection and labour charges for  flush mounting etc. Make: Legrand / Schneider/Seimens/L&amp;T</t>
  </si>
  <si>
    <t>Earthings</t>
  </si>
  <si>
    <t xml:space="preserve">Providing  independent  earthling  by C450 excavating a trench to a depth of 2.1 M in  all  soils,  as  per  size  specified  in  the Data,  using  40mm  dia  'B'  class  GI  pipe of  2.5  Mtrs  length  with  necessary  accessories  with  hume  pipe  ring  duly providing  staggered  holes    including filling with equal proportion of Salt and Charcoal  in  layers  and  all  labour charges  etc.,  complete  </t>
  </si>
  <si>
    <r>
      <t xml:space="preserve">Supply and Run of </t>
    </r>
    <r>
      <rPr>
        <b/>
        <sz val="10"/>
        <rFont val="Arial"/>
        <family val="2"/>
      </rPr>
      <t xml:space="preserve">No.8 SWG G.I wire </t>
    </r>
    <r>
      <rPr>
        <sz val="10"/>
        <rFont val="Arial"/>
        <family val="2"/>
      </rPr>
      <t xml:space="preserve">including cost of all accessories and labour charges etc., complete. (0.104Kgs/1Mtr) </t>
    </r>
  </si>
  <si>
    <t>Supply and fixing of batten holder / slanting holder (Makes : Anchor / Gold Medal Olive / Million Zoom). in lieu of ceiling rose of light point complete with all connections and all labour charges with 18 Watt CFL bulb Makes : Phillips / Crompton / Bajaj / Surya / Havells / HPL/ Halonix.</t>
  </si>
  <si>
    <t>Supply of 48" (1200mm) 5 star rated Sweep ISI mark Ceiling Fan as per IS 374 - 1979 and, with double ball bearings but without Regulator. with all standard accessories.
Makes : Crompton / Bajaj  / Orient</t>
  </si>
  <si>
    <t>Supply and fixing of modular Electronic stept type fan regulator hum free step type  socket size with MS box, front plate in the existing switch board ( Modular Type )  Makes :Makes : Legrand Arteor / Schneider Zen celo / Honeywell Blenge Plus / Cabtree Amare / Logus Platina.</t>
  </si>
  <si>
    <t>Labour charges for Fixing of Ceiling fan and regulator including transportation and giving connections  with twin core wire etc., complete.    Makes : Finolex / RR Kabel / Havells / Polycab / GM / Million / V-Guard / Gold Medal / Kundancab / HPL / RPG /Nandicab / Nakoda / Payal / Finecab / Gemini / Vimal /Suncab</t>
  </si>
  <si>
    <t>Telephone</t>
  </si>
  <si>
    <t>Mtrs</t>
  </si>
  <si>
    <t>Supply and fixing of telephone jack type  socket with top on  MS box with modular plate cover with screws connections etc., Makes : GM G Home / Gold Medal Olive / Million Zoom /Anchor Penta Cherry / Great white Omega / HPL</t>
  </si>
  <si>
    <t>UG cables</t>
  </si>
  <si>
    <t>Supply of  the following PVC XLPE armoured cable 1100 V. Grade with ISI mark stranded / solid, aluminimum  conductor complete 
Make: Universal / Unicab / TORRENT/ Polycab /Havells / KEI</t>
  </si>
  <si>
    <t>Earth work excavation of Trench in hard ground soil, laying of U.G cables upto 50 Sq,mm on sand cushion covering the cable with bricks and back filling of Trench duly providing route indicator  embedded in C.C including  cost and conveyance of materials and labour charges etc., complete.</t>
  </si>
  <si>
    <t>Cable Termination</t>
  </si>
  <si>
    <t>Supply and Fixing of single compression brass cable glands for 3.5 core following armoured  cable with brass washers, lugs etc., complete.</t>
  </si>
  <si>
    <t>Sub Total Amount</t>
  </si>
  <si>
    <t>Unit 
(in words)</t>
  </si>
  <si>
    <t>CUM</t>
  </si>
  <si>
    <t>Footings</t>
  </si>
  <si>
    <t>Plinth beams</t>
  </si>
  <si>
    <t>Columns  upto an un-supported height of 3.66m</t>
  </si>
  <si>
    <t>Ground Floor :</t>
  </si>
  <si>
    <t>Roof beams @ 3.66mts level</t>
  </si>
  <si>
    <t xml:space="preserve">Roof Slabs </t>
  </si>
  <si>
    <t>Slabs 125 mm thick upto an un-supported height of 3.66m</t>
  </si>
  <si>
    <t>Lintels</t>
  </si>
  <si>
    <t>i</t>
  </si>
  <si>
    <t>Treads</t>
  </si>
  <si>
    <t>Risers</t>
  </si>
  <si>
    <t>Sub Total ::(Civil Works)</t>
  </si>
  <si>
    <t>In Figures</t>
  </si>
  <si>
    <t>ii</t>
  </si>
  <si>
    <t>Civil/Sft</t>
  </si>
  <si>
    <t>Total Steel</t>
  </si>
  <si>
    <t>in Kgs</t>
  </si>
  <si>
    <t>Steel/Sft</t>
  </si>
  <si>
    <t>S.NO</t>
  </si>
  <si>
    <t>L(M)</t>
  </si>
  <si>
    <t>B(M)</t>
  </si>
  <si>
    <t>D(M)</t>
  </si>
  <si>
    <t>QUANTITY</t>
  </si>
  <si>
    <t>Deductions</t>
  </si>
  <si>
    <t>PCC (1:4:8) for column footings</t>
  </si>
  <si>
    <t>For Column Footings</t>
  </si>
  <si>
    <t>PCC (1:5:10)</t>
  </si>
  <si>
    <t>C1</t>
  </si>
  <si>
    <t>C2</t>
  </si>
  <si>
    <t>Under Internal Plinth Beams</t>
  </si>
  <si>
    <t>Horizontals</t>
  </si>
  <si>
    <t>Deduction of Columns</t>
  </si>
  <si>
    <t>Verticals</t>
  </si>
  <si>
    <t>Qty Same as ceramic flooring</t>
  </si>
  <si>
    <t xml:space="preserve">Earth filling with available earth </t>
  </si>
  <si>
    <t>Qty as per excavation</t>
  </si>
  <si>
    <t>Qty as per PCC (1:4:8)</t>
  </si>
  <si>
    <t>Qty as per PCC (1:5:10)</t>
  </si>
  <si>
    <t>Qty as per footing</t>
  </si>
  <si>
    <t>f</t>
  </si>
  <si>
    <t xml:space="preserve">Qty as per columns upto Ground level </t>
  </si>
  <si>
    <t>Basement Filling</t>
  </si>
  <si>
    <t>For Foundation</t>
  </si>
  <si>
    <t>For Base ment</t>
  </si>
  <si>
    <t>Foundation</t>
  </si>
  <si>
    <t>Basement</t>
  </si>
  <si>
    <t>VRCC M25 design mix</t>
  </si>
  <si>
    <t>VRCC</t>
  </si>
  <si>
    <t>GL to Plinth top level</t>
  </si>
  <si>
    <t>iii</t>
  </si>
  <si>
    <t>Columns P.B Top to Roof slab bottom</t>
  </si>
  <si>
    <t>Total Qty of Columns</t>
  </si>
  <si>
    <t>Upto G.L</t>
  </si>
  <si>
    <t>From GL to Plinth level</t>
  </si>
  <si>
    <t>Above plinth</t>
  </si>
  <si>
    <t>Roof Beams @3.6 Mts Level</t>
  </si>
  <si>
    <t xml:space="preserve">Roof slab </t>
  </si>
  <si>
    <t>Roof Slab 125mm thick</t>
  </si>
  <si>
    <t>V</t>
  </si>
  <si>
    <t>RCC M20 grade mix</t>
  </si>
  <si>
    <t>Lofts 50mm thick</t>
  </si>
  <si>
    <t>Racks and shelves 25mm</t>
  </si>
  <si>
    <t>230 mm thick brick masonary</t>
  </si>
  <si>
    <t>Deduction of columns</t>
  </si>
  <si>
    <t>PCC (1:3:6) for Bedblocks</t>
  </si>
  <si>
    <t>Hold fasts</t>
  </si>
  <si>
    <t>Columns Footings</t>
  </si>
  <si>
    <t>Kgs/Cum</t>
  </si>
  <si>
    <t>Roof Beams upto 3.60 mts level</t>
  </si>
  <si>
    <t>Mild Steel</t>
  </si>
  <si>
    <t>Lofts</t>
  </si>
  <si>
    <t>Shelves</t>
  </si>
  <si>
    <t>RBM</t>
  </si>
  <si>
    <t>Kgs/Sqm</t>
  </si>
  <si>
    <t>Internal plastering 12 mm thick</t>
  </si>
  <si>
    <t>Flooring</t>
  </si>
  <si>
    <t>Skirting with Polished shahabad stone</t>
  </si>
  <si>
    <t>DADOOING with glazed tiles</t>
  </si>
  <si>
    <t xml:space="preserve">Treads </t>
  </si>
  <si>
    <t xml:space="preserve">Risers </t>
  </si>
  <si>
    <t>Same as ceiling plastering</t>
  </si>
  <si>
    <t>Plastic Emulsion Paint for interior faces of walls</t>
  </si>
  <si>
    <t>Same as internal plastering</t>
  </si>
  <si>
    <t>Plastic emulsion paint for external plastering</t>
  </si>
  <si>
    <t xml:space="preserve">Painting to wood woork </t>
  </si>
  <si>
    <t>Prepainted steel ventilators</t>
  </si>
  <si>
    <t>V4</t>
  </si>
  <si>
    <t>Cupboard</t>
  </si>
  <si>
    <t>under lintels</t>
  </si>
  <si>
    <t>Non-skid Ceramic Tiles</t>
  </si>
  <si>
    <t>Skirting</t>
  </si>
  <si>
    <t>Whiting for ceiling</t>
  </si>
  <si>
    <t>Doors</t>
  </si>
  <si>
    <t>Wooden Doors</t>
  </si>
  <si>
    <t>Terrace</t>
  </si>
  <si>
    <t>Polished granite Platforms</t>
  </si>
  <si>
    <t>Horizontal</t>
  </si>
  <si>
    <t>Vertical</t>
  </si>
  <si>
    <t>Dummy columns</t>
  </si>
  <si>
    <t>Ceiling plastering</t>
  </si>
  <si>
    <t>PVC down take pipe</t>
  </si>
  <si>
    <t>Supply, Laying, Jointing SWG line</t>
  </si>
  <si>
    <t>4" dia SWG line</t>
  </si>
  <si>
    <t>Gully trap to Man hole</t>
  </si>
  <si>
    <t>Inspection Chamber to Manhole</t>
  </si>
  <si>
    <t>6" dia SWG line</t>
  </si>
  <si>
    <t>Gully traps</t>
  </si>
  <si>
    <t>Inspection chambers</t>
  </si>
  <si>
    <t>Man holes</t>
  </si>
  <si>
    <t xml:space="preserve">3' - 0' Depth </t>
  </si>
  <si>
    <t xml:space="preserve"> Floor Traps</t>
  </si>
  <si>
    <t>IWC</t>
  </si>
  <si>
    <t>European EWC</t>
  </si>
  <si>
    <t>Wash hand basins</t>
  </si>
  <si>
    <t>Soap dish</t>
  </si>
  <si>
    <t>Mirrors</t>
  </si>
  <si>
    <t>Towel rods</t>
  </si>
  <si>
    <t>NP bib taps</t>
  </si>
  <si>
    <t>ASHIRVAD / AJAY / ASTRAL CPVC Pipes</t>
  </si>
  <si>
    <t>TAPS</t>
  </si>
  <si>
    <t>Long Body</t>
  </si>
  <si>
    <t>Wash Basin</t>
  </si>
  <si>
    <t>Internal Connection</t>
  </si>
  <si>
    <t>Down take pipe</t>
  </si>
  <si>
    <t>Terrace To Ground Floor</t>
  </si>
  <si>
    <t>SWR PVC pipes</t>
  </si>
  <si>
    <t>75mm dia</t>
  </si>
  <si>
    <t>Internal Connections</t>
  </si>
  <si>
    <t>110 mm dia down take pipe</t>
  </si>
  <si>
    <t>CPVC  Pipes</t>
  </si>
  <si>
    <t>Terrace Ring Main</t>
  </si>
  <si>
    <t xml:space="preserve"> Valves (Brass valve or Gunmetal gate valve)</t>
  </si>
  <si>
    <t>Construction of brick masonry support</t>
  </si>
  <si>
    <t xml:space="preserve">Earth work excavation by Machinary up to 3.0m </t>
  </si>
  <si>
    <t>All round the Building</t>
  </si>
  <si>
    <t>Under Flooring</t>
  </si>
  <si>
    <t>Total Earth to be Filled</t>
  </si>
  <si>
    <t>Basement filling</t>
  </si>
  <si>
    <t>Quantity same as  filling sides of foundation and Plinth</t>
  </si>
  <si>
    <t>Filling with Available Earth</t>
  </si>
  <si>
    <t>Filling with Carted Gravel</t>
  </si>
  <si>
    <t>Platforms</t>
  </si>
  <si>
    <t>Rooms</t>
  </si>
  <si>
    <t>Platform walls</t>
  </si>
  <si>
    <t>TMT STEEL</t>
  </si>
  <si>
    <t>RCM facia</t>
  </si>
  <si>
    <t>External plastering</t>
  </si>
  <si>
    <t>Ventilators</t>
  </si>
  <si>
    <t>F1</t>
  </si>
  <si>
    <t>F2</t>
  </si>
  <si>
    <t>C1/F1</t>
  </si>
  <si>
    <t>Ded for Dadooing with glazed tiles</t>
  </si>
  <si>
    <t>Impervious Coat</t>
  </si>
  <si>
    <t>150mm thick RCC side walls</t>
  </si>
  <si>
    <t>Terrace Floor :</t>
  </si>
  <si>
    <t>Terrace Floor</t>
  </si>
  <si>
    <t>110mmdia</t>
  </si>
  <si>
    <t>clear</t>
  </si>
  <si>
    <t>Qty same as Non skid Ceramic Flooring</t>
  </si>
  <si>
    <t>Columns  upto 3.60 mts</t>
  </si>
  <si>
    <t>Total platforms and Loft</t>
  </si>
  <si>
    <t>Parapet wall</t>
  </si>
  <si>
    <t xml:space="preserve">Deductions </t>
  </si>
  <si>
    <t>Columns upto 3.60 mts levael</t>
  </si>
  <si>
    <t>125mm thick Roof  slab</t>
  </si>
  <si>
    <t>Pre Painted Steel Windows with Flymesh</t>
  </si>
  <si>
    <t>RCM Drop</t>
  </si>
  <si>
    <t>DETAILED Cum ABSTRACT ESTIMATE</t>
  </si>
  <si>
    <t>Slno</t>
  </si>
  <si>
    <t>Length</t>
  </si>
  <si>
    <t>Breadth</t>
  </si>
  <si>
    <t>Height</t>
  </si>
  <si>
    <t>Or Say</t>
  </si>
  <si>
    <t>1 Sqm</t>
  </si>
  <si>
    <t>Civil Measurements</t>
  </si>
  <si>
    <t>Dia</t>
  </si>
  <si>
    <t>8mm</t>
  </si>
  <si>
    <t>16mm</t>
  </si>
  <si>
    <t>25mm</t>
  </si>
  <si>
    <t>Providing  High Yield Strength Deformed (HYSD) steel bars (TATA,SAIL,VSP,Jindal &amp; Shyam make Steel) (Fe 500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t>
  </si>
  <si>
    <t>Total Length in Meters</t>
  </si>
  <si>
    <t>Weight per meter</t>
  </si>
  <si>
    <t>Total weight in Kgs</t>
  </si>
  <si>
    <t>Long walls</t>
  </si>
  <si>
    <t>Compund Wall with Gate</t>
  </si>
  <si>
    <t>Footings F1</t>
  </si>
  <si>
    <t>PCC(1:5:10) below  Footings</t>
  </si>
  <si>
    <t>Below Plinth beam</t>
  </si>
  <si>
    <t>VRCC M25 Footings</t>
  </si>
  <si>
    <t>VRCC M25 Plinth beams</t>
  </si>
  <si>
    <t>PB</t>
  </si>
  <si>
    <t>Deduct Columns</t>
  </si>
  <si>
    <t>VRCC Curtain wall-150mm thick</t>
  </si>
  <si>
    <t>VRCC Columns</t>
  </si>
  <si>
    <t>From Footing Top to PB Bottom</t>
  </si>
  <si>
    <t>From  PB Bottom to Compound wall height</t>
  </si>
  <si>
    <t>Footings,Columns,Plnth beam,Curtain wall</t>
  </si>
  <si>
    <t>1 MT</t>
  </si>
  <si>
    <t>Brick work(1:8)</t>
  </si>
  <si>
    <t>Add column sides</t>
  </si>
  <si>
    <t>Top and Bottom</t>
  </si>
  <si>
    <t>Wicket gate</t>
  </si>
  <si>
    <t>Main Gate</t>
  </si>
  <si>
    <t>1Kg</t>
  </si>
  <si>
    <t>Qty same as plastering</t>
  </si>
  <si>
    <t>Mat 10 tor both ways</t>
  </si>
  <si>
    <t>Rings</t>
  </si>
  <si>
    <t>Plinth beam</t>
  </si>
  <si>
    <t>Bottom 10 tor</t>
  </si>
  <si>
    <t>Top 10 tor</t>
  </si>
  <si>
    <t>Retaning wall</t>
  </si>
  <si>
    <t xml:space="preserve">Supply and Fixing of Door with Single leaf shutter, Door Size 1.05x2.13 mtrs with Medium teak Wood Frame of sections size 75mm x 100mm with Flush Door Shutter Solid Bond Wood black board type with commercial ply on both faces of 35mm thick including cost of fixtures such as MS Powder coated Tower Bolts 250mm long 1 Nos, MS Powder coated Handels 150mm long 1 No, 300mm long MS Powder coated Aldrops 1No, 125mm long MS Powder coated butt hinges 3 Nos, 250 mm long MS Powder coated Flat latch 1No, Door stoppers 1 Nos, MS Hold fasts 6Nos Sales and Other Taxes cost and convenyance of all materials to site all Labour charges such as Fixing of Door Frame on shutter Fixing in position , with Hardware fixtures etc., complte for finsihed item of work. </t>
  </si>
  <si>
    <t xml:space="preserve">Horizental 1 x 1.05 x 0.075 x 0.10       = </t>
  </si>
  <si>
    <t xml:space="preserve">                                   1x0.93x2.05 =  1.80 Sqm</t>
  </si>
  <si>
    <t>or per sft</t>
  </si>
  <si>
    <t>Civil works</t>
  </si>
  <si>
    <t>Horizental 1 x 1.8 x 0.075 x 0.10       = 0.01125</t>
  </si>
  <si>
    <t xml:space="preserve">Supply and Fixing of Door with Double leaf shutter, Door Size 1.8x2.13mtrs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Door stoppers 2 Nos, MS Hold fasts 6Nos, Sales and Other Taxes cost and convenyance of all materials to site all Labour charges such as Fixing of Door Frame and shutter Fixing in position , with Hardware fixtures etc., complete for finsihed item of work. </t>
  </si>
  <si>
    <t xml:space="preserve">                                   1x1.70x2.03 =  2.84 Sqm</t>
  </si>
  <si>
    <t>DOOR SIZE 1.8 x 2.13 mtrs : Area =3.83 Sqm</t>
  </si>
  <si>
    <t xml:space="preserve">Plain Cement Concrete corresponding to M5 grade as per IS 456 equivalent to (1:5:10) proportion nominal mix (cement: fine aggregate: Coarse aggregate) using,40mm size Hard Blasted Granite (IS383, 1970) metal from approved quarry including cost and conveyance of all materials like cement, sand, coarse aggregate, water etc. to site, including  sales &amp; other taxes on all materials, all operational, incidental,  and labour charges such as mixing, laying and ramming concrete in layers in position not exceeding 15cm, finishing top surface, curing concrete,  etc., complete but excluding seigniorage chargesfor finished item of work for Foundations and Flooring Bed (APSS No. 402) </t>
  </si>
  <si>
    <t xml:space="preserve">Providing  High Yield Strength Deformed (HYSD) steel bars (Fe 500 grade as per IS 1786-1985) of 8mm to 40mm diameters, (TATA, SAIL, VSP,JSW &amp; Shyam Steel)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t>
  </si>
  <si>
    <t xml:space="preserve">Earth work excavation and depositing on bank (manual means) with initial lead of 10m and initial lift of 3m in Loamy &amp; Clayey Soils like BC Soils, Red Earth &amp; Ordinary Gravelly Soils ( SS 20-B) including all operational incidental labour charges such as  shoring, strutting, sheeting, planking and dewatering including cost of hire charges of T &amp; P, labour charges etc., complete for finished item of work excluding seignerage charges and dewatering charges etc., complete for Foundation of Building.(APSS No. 308) </t>
  </si>
  <si>
    <t>Vibrated Reinforced Cement Concrete  M 25 Design Mix ( by weigh batching / Mixer  ) using 20mm size (SS5)  hard blasted Trap machine crushed graded metal (Coarse aggregate) from approved quarry, using a minimum quantity of 380 kgs. of cement per 1 cum of concreteincluding cost and conveyance of  all materials  like cement,  fine aggregate (Sand), coarse aggregate, water etc., to site and cost of  all materials including  centering using  Steel scaffolding pipes, jack Props, wallers, Foot plates, brackets, steel Centering Plates,etc., shuttering , machine mixing, laying concrete, vibrating,lift charges, curing etc, complete but excluding cost of steel and it’s fabrication charges but excluding seigniorage charges for finished item of work (APSS No. 402 &amp; 403)</t>
  </si>
  <si>
    <t>Filling with useful available excavated earth (excluding rock) in trenches, sides of foundations and basement with initial lead in layers not exceeding 15cm thick, consolidating each deposited layer by watering and ramming including cost and conveyence of water to work site and all operational, incidental, labour charges, hire charges of T &amp; P etc., complete for finished item of work. (APSS NO. 309 &amp; 310)</t>
  </si>
  <si>
    <t>Painting to Iron work with two coats of ready mixed synthetic enamel paint first quality all shades over an existing steel primer including cost and conveyance of all materials to site, sales &amp; other taxes, incidental, operational and all labour charges etc., complete for finished item of work. (APSS No. 1201, 1207 &amp; 1212).in All Floors</t>
  </si>
  <si>
    <t>Painting to New walls with two coats of Acrylic Emulsion paint of superior quality of approved brand and shade over base coat of cement primer interior grade -I making three coats in all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for internal Walls.(APSS No. 912) in All Floors</t>
  </si>
  <si>
    <t>Paving with precast concrete blocks of M-40 grade and thickness not less than 80 mm for Medium traffic areas  conforming to IS 15658:2006 in all shapes and designs as per the manufacturer's specification 12mm thick and pointing with CM(1:3) to full depth of flooring slabs dully filling joints neatly , including cost and conveyance of all materials like paver blocks, cement, sand, water, etc. to site,  sales and other taxes on all materials, all operational, incidental and labour charges such as mixing of cement mortar, laying, pointing, curing, lift charges etc., complete but excluding seigniorage charges for finished item of work.(APSS No.703 &amp; 701)</t>
  </si>
  <si>
    <t>Paving blocks  TBSC-C.IX-03</t>
  </si>
  <si>
    <t>Labour charges TBSC-C.IX-06</t>
  </si>
  <si>
    <t>Muncipal Allowance</t>
  </si>
  <si>
    <t>ABSTRACT ESTIMATE FOR SECURITY</t>
  </si>
  <si>
    <t>Detailed Estimate - Ground Floor</t>
  </si>
  <si>
    <t>Qty same as Polished shahabad stone Flooring</t>
  </si>
  <si>
    <t>Qty same as Polished shahabad stone  Flooring</t>
  </si>
  <si>
    <t>A1-A2,B1-B2,C1-C2</t>
  </si>
  <si>
    <t>A1-C1,A2-C2</t>
  </si>
  <si>
    <t>D6</t>
  </si>
  <si>
    <t>PW5</t>
  </si>
  <si>
    <t>CG1</t>
  </si>
  <si>
    <t>CG2</t>
  </si>
  <si>
    <t>D7</t>
  </si>
  <si>
    <t>Reception</t>
  </si>
  <si>
    <t>Brick Pillars</t>
  </si>
  <si>
    <t xml:space="preserve">Entrance steps </t>
  </si>
  <si>
    <t>110 mm brick walls</t>
  </si>
  <si>
    <t>Platfrom supporting walls</t>
  </si>
  <si>
    <t>C.G</t>
  </si>
  <si>
    <t>brick pillar sides</t>
  </si>
  <si>
    <t>Qty Same as Polished shahabad stone  flooring</t>
  </si>
  <si>
    <t>Rest Room</t>
  </si>
  <si>
    <t>Security</t>
  </si>
  <si>
    <t>cupboard sides</t>
  </si>
  <si>
    <t>Basement  plastering</t>
  </si>
  <si>
    <t>Polished shahabad  Flooring</t>
  </si>
  <si>
    <t>Security Room</t>
  </si>
  <si>
    <t>Door entrance</t>
  </si>
  <si>
    <t>Half rounding the platform</t>
  </si>
  <si>
    <t>Polished Shahahbad</t>
  </si>
  <si>
    <t>Same external plastering</t>
  </si>
  <si>
    <t>D6(1.05 X 2.13)</t>
  </si>
  <si>
    <t>Curting glazing</t>
  </si>
  <si>
    <t>Room</t>
  </si>
  <si>
    <t>ABSTRACT ESTIMATE FOR  WATER SUPPLY &amp; SANITARY ARRANGEMENTS FOR SECURITY BUILDING</t>
  </si>
  <si>
    <t>DETAILED ESTIMATE FOR WATER SUPPLY &amp; SEWERAGE</t>
  </si>
  <si>
    <t xml:space="preserve"> Bib Taps 400 gms</t>
  </si>
  <si>
    <t>28.60mm OD pipe@drinking</t>
  </si>
  <si>
    <t>32mm  (@Terrace Lvl)</t>
  </si>
  <si>
    <t>PVC Tank</t>
  </si>
  <si>
    <t>Qty as per RCC upto GL</t>
  </si>
  <si>
    <t>150 mm thick RCC Wall</t>
  </si>
  <si>
    <t>D7 (0.75X2.13) - Frame</t>
  </si>
  <si>
    <t>D7 (0.76X2.13) - shutter</t>
  </si>
  <si>
    <t>internal walls</t>
  </si>
  <si>
    <t>external walls</t>
  </si>
  <si>
    <t>Supplying and fixing of curtain Glazing made of pre painted steel as per IS 513 of 0.58 mm thick D quality, galvanized as per IS 277 Primer coated with epoxy, finish painted with a polyester paint using the section for outer frame of 46 x 52 mm, section for mullion of 46 x 70 mm and section for beading of 18 x 25 mm and the glazing with 5 mm thick plain float glass fitted with EPDM gaskets including handle made of high grade Aluminium powder coated and nylon receiver, corner brackets made of CRCA with zinc phosphating, mullion caps made of Glass filled nylon including fixing the frames in the concrete / masonry wall with self expanding screws, etc.,complete for finished item in all floors</t>
  </si>
  <si>
    <t>Fixed Glazing 2'-0 x 2'-0 (609.6x609.6mm) and Fixed Glazing 2'-0 x 3'-0 (609.6x914.4mm)</t>
  </si>
  <si>
    <t>Rate as per SSR TBSC-N.I-01</t>
  </si>
  <si>
    <t>Fixed Glazing 3'-0 x 3'-0 (914.4x914.4mm) and Fixed Glazing 3'-0 x 4'-0 (914.4x1219.2mm)</t>
  </si>
  <si>
    <t>Rate as per SSR TBSC-N.I-02</t>
  </si>
  <si>
    <t>TBSP-J.I-05</t>
  </si>
  <si>
    <t>Add for MA charges</t>
  </si>
  <si>
    <t>TBSC-T.I-12</t>
  </si>
  <si>
    <t>TBSP-E.VII-04</t>
  </si>
  <si>
    <r>
      <t>Supplying and fixing of 16mm to 20 mm thick polished marble slab partitioins of size 4' 0" x 2' 0" for urinals</t>
    </r>
    <r>
      <rPr>
        <sz val="12"/>
        <color theme="1"/>
        <rFont val="Times New Roman"/>
        <family val="1"/>
      </rPr>
      <t xml:space="preserve"> including full rounding the edges, fixing in position, polishing, including cost and conveyance of all materials and labour charges etc., complete for finished item of work for all  floors.</t>
    </r>
  </si>
  <si>
    <t>Supplying and fixing of 101.60mm x 609.60mm white glazed porcelain channels 1st quality fixed in brick masonry  to the required slopes, white cement pointing including cost and conveyance of all materials and labour charges etc., complete for finished item of work for all  floors.</t>
  </si>
  <si>
    <t>Standard Data - Electrical Items SSR 2020-21</t>
  </si>
  <si>
    <t>Area allowence</t>
  </si>
  <si>
    <t>Skilled Electrician</t>
  </si>
  <si>
    <t>Overheads and contractors profit on materials</t>
  </si>
  <si>
    <t>Semi skilled  Electrician</t>
  </si>
  <si>
    <t>Overheads and contractors profit on labour</t>
  </si>
  <si>
    <t>Helpers</t>
  </si>
  <si>
    <t xml:space="preserve">Index -code </t>
  </si>
  <si>
    <t>Specific         ation No.</t>
  </si>
  <si>
    <t>Rate Rs.</t>
  </si>
  <si>
    <t>ohr</t>
  </si>
  <si>
    <t xml:space="preserve">1.4.2                               ( C ) </t>
  </si>
  <si>
    <t>Taking Output = 100 M</t>
  </si>
  <si>
    <t>a) Material</t>
  </si>
  <si>
    <t>TBSE-1.2.4</t>
  </si>
  <si>
    <t>25mm dia heavygrade PVC pipe</t>
  </si>
  <si>
    <t>100 M</t>
  </si>
  <si>
    <t>TBSE-1.2.32</t>
  </si>
  <si>
    <t>ELEC-1.1.5</t>
  </si>
  <si>
    <t>25mm dia 1,2,3 &amp; 4 way deep Junction Box</t>
  </si>
  <si>
    <t>TBSE-1.2.37</t>
  </si>
  <si>
    <t>ELEC-1.2.7</t>
  </si>
  <si>
    <t>25mm PVC bends</t>
  </si>
  <si>
    <t>Add contr profit @13.615% on material</t>
  </si>
  <si>
    <t>Total material cost</t>
  </si>
  <si>
    <t>b) Labour charges :</t>
  </si>
  <si>
    <t>TBSE-8.1.73</t>
  </si>
  <si>
    <t>TBSE-8.1.74</t>
  </si>
  <si>
    <t>TBSE-8.1.81</t>
  </si>
  <si>
    <t>Add area allowence on labour charges @</t>
  </si>
  <si>
    <t>Add contr profit @13.615% on Labour</t>
  </si>
  <si>
    <t>C) Cost for 100 RM</t>
  </si>
  <si>
    <t>Rate per Metre = C/100</t>
  </si>
  <si>
    <t xml:space="preserve">1.4.2                               ( b ) </t>
  </si>
  <si>
    <t>25mm dia mediumgrade PVC pipe</t>
  </si>
  <si>
    <t>ELEC-9.1.4</t>
  </si>
  <si>
    <t>U' Nails</t>
  </si>
  <si>
    <t>100 Nos</t>
  </si>
  <si>
    <t xml:space="preserve">8 or 9 Module Hot dip galvanized Metal Box Horizontal / Verticle </t>
  </si>
  <si>
    <t>25mm dia 1,2,3 &amp; 4 way junction Box Normal</t>
  </si>
  <si>
    <t>ELEC-9.4.11</t>
  </si>
  <si>
    <t>Mason Ist class</t>
  </si>
  <si>
    <t>A.Material</t>
  </si>
  <si>
    <t>ELEC-9.1.22</t>
  </si>
  <si>
    <t>Fan hook box</t>
  </si>
  <si>
    <t>Add contr profit on material</t>
  </si>
  <si>
    <t>Total for material</t>
  </si>
  <si>
    <t>b) Labour charges</t>
  </si>
  <si>
    <t>Add contr profit on labour</t>
  </si>
  <si>
    <t>Rate for each</t>
  </si>
  <si>
    <t>2.1.1</t>
  </si>
  <si>
    <t>Taking Output =6 Points</t>
  </si>
  <si>
    <t>TBSE-1.5.1</t>
  </si>
  <si>
    <t>ELEC-9.2.8</t>
  </si>
  <si>
    <t>14/0.3mm (1.00 Sqmm)  FRLS PVC insulated flexible copper wire</t>
  </si>
  <si>
    <t>TBSE-1.7.1</t>
  </si>
  <si>
    <t>ELEC-1.9.2</t>
  </si>
  <si>
    <t>Supply of 6A / 10A 1 Way 1 Module Modular Switch</t>
  </si>
  <si>
    <t>TBSE-1.7.13</t>
  </si>
  <si>
    <t>ELEC-1.3.3</t>
  </si>
  <si>
    <t>Supply of 8 Modular Horizontal / Vertical Cover Frame</t>
  </si>
  <si>
    <t>ELEC-1.7.1</t>
  </si>
  <si>
    <t>6A 3 way jumbo  Ceiling Rose</t>
  </si>
  <si>
    <t>TBSE-8.1.50</t>
  </si>
  <si>
    <t>C) Cost for 6 Points</t>
  </si>
  <si>
    <t>Rate per Point = C/6</t>
  </si>
  <si>
    <t>4.A</t>
  </si>
  <si>
    <t>2.1.1 (1)</t>
  </si>
  <si>
    <t>For stair case</t>
  </si>
  <si>
    <t>Taking Output =7 Points</t>
  </si>
  <si>
    <t>ELEC-9.1.49</t>
  </si>
  <si>
    <t>Rate per Point = C/7</t>
  </si>
  <si>
    <t>2.1.4</t>
  </si>
  <si>
    <t>Taking Output = each</t>
  </si>
  <si>
    <t>Supply of 6A / 10A 3/2 Pin 2 Module
Modular Socket with shutter</t>
  </si>
  <si>
    <t>Rate per each</t>
  </si>
  <si>
    <t>Note : Labour Charges proposed for 1point considering 15 per day</t>
  </si>
  <si>
    <t>2.1.3</t>
  </si>
  <si>
    <t>Taking Output = 15 Points</t>
  </si>
  <si>
    <t>1.9.2</t>
  </si>
  <si>
    <t>6A Switch 1 way modular switch</t>
  </si>
  <si>
    <t xml:space="preserve"> 6A / 10A 3/2 Pin 2 Module Modular Socket with shutter</t>
  </si>
  <si>
    <t>1.3.3</t>
  </si>
  <si>
    <t>Supply of 3 Modular Cover Frame.</t>
  </si>
  <si>
    <t>C) Cost for 15 Points</t>
  </si>
  <si>
    <t>Rate per Points = C/15</t>
  </si>
  <si>
    <t>Supply of 8 or 9 Modular Cover Frame.</t>
  </si>
  <si>
    <t>Supply of 16A/6A 1 way Combi Socket</t>
  </si>
  <si>
    <t xml:space="preserve">16A 1 way Modular switch </t>
  </si>
  <si>
    <t>3.1.2</t>
  </si>
  <si>
    <t>ELEC-1.5.1</t>
  </si>
  <si>
    <t xml:space="preserve">22/0.3mm(1.50 sq.mm)  FRLS Copper wire </t>
  </si>
  <si>
    <t>Semi Skilled Electrician</t>
  </si>
  <si>
    <t>Note : Labour Charges considered for 150 M / day</t>
  </si>
  <si>
    <t>3.1.4 + 3.1.2</t>
  </si>
  <si>
    <t>36/0.3mm (2.5 sqmm) FR PVC copper cable</t>
  </si>
  <si>
    <t xml:space="preserve">14/0.3mm FR PVC copper cable </t>
  </si>
  <si>
    <t>Skilled Electrician (0.67 + 0.34)</t>
  </si>
  <si>
    <t>Semi skilled  Electrician (2 + 1)</t>
  </si>
  <si>
    <t>Helpers  (0.67 + 0.34)</t>
  </si>
  <si>
    <t>Sundries</t>
  </si>
  <si>
    <t>Note : Labour Charges considered for 100 M / day</t>
  </si>
  <si>
    <t>3.1.5 + 3.1.4(a)</t>
  </si>
  <si>
    <t>Supply and run of 2 of 4 Sq mm F.R L.S. / HFFR P.V.C. insulated flexible copper cable 1100 V grade as per IS: 694 / 1990 specifications and 1 run of 2.50 Sq mm  F.R L.S. / HFFR P.V.C. insulated flexible copper cable 1100 V grade as per IS: 694 / 1990 specifications in the existing conduit pipe for run  of mains from main panel  board to TPN  DB'S  with pin type lugs and connection Makes of Wires :Finolex / RR kabel / Havells / APAR EBXL / KEI /L&amp;T / V-Guard.</t>
  </si>
  <si>
    <t>56/0.3mm (4 sqmm) FR PVC copper cable</t>
  </si>
  <si>
    <t xml:space="preserve">2.5 sq mm FR PVC copper cable </t>
  </si>
  <si>
    <t>Skilled Electrician (1.0 + 0.34)</t>
  </si>
  <si>
    <t>Semi skilled  Electrician (3+1)</t>
  </si>
  <si>
    <t>Helpers (1.0+0.34)</t>
  </si>
  <si>
    <t>3.1.6 + 3.1.4(a)</t>
  </si>
  <si>
    <t>Supply and run of 2 of 6 Sq mm F.R L.S. / HFFR P.V.C. insulated flexible copper cable 1100 V grade as per IS: 694 / 1990 specifications and 1 run of 2.50 Sq mm  F.R L.S. / HFFR P.V.C. insulated flexible copper cable 1100 V grade as per IS: 694 / 1990 specifications in the existing conduit pipe for run  of mains from main panel  board to TPN  DB'S  with pin type lugs and connection.  Makes of Wires :Finolex / RR kabel / Havells / APAR EBXL / KEI /L&amp;T / V-Guard.</t>
  </si>
  <si>
    <t>84/0.3mm (6 sqmm) FR PVC copper cable</t>
  </si>
  <si>
    <t>Skilled Electrician (1.0 + 0.5)</t>
  </si>
  <si>
    <t>Semi skilled  Electrician (3+1.5)</t>
  </si>
  <si>
    <t>Helpers (1.0+0.5)</t>
  </si>
  <si>
    <t>3.1.6 + 3.1.6 +3.1.5</t>
  </si>
  <si>
    <t>84 /0.3mm (6 Sq.mm) FR PVC flexible copper cable.</t>
  </si>
  <si>
    <t>Skilled Electrician (1.0+1.0 + 0.5)</t>
  </si>
  <si>
    <t>Semi skilled  Electrician (3+3+1.5)</t>
  </si>
  <si>
    <t>Helpers (1.0+1.0+0.5)</t>
  </si>
  <si>
    <t>Distribution Box</t>
  </si>
  <si>
    <t>3.1.7 + 3.1.7 +3.1.4(a)</t>
  </si>
  <si>
    <t>146/0.3mm (10 Sq.mm) FR PVC flexible copper cable</t>
  </si>
  <si>
    <t>4.4.9</t>
  </si>
  <si>
    <t>1 Phase Distribution board with 20A  SP plug and socket with SS enclosure</t>
  </si>
  <si>
    <t>ELEC-2.14.1</t>
  </si>
  <si>
    <t>10/16/20A SP MCB</t>
  </si>
  <si>
    <t>LS</t>
  </si>
  <si>
    <t>Note : 1. Labour Charges considered for 4 jobs / day</t>
  </si>
  <si>
    <t>2.  For concealing, add the following:</t>
  </si>
  <si>
    <t xml:space="preserve">a      1No. Semi skilled mason </t>
  </si>
  <si>
    <t>b      1/4 bag cement</t>
  </si>
  <si>
    <t>4.4.2(B)</t>
  </si>
  <si>
    <t>40A DP Isolator / RCCB / ELCB - 1 No for incomer,   6-32A SP MCBs - 6 Nos for outgoing.</t>
  </si>
  <si>
    <t>ELEC-2.16.1</t>
  </si>
  <si>
    <t>SPN 8 way D.B with IP-43 Protection (MD) suitable for single phase ECCB / RCCB/ DP Isolator.</t>
  </si>
  <si>
    <t>ELEC-2.15.1</t>
  </si>
  <si>
    <t xml:space="preserve">40A D.P.Isolator </t>
  </si>
  <si>
    <t>10 kA - 6-32A range SP MCBs</t>
  </si>
  <si>
    <t>Add contr profit @14% on material</t>
  </si>
  <si>
    <t>Add contr profit @14% on Labour</t>
  </si>
  <si>
    <t>Note : Labour Charges considered for 2 jobs / day</t>
  </si>
  <si>
    <t>4.4.4(A)</t>
  </si>
  <si>
    <t>40A FP Isolator - 1 No for incomer,   10kA-6-32A SP MCBs - 12Nos for outgoing.</t>
  </si>
  <si>
    <t>4way TPN, D.B with IP-43 Protection (MD) suitable for 3 phase ELCB / RCCB/ FP Isolator as incommer.</t>
  </si>
  <si>
    <t>40A, 4 Pole Isolator  Legrand / Schneider/Seimens/L&amp;T</t>
  </si>
  <si>
    <t xml:space="preserve">10kA - 6-32A range SP MCBs </t>
  </si>
  <si>
    <t>4.4.4(B)</t>
  </si>
  <si>
    <t>Supply and fixing 4 WAY TPN Distribution board with IP-43 protection (Metal Door) as per IS 13032 and  suitable for 1 No. 3 phase 63 FP Isolator as incomer and 12 Nos 10kA 10-32 A SP MCBs as outing goings including internal connection and labour charges for  flush mounting etc., complete.
Make: Legrand / Schneider/Seimens/L&amp;T (Power DB's)</t>
  </si>
  <si>
    <t>63A FP Isolator - 1 No for incomer,   10kA-6-32A SP MCBs - 12Nos for outgoing.</t>
  </si>
  <si>
    <t>4.4.8</t>
  </si>
  <si>
    <t xml:space="preserve">8 way TPN Vertical DB </t>
  </si>
  <si>
    <t>8 Way TPN Vertical DB with IP -43 (Metal door) protection suitable for 125A, 4 Pole, 25kA MCCB as incomer.</t>
  </si>
  <si>
    <t>ELEC-2.8.1</t>
  </si>
  <si>
    <t>125 Amps, 4 Pole , 25 kA MCCB</t>
  </si>
  <si>
    <t>10 kA, 63A TP MCBs:</t>
  </si>
  <si>
    <t>Note : 1. Labour Charges considered for 1 jobs / day</t>
  </si>
  <si>
    <t>2. If the Distribution Boards from Item No. 4.4.1 to 4.4.8 proposed for concealing, add the following:</t>
  </si>
  <si>
    <t xml:space="preserve">a      1No. Semi skilled mason     </t>
  </si>
  <si>
    <t xml:space="preserve">b      1/4 bag cement </t>
  </si>
  <si>
    <t>EARTHING</t>
  </si>
  <si>
    <t>5.1.1</t>
  </si>
  <si>
    <t xml:space="preserve">Say </t>
  </si>
  <si>
    <t>5.1.3</t>
  </si>
  <si>
    <t xml:space="preserve">Earth work excavation of hard gravel soil with small boulders for trench 1st step of size 1.5 x 0.9 x 0.9 m (5'x3'x3') </t>
  </si>
  <si>
    <t>5.2.5</t>
  </si>
  <si>
    <t>a)Material</t>
  </si>
  <si>
    <t>ELEC-9.3.6</t>
  </si>
  <si>
    <t>GI strip</t>
  </si>
  <si>
    <t xml:space="preserve">Skilled Electrician. </t>
  </si>
  <si>
    <t xml:space="preserve">Helper (Electrical). </t>
  </si>
  <si>
    <t>considered 50 mtr laying per day</t>
  </si>
  <si>
    <t>Total for GI flat FOR 100MTRS</t>
  </si>
  <si>
    <t>5.2.7</t>
  </si>
  <si>
    <t>5.2.1</t>
  </si>
  <si>
    <t>Supply and Run of  No.8 SWG G.I wire including cost of all accessories and labour charges etc., complete.</t>
  </si>
  <si>
    <t>No.8 SWG G.I wire 100 M Length (0.104 Kg / Mtr)</t>
  </si>
  <si>
    <t>1Nos</t>
  </si>
  <si>
    <t xml:space="preserve">b) labour charges </t>
  </si>
  <si>
    <t xml:space="preserve">Helpers </t>
  </si>
  <si>
    <t>C) Cost for 100 M</t>
  </si>
  <si>
    <t>Rate per mtr c/100</t>
  </si>
  <si>
    <t>ELEC-3.9.10</t>
  </si>
  <si>
    <t>4' -1x 28 watts box type energy saving light  fitting.(T5 Type)</t>
  </si>
  <si>
    <t>ELEC-3.8.3</t>
  </si>
  <si>
    <t>Supply of 18/20W fluorescent tube.
Makes : Phillips / Crompton / Bajaj / Surya</t>
  </si>
  <si>
    <t>ELEC-3.7.19</t>
  </si>
  <si>
    <t>CFL batten holder</t>
  </si>
  <si>
    <t xml:space="preserve">18 W CFL </t>
  </si>
  <si>
    <t>Deduct Cost of Ceiling Rose</t>
  </si>
  <si>
    <t>Note : 1. The Cost of Ceiling Rose may be deducted in view of holder.</t>
  </si>
  <si>
    <t>2.  Labour Charges proposed for 20 jobs per day</t>
  </si>
  <si>
    <t>Ding dong bell</t>
  </si>
  <si>
    <t>6"x8" decolam block</t>
  </si>
  <si>
    <t xml:space="preserve">Rate per each </t>
  </si>
  <si>
    <t xml:space="preserve">1200 mm (48")  Ceiling Fan </t>
  </si>
  <si>
    <t>Transportation Charges on Unit Cost</t>
  </si>
  <si>
    <t>b) Labour charges.</t>
  </si>
  <si>
    <t>Semi skilled Electrician</t>
  </si>
  <si>
    <t>Sundries.</t>
  </si>
  <si>
    <t xml:space="preserve">Rate per Each </t>
  </si>
  <si>
    <t>Note : Labour is Considered for 10 jobs / day</t>
  </si>
  <si>
    <t>ELEC-1.5.4</t>
  </si>
  <si>
    <t>23/0060 Twin Core wire</t>
  </si>
  <si>
    <t>100M</t>
  </si>
  <si>
    <t>Unforseen item works, such as painting to down rod, screws etc.,</t>
  </si>
  <si>
    <t>Note : Labour is Considered for 8 fans / day</t>
  </si>
  <si>
    <t>Supply and erecting 19/20mm steel tube down rod of one meter length with bolts &amp; nuts duly painted with matching colour of  fan complete.</t>
  </si>
  <si>
    <t>ELEC-9.1.21</t>
  </si>
  <si>
    <t>19/20mm steel tube down rod with bolts &amp; nuts for  fan with maching colour.</t>
  </si>
  <si>
    <t>mtr</t>
  </si>
  <si>
    <t>Less cost of fan down rod supplied with new fan of about 9" in length equal to  0.23 Metre at above rate</t>
  </si>
  <si>
    <t>ELEC-8.1.73</t>
  </si>
  <si>
    <t>ELEC-8.1.81</t>
  </si>
  <si>
    <t>ELEC-5.1.9</t>
  </si>
  <si>
    <t xml:space="preserve">225mm (9")  900 RPM L.D. Exhaust Fan </t>
  </si>
  <si>
    <t>ELEC-5.1.11</t>
  </si>
  <si>
    <t xml:space="preserve">300mm (12")  900 RPM H.D. Exhaust Fan </t>
  </si>
  <si>
    <t>23/0060 Twin flat wire</t>
  </si>
  <si>
    <t>Sundries such as Sand, Bolt, Nuts etc.,</t>
  </si>
  <si>
    <t>Note :1.  Labour is Considered for 6 jobs / day</t>
  </si>
  <si>
    <t>2. Cost of louver shutter may be added if required.</t>
  </si>
  <si>
    <t>3. If hole is already made available, labour charges of Mason  shall be deleted.</t>
  </si>
  <si>
    <t>ELEC-3.3.5</t>
  </si>
  <si>
    <t>Supply of 150 W SV/ MH Electronic ballast having &lt; 3W loss, PF &gt; 0.90, THD &lt; 15% with 3 years guarantee Makes : Phillips / Whipro / Trinic / GE.</t>
  </si>
  <si>
    <t>ELEC-3.4.1</t>
  </si>
  <si>
    <t xml:space="preserve">150W  HPSV lamp </t>
  </si>
  <si>
    <t>40mm G.I pipe light grade</t>
  </si>
  <si>
    <t>M</t>
  </si>
  <si>
    <t>2.5 Sq.mm flexible copper cable</t>
  </si>
  <si>
    <t>b) Labour charges for Antitiling MS flat / welding charges &amp; fixing</t>
  </si>
  <si>
    <t>Carpenter</t>
  </si>
  <si>
    <t>Welder</t>
  </si>
  <si>
    <t xml:space="preserve">Note : Labour Charges considered for 4Nos MV / SV / MH in a day  </t>
  </si>
  <si>
    <t>Networking</t>
  </si>
  <si>
    <t>ELEC-8.1.1</t>
  </si>
  <si>
    <t>2 pair telephone wire</t>
  </si>
  <si>
    <t>ELEC-8.1.3</t>
  </si>
  <si>
    <t>cat-6 UTP LAN cable</t>
  </si>
  <si>
    <t>MS box (MODULAR)</t>
  </si>
  <si>
    <t>ELEC-1.4.2</t>
  </si>
  <si>
    <t>4x4 sunglass decolam board</t>
  </si>
  <si>
    <t>C) Cost for each</t>
  </si>
  <si>
    <t>ELEC-8.1.4</t>
  </si>
  <si>
    <t>cat-6 RJ 45 information oulet duel face plate</t>
  </si>
  <si>
    <t>elec-1.3.3</t>
  </si>
  <si>
    <t>ELEC-8.1.7</t>
  </si>
  <si>
    <t>7 feet length moulded patch cord Makes : D Link / AMP / Molex / Legrand / Krone.</t>
  </si>
  <si>
    <t>Supply of 3 feet length moulded patch cord Makes : D Link / AMP / Molex / Legrand / Krone. (Data-55)</t>
  </si>
  <si>
    <t>3 feet length moulded patch cord Makes : D Link / AMP / Molex / Legrand / Krone.</t>
  </si>
  <si>
    <t>Supply, Transportation and Fixing of 24 port patch panels Makes : D Link / AMP / Molex / Legrand / Krone including all accessories and labour charges etc., complete.</t>
  </si>
  <si>
    <t>ELEC-8.1.8</t>
  </si>
  <si>
    <t>24 port patch panels</t>
  </si>
  <si>
    <t>Note : Labour Charges proposed for 10 jobs per day</t>
  </si>
  <si>
    <t>ELEC-8.1.2</t>
  </si>
  <si>
    <t>20 pair Telephone distribution box with back mount frame, krone connector, powder coated metal body with lock and key arrangement</t>
  </si>
  <si>
    <t xml:space="preserve">19" 6U </t>
  </si>
  <si>
    <t xml:space="preserve">19" 12U </t>
  </si>
  <si>
    <t>ELEC-8.1.5</t>
  </si>
  <si>
    <t>24 port Manageble switch</t>
  </si>
  <si>
    <t>400 A Aluminium Bus Bar with colour code.</t>
  </si>
  <si>
    <t>Earthing: Providing 50x6 mm G.I flat</t>
  </si>
  <si>
    <t>Incommer: .</t>
  </si>
  <si>
    <t>Elec.-2.8.1</t>
  </si>
  <si>
    <t>Supply of 250A 3 Pole MCCB, Adjustable, Confirms to IS/IEC 60947-2 having Breaking Capacity 36/35 KA with thermal magnetic release  Panel Mounted.Makes : L&amp;T / Schneider / Siemens / Legrand.</t>
  </si>
  <si>
    <t>0- 250 A Digital Ammeter .  - 1 No.</t>
  </si>
  <si>
    <t>Ammeter selector switch  - 1 No.</t>
  </si>
  <si>
    <t>0-415V Digital Volt meter  - 1 No.</t>
  </si>
  <si>
    <t>Voltmeter selector switch - 1 No.</t>
  </si>
  <si>
    <t>R, Y, B Indication lamps LED type, puse buttons.</t>
  </si>
  <si>
    <t>250 /5A C.T coils : 2 sets</t>
  </si>
  <si>
    <t>ELEC-2.6.1</t>
  </si>
  <si>
    <t>32A 240 V Porcelain Rewirable fuse units  - 3 Nos.</t>
  </si>
  <si>
    <t>ELEC-2.5.1</t>
  </si>
  <si>
    <t xml:space="preserve">2A HRC fuse link  - 3 Nos: </t>
  </si>
  <si>
    <t>Outgoing :</t>
  </si>
  <si>
    <t>125A TPN SSupply of 125A 3 Pole MCCB, Adjustable, Confirms to IS/IEC 60947-2 having Breaking Capacity 36/35 KA with thermal magnetic release  Panel Mounted.Makes : L&amp;T / Schneider / Siemens / Legrand</t>
  </si>
  <si>
    <t>63A TPN SSupply of 125A 3 Pole MCCB, Adjustable, Confirms to IS/IEC 60947-2 having Breaking Capacity 36/35 KA with thermal magnetic release  Panel Mounted.Makes : L&amp;T / Schneider / Siemens / Legrand</t>
  </si>
  <si>
    <t>Sub TOTAL:</t>
  </si>
  <si>
    <t>Bus bars and insulators 25%</t>
  </si>
  <si>
    <t>Cost of enclosure @ 45%</t>
  </si>
  <si>
    <t>Bus bars and insulators 10%</t>
  </si>
  <si>
    <t>Control wiring, Labour charges for errection of switch gear, panel board including all labour charges etc complete with connections for finished item of work including transportation charges.5%</t>
  </si>
  <si>
    <t>Job</t>
  </si>
  <si>
    <t>elec-4.1.1</t>
  </si>
  <si>
    <t>3.5 Core  95 Sq.mm.</t>
  </si>
  <si>
    <t>ELEC-4.1.1</t>
  </si>
  <si>
    <t>15.6.1</t>
  </si>
  <si>
    <t>ELEC-9.4.17</t>
  </si>
  <si>
    <t xml:space="preserve">Excavation of earth </t>
  </si>
  <si>
    <t>ELEC-9.4.13</t>
  </si>
  <si>
    <t>Cost of bricks</t>
  </si>
  <si>
    <t>1000nos</t>
  </si>
  <si>
    <t>ELEC-9.4.12</t>
  </si>
  <si>
    <t xml:space="preserve">Cost of sand </t>
  </si>
  <si>
    <t>Cement (Civil SSR)</t>
  </si>
  <si>
    <t>ELEC-9.1.25</t>
  </si>
  <si>
    <t xml:space="preserve">Cost of cable route indicator </t>
  </si>
  <si>
    <t>b) Labour charges for laying  cable.</t>
  </si>
  <si>
    <t>Man Mazdoor for spreading the sand and back filling the excavated soil.</t>
  </si>
  <si>
    <t xml:space="preserve">Man Mazdoor for concreting and embedding of cable way indicators </t>
  </si>
  <si>
    <t>Sundires and Rounding off</t>
  </si>
  <si>
    <t>Rate per 60mts</t>
  </si>
  <si>
    <t>Rate per Mtr</t>
  </si>
  <si>
    <t>Earth work excavation of Trench in hard ground soil, laying of U.G cables upto 50 Sq,mm on sand cushion covering the cable with bricks and back filling of Trench duly providing route indicator  embedded in C.C including  cost and conveyance of materials a</t>
  </si>
  <si>
    <t>Excavation of earth 100 x 0.3 X 0.9 m</t>
  </si>
  <si>
    <t>Cost of bricks (Civil SSR)</t>
  </si>
  <si>
    <t>Cost of sand (Civil SSR)</t>
  </si>
  <si>
    <t>Rate per 100mts</t>
  </si>
  <si>
    <t>ELEC-9.1.1</t>
  </si>
  <si>
    <t>Wooden separators</t>
  </si>
  <si>
    <t>ELEC-1.1.11</t>
  </si>
  <si>
    <t xml:space="preserve">saddles of required size </t>
  </si>
  <si>
    <t>100 nos</t>
  </si>
  <si>
    <t>elec-1.4.4</t>
  </si>
  <si>
    <t>12mm screws</t>
  </si>
  <si>
    <t>No.10 SWG  GI wire</t>
  </si>
  <si>
    <t>Sundires such as Cement, Sand etc.,</t>
  </si>
  <si>
    <t>Note : Labour Charges Considered for 100 Mts / day</t>
  </si>
  <si>
    <t>Cable Terminations:</t>
  </si>
  <si>
    <t>Termination of UG cables of 3.5 core 25 Sq.mm including with required cable glands, Lugs complete with all required accessories as directed by the department including cost and conveyance of all materials and labour charges etc., complete.</t>
  </si>
  <si>
    <t xml:space="preserve">b) Labour charges  </t>
  </si>
  <si>
    <t>Skilled Electrician.</t>
  </si>
  <si>
    <t xml:space="preserve">Lineman Electric / Telephone </t>
  </si>
  <si>
    <t>Labour Charges for each</t>
  </si>
  <si>
    <t>ELEC-4.3.1</t>
  </si>
  <si>
    <t>glands for 3.5 core XLPE armoured  cable from 25 Sqmm to 50.0 Sq.mm</t>
  </si>
  <si>
    <t>ELEC-4.4.2</t>
  </si>
  <si>
    <t>aluminium lugs  for cable upto  16 Sq.mm</t>
  </si>
  <si>
    <t>aluminium lugs  for cable of 25 Sq.mm</t>
  </si>
  <si>
    <t>Total Cost of Material + Labour Charges</t>
  </si>
  <si>
    <t>Add Contractors Profit</t>
  </si>
  <si>
    <t>TOTAL:</t>
  </si>
  <si>
    <t>Termination of UG cables of 3.5 core 35 Sq.mm including with required cable glands, Lugs complete with all required accessories as directed by the department including cost and conveyance of all materials and labour charges etc., complete.</t>
  </si>
  <si>
    <t>4.3.1</t>
  </si>
  <si>
    <t>aluminium lugs  for cable of 35 Sq.mm</t>
  </si>
  <si>
    <t>Termination of UG cables of 3.5 core 50 Sq.mm including with required cable glands, Lugs complete with all required accessories as directed by the department including cost and conveyance of all materials and labour charges etc., complete.</t>
  </si>
  <si>
    <t>aluminium lugs  for cable of 50 Sq.mm</t>
  </si>
  <si>
    <t>Termination of UG cables of 3.5 core 70 Sq.mm including with required cable glands, Lugs complete with all required accessories as directed by the department including cost and conveyance of all materials and labour charges etc., complete.</t>
  </si>
  <si>
    <t xml:space="preserve">aluminium lugs confirming to I.S specifications for cable of 70 Sq.mm </t>
  </si>
  <si>
    <t>Termination of UG cables of 3.5 core 120 Sq.mm including with required cable glands, Lugs complete with all required accessories as directed by the department including cost and conveyance of all materials and labour charges etc., complete.</t>
  </si>
  <si>
    <t>glands for 3.5 core XLPE armoured  cable from 120 Sqmm to 150.0 Sq.mm</t>
  </si>
  <si>
    <t>aluminium lugs  for cable of 70 Sq.mm</t>
  </si>
  <si>
    <t xml:space="preserve">aluminium lugs  for cable of 120 Sq.mm </t>
  </si>
  <si>
    <t>101.60mm dia upto 914.40mm (3') depth</t>
  </si>
  <si>
    <r>
      <t xml:space="preserve">Providing  &amp; Fixing  of  Open  able  Windows  with  Flymesh made of pre-painted steel as per IS 513 of 0.58 mm thick galvanized as per IS 277 finish painted with a polyester paint and the section for outer frame of 72 x  55mm,  centre  mullion  of  72  x  50mm,  section  for fixed glass beading section of 12 x 12 mm and section for shutters of 48 x 25 mm and outer frame &amp; mullion sections with rebate for glazed shutters, fly mesh and a 20 mm provision for guard bars/grills and fly mesh shutter section  of 20 x  40  mm, stay, handles, latch 2 Nos  of  heavy  duty  stainless  steel  pivot  hinges  per shutter and panelled with </t>
    </r>
    <r>
      <rPr>
        <b/>
        <sz val="10"/>
        <rFont val="Arial"/>
        <family val="2"/>
      </rPr>
      <t>0.5 mm thick Galvalume corrugated sheet</t>
    </r>
    <r>
      <rPr>
        <sz val="10"/>
        <rFont val="Arial"/>
        <family val="2"/>
      </rPr>
      <t xml:space="preserve"> and S.S. Mesh for fly mesh shutter (304 grade), fitted using rubber gaskets including fixing the windows in the  concrete/masonry  wall  by  means  of  self expanding  screws,  including  10mm  Square  guard bars  with  6”  (152.4mm)  pitch  ,  complete  for  Double shutter  Window  with  vertical  mullion  of  sizes  3’0”  x 4’0”  (  914.4mm  x  1219.2mm)  and  4’0”  x  4’0”(1219.2mm x 1219.2mm)</t>
    </r>
  </si>
  <si>
    <r>
      <t xml:space="preserve">10mm M/c chips </t>
    </r>
    <r>
      <rPr>
        <b/>
        <sz val="12"/>
        <rFont val="Times New Roman"/>
        <family val="1"/>
      </rPr>
      <t xml:space="preserve">/Trap metal </t>
    </r>
    <r>
      <rPr>
        <sz val="12"/>
        <rFont val="Times New Roman"/>
        <family val="1"/>
      </rPr>
      <t xml:space="preserve"> (IS383-1970)</t>
    </r>
  </si>
  <si>
    <r>
      <t xml:space="preserve">Mild Steel Bars (Fe 250) </t>
    </r>
    <r>
      <rPr>
        <b/>
        <sz val="12"/>
        <rFont val="Times New Roman"/>
        <family val="1"/>
      </rPr>
      <t xml:space="preserve">for 6mm </t>
    </r>
  </si>
  <si>
    <r>
      <t xml:space="preserve">High Yield Strength Deformed Bars (Fe 500) </t>
    </r>
    <r>
      <rPr>
        <b/>
        <sz val="12"/>
        <rFont val="Times New Roman"/>
        <family val="1"/>
      </rPr>
      <t>for 8mm to 40mm dia (TATA, SAIL, VSP,JSW &amp; Shyam Steel)</t>
    </r>
  </si>
  <si>
    <t>DESIGN FOR Hostel</t>
  </si>
  <si>
    <t xml:space="preserve">S.No </t>
  </si>
  <si>
    <t>Electrical Fixture</t>
  </si>
  <si>
    <t xml:space="preserve">Quantity </t>
  </si>
  <si>
    <t>Load(W)</t>
  </si>
  <si>
    <t>Total Load (In Words)</t>
  </si>
  <si>
    <t>Tube light</t>
  </si>
  <si>
    <t>Pt</t>
  </si>
  <si>
    <t>Fan 48"</t>
  </si>
  <si>
    <t>Fan 56"</t>
  </si>
  <si>
    <t>Sbh/BH</t>
  </si>
  <si>
    <t>Bulk Head</t>
  </si>
  <si>
    <t>Mirror light</t>
  </si>
  <si>
    <t>Exhaust fan HD</t>
  </si>
  <si>
    <t>Exhaust fan LD</t>
  </si>
  <si>
    <t>2'X2' Light Fixture</t>
  </si>
  <si>
    <t>12W Down Lights</t>
  </si>
  <si>
    <t>18W Down Lights</t>
  </si>
  <si>
    <t>Calling Bell</t>
  </si>
  <si>
    <t>6A common</t>
  </si>
  <si>
    <t>6A separate</t>
  </si>
  <si>
    <t>16A Soc</t>
  </si>
  <si>
    <t>Computer Soc</t>
  </si>
  <si>
    <t>telephone</t>
  </si>
  <si>
    <t>television</t>
  </si>
  <si>
    <t>lan point</t>
  </si>
  <si>
    <t>AC</t>
  </si>
  <si>
    <t>Gyeser</t>
  </si>
  <si>
    <t>DBs for Lighting(3 Phase)</t>
  </si>
  <si>
    <t>DBs for Lighting(1 Phase)</t>
  </si>
  <si>
    <t>DBs for Power</t>
  </si>
  <si>
    <t>Total Light points</t>
  </si>
  <si>
    <t>Total fan &amp; Exhaust fan points</t>
  </si>
  <si>
    <t>Total  Points</t>
  </si>
  <si>
    <t>Total 16A Sockets,Acs points &amp; DBs Points</t>
  </si>
  <si>
    <t>Total Telephone and Lan and computer points  Points</t>
  </si>
  <si>
    <t>Total Load</t>
  </si>
  <si>
    <t>ASSESSMENT OF CONDUIT</t>
  </si>
  <si>
    <t>For Light Points</t>
  </si>
  <si>
    <t>For Circuits</t>
  </si>
  <si>
    <t>For 16A Sockets,DB's &amp; Acs</t>
  </si>
  <si>
    <t>For  Telephone and lan</t>
  </si>
  <si>
    <t>Total Length of Conduit</t>
  </si>
  <si>
    <t xml:space="preserve">Conduit in Slab </t>
  </si>
  <si>
    <t>Conduit in Wall</t>
  </si>
  <si>
    <t>1 of 1.5Sq.mm for Switch Board Circuits</t>
  </si>
  <si>
    <t>3 of 1.5Sq.mm for Switch Board Circuits</t>
  </si>
  <si>
    <t>3 of 2.5Sq.mm for Switch Board Circuits</t>
  </si>
  <si>
    <t>3 of 4Sq.mm for 16 A Sockets</t>
  </si>
  <si>
    <t>3 of 6 Sq.mm for AC Sockets &amp; Single Phase DBs</t>
  </si>
  <si>
    <t>5 of 6 Sq.mm for LDBs</t>
  </si>
  <si>
    <t>5 of 10 Sq.mm for PDBs</t>
  </si>
  <si>
    <t>Load Current</t>
  </si>
  <si>
    <t>Diversity factor</t>
  </si>
  <si>
    <t>Total Load after Diversity Factor (KW)</t>
  </si>
  <si>
    <t>ELEC-1.2.1</t>
  </si>
  <si>
    <t>ELEC-1.2.2</t>
  </si>
  <si>
    <t>ELEC-1.3.1</t>
  </si>
  <si>
    <t>25mm  PVC bends</t>
  </si>
  <si>
    <t>6A / 10A 3/2 Pin 2 Module Modular Socket with shutter</t>
  </si>
  <si>
    <t>ELEC-2.13.1</t>
  </si>
  <si>
    <t>ELEC-2.14.2</t>
  </si>
  <si>
    <t>Supply and fixing 4 WAY TPN Distribution board with IP-43 protection (Metal Door) as per IS 13032 and  suitable for 1 No. 3 phase ELCB / RCCB / FP Isolator as incomer and 12 Nos 10kA 10-32 A SP MCBs as outing goings including internal connection and labour charges for  flush mounting etc., complete. Make: Legrand / Schneider/Seimens/L&amp;T</t>
  </si>
  <si>
    <t>ELEC-2.14.3</t>
  </si>
  <si>
    <t>63A, 4 Pole Isolator  GE</t>
  </si>
  <si>
    <t>ELEC- 2.16.2</t>
  </si>
  <si>
    <t>ELEC-2.13.2</t>
  </si>
  <si>
    <t xml:space="preserve">Sundries </t>
  </si>
  <si>
    <t>ELEC-9.3.1</t>
  </si>
  <si>
    <t>Supply and Run of  25mm x 3mm copper strip (Cuurrent Carrying Capacity 270A) including cost of all accessories and labour charges etc., complete. (0.663Kgs/1Mtr)</t>
  </si>
  <si>
    <t xml:space="preserve">Copper plate / Copper strip (Per K.G). </t>
  </si>
  <si>
    <t xml:space="preserve">ELEC-3.8.7 </t>
  </si>
  <si>
    <t>ELEC-1.7.1 (m)</t>
  </si>
  <si>
    <t>ELEC-1.7.2.b</t>
  </si>
  <si>
    <t>ELEC-1.4.2.d</t>
  </si>
  <si>
    <t>ELEC-5.1.2</t>
  </si>
  <si>
    <t>ELEC-1.9.1.n</t>
  </si>
  <si>
    <t>1 Module Modular type Electronic step type Fan Regulator.</t>
  </si>
  <si>
    <t>ELEC-9.1.48</t>
  </si>
  <si>
    <t xml:space="preserve">telephone jack type  socket </t>
  </si>
  <si>
    <t>ELEC-8.1.11</t>
  </si>
  <si>
    <t>ELEC-7.13.2</t>
  </si>
  <si>
    <t>ELEC-7.13.6</t>
  </si>
  <si>
    <t>ELEC-7.13.7</t>
  </si>
  <si>
    <t>ELEC-4.1.1 (f)</t>
  </si>
  <si>
    <t>4 Core  16.00 Sq.mm.</t>
  </si>
  <si>
    <t>Termination of UG cables of 4 core 16 Sq.mm including with required cable glands, Lugs complete with all required accessories as directed by the department including cost and conveyance of all materials and labour charges etc., complete.</t>
  </si>
  <si>
    <t xml:space="preserve">Glands for 4 core XLPE armoured  cable up to 16.0 Sq.mm  </t>
  </si>
  <si>
    <t xml:space="preserve"> glands for 3.5 core XLPE armoured  cable from 70 Sqmm to 95.00 Sq.mm</t>
  </si>
  <si>
    <t>Supply, transportation and installation  of split AC unit with high wall mounted indoor unit  and outdoor condencing unit Hermetically sealed compressor suitable for operation on 230V, 50Hz, 1Phase AC supply capable of performing cooling dehumidifying air circulating and filtering with cooling and condensing units with 3.5 mts of copper piping, insulation kit  and 4 mts of 3 core copper flexible chord , built-in stabilizer (Voltage range 160- 264 volts)  and cordless remote control</t>
  </si>
  <si>
    <t>ELEC-6.1.1</t>
  </si>
  <si>
    <t>a) 1.5 Ton  ( 3 STAR)
Make: Carrier /
Daikin / Blue Star / Hitachi</t>
  </si>
  <si>
    <t>ELEC-6.5.28</t>
  </si>
  <si>
    <t>Installation charges</t>
  </si>
  <si>
    <t>Total Cost of Material + Installation Charges</t>
  </si>
  <si>
    <t>Hence Rate allowed</t>
  </si>
  <si>
    <t>b) 1.8 / 2.0 Ton  (2-3 STAR)
makes  Daikin  /  Thoshiba  /  O  General  / Carrier / Blue Star / Hitachi</t>
  </si>
  <si>
    <t xml:space="preserve">Sub work: Providing Internal Electrical Installation </t>
  </si>
  <si>
    <t>Supply and run of 3 of 2.5 Sq mm PVC F.R L.S. / HFFR P.V.C. insulated flexible copper cable 1100 V grade as per IS: 694 / 1990 specifications and 1 run of 1.00 Sq mm  F.R L.S. / HFFR P.V.C. insulated flexible copper cable 1100 V grade as per IS: 694 / 1990 specifications in the existing conduit pipe for run  of mains from main panel  board to TPN  DB'S  with pin type lugs and connection. Makes of Wires : Finolex / RR kabel / Havells / APAR EBXL / KEI /L&amp;T / V-Guard.</t>
  </si>
  <si>
    <t>Supply and run of 3 of 4 Sq mm PVC F.R L.S. / HFFR P.V.C. insulated flexible copper cable 1100 V grade as per IS: 694 / 1990 specifications and 1 run of 2.5 Sq mm  F.R L.S. / HFFR P.V.C. insulated flexible copper cable 1100 V grade as per IS: 694 / 1990 specifications in the existing conduit pipe for run  of mains from main panel  board to TPN  DB'S  with pin type lugs and connection. Makes of Wires : Finolex / RR kabel / Havells / APAR EBXL / KEI /L&amp;T / V-Guard.</t>
  </si>
  <si>
    <t>Supply and run of 3 of 6 Sq mm PVC F.R L.S. / HFFR P.V.C. insulated flexible copper cable 1100 V grade as per IS: 694 / 1990 specifications and 1 run of 2.5 Sq mm  F.R L.S. / HFFR P.V.C. insulated flexible copper cable 1100 V grade as per IS: 694 / 1990 specifications in the existing conduit pipe for run  of mains from main panel  board to TPN  DB'S  with pin type lugs and connection. Makes of Wires : Finolex / RR kabel / Havells / APAR EBXL / KEI /L&amp;T / V-Guard.</t>
  </si>
  <si>
    <t>Supply and run of 5 of 10 Sq mm F.R L.S. / HFFR P.V.C. insulated flexible copper cable 1100 V grade as per IS: 694 / 1990 specifications and 1 run of 6 Sq mm  F.R L.S. / HFFR P.V.C. insulated flexible copper cable 1100 V grade as per IS: 694 / 1990 specifications in the existing conduit pipe for run  of mains from main panel  board to TPN  DB'S  with pin type lugs and connections  Makes of Wires : Finolex / RR kabel / Havells / APAR EBXL / KEI /L&amp;T / V-Guard.</t>
  </si>
  <si>
    <t>Wiring with 3 of 14/0.3mm ( 1.50 Sq.mm)  FRLS / HFFR P.V.C. insulated flexible copper cable (ISI MARK)  in existing pipe with 6A switch  and  6A, 3/2 pin socket Modular type with 6A switch control and MS boxes with cover plate  and GI switch box   fixing on separate board including all labour charges etc., complete.
Makes of Wires : Finolex / RR kabel / Havells / APAR EBXL / KEI /L&amp;T / V-Guard                               
 Makes of Switches : Legrand Myrius / Cabtree Verona / Million / Logus/ Gold Medal Curve / Anchor Roma viola / CPL / GreatWhite / Vimal / GM Four-Five / HPL / L&amp;T / Salzar / Stanjo</t>
  </si>
  <si>
    <r>
      <t xml:space="preserve">Wiring with 2 runs of 14/0.3mm (1.0 Sq.mm) Fire Retardant Low Smoke (FRLS) P.V.C. insulated flexible copper cable </t>
    </r>
    <r>
      <rPr>
        <b/>
        <sz val="10"/>
        <rFont val="Arial"/>
        <family val="2"/>
      </rPr>
      <t xml:space="preserve">(ISI MARK) </t>
    </r>
    <r>
      <rPr>
        <sz val="10"/>
        <rFont val="Arial"/>
        <family val="2"/>
      </rPr>
      <t xml:space="preserve">in existing pipe with 6A 2 Way Modular switch, Ceiling rose and Modular cover frame to switch control box including all labour charges etc., complete for Stair case and 2 way light / fan points in Non-Residential Buildings </t>
    </r>
    <r>
      <rPr>
        <b/>
        <sz val="10"/>
        <rFont val="Arial"/>
        <family val="2"/>
      </rPr>
      <t>Makes of Wires : Finolex / RR kabel                                       Makes of Switches : GM G Home /Anchor Penta Cherry / Gold Madel Olive / Million Zoom / Great White</t>
    </r>
  </si>
  <si>
    <r>
      <t xml:space="preserve">Wiring with 2 runs of 14/0.3mm (1.0 Sq.mm) Fire Retardant Low Smoke (FRLS) /  HFFR P.V.C. insulated 1100 V Grade as per IS: 694 / 1990 specification for flexible copper cable (ISI MARK) in existing pipe with 6A 1 way  modular switch, Ceiling rose  including all labour charges etc., complete for light, bell, fan and exhaust fan points in </t>
    </r>
    <r>
      <rPr>
        <b/>
        <sz val="10"/>
        <rFont val="Arial"/>
        <family val="2"/>
      </rPr>
      <t>Residential Buildings</t>
    </r>
    <r>
      <rPr>
        <sz val="10"/>
        <rFont val="Arial"/>
        <family val="2"/>
      </rPr>
      <t xml:space="preserve">  Makes of Wires : Finolex / RR kabel / Havells / APAR EBXL / KEI /L&amp;T / V-Guard                               
 Makes of Switches : Legrand Myrius / Cabtree Verona / Million / Logus/ Gold Medal Curve / Anchor Roma viola / CPL / GreatWhite / Vimal / GM Four-Five / HPL / L&amp;T / Salzar / Stanjo</t>
    </r>
  </si>
  <si>
    <r>
      <t xml:space="preserve">Wiring with 3 of 14/0.3mm ( 1.00 Sq.mm)  FRLS / HFFR P.V.C. insulated flexible copper cable (ISI MARK)  in existing pipe with </t>
    </r>
    <r>
      <rPr>
        <b/>
        <sz val="10"/>
        <rFont val="Arial"/>
        <family val="2"/>
      </rPr>
      <t>6A switch  and  6A, 3/2 pin socket</t>
    </r>
    <r>
      <rPr>
        <sz val="10"/>
        <rFont val="Arial"/>
        <family val="2"/>
      </rPr>
      <t xml:space="preserve"> Modular type with 6A switch control and MS boxes with cover plate  and GI switch box   fixing on </t>
    </r>
    <r>
      <rPr>
        <b/>
        <sz val="10"/>
        <rFont val="Arial"/>
        <family val="2"/>
      </rPr>
      <t>separate board</t>
    </r>
    <r>
      <rPr>
        <sz val="10"/>
        <rFont val="Arial"/>
        <family val="2"/>
      </rPr>
      <t xml:space="preserve"> including all labour charges etc., complete.
Makes of Wires : Finolex / RR kabel / Havells / APAR EBXL / KEI /L&amp;T / V-Guard                               
 Makes of Switches : Legrand Myrius / Cabtree Verona / Million / Logus/ Gold Medal Curve / Anchor Roma viola / CPL / GreatWhite / Vimal / GM Four-Five / HPL / L&amp;T / Salzar / Stanjo</t>
    </r>
  </si>
  <si>
    <r>
      <t xml:space="preserve">Supply and fixing of 3 Nos 6A ISI mark Modular type switch with 3Nos  6A 3/2 pin wall plug socket on suitable size Modular deep box with cover frame  GI switch box  fixing on </t>
    </r>
    <r>
      <rPr>
        <b/>
        <sz val="10"/>
        <rFont val="Arial"/>
        <family val="2"/>
      </rPr>
      <t xml:space="preserve">separate board </t>
    </r>
    <r>
      <rPr>
        <sz val="10"/>
        <rFont val="Arial"/>
        <family val="2"/>
      </rPr>
      <t>including all labour charges etc., complete.
Makes of Wires : Finolex / RR kabel / Havells / APAR EBXL / KEI /L&amp;T / V-Guard                               
 Makes of Switches : Legrand Myrius / Cabtree Verona / Million / Logus/ Gold Medal Curve / Anchor Roma viola / CPL / GreatWhite / Vimal / GM Four-Five / HPL / L&amp;T / Salzar / Stanjo</t>
    </r>
  </si>
  <si>
    <r>
      <t xml:space="preserve">Supply and fixing  Distribution board with 20A single phase plug and Socket, in sheet steel enclosure with 10/16/20A SP MCB including internal connection and labour charges for flush mounting etc., complete
</t>
    </r>
    <r>
      <rPr>
        <b/>
        <sz val="10"/>
        <rFont val="Arial"/>
        <family val="2"/>
      </rPr>
      <t>Makes  : Legrand / Schneider / Siemens / L&amp;T Makes of MCB: Legrand-DX3 / Schneider-Acti9 / Siemens / L&amp;T Exora.</t>
    </r>
  </si>
  <si>
    <r>
      <t xml:space="preserve">Supply of  12" (300 mm) 900 R.P.M of heavy duty exhaust fan  250V A.C.50Hz.. 300mm size   etc., complete. </t>
    </r>
    <r>
      <rPr>
        <b/>
        <sz val="10"/>
        <rFont val="Arial"/>
        <family val="2"/>
      </rPr>
      <t xml:space="preserve"> Makes: Crompton  / Almounard / Havells  Turbo Force.</t>
    </r>
  </si>
  <si>
    <r>
      <t xml:space="preserve">Supply and fixing of telephone jack type  socket with top on  MS box with modular plate cover with screws connections etc., </t>
    </r>
    <r>
      <rPr>
        <b/>
        <sz val="10"/>
        <rFont val="Arial"/>
        <family val="2"/>
      </rPr>
      <t>Makes : GM G Home / Gold Medal Olive / Million Zoom /Anchor Penta Cherry / Great white Omega / HPL</t>
    </r>
  </si>
  <si>
    <r>
      <t xml:space="preserve">Supply of  the following PVC XLPE armoured cable 1100 V. Grade with ISI mark stranded / solid, aluminimum  conductor complete 
</t>
    </r>
    <r>
      <rPr>
        <b/>
        <sz val="10"/>
        <rFont val="Arial"/>
        <family val="2"/>
      </rPr>
      <t>Make: Universal / Unicab / TORRENT/ Polycab /Havells / KEI</t>
    </r>
  </si>
  <si>
    <t xml:space="preserve">Provision for Drilling of Borewell with Pump Set </t>
  </si>
  <si>
    <t xml:space="preserve">Provision for Consultancy Charges @ 1% Plus GST @ 18% </t>
  </si>
  <si>
    <t>Construction of Gravel shoulders  including cost,   and conveyance of all materials to work site and spreading in uniform layers by approved means,  on prepared surface   and compacting with vibratory roller to achieve the desired density at OMC etc., complete for finished item of work as per MoRT&amp;H Specification  401&amp; 407  (4th revision) and as directed by the Engineer-in-charge.
 ( Payment will be made based on levels for finished item of work ).</t>
  </si>
  <si>
    <t>Add munipal area allowance @20%</t>
  </si>
  <si>
    <t>ELEC-2.17.8</t>
  </si>
  <si>
    <t>Providing independent earthing for Important equipment with 40mm dia 'B' class 2.5m long G.I pipe and 19mm dia 'B' class G.I pipe of 0.3mtr. long connected with reducer providing G.I funnel with mesh enclosed in C.C/ brick massonry chamber of 450m x 450m x 400mm with R.C.C. Slab cover duly providing staggered holes filling with 20Kg Salt and 40Kg Charcoal or 40Kg bentonite powder from the bottom of the pipe giving earth connection from electrode through G.I strip of 40 x 6mm x 200mm length with all accessories and labour charges complete, as per IS specifications 732/1982 (Part II)</t>
  </si>
  <si>
    <t>ELEC-7.16.5</t>
  </si>
  <si>
    <t xml:space="preserve"> 40mm dia 'B' class 2.5m long G.I pipe and 19mm dia 'B' class G.I pipe of 0.3mtr. long </t>
  </si>
  <si>
    <t>Providing independent earthing exacavating a pit to a depth of 2.25Mtr in all soils as per size specified in the data for Sophisticated Electronic equipment with 600mm x 600mm x 3.15mm thick copper plate rigidly fixed to 19mm dia 'B' Class G.I Pipe of 2.5Mtr lengthwith funnel as per National Electric Code and earth connection from electrode GI strip of 40mm x 5mm x 200mm length to be bolted with nut bolts to G.I.pipe including 25mm x 3mm copper strip of 6Mtrs length connected from plate to GI strip including filling with 20Kg Salt and 40Kg Charcoal or 40Kg bentonite powder from the bottom of the pipe and providing CC / Brick massonry chamber 450mmX450mmX400mm and covered with R.C.C. Slab including all accessories and labour charges etc complete as per IS specification 732/1982 (Part II).</t>
  </si>
  <si>
    <t>ELEC-7.15.6</t>
  </si>
  <si>
    <t>Supply, Transportation of energy efficient fan, 1200 mm sweep, aluminium body, consuming 28 W, BEE 5 star rated, ceiling fan with Brush Less Direct Current(BLDC)motor, class of insulation: B, 3 no's blades, 30 cm long down rod, 2 no's canopies, shackle'kit, safety rope, copper winding, Power Factor greater than 0.90, Service Value (CMMAV) greater than 8.5, Air delivery minimum 235 CMM, 350 RPM( tolerance as per IS:374-2019), THD less than 10%. with remote or compatible to electronic step type regulator unit for speed control and all remaining accessories including safety pin, nut bolts, washers, temperature rise=75 degree C(max), insulation resistance more than 2 mega ohm, suitable for 230V, 50 HZ, single phase AC supply, earthing etc., including all standard accessories etc., complete. Makes : Atomberg (Efficio ) / Havells / Orient</t>
  </si>
  <si>
    <t>TBSP-G.I-
05</t>
  </si>
  <si>
    <t>ELEC-8.1.12</t>
  </si>
  <si>
    <t>The R&amp;B Department Proposed Labour, for both piping &amp; wiring considering 40% Labour, for Wire draw. Keeping this, the labour is proposed for wiring 100 RM.</t>
  </si>
  <si>
    <t>Million / RPG/
paragon</t>
  </si>
  <si>
    <r>
      <t xml:space="preserve">Wiring with 2 runs of 14/0.3mm (1.0 Sq.mm) Fire Retardant Low Smoke (FRLS) P.V.C. insulated flexible copper cable </t>
    </r>
    <r>
      <rPr>
        <b/>
        <sz val="10"/>
        <rFont val="Arial"/>
        <family val="2"/>
      </rPr>
      <t xml:space="preserve">(ISI MARK) </t>
    </r>
    <r>
      <rPr>
        <sz val="10"/>
        <rFont val="Arial"/>
        <family val="2"/>
      </rPr>
      <t xml:space="preserve">in existing pipe with 6A 2 Way MODULAR switch, Ceiling rose and modular cover frame to switch control box including all labour charges etc., complete for Stair case and 2 way light / fan points in Residential Buildings </t>
    </r>
    <r>
      <rPr>
        <b/>
        <sz val="10"/>
        <rFont val="Arial"/>
        <family val="2"/>
      </rPr>
      <t xml:space="preserve">
Makes of Wires : Finolex / RR kabel                                       Makes of Switches : GM G Home /Anchor Penta Cherry / Gold Madel Olive / Million Zoom / Great White</t>
    </r>
  </si>
  <si>
    <t>Ramp</t>
  </si>
  <si>
    <t>P1</t>
  </si>
  <si>
    <t>P2</t>
  </si>
  <si>
    <t>VRCC M20 grade design mix for footings</t>
  </si>
  <si>
    <t>VRCC M20 design mix for plinth beams</t>
  </si>
  <si>
    <t>VRCC M20  for pedestals</t>
  </si>
  <si>
    <t xml:space="preserve">VRCC M20 design mix for Slabs 75mm thick </t>
  </si>
  <si>
    <t xml:space="preserve">VRCC M20 design mix for Slabs  100mm thick </t>
  </si>
  <si>
    <t xml:space="preserve">VRCC M20 design mix for Slabs  of 110mm thick </t>
  </si>
  <si>
    <t xml:space="preserve">VRCC M20 design mix for Slabs  of 115mm thick </t>
  </si>
  <si>
    <t xml:space="preserve">VRCC M20 design mix for Slabs  of 120mm thick </t>
  </si>
  <si>
    <t xml:space="preserve">VRCC M20  for Slabs 125mm thick </t>
  </si>
  <si>
    <t xml:space="preserve">VRCC M20  for Slabs    140 mm thick </t>
  </si>
  <si>
    <t xml:space="preserve">VRCC M20  for Slabs    150 mm thick </t>
  </si>
  <si>
    <t xml:space="preserve">VRCC M20  for Slabs   165mm thick </t>
  </si>
  <si>
    <t xml:space="preserve">VRCC M20  for Slabs 175mm thick </t>
  </si>
  <si>
    <t xml:space="preserve">VRCC M20  for Slabs                      180mm thick </t>
  </si>
  <si>
    <t xml:space="preserve">VRCC M20  for Slabs                      200mm thick </t>
  </si>
  <si>
    <t xml:space="preserve">VRCC M20  for Slabs of  225 mm thick </t>
  </si>
  <si>
    <t>Vibrated Reinforced Cement Concrete  M 20 Design Mix ( by weigh batching  ) using 20mm size (SS5)  hard blasted Trap machine crushed graded metal (Coarse aggregate) from approved quarry, using a minimum quantity of 350 kgs. of cement per 1 cum of concreteincluding cost and conveyance of  all materials  like cement,  fine aggregate (Sand), coarse aggregate, water etc., to site and cost of  all materials including  centering using Casurina Bellies, Bamboos, Wooden Reapers, Runners, Wood Posts, Steel Centering Plates etc complete but excluding cost of steel and it’s fabrication charges for finished item of work but excluding seigniorage charges (APSS No. 402 &amp; 403)</t>
  </si>
  <si>
    <t xml:space="preserve">Vibrated Reinforced Cement Concrete  M 20 Design Mix ( by weigh batching / Mixer  ) using 20mm size (SS5)  hard blasted Trap machine crushed graded metal (Coarse aggregate) from approved quarry, using a minimum quantity of 350 kgs. of cement per 1 cum of concreteincluding cost and conveyance of  all materials  like cement,  fine aggregate (Sand), coarse aggregate, water etc., to site and cost of  all materials including  Casurina Bellies, Bamboos, Wooden Reapers, Runners, Wood Posts, Steel Centering Plates etc complete but excluding cost of steel and it’s fabrication charges but excluding seigniorage charges for finished item of work (APSS No. 402 &amp; 403) </t>
  </si>
  <si>
    <t xml:space="preserve">Vibrated Reinforced Cement Concrete  M 20 Design Mix ( by weigh batching / Mixer  ) using 20mm size (SS5)  hard blasted Trap crushed graded metal (Coarse aggregate) from approved quarry, using a minimum quantity of 350 kgs. of cement per 1 cum of concreteincluding cost and conveyance of  all materials  like cement,  fine aggregate (Sand), coarse aggregate, water etc., to site and cost of  all materials including Casurina Bellies, Bamboos, Wooden Reapers, Runners, Wood Posts, Steel Centering Plates etccomplete but excluding cost of steel and it’s fabrication charges but excluding seigniorage charges for finished item of work (APSS No. 402 &amp; 403) </t>
  </si>
  <si>
    <t>Footing type</t>
  </si>
  <si>
    <t>No of foottings</t>
  </si>
  <si>
    <t>Ewe</t>
  </si>
  <si>
    <t>pcc for footing</t>
  </si>
  <si>
    <t>Pcc for walls</t>
  </si>
  <si>
    <t>Pcc for flooring</t>
  </si>
  <si>
    <t>Basement height</t>
  </si>
  <si>
    <t>EWE for  RR Masonry</t>
  </si>
  <si>
    <t>Column type</t>
  </si>
  <si>
    <t>No of columns</t>
  </si>
  <si>
    <t>Pedastals</t>
  </si>
  <si>
    <t>For external walls to construct RR masonry</t>
  </si>
  <si>
    <t>Short walls</t>
  </si>
  <si>
    <t>FOR FOOTINGS</t>
  </si>
  <si>
    <t>FOR PEDESTALS</t>
  </si>
  <si>
    <t>FOR COLUMNS upto bottom of the plinth beam</t>
  </si>
  <si>
    <t>Under external walls to construct RR masonry</t>
  </si>
  <si>
    <t xml:space="preserve">under flooring </t>
  </si>
  <si>
    <t>Under plinth beem.</t>
  </si>
  <si>
    <t>below ground</t>
  </si>
  <si>
    <t>steps</t>
  </si>
  <si>
    <t>Above ground</t>
  </si>
  <si>
    <t>Same as Earth Work Quantity</t>
  </si>
  <si>
    <t>FOR PLINTH BEAM</t>
  </si>
  <si>
    <t>Corridor</t>
  </si>
  <si>
    <t>Beam sides</t>
  </si>
  <si>
    <t>Class rooms</t>
  </si>
  <si>
    <t>Door</t>
  </si>
  <si>
    <t>GRILL - DATAS</t>
  </si>
  <si>
    <t>Supplying and fixing of MS iron Ventilators of size 1.20x0.30mts with 25x25x5mm angular for frame and providing 10mm square rods verticals - 10nos and horizontals - 2nos including c/c of all materials, labour charges, fabrication charges and applying one coat of red oxide paint etc., complete for finished item of work.</t>
  </si>
  <si>
    <t xml:space="preserve">Ventilator size: </t>
  </si>
  <si>
    <t>Outer frame "L' angle 25x25x5mm</t>
  </si>
  <si>
    <t>Verticals (L-angle)</t>
  </si>
  <si>
    <t>Equivalent Weight</t>
  </si>
  <si>
    <t>Kgs/Rm</t>
  </si>
  <si>
    <t>Total Weight</t>
  </si>
  <si>
    <t>10mm square rods safety bars</t>
  </si>
  <si>
    <t>Data for Red oxide Primer</t>
  </si>
  <si>
    <t>Cost of Red oxide Grade-I quality</t>
  </si>
  <si>
    <t>/10sqm</t>
  </si>
  <si>
    <t>Sl.
No.</t>
  </si>
  <si>
    <t>Abstract</t>
  </si>
  <si>
    <t>Qty.</t>
  </si>
  <si>
    <t xml:space="preserve">kgs </t>
  </si>
  <si>
    <t>Cost of Red oxide</t>
  </si>
  <si>
    <t>10Sqm</t>
  </si>
  <si>
    <t>Area allowance</t>
  </si>
  <si>
    <t xml:space="preserve">or say </t>
  </si>
  <si>
    <t>Supplying and fixing of MS iron Ventilators of size 1.50x0.30mts with 25x25x5mm angular for frame and providing 10mm square rods verticals - 13nos and horizontals - 2nos including c/c of all materials, labour charges, fabrication charges and applying one coat of red oxide paint etc., complete for finished item of work.</t>
  </si>
  <si>
    <t>Supplying and fixing of MS iron grill windows of size 1.50x1.20mts made of with 25x25x5mm angular for frame and providing 10mm square rods verticals -13 nos and horizontals -10 nos  welded to the frame including c/c of all materials, labour charges, fabrication charges and applying one coat of red oxide paint etc., complete for finished item of work.</t>
  </si>
  <si>
    <t xml:space="preserve">Grill Window size: </t>
  </si>
  <si>
    <t>Outer frame L angle 25x25x5mm</t>
  </si>
  <si>
    <t>Supply and fixing of MS grill window of 0.90x1.35mts size, made of with frame equal angle 25x25x5mm hor-2no, ver-2no welded with 10mm square rods hor-11no, ver - 7no, MS hold fasts - 4no, red oxide primer grade - I quality one coat, sales &amp; other taxes on all materials, all operational, incidental labour charges etc., complete for finished item of work.</t>
  </si>
  <si>
    <t xml:space="preserve">MS Grill window size: </t>
  </si>
  <si>
    <t xml:space="preserve">Verticals </t>
  </si>
  <si>
    <r>
      <t xml:space="preserve">Labour Charges - </t>
    </r>
    <r>
      <rPr>
        <b/>
        <sz val="11"/>
        <rFont val="Arial"/>
        <family val="2"/>
      </rPr>
      <t>TBSC-T.I-16 &amp; 17</t>
    </r>
  </si>
  <si>
    <r>
      <t>CENTERING CHARGES</t>
    </r>
    <r>
      <rPr>
        <b/>
        <sz val="10"/>
        <rFont val="Arial"/>
        <family val="2"/>
      </rPr>
      <t xml:space="preserve"> (Providing Centring, shuttering and scaffolding with props and steel plate as per the approved shuttering plan and other accessories as per the norms and stability calculations including cost and conveyance of all accessories Using Cashewrina Ballies and Wooden runners &amp; staging including all bracings, cross members etc complete for finished item of work)</t>
    </r>
  </si>
  <si>
    <r>
      <t xml:space="preserve">Earth work excavation </t>
    </r>
    <r>
      <rPr>
        <sz val="10"/>
        <rFont val="Arial"/>
        <family val="2"/>
      </rPr>
      <t xml:space="preserve">and depositing on bank </t>
    </r>
    <r>
      <rPr>
        <b/>
        <sz val="10"/>
        <rFont val="Arial"/>
        <family val="2"/>
      </rPr>
      <t>(Manual means)</t>
    </r>
    <r>
      <rPr>
        <sz val="10"/>
        <rFont val="Arial"/>
        <family val="2"/>
      </rPr>
      <t xml:space="preserve"> with initial lead of 10m and initial lift of 3m in </t>
    </r>
    <r>
      <rPr>
        <b/>
        <sz val="10"/>
        <rFont val="Arial"/>
        <family val="2"/>
      </rPr>
      <t>Loamy &amp; Clayey Soils like BC Soils, Red Earth &amp; Ordinary Gravelly Soils ( SS 20-B)</t>
    </r>
    <r>
      <rPr>
        <sz val="10"/>
        <rFont val="Arial"/>
        <family val="2"/>
      </rPr>
      <t xml:space="preserve"> including all operational incidental labour charges such as  shoring, strutting, sheeting, planking and dewatering including cost of hire charges of T &amp; P, labour charges etc., complete for finished item of work excluding seignerage charges and dewatering charges etc., complete </t>
    </r>
    <r>
      <rPr>
        <b/>
        <sz val="10"/>
        <rFont val="Arial"/>
        <family val="2"/>
      </rPr>
      <t>for Septic tank soak pit and sump</t>
    </r>
    <r>
      <rPr>
        <sz val="10"/>
        <rFont val="Arial"/>
        <family val="2"/>
      </rPr>
      <t>.</t>
    </r>
    <r>
      <rPr>
        <b/>
        <sz val="10"/>
        <rFont val="Arial"/>
        <family val="2"/>
      </rPr>
      <t xml:space="preserve">(APSS No. 308)  </t>
    </r>
  </si>
  <si>
    <r>
      <t>Earth work excavation for foundations</t>
    </r>
    <r>
      <rPr>
        <sz val="10"/>
        <rFont val="Arial"/>
        <family val="2"/>
      </rPr>
      <t xml:space="preserve"> </t>
    </r>
    <r>
      <rPr>
        <b/>
        <sz val="10"/>
        <rFont val="Arial"/>
        <family val="2"/>
      </rPr>
      <t xml:space="preserve">(Mechanical Means) for buildings in ordinary soils </t>
    </r>
    <r>
      <rPr>
        <sz val="10"/>
        <rFont val="Arial"/>
        <family val="2"/>
      </rPr>
      <t xml:space="preserve">and depositing on bank for all lifts and with an </t>
    </r>
    <r>
      <rPr>
        <b/>
        <sz val="10"/>
        <rFont val="Arial"/>
        <family val="2"/>
      </rPr>
      <t>initial lead of 10m and up to 3m depth</t>
    </r>
    <r>
      <rPr>
        <sz val="10"/>
        <rFont val="Arial"/>
        <family val="2"/>
      </rPr>
      <t xml:space="preserve">  including all operational,incidental, labour charges such as shoring, sheeting, planking, strutting etc., and overheads &amp; contractors profit complete for finished item of work excluding dewatering charges etc., as per SS 20 B(APSS 308)</t>
    </r>
  </si>
  <si>
    <r>
      <t>Rate per 1 cum</t>
    </r>
    <r>
      <rPr>
        <sz val="10"/>
        <rFont val="Arial"/>
        <family val="2"/>
      </rPr>
      <t xml:space="preserve"> (a+b+c+d) / 240</t>
    </r>
  </si>
  <si>
    <r>
      <t>Filling with Gravel</t>
    </r>
    <r>
      <rPr>
        <sz val="10"/>
        <rFont val="Arial"/>
        <family val="2"/>
      </rPr>
      <t xml:space="preserve"> in trenches, sides of foundations and basement with initial lead in layers not exceeding 15cm thick, consolidating each deposited layer by watering and ramming including cost and conveyence of water to the work site and all operational, incidental, labour charges,   hire charges of T &amp; P etc., completebut but excluding seignorage charges, for finished item of work. </t>
    </r>
    <r>
      <rPr>
        <b/>
        <sz val="10"/>
        <rFont val="Arial"/>
        <family val="2"/>
      </rPr>
      <t xml:space="preserve">(APSS NO. 309 &amp; 310) </t>
    </r>
  </si>
  <si>
    <r>
      <t>Filling with sand</t>
    </r>
    <r>
      <rPr>
        <sz val="10"/>
        <rFont val="Arial"/>
        <family val="2"/>
      </rPr>
      <t xml:space="preserve"> in trenches, sides of foundations and basement with initial lead in layers not exceeding 15cm thick, consolidating each deposited layer by watering and ramming including cost and conveyence of water to the work site and all operational, incidental, labour charges,  hire charges of T &amp; P etc., complete but excluding seignorage charges, for finished item of work. </t>
    </r>
    <r>
      <rPr>
        <b/>
        <sz val="10"/>
        <rFont val="Arial"/>
        <family val="2"/>
      </rPr>
      <t xml:space="preserve">(APSS NO. 309 &amp; 310) </t>
    </r>
  </si>
  <si>
    <r>
      <t>Plain Cement Concrete corresponding to M5 grade as per IS 456 equivalent to (1:5:10)</t>
    </r>
    <r>
      <rPr>
        <sz val="10"/>
        <rFont val="Arial"/>
        <family val="2"/>
      </rPr>
      <t xml:space="preserve"> proportion nominal mix (cement: fine aggregate: Coarse aggregate) using , 20mm size Hard Blasted Granite (IS383, 1970) Machine Crushed graded metal from approved quarry including cost and conveyance of all materials like cement, sand, coarse aggregate, water etc. to site, including , sales &amp; other taxes on all materials, all operational, incidental,  and labour charges such as mixing, laying concrete, finishing top surface, curing concrete,  etc.,   complete but excluding seigniorage charges for finished item of work for </t>
    </r>
    <r>
      <rPr>
        <b/>
        <sz val="10"/>
        <rFont val="Arial"/>
        <family val="2"/>
      </rPr>
      <t>Dummy Columns.</t>
    </r>
    <r>
      <rPr>
        <sz val="10"/>
        <rFont val="Arial"/>
        <family val="2"/>
      </rPr>
      <t xml:space="preserve"> (APSS No. 402) </t>
    </r>
  </si>
  <si>
    <r>
      <t>Plain Cement Concrete corresponding to M15 grade as per IS 456 equivalent to (1:2:4)</t>
    </r>
    <r>
      <rPr>
        <sz val="10"/>
        <rFont val="Arial"/>
        <family val="2"/>
      </rPr>
      <t xml:space="preserve"> proportion nominal mix (cement: fine aggregate: Coarse aggregate) using 20mm size Hard Blasted Trap (IS383, 1970) Machine Crushed graded metal from approved quarry including cost and conveyance of all materials like cement, sand, coarse aggregate, water etc. to site, including  sales &amp; other taxes on all materials, all operational, incidental and labour charges such as mixing, laying, curing concrete,  etc., complete but excluding seigniorage charges for finished item of work (APSS No. 402) </t>
    </r>
  </si>
  <si>
    <r>
      <t>Pointing to Cuddapah / Shahabad slabs in CM(1:3)</t>
    </r>
    <r>
      <rPr>
        <sz val="10"/>
        <rFont val="Arial"/>
        <family val="2"/>
      </rPr>
      <t xml:space="preserve"> Prop: including cost and conveyance of all materials like cement, sand, water etc., to site, including seigniorage charges, sales &amp; other taxes on all materials, all operational, incidental charges and labour charges such as mixing mortar, finishing, curing, etc., complete for finished item of work. (APSS 901,906) </t>
    </r>
  </si>
  <si>
    <r>
      <t>Brick Masonry in superstructure with CM (1:8) prop:</t>
    </r>
    <r>
      <rPr>
        <sz val="10"/>
        <rFont val="Arial"/>
        <family val="2"/>
      </rPr>
      <t xml:space="preserve"> using second class bricks from approved source having minimum crushing strength of 40 Kg/Sqcm. including cost and conveyance of all materials like cement, sand,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t>
    </r>
    <r>
      <rPr>
        <b/>
        <sz val="10"/>
        <rFont val="Arial"/>
        <family val="2"/>
      </rPr>
      <t>(APSS No. 501 &amp; 504).</t>
    </r>
  </si>
  <si>
    <r>
      <t>Reinforced Brick Masonry 11.5cm (4 1/2") thick for partition walls in CM (1:4) prop:</t>
    </r>
    <r>
      <rPr>
        <sz val="10"/>
        <rFont val="Arial"/>
        <family val="2"/>
      </rPr>
      <t xml:space="preserve"> using second class bricks from approved source having minimum crushing strength of 40 Kg/Sqcm.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complete but excluding seigniorage charges for finished item of work. </t>
    </r>
    <r>
      <rPr>
        <b/>
        <sz val="10"/>
        <rFont val="Arial"/>
        <family val="2"/>
      </rPr>
      <t>(APSS No. 501 &amp; 504).</t>
    </r>
  </si>
  <si>
    <r>
      <t>Plastering 20mm thick in two coats with base coat of 16mm thick in CM (1:6) and top coat of 4mm thick in CM (1:4)</t>
    </r>
    <r>
      <rPr>
        <sz val="10"/>
        <rFont val="Arial"/>
        <family val="2"/>
      </rPr>
      <t xml:space="preserve"> </t>
    </r>
    <r>
      <rPr>
        <b/>
        <sz val="10"/>
        <rFont val="Arial"/>
        <family val="2"/>
      </rPr>
      <t>dubara sponge finish</t>
    </r>
    <r>
      <rPr>
        <sz val="10"/>
        <rFont val="Arial"/>
        <family val="2"/>
      </rPr>
      <t xml:space="preserve"> including cost and conveyance of all materials like cement, sand, water etc., to site,   sales &amp; other taxes on all materials, all operational, incidental and  labour charges such as mixing mortar,scaffolding charges, lift charges, finishing,including cutting of Grooves wherever necessary as directed by Engineer - in - charge,  curing,  etc., complete but excluding seigniorage charges for </t>
    </r>
    <r>
      <rPr>
        <b/>
        <sz val="10"/>
        <rFont val="Arial"/>
        <family val="2"/>
      </rPr>
      <t xml:space="preserve"> Uneven Surfaces of Brick Wall for finished item of work. (APSS 901,903 &amp; 904) </t>
    </r>
  </si>
  <si>
    <r>
      <t xml:space="preserve">Plastering with CM(1:6) Prop: 12mm thick in single coat using including cost and conveyance of all materials like cement, sand, water etc., to site, including sales &amp; other taxes on all materials, all operational, incidental charges and labour charges such as mixing mortar, finishing, curing, etc., complete but excluding seigniorage charges for finished item of work. </t>
    </r>
    <r>
      <rPr>
        <b/>
        <sz val="10"/>
        <rFont val="Arial"/>
        <family val="2"/>
      </rPr>
      <t xml:space="preserve">(APSS 901,906) </t>
    </r>
  </si>
  <si>
    <r>
      <t>Plastering with CM(1:4)</t>
    </r>
    <r>
      <rPr>
        <sz val="10"/>
        <rFont val="Arial"/>
        <family val="2"/>
      </rPr>
      <t xml:space="preserve"> Prop: 20mm thick in single coat  including cost and conveyance of all materials like cement, sand, water etc., to site, including sales &amp; other taxes on all materials, all operational, incidental charges and labour charges such as mixing mortar, finishing, curing, etc., complete but excluding seigniorage charges for finished item of work. </t>
    </r>
    <r>
      <rPr>
        <b/>
        <sz val="10"/>
        <rFont val="Arial"/>
        <family val="2"/>
      </rPr>
      <t xml:space="preserve">(APSS 901,906) </t>
    </r>
  </si>
  <si>
    <r>
      <t xml:space="preserve"> set over a base coat of CM (1:8), 12mm thick using Manufactured Sand (Rock sand) and natural river sand (screened sand) in the ratio of 50:50 (joints of stone must be flushed) over C.C. bed already laid or R.C.C. roof slab  only after  it  is  properly  cured, cleaned, moistered and  where necessary treated with  neat grey cement slurry of honey like consistency spred at3.3 kgs of cement for 1 sqm. and jointed with neat cement paste to full depth,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t>
    </r>
    <r>
      <rPr>
        <b/>
        <sz val="10"/>
        <rFont val="Arial"/>
        <family val="2"/>
      </rPr>
      <t>(APSS No.703 &amp; 701)</t>
    </r>
  </si>
  <si>
    <r>
      <t>laid over existing CC bed or roof slab set over a base coat of CM (1:8), 12mm thick and pointing with CM(1:3) to full depth of flooring slabs dully filling joints neatly , including cost and conveyance of all materials like flooring stones, cement, sand, water, etc. to site,  sales and other taxes on all materials, all operational, incidental and labour charges such as mixing of cement mortar, laying, pointing, curing, lift charges etc., complete but excluding seigniorage charges for finished item of work.</t>
    </r>
    <r>
      <rPr>
        <b/>
        <sz val="10"/>
        <rFont val="Arial"/>
        <family val="2"/>
      </rPr>
      <t>(APSS No.703 &amp; 701)</t>
    </r>
  </si>
  <si>
    <r>
      <t xml:space="preserve"> with length equal to flooring stones set over a base coat of CM (1:3) using  12mm thick with cement slurry of honey like consistency spread @ 3.3 Kgs per sqm and jointed with neat cement paste mixed with pigment of matching shade to full depth (joints of stone should be flushed),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t>
    </r>
    <r>
      <rPr>
        <b/>
        <sz val="10"/>
        <rFont val="Arial"/>
        <family val="2"/>
      </rPr>
      <t xml:space="preserve">(APSS No.701 &amp; 707) </t>
    </r>
  </si>
  <si>
    <r>
      <t xml:space="preserve"> in Single piece with the edges flat nosed</t>
    </r>
    <r>
      <rPr>
        <sz val="10"/>
        <rFont val="Arial"/>
        <family val="2"/>
      </rPr>
      <t xml:space="preserve"> and set over a base coat of CM (1:8), 12mm thick using Manufactured Sand (Rock sand) and natural river sand (screened sand) in the ratio of 50:50 ,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t>
    </r>
    <r>
      <rPr>
        <b/>
        <sz val="10"/>
        <rFont val="Arial"/>
        <family val="2"/>
      </rPr>
      <t xml:space="preserve">for Treads (APSS No.701 &amp; 707) </t>
    </r>
  </si>
  <si>
    <r>
      <t xml:space="preserve">S&amp;F of pre-cast RCC Grills of any design of 50 mm thick manufactured with M-30 grade of concrete using vibro-compaction process using joint less FRP moulds to achieve shuttering finish and adequately reinforced for long use and to prevent damage during handling, transportation &amp; erection etc.,complete for finished item of work </t>
    </r>
    <r>
      <rPr>
        <b/>
        <sz val="10"/>
        <rFont val="Arial"/>
        <family val="2"/>
      </rPr>
      <t>in All Floors.</t>
    </r>
  </si>
  <si>
    <r>
      <rPr>
        <b/>
        <sz val="10"/>
        <rFont val="Arial"/>
        <family val="2"/>
      </rPr>
      <t>Supply &amp; applying Melamine Polish Glossy/ Matt finish to the wood works</t>
    </r>
    <r>
      <rPr>
        <sz val="10"/>
        <rFont val="Arial"/>
        <family val="2"/>
      </rPr>
      <t xml:space="preserve"> over 2 with more coats of French spirit polish duly cleaning the surface and applying emery paper, Sand the wood with 180 No., emery paper and then with 320 No., emery paper, clean &amp; wipe off loose dust, applying suitable knifing paste filler / wood filler by putty knife / muslin pad, air dry for 2 - 3 hrs, sand with 180 and 320 No., emery paper, apply two component wood sealer, air dry for 24 hrs, Sand with 320 No emery paper, applying one coat of approved spraying thinner (for spraying)/ applying one coat of approved brushing thinner or general purpose thinner (for brushing) and apply (either with spray or brush) two coats of approved brand melamine including cost &amp; labour charges, emery papers, cost of thinner &amp; melamine polish of approved brands such as Jenson &amp; Nicholson, Asian Paints, Berger Paints or equivalent etc., complete for finished item of work</t>
    </r>
  </si>
  <si>
    <r>
      <t xml:space="preserve"> with length equal to flooring stones set over a base coat of CM (1:3), 12mm thick with cement slurry of honey like consistency spread @ 3.3 Kgs per sqm and jointed with neat cement paste mixed with pigment of matching shade to full depth (joints of stone should be flushed),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t>
    </r>
    <r>
      <rPr>
        <b/>
        <sz val="10"/>
        <rFont val="Arial"/>
        <family val="2"/>
      </rPr>
      <t xml:space="preserve">(APSS No.701 &amp; 707) </t>
    </r>
  </si>
  <si>
    <r>
      <t xml:space="preserve">Painting to new walls with 2 coats of Acrylic based Oil bound Washable Distemper having VOC content less than 50 grams/litre </t>
    </r>
    <r>
      <rPr>
        <sz val="10"/>
        <rFont val="Arial"/>
        <family val="2"/>
      </rPr>
      <t xml:space="preserve"> over promer coat using white cemnt as approved by Engineer-In-Charge, making 3 coats in all to give an even shade after thourughly brushing the surface to remove all dirt and remains of loose powdered materials, including cost and conveyance of all materials to work site and all operational, incidental, labour charges etc., and overheads &amp; contractors profit complete for finished item of work as per APSS 911 for internal walls in all floors. </t>
    </r>
  </si>
  <si>
    <r>
      <t>Supply and fixing of 110mm dia ISI mark PVC rain water spouts of 4 Kg/cm2 pressure including Cost of necessary pvc bends, shoes and M.S.clamps  and all other accessories and fixing in position including cost and conveyance of all materials to site , seigniorage charges sales and other taxes on all materials, all operational, incidental and labour cahrges such as fixing in alignment etc., complete for finished item of work.</t>
    </r>
    <r>
      <rPr>
        <b/>
        <sz val="10"/>
        <rFont val="Arial"/>
        <family val="2"/>
      </rPr>
      <t>(APSS NO1328) in All Floors</t>
    </r>
  </si>
  <si>
    <r>
      <t xml:space="preserve">precast terrazzo chequered tiles 25mm thick </t>
    </r>
    <r>
      <rPr>
        <b/>
        <sz val="10"/>
        <rFont val="Arial"/>
        <family val="2"/>
      </rPr>
      <t>TBSC-C.VIII-04</t>
    </r>
  </si>
  <si>
    <r>
      <t>Mason 2</t>
    </r>
    <r>
      <rPr>
        <vertAlign val="superscript"/>
        <sz val="10"/>
        <rFont val="Arial"/>
        <family val="2"/>
      </rPr>
      <t>nd</t>
    </r>
    <r>
      <rPr>
        <sz val="10"/>
        <rFont val="Arial"/>
        <family val="2"/>
      </rPr>
      <t xml:space="preserve"> class</t>
    </r>
  </si>
  <si>
    <t xml:space="preserve">For Columns from top of PB to bottom of roof slab:                                             </t>
  </si>
  <si>
    <t xml:space="preserve"> C1</t>
  </si>
  <si>
    <t xml:space="preserve"> C2</t>
  </si>
  <si>
    <t xml:space="preserve"> C3</t>
  </si>
  <si>
    <t xml:space="preserve"> C4</t>
  </si>
  <si>
    <t>For Roof Beams:</t>
  </si>
  <si>
    <t xml:space="preserve">                                     RB1</t>
  </si>
  <si>
    <t xml:space="preserve">                                     RB2</t>
  </si>
  <si>
    <t xml:space="preserve">                                     RB3</t>
  </si>
  <si>
    <t xml:space="preserve">                                     RB4</t>
  </si>
  <si>
    <t xml:space="preserve">                                     RB5</t>
  </si>
  <si>
    <t xml:space="preserve">                                     RB6</t>
  </si>
  <si>
    <t>Corridor Beam</t>
  </si>
  <si>
    <t>M.L.B</t>
  </si>
  <si>
    <t>For Roof Slab: 125mm thick</t>
  </si>
  <si>
    <t>Total Area of Slab</t>
  </si>
  <si>
    <t>Ded.St.case</t>
  </si>
  <si>
    <t>Waist Slab 175mm thick:</t>
  </si>
  <si>
    <t>1st &amp; 2nd Flights</t>
  </si>
  <si>
    <t>Landing</t>
  </si>
  <si>
    <t xml:space="preserve">Plain Cement Concrete corresponding to M15 grade as per IS 456 equivalent to (1:2:4) proportion nominal mix (cement: fine aggregate: Coarse aggregate) using 20mm size Hard Blasted Granite (IS383, 1970) Machine Crushed graded metal from approved quarry including cost and conveyance of all materials like cement, sand, coarse aggregate, water etc. to site, including  sales &amp; other taxes on all materials, all operational, incidental and labour charges such as mixing, laying, curing concrete,  etc., complete but excluding seigniorage charges for finished item of work (APSS No. 402) </t>
  </si>
  <si>
    <t>For steps</t>
  </si>
  <si>
    <t xml:space="preserve">Providing  High Yield Strength Deformed (HYSD) steel bars (Fe 500 grade as per IS 1786-1985) of 8mm to 40mm diameters, (TATA, SAIL, VSP,Jindal &amp; Shyam Steel)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t>
  </si>
  <si>
    <t>Columns</t>
  </si>
  <si>
    <t>@</t>
  </si>
  <si>
    <t>Kg/cum</t>
  </si>
  <si>
    <t>Roof Beams</t>
  </si>
  <si>
    <t>Roof Slab</t>
  </si>
  <si>
    <t>Sun Shades</t>
  </si>
  <si>
    <t>Class room L/Walls</t>
  </si>
  <si>
    <t>Class room S/Walls</t>
  </si>
  <si>
    <t>At St.case</t>
  </si>
  <si>
    <t>Corridor Walls</t>
  </si>
  <si>
    <t>Deductions:</t>
  </si>
  <si>
    <t>Windows</t>
  </si>
  <si>
    <t>Lintels above Doors</t>
  </si>
  <si>
    <t xml:space="preserve">                            Windows</t>
  </si>
  <si>
    <t>Bed Blocks</t>
  </si>
  <si>
    <t>Ded.MLB</t>
  </si>
  <si>
    <t>For St.case Railing</t>
  </si>
  <si>
    <t>Reinforced Cement Concrete  M 20 Design Mix ( by weigh batching  ) using 20mm size (SS5)  hard blasted granite machine crushed graded metal (Coarse aggregate) from approved quarry, using a minimum quantity of 380 kgs. of cement per 1 cum of concrete including cost and conveyance of  all materials  like cement,  fine aggregate (Sand), coarse aggregate, water etc., to site and cost of  all materials including  centering using  Cashewrina Ballies and Wooden runners &amp; staging including all bracings, cross members etc., shuttering , machine mixing, laying concrete, lift charges, curing etc., complete but excluding cost of steel and it’s fabrication charges but excluding seigniorage charges for finished item of work (APSS No. 402 &amp; 403)</t>
  </si>
  <si>
    <t>For Lintels:</t>
  </si>
  <si>
    <t>Above Doors</t>
  </si>
  <si>
    <t>Above Windows</t>
  </si>
  <si>
    <t>Sun Shades:</t>
  </si>
  <si>
    <t xml:space="preserve">Plain Cement Concrete corresponding to M10 grade as per IS 456 equivalent to (1:3:6) proportion nominal mix (cement: fine aggregate: Coarse aggregate) using 20mm size Hard Blasted Granite (IS383, 1970) Machine Crushed graded metal from from approved quarry including cost and conveyance of all materials like cement, sand, coarse aggregate, water etc. to site, including sales &amp; other taxes on all materials, all operational, incidental and labour charges such as mixing, laying, curing concrete,  etc., complete but excluding seigniorage charges for finished item of work for Bed Blocks and Hold Fasts (APSS No. 402) </t>
  </si>
  <si>
    <t>For Doors Bed Blocks</t>
  </si>
  <si>
    <t>For Windows Bed Blocks</t>
  </si>
  <si>
    <t>Flooring with polished shabad tandur laid over existing CC bed or roof slab set over a base coat of CM (1:8), 12mm thick and pointing with CM(1:3) to full depth of flooring slabs dully filling joints neatly , including cost and conveyance of all materials like flooring stones, cement, sand, water, etc. to site,  sales and other taxes on all materials, all operational, incidental and labour charges such as mixing of cement mortar, laying, pointing, curing, lift charges etc., complete but excluding seigniorage charges for finished item of work.(APSS No.703 &amp; 701)</t>
  </si>
  <si>
    <t>Class Room</t>
  </si>
  <si>
    <t>Stair Case</t>
  </si>
  <si>
    <t>Raisers</t>
  </si>
  <si>
    <t>Threds</t>
  </si>
  <si>
    <t>Ceiling</t>
  </si>
  <si>
    <t>corridor</t>
  </si>
  <si>
    <t>Blw.St.case</t>
  </si>
  <si>
    <t xml:space="preserve">          Landing</t>
  </si>
  <si>
    <t>Class Room L/Walls</t>
  </si>
  <si>
    <t xml:space="preserve">                        S/Walls</t>
  </si>
  <si>
    <t>St.case Walls</t>
  </si>
  <si>
    <t>Corridor L/Wall</t>
  </si>
  <si>
    <t>Col.offsets</t>
  </si>
  <si>
    <t>corridor Col.faces alround</t>
  </si>
  <si>
    <t>Top</t>
  </si>
  <si>
    <t>Deductions: Col</t>
  </si>
  <si>
    <t>External walls</t>
  </si>
  <si>
    <t>Long Walls</t>
  </si>
  <si>
    <t>Short Walls</t>
  </si>
  <si>
    <t>Slab proj alround</t>
  </si>
  <si>
    <t xml:space="preserve">                         Windows</t>
  </si>
  <si>
    <t>Deduct Openings</t>
  </si>
  <si>
    <t xml:space="preserve">Making Green Chalk Board of size 3.00Mx1.20Mts including border with plastering in CM (1:2) 12mm thick as base coat and 3mm thick top coat with cement green oxide powder in (1:1) prop. and making border of 50x20mm thick alround the chalk board over existing plastered surface and painting the chalk board surface with chalk board paint as per direction of Engineer-in-Charge including cost and conveyance of all materials, sales and other taxes on cost of materials and all operational, incidental and labour charges etc., complete but excluding seigniorage charges for finished item of work (APSS No.1603) </t>
  </si>
  <si>
    <t>In Class Rooms</t>
  </si>
  <si>
    <t>In corridor</t>
  </si>
  <si>
    <t>Below Doors</t>
  </si>
  <si>
    <t>At Landing</t>
  </si>
  <si>
    <t xml:space="preserve">Supply and Fixing of Door with Double leaf shutter, Door Size 1.22x2.13 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MS Powder coated heavy Door stoppers 2 Nos, MS Hold fasts 6Nos, Sales and Other Taxes cost and convenyance of all materials to site all Labour charges such as Fixing of Door Frame on shutter Fixing in position , with Hardware fixtures etc., complete for finsihed utem of work. </t>
  </si>
  <si>
    <t>For Class Rooms</t>
  </si>
  <si>
    <t>Supply and Fixing of 18 Gauge MS Plain Sheet Window with frame made of "T" angular section of 40 x 40 x 6mm with 16mm square rods at 100mm centre to centre and Shutter frame with 25 x 25 x 3mm angle and Shutters are made of 18 Gauge Mild Steel Plain Sheet and welded with 4 Nos. of 225mm Long hold fasts of 40 x 40 x 6mm, and along with the following fixtures for each shutter such as 6 Nos. of 100mm long MS Powder Coated Hinges , 6 Nos. of 100mm MS Powder Coated Tower bolts and  and 3 Nos. of 125mm MS Powder Coated Handles including Red Oxide Paint including  sales and other taxes on cost of all materials including cost and conveyance of all materials to site etc. complete  for finished item of work for Window of size 1.52m. x 1.22m.</t>
  </si>
  <si>
    <t>For Class Rooms(1.52x1.22M)</t>
  </si>
  <si>
    <t>Painting to New walls with two coats of plastic Emulsion paint of superior quality of approved brand and shade over base coat of cement primer interior grade -I making three coats in all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for internal Walls.(APSS No. 912) in All Floors</t>
  </si>
  <si>
    <t>Internal walls</t>
  </si>
  <si>
    <t>Painting to New walls withThree coats of Acrylic Emulsion paint of superior quality of approved brand and shade over base coat of cement primer exterior grade -II making three coats in all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for  external Walls.(APSS No. 912) in All Floors</t>
  </si>
  <si>
    <t>For Externals Walls:</t>
  </si>
  <si>
    <t>Sub- Total</t>
  </si>
  <si>
    <r>
      <rPr>
        <b/>
        <sz val="11"/>
        <rFont val="Arial"/>
        <family val="2"/>
      </rPr>
      <t>Deductions:</t>
    </r>
    <r>
      <rPr>
        <sz val="11"/>
        <rFont val="Arial"/>
        <family val="2"/>
      </rPr>
      <t xml:space="preserve">     Doors</t>
    </r>
  </si>
  <si>
    <r>
      <rPr>
        <b/>
        <sz val="11"/>
        <rFont val="Arial"/>
        <family val="2"/>
      </rPr>
      <t>Raisers:</t>
    </r>
    <r>
      <rPr>
        <sz val="11"/>
        <rFont val="Arial"/>
        <family val="2"/>
      </rPr>
      <t xml:space="preserve"> First &amp; second Flight</t>
    </r>
  </si>
  <si>
    <r>
      <rPr>
        <b/>
        <sz val="11"/>
        <rFont val="Arial"/>
        <family val="2"/>
      </rPr>
      <t>Treads:</t>
    </r>
    <r>
      <rPr>
        <sz val="11"/>
        <rFont val="Arial"/>
        <family val="2"/>
      </rPr>
      <t xml:space="preserve"> First &amp; second Flight</t>
    </r>
  </si>
  <si>
    <r>
      <t xml:space="preserve">Earth work excavation </t>
    </r>
    <r>
      <rPr>
        <sz val="10"/>
        <rFont val="Arial"/>
        <family val="2"/>
      </rPr>
      <t xml:space="preserve">and depositing on bank </t>
    </r>
    <r>
      <rPr>
        <b/>
        <sz val="10"/>
        <rFont val="Arial"/>
        <family val="2"/>
      </rPr>
      <t>(manual means)</t>
    </r>
    <r>
      <rPr>
        <sz val="10"/>
        <rFont val="Arial"/>
        <family val="2"/>
      </rPr>
      <t xml:space="preserve"> with initial lead of 10m and initial lift of 3m in </t>
    </r>
    <r>
      <rPr>
        <b/>
        <sz val="10"/>
        <rFont val="Arial"/>
        <family val="2"/>
      </rPr>
      <t>Loamy &amp; Clayey Soils like BC Soils, Red Earth &amp; Ordinary Gravelly Soils ( SS 20-B)</t>
    </r>
    <r>
      <rPr>
        <sz val="10"/>
        <rFont val="Arial"/>
        <family val="2"/>
      </rPr>
      <t xml:space="preserve"> including all operational incidental labour charges such as  shoring, strutting, sheeting, planking and dewatering including cost of hire charges of T &amp; P, labour charges etc., complete for finished item of work excluding seignerage charges and dewatering charges etc., complete </t>
    </r>
    <r>
      <rPr>
        <b/>
        <sz val="10"/>
        <rFont val="Arial"/>
        <family val="2"/>
      </rPr>
      <t>for Foundation of Building</t>
    </r>
    <r>
      <rPr>
        <sz val="10"/>
        <rFont val="Arial"/>
        <family val="2"/>
      </rPr>
      <t>.</t>
    </r>
    <r>
      <rPr>
        <b/>
        <sz val="10"/>
        <rFont val="Arial"/>
        <family val="2"/>
      </rPr>
      <t xml:space="preserve">(APSS No. 308) </t>
    </r>
  </si>
  <si>
    <r>
      <t>Filling with useful available excavated earth</t>
    </r>
    <r>
      <rPr>
        <sz val="10"/>
        <rFont val="Arial"/>
        <family val="2"/>
      </rPr>
      <t xml:space="preserve"> (excluding rock) in trenches, sides of foundations and basement with initial lead in layers not exceeding 15cm thick, consolidating each deposited layer by watering and ramming including cost and conveyence of water to work site and all operational, incidental, labour charges, hire charges of T &amp; P etc., complete for finished item of work. </t>
    </r>
    <r>
      <rPr>
        <b/>
        <sz val="10"/>
        <rFont val="Arial"/>
        <family val="2"/>
      </rPr>
      <t xml:space="preserve">(APSS NO. 309 &amp; 310) </t>
    </r>
  </si>
  <si>
    <r>
      <t xml:space="preserve">Plain Cement Concrete corresponding to M5 grade as per IS 456 equivalent to (1:5:10) proportion </t>
    </r>
    <r>
      <rPr>
        <sz val="10"/>
        <rFont val="Arial"/>
        <family val="2"/>
      </rPr>
      <t xml:space="preserve">nominal mix (cement: fine aggregate: Coarse aggregate) using,40mm size Hard Blasted Granite (IS383, 1970) metal from approved quarry including cost and conveyance of all materials like cement, sand, coarse aggregate, water etc. to site, including  sales &amp; other taxes on all materials, all operational, incidental,  and labour charges such as mixing, laying and ramming concrete in layers in position not exceeding 15cm, finishing top surface, curing concrete,  etc., complete but excluding seigniorage chargesfor finished item of work </t>
    </r>
    <r>
      <rPr>
        <b/>
        <sz val="10"/>
        <rFont val="Arial"/>
        <family val="2"/>
      </rPr>
      <t>for Foundations and Flooring Bed</t>
    </r>
    <r>
      <rPr>
        <sz val="10"/>
        <rFont val="Arial"/>
        <family val="2"/>
      </rPr>
      <t xml:space="preserve"> </t>
    </r>
    <r>
      <rPr>
        <b/>
        <sz val="10"/>
        <rFont val="Arial"/>
        <family val="2"/>
      </rPr>
      <t xml:space="preserve">(APSS No. 402) </t>
    </r>
  </si>
  <si>
    <r>
      <t>Plain Cement Concrete corresponding to M7.5 grade as per IS 456 equivalent to (1:4:8)</t>
    </r>
    <r>
      <rPr>
        <sz val="10"/>
        <rFont val="Arial"/>
        <family val="2"/>
      </rPr>
      <t xml:space="preserve"> proportion nominal mix (cement: fine aggregate: Coarse aggregate) using </t>
    </r>
    <r>
      <rPr>
        <b/>
        <sz val="10"/>
        <rFont val="Arial"/>
        <family val="2"/>
      </rPr>
      <t xml:space="preserve">, </t>
    </r>
    <r>
      <rPr>
        <sz val="10"/>
        <rFont val="Arial"/>
        <family val="2"/>
      </rPr>
      <t xml:space="preserve">40mm size Hard Blasted Granite (IS383, 1970) metal from approved quarry including cost and conveyance of all materials like cement, sand, coarse aggregate, water etc. to site, including  sales &amp; other taxes on all materials, all operational, incidental,  and labour charges such as mixing, laying and ramming concrete in layers in position not exceeding 15cm, finishing top surface, curing concrete,  etc.,   complete but excluding seigniorage charges, for finished item of work for </t>
    </r>
    <r>
      <rPr>
        <b/>
        <sz val="10"/>
        <rFont val="Arial"/>
        <family val="2"/>
      </rPr>
      <t>Foundations</t>
    </r>
    <r>
      <rPr>
        <sz val="10"/>
        <rFont val="Arial"/>
        <family val="2"/>
      </rPr>
      <t xml:space="preserve">  (APSS No. 402) </t>
    </r>
  </si>
  <si>
    <r>
      <t>Plain Cement Concrete corresponding to M10 grade as per IS 456 equivalent to (1:3:6)</t>
    </r>
    <r>
      <rPr>
        <sz val="10"/>
        <rFont val="Arial"/>
        <family val="2"/>
      </rPr>
      <t xml:space="preserve"> proportion nominal mix (cement: fine aggregate: Coarse aggregate) using </t>
    </r>
    <r>
      <rPr>
        <b/>
        <sz val="10"/>
        <rFont val="Arial"/>
        <family val="2"/>
      </rPr>
      <t>,</t>
    </r>
    <r>
      <rPr>
        <sz val="10"/>
        <rFont val="Arial"/>
        <family val="2"/>
      </rPr>
      <t xml:space="preserve"> 20mm size Hard Blasted Trap (IS383, 1970) Machine Crushed graded metal from from approved quarry including cost and conveyance of all materials like cement, sand, coarse aggregate, water etc. to site, including sales &amp; other taxes on all materials, all operational, incidental and labour charges such as mixing, laying, curing concrete,  etc., complete but excluding seigniorage charges for finished item of work for </t>
    </r>
    <r>
      <rPr>
        <b/>
        <sz val="10"/>
        <rFont val="Arial"/>
        <family val="2"/>
      </rPr>
      <t>Bed Blocks and Hold Fasts</t>
    </r>
    <r>
      <rPr>
        <sz val="10"/>
        <rFont val="Arial"/>
        <family val="2"/>
      </rPr>
      <t xml:space="preserve"> (APSS No. 402) </t>
    </r>
  </si>
  <si>
    <r>
      <t>Random Rubble stone masonry, in CM (1:8) prop: (Cement: Sand) using Hard blasted Granite</t>
    </r>
    <r>
      <rPr>
        <sz val="10"/>
        <rFont val="Arial"/>
        <family val="2"/>
      </rPr>
      <t xml:space="preserve"> stones from approved quarry including cost and conveyance of all materials like Granite stones, cement, sand, water,  etc.,  to site  sales &amp; other taxes on all materials, all operational, incidental, and labour charges such as cutting stones to required size and shape, mixing of cement mortar, constructing masonry, curing etc., complete but excluding seigniorage charges for finished item of work </t>
    </r>
    <r>
      <rPr>
        <b/>
        <sz val="10"/>
        <rFont val="Arial"/>
        <family val="2"/>
      </rPr>
      <t>for foundation and basement (APSS No. 601 &amp; 615)</t>
    </r>
  </si>
  <si>
    <r>
      <t>Flush Pointing to RR Masonry in CM(1:3)</t>
    </r>
    <r>
      <rPr>
        <sz val="10"/>
        <rFont val="Arial"/>
        <family val="2"/>
      </rPr>
      <t xml:space="preserve"> Prop: including cost and conveyance of all materials like cement, sand, water etc., to site, including sales &amp; other taxes on all materials, all operational, incidental charges and labour charges such as mixing mortar, finishing, curing, etc., complete but excluding seigniorage charges for finished item of work. </t>
    </r>
    <r>
      <rPr>
        <b/>
        <sz val="10"/>
        <rFont val="Arial"/>
        <family val="2"/>
      </rPr>
      <t xml:space="preserve">(APSS 901,906) </t>
    </r>
  </si>
  <si>
    <r>
      <rPr>
        <b/>
        <sz val="10"/>
        <rFont val="Arial"/>
        <family val="2"/>
      </rPr>
      <t>Providing  High Yield Strength Deformed (HYSD) steel bars (Fe 500 grade as per IS 1786-1985) of 8mm to 40mm diameters, (TATA, SAIL, VSP,JSW &amp; Shyam Steel)</t>
    </r>
    <r>
      <rPr>
        <sz val="10"/>
        <rFont val="Arial"/>
        <family val="2"/>
      </rPr>
      <t xml:space="preserve">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t>
    </r>
  </si>
  <si>
    <r>
      <t xml:space="preserve">Providing impervious coat with required slopes in CM (1:3) prop. 20mm thick (average) mixed with water proofing compound manufactured by reputed manufacturers as approved by Engineer-in-charge at 1Kg/bag of cement, laid over roof slab when it is green, finished smooth with a floating coat of neat cement and thread lining at regular intervals of 45cmx45cm including cost and conveyance of all materials like cement, sand, water proofing compound, water etc., to site,   sales &amp; other taxes on all materials, all operational, incidental and labour charges such as mixing mortar, laying, rounding off at junctions of wall and slab, rendering smooth with thread lining, curing, lift charges,  etc., complete but excluding seigniorage charges for finished item of work </t>
    </r>
    <r>
      <rPr>
        <b/>
        <sz val="10"/>
        <rFont val="Arial"/>
        <family val="2"/>
      </rPr>
      <t>(APSS No. 901 &amp; 903).</t>
    </r>
  </si>
  <si>
    <r>
      <t xml:space="preserve">Whiting to walls and ceiling in two coats with Birla White or equavalent quality to give an even shade after thoroughly brushing the surface to remove all loose powdered materials  including cost and conveyance of all materials and water to site, sales &amp; other taxes, all operational, incidental and labour charges such as cleaning the surface, painting, curing etc., complete for finished item of work </t>
    </r>
    <r>
      <rPr>
        <b/>
        <sz val="10"/>
        <rFont val="Arial"/>
        <family val="2"/>
      </rPr>
      <t>for internal walls</t>
    </r>
    <r>
      <rPr>
        <sz val="10"/>
        <rFont val="Arial"/>
        <family val="2"/>
      </rPr>
      <t xml:space="preserve">. </t>
    </r>
    <r>
      <rPr>
        <b/>
        <sz val="10"/>
        <rFont val="Arial"/>
        <family val="2"/>
      </rPr>
      <t>(APSS No.901 &amp; 908) in All Floors</t>
    </r>
  </si>
  <si>
    <r>
      <t xml:space="preserve">Painting to Iron work with two coats of ready mixed synthetic enamel paint first quality all shades over an existing steel primer including cost and conveyance of all materials to site, sales &amp; other taxes, incidental, operational and all labour charges etc., complete for finished item of work. </t>
    </r>
    <r>
      <rPr>
        <b/>
        <sz val="10"/>
        <rFont val="Arial"/>
        <family val="2"/>
      </rPr>
      <t>(APSS No. 1201, 1207 &amp; 1212)</t>
    </r>
    <r>
      <rPr>
        <sz val="10"/>
        <rFont val="Arial"/>
        <family val="2"/>
      </rPr>
      <t>.</t>
    </r>
    <r>
      <rPr>
        <b/>
        <sz val="10"/>
        <rFont val="Arial"/>
        <family val="2"/>
      </rPr>
      <t>in All Floors</t>
    </r>
  </si>
  <si>
    <r>
      <t xml:space="preserve">Painting to New  wood work with two coats of ready mixed synthetic enamel paint Grade I all shades  to give an even shade </t>
    </r>
    <r>
      <rPr>
        <b/>
        <sz val="10"/>
        <rFont val="Arial"/>
        <family val="2"/>
      </rPr>
      <t xml:space="preserve">over base coat Primer with Luppam finishing </t>
    </r>
    <r>
      <rPr>
        <sz val="10"/>
        <rFont val="Arial"/>
        <family val="2"/>
      </rPr>
      <t xml:space="preserve"> after thoroughly brushing the surface to remove all remains  including cost and conveyance of all materials to site, sales &amp; other taxes, all  operational, incidental and labour charges etc., complete for finished item of work.(3 coats) </t>
    </r>
    <r>
      <rPr>
        <b/>
        <sz val="10"/>
        <rFont val="Arial"/>
        <family val="2"/>
      </rPr>
      <t>(APSS No. 1201 &amp; 1212)</t>
    </r>
    <r>
      <rPr>
        <sz val="10"/>
        <rFont val="Arial"/>
        <family val="2"/>
      </rPr>
      <t>.</t>
    </r>
    <r>
      <rPr>
        <b/>
        <sz val="10"/>
        <rFont val="Arial"/>
        <family val="2"/>
      </rPr>
      <t>in All Floors</t>
    </r>
  </si>
  <si>
    <r>
      <t>Painting to New walls with two coats of Acrylic Emulsion paint of superior quality of approved brand and shade over base coat of</t>
    </r>
    <r>
      <rPr>
        <b/>
        <sz val="10"/>
        <rFont val="Arial"/>
        <family val="2"/>
      </rPr>
      <t xml:space="preserve"> cement primer interior grade -I making three coats in all</t>
    </r>
    <r>
      <rPr>
        <sz val="10"/>
        <rFont val="Arial"/>
        <family val="2"/>
      </rPr>
      <t xml:space="preserve">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t>
    </r>
    <r>
      <rPr>
        <b/>
        <sz val="10"/>
        <rFont val="Arial"/>
        <family val="2"/>
      </rPr>
      <t>for internal Walls.(APSS No. 912) in All Floors</t>
    </r>
  </si>
  <si>
    <r>
      <t>Painting to New walls with two coats of Acrylic Emulsion paint of superior quality of approved brand and shade over base coat of</t>
    </r>
    <r>
      <rPr>
        <b/>
        <sz val="10"/>
        <rFont val="Arial"/>
        <family val="2"/>
      </rPr>
      <t xml:space="preserve"> cement primer exterior grade -II making three coats in all</t>
    </r>
    <r>
      <rPr>
        <sz val="10"/>
        <rFont val="Arial"/>
        <family val="2"/>
      </rPr>
      <t xml:space="preserve">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t>
    </r>
    <r>
      <rPr>
        <b/>
        <sz val="10"/>
        <rFont val="Arial"/>
        <family val="2"/>
      </rPr>
      <t>for  external Walls.(APSS No. 912) in All Floors</t>
    </r>
  </si>
  <si>
    <r>
      <t xml:space="preserve">Rate As per approved for Model School Buildings by the </t>
    </r>
    <r>
      <rPr>
        <b/>
        <sz val="10"/>
        <rFont val="Arial"/>
        <family val="2"/>
      </rPr>
      <t>Superintending Engineer</t>
    </r>
    <r>
      <rPr>
        <sz val="10"/>
        <rFont val="Arial"/>
        <family val="2"/>
      </rPr>
      <t>, APEWIDC, Hyderabad of size 12'0''x4'0''</t>
    </r>
  </si>
  <si>
    <r>
      <t xml:space="preserve">Providing  &amp; Fixing  of  Open  able  Windows  with  Flymesh made of pre-painted steel as per IS 513 of 0.58 mm thick galvanized as per IS 277 finish painted with a polyester paint and the section for outer frame of 72 x  55mm,  centre  mullion  of  72  x  50mm,  section  for fixed glass beading section of 12 x 12 mm and section for shutters of 48 x 25 mm and outer frame &amp; mullion sections with rebate for glazed shutters, fly mesh and a 20 mm provision for guard bars/grills and fly mesh shutter section  of 20 x  40  mm, stay, handles, latch 2 Nos  of  heavy  duty  stainless  steel  pivot  hinges  per shutter and panelled with </t>
    </r>
    <r>
      <rPr>
        <b/>
        <sz val="11"/>
        <rFont val="Arial"/>
        <family val="2"/>
      </rPr>
      <t xml:space="preserve">0.5 mm thick Galvalume corrugated sheet </t>
    </r>
    <r>
      <rPr>
        <sz val="11"/>
        <rFont val="Arial"/>
        <family val="2"/>
      </rPr>
      <t>and S.S. Mesh for fly mesh shutter (304 grade), fitted using rubber gaskets including fixing the windows in the  concrete/masonry  wall  by  means  of  self expanding  screws,  including  10mm  Square  guard bars  with  6”  (152.4mm)  pitch  ,  complete  for  Three shutter window</t>
    </r>
  </si>
  <si>
    <r>
      <t>basic rate as per ssr item no 763 item code</t>
    </r>
    <r>
      <rPr>
        <b/>
        <sz val="11"/>
        <rFont val="Arial"/>
        <family val="2"/>
      </rPr>
      <t xml:space="preserve"> TBSC-M.I-09</t>
    </r>
  </si>
  <si>
    <r>
      <t>Supply and Fixing of ISI 25mm outer dia heavygrade, FRLS with IS:9537 part 3 regid PVC pipe. concealed in Roof Slabs with all required accessories including masonary work  and labour charges etc., complete.</t>
    </r>
    <r>
      <rPr>
        <b/>
        <sz val="10"/>
        <rFont val="Arial"/>
        <family val="2"/>
      </rPr>
      <t xml:space="preserve"> Makes : Sudhakar / Goldmedal / Modi / AKG / VIP / MillionPlast / Precision</t>
    </r>
  </si>
  <si>
    <r>
      <t>Note</t>
    </r>
    <r>
      <rPr>
        <sz val="10"/>
        <rFont val="Arial"/>
        <family val="2"/>
      </rPr>
      <t xml:space="preserve"> : 1.   If 25mm dia PVC / MS pipes are used for light / fan point, add the cost of sheet metal / well seasoned wooden board / box.</t>
    </r>
  </si>
  <si>
    <r>
      <t xml:space="preserve">Supply and Fixing of ISI 25mm outer dia mediumgrade, FRLS with IS:9537 part 3 regid PVC pipe. concealed in wall with all required accessories including masonary work for light, fan and separate plug point with 8 or 9 Module Hot dip galvanized Metal Box including all labour charges etc., complete. </t>
    </r>
    <r>
      <rPr>
        <b/>
        <sz val="10"/>
        <rFont val="Arial"/>
        <family val="2"/>
      </rPr>
      <t xml:space="preserve"> Makes : Sudhakar / Goldmedal / Modi / AKG / VIP / MillionPlast / Precision
</t>
    </r>
  </si>
  <si>
    <r>
      <t xml:space="preserve">Wiring with 2 runs of 14/0.3mm (1.0 Sq.mm) Fire Retardant Low Smoke (FRLS) /  HFFR P.V.C. insulated 1100 V Grade as per IS: 694 / 1990 specification for flexible copper cable (ISI MARK) in existing pipe with 6A 1 way modular switch, Ceiling rose  including all labour charges etc., complete for light, bell, fan and exhaust fan points in </t>
    </r>
    <r>
      <rPr>
        <b/>
        <sz val="10"/>
        <rFont val="Arial"/>
        <family val="2"/>
      </rPr>
      <t>Non-Residential Buildings</t>
    </r>
    <r>
      <rPr>
        <sz val="10"/>
        <rFont val="Arial"/>
        <family val="2"/>
      </rPr>
      <t xml:space="preserve">  Makes of Wires : Finolex / RR kabel / Havells / APAR EBXL / KEI /L&amp;T / V-Guard.   Makes of Switches : Legrand Myrius / Cabtree Verona / Million / Logus/ Gold Medal Curve / Anchor Roma viola / CPL / GreatWhite / Vimal / GM Four-Five / HPL / L&amp;T / Salzar / Stanjo</t>
    </r>
  </si>
  <si>
    <r>
      <t xml:space="preserve">Supply and fixing of </t>
    </r>
    <r>
      <rPr>
        <b/>
        <sz val="10"/>
        <rFont val="Arial"/>
        <family val="2"/>
      </rPr>
      <t>6A 3/2 pin Modular wall plug socket</t>
    </r>
    <r>
      <rPr>
        <sz val="10"/>
        <rFont val="Arial"/>
        <family val="2"/>
      </rPr>
      <t xml:space="preserve"> with shutter and 6A 1 way  modular switch control on a </t>
    </r>
    <r>
      <rPr>
        <b/>
        <sz val="10"/>
        <rFont val="Arial"/>
        <family val="2"/>
      </rPr>
      <t>common switch board</t>
    </r>
    <r>
      <rPr>
        <sz val="10"/>
        <rFont val="Arial"/>
        <family val="2"/>
      </rPr>
      <t xml:space="preserve"> with earth continuity including wire leads, earth connections along with all labour charges etc., complete.   Makes of Switches : Legrand myreus/Crabtree verona / Gold Madel curve / Million / LogusAnchor Roma viola / Great White /CPL/Vimal/ GM four-five/HPL/L&amp;T/Salzar / Stanjo</t>
    </r>
  </si>
  <si>
    <r>
      <t xml:space="preserve">Supply and Fixing of 16A/6A 3pin plug socket with shutter and 16A modular  switch control  duly recessed in wall with Galvanised hot deep box of with </t>
    </r>
    <r>
      <rPr>
        <b/>
        <sz val="10"/>
        <rFont val="Arial"/>
        <family val="2"/>
      </rPr>
      <t>common switch board</t>
    </r>
    <r>
      <rPr>
        <sz val="10"/>
        <rFont val="Arial"/>
        <family val="2"/>
      </rPr>
      <t xml:space="preserve"> including earth connections and all labour charges etc., complete. Makes of Switches : Legrand myreus/Crabtree verona / Gold Madel curve / Million / LogusAnchor Roma viola / Great White /CPL/Vimal/ GM four-five/HPL/L&amp;T</t>
    </r>
  </si>
  <si>
    <r>
      <t xml:space="preserve">Supply and run of 1 of 22/0.3 mm ( 1.5 sq.mm) FRLS  / HFFR PVC insulated 1100 V grade as per IS: 694 / 1990 specifications for flexible copper cable for existing pipe for earth continuity including all labour charges etc., complete.                    
</t>
    </r>
    <r>
      <rPr>
        <b/>
        <sz val="10"/>
        <rFont val="Arial"/>
        <family val="2"/>
      </rPr>
      <t>Makes of Wires : Finolex / RR kabel / Havells / APAR EBXL / KEI /L&amp;T / V-Guard.</t>
    </r>
  </si>
  <si>
    <r>
      <t xml:space="preserve">Supply and fixing of batten holder / slanting holder (Makes : Anchor / Gold Medal Olive / Million Zoom). in lieu of ceiling rose of light point complete with all connections and all labour charges with 18 Watt CFL bulb </t>
    </r>
    <r>
      <rPr>
        <b/>
        <sz val="10"/>
        <rFont val="Arial"/>
        <family val="2"/>
      </rPr>
      <t>Makes : Phillips / Crompton / Bajaj / Surya / Havells / HPL/ Halonix.</t>
    </r>
  </si>
  <si>
    <r>
      <t>Supply and fixing of Integral street light luminaire of 150W HPSV / MH lamp fitting comprises of single piece die cast Aluminium body with copper wound ballast and capacitor, Ignitor,  with pot optics including 150W HPSV lamp etc, fixing on wall with 1.0mt 40mm dia GI pipe bracket and anti-tilting MS flat, 2.5 Sq.mm flexible copper cable etc.,including all labour charges for mason work and giving connections etc., complete. Makes: Phillips / GE/ Bajaj / Crompton / Surya</t>
    </r>
    <r>
      <rPr>
        <b/>
        <sz val="10"/>
        <rFont val="Arial"/>
        <family val="2"/>
      </rPr>
      <t xml:space="preserve">
</t>
    </r>
  </si>
  <si>
    <t>ESTIMATE COST :</t>
  </si>
  <si>
    <t>Lakhs</t>
  </si>
  <si>
    <t>For size 8'0''x4'0''</t>
  </si>
  <si>
    <t>Supply and fixing of  e-3 Ceramic magnetic Green Chalk Board of size 8'0''x4'0'' with viturious enamil coated sheet made up of 0.30 to 0.4mm thick steel sheet having 0.095 mm thick on top and 0.03mm min on the back supported with 9mm thick MDF board  having bulk density of 750kg/m3 and laminated with 0.25 mm thick electro Galvanised steel sheet at the back both the top and backing sheet shall be properly fixed with MDF board using suiltable addhesive to avoid any moisture absorption. Fixed in deluxe quality alluminium channels confirming to ISI standards including cost transportaion and all labour charges for fixing etc complete for finshing item of work.</t>
  </si>
  <si>
    <t>Random Rubble stone masonry, in CM (1:8) prop: (Cement: Sand) using Hard blasted Granite stones from approved quarry including cost and conveyance of all materials like Granite stones, cement, sand, water,  etc.,  to site  sales &amp; other taxes on all materials, all operational, incidental, and labour charges such as cutting stones to required size and shape, mixing of cement mortar, constructing masonry, curing etc., complete but excluding seigniorage charges for finished item of work for foundation and basement (APSS No. 601 &amp; 615)</t>
  </si>
  <si>
    <t xml:space="preserve">Filling with Gravel in trenches, sides of foundations and basement with initial lead in layers not exceeding 15cm thick, consolidating each deposited layer by watering and ramming including cost and conveyence of water to the work site and all operational, incidental, labour charges,   hire charges of T &amp; P etc., completebut but excluding seignorage charges, for finished item of work. (APSS NO. 309 &amp; 310) </t>
  </si>
  <si>
    <t>Providing impervious coat with required slopes in CM (1:3) prop. 20mm thick (average) mixed with water proofing compound manufactured by reputed manufacturers as approved by Engineer-in-charge at 1Kg/bag of cement, laid over roof slab when it is green, finished smooth with a floating coat of neat cement and thread lining at regular intervals of 45cmx45cm including cost and conveyance of all materials like cement, sand, water proofing compound, water etc., to site,   sales &amp; other taxes on all materials, all operational, incidental and labour charges such as mixing mortar, laying, rounding off at junctions of wall and slab, rendering smooth with thread lining, curing, lift charges,  etc., complete but excluding seigniorage charges for finished item of work (APSS No. 901 &amp; 903).</t>
  </si>
  <si>
    <t>Brick Masonry in superstructure with CM (1:8) prop: using second class bricks from approved source having minimum crushing strength of 40 Kg/Sqcm. including cost and conveyance of all materials like cement, sand,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(APSS No. 501 &amp; 504).</t>
  </si>
  <si>
    <t>Painting to New  wood work with two coats of ready mixed synthetic enamel paint Grade I all shades  to give an even shade over base coat Primer with Luppam finishing  after thoroughly brushing the surface to remove all remains  including cost and conveyance of all materials to site, sales &amp; other taxes, all  operational, incidental and labour charges etc., complete for finished item of work.(3 coats) (APSS No. 1201 &amp; 1212).in All Floors</t>
  </si>
  <si>
    <t>Sub Total</t>
  </si>
  <si>
    <t xml:space="preserve">Supply and Fixing of windows with Double leaf shutter, Door Size 0.9 x2.13 mtrs with Medium teak Wood Frame of sections size 75mm x 100mm with Flush window Shutter Solid Bond Wood black board type with commercial ply on both faces of 35mm thick including cost of fixtures such as MS Powder coated Tower Bolts 250mm long 1 Nos, MS Powder coated Handels 150mm long 1 No, 300mm long MS Powder coated Aldrops 1No, 125mm long MS Powder coated butt hinges 3 Nos, 250 mm long MS Powder coated Flat latch 1No, Door stoppers 1 Nos, MS Hold fasts 6Nos, Fixing in position of MS Powder coated Sheet 24 guage of full width of shutter to a height of 0.60 mtrs for interior face and 0.15 mtrs to external face , Sales and Other Taxes cost and convenyance of all materials to site all Labour charges such as Fixing of window Frame on shutter Fixing in position , with Hardware fixtures etc., complte for finsihed item of work. </t>
  </si>
  <si>
    <t xml:space="preserve">Plastering 20mm thick in two coats with base coat of 16mm thick in CM (1:6) and top coat of 4mm thick in CM (1:4) dubara sponge finish including cost and conveyance of all materials like cement, sand, water etc., to site,   sales &amp; other taxes on all materials, all operational, incidental and  labour charges such as mixing mortar,scaffolding charges, lift charges, finishing,including cutting of Grooves wherever necessary as directed by Engineer - in - charge,  curing,  etc., complete but excluding seigniorage charges for  Uneven Surfaces of Brick Wall for finished item of work. (APSS 901,903 &amp; 904) </t>
  </si>
  <si>
    <t>Supply and fixing of MS Ventilator of size (0.60x0.45)mts made of with frame of equal angle of 25x25x5mm hor-2no, ver-2no welded with 10mm square rods hor-3no, ver-4no, MS hold fasts - 2no, red oxide primer grade - I quality one coat, sales &amp; other taxes on all materials, all operational, incidental labour charges etc., complete for finished item of work.</t>
  </si>
  <si>
    <t xml:space="preserve">S.no </t>
  </si>
  <si>
    <t xml:space="preserve"> Description</t>
  </si>
  <si>
    <t>H</t>
  </si>
  <si>
    <t>Amt</t>
  </si>
  <si>
    <t xml:space="preserve">store room  l/w </t>
  </si>
  <si>
    <t>store room  c/w</t>
  </si>
  <si>
    <t>kitchen  l/w</t>
  </si>
  <si>
    <t>kitchen  c/w</t>
  </si>
  <si>
    <t xml:space="preserve">store room  </t>
  </si>
  <si>
    <t xml:space="preserve">kitchen  </t>
  </si>
  <si>
    <t>store room  l/w</t>
  </si>
  <si>
    <t>store room c/w</t>
  </si>
  <si>
    <t>kitchen C/w</t>
  </si>
  <si>
    <t>dedutions</t>
  </si>
  <si>
    <t>door</t>
  </si>
  <si>
    <t>window</t>
  </si>
  <si>
    <t>Reinforced Brick Masonry 11.5cm (4 1/2") thick for partition walls in CM (1:4) prop: using second class bricks from approved source having minimum crushing strength of 40 Kg/Sqcm.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complete but excluding seigniorage charges for finished item of work. (APSS No. 501 &amp; 504).</t>
  </si>
  <si>
    <t>store shelf wall</t>
  </si>
  <si>
    <t>kitchen  shelf wall</t>
  </si>
  <si>
    <t>main bars</t>
  </si>
  <si>
    <t>dist bars</t>
  </si>
  <si>
    <t>M.t</t>
  </si>
  <si>
    <t xml:space="preserve">Roof Slab 115mm thick </t>
  </si>
  <si>
    <t>celling</t>
  </si>
  <si>
    <t>slab projection</t>
  </si>
  <si>
    <t>l/w store room</t>
  </si>
  <si>
    <t>c/w store room</t>
  </si>
  <si>
    <t>kitchen c/w</t>
  </si>
  <si>
    <t>litchen l/w</t>
  </si>
  <si>
    <t>kitchen l/w front</t>
  </si>
  <si>
    <t>platfrom int/store</t>
  </si>
  <si>
    <t>platfrom int/kitchen</t>
  </si>
  <si>
    <t>side</t>
  </si>
  <si>
    <t>kitchen sides</t>
  </si>
  <si>
    <t>front</t>
  </si>
  <si>
    <t>rear wall</t>
  </si>
  <si>
    <t>sajja projetion</t>
  </si>
  <si>
    <t>risers</t>
  </si>
  <si>
    <t>Window</t>
  </si>
  <si>
    <t>Supply and Fixing MS Purlins 50mm dia including Labour Charges for fixing complete including cost and conveyance of all materials to site, sales and other taxes, all labour charges etc., complete for finished item of work</t>
  </si>
  <si>
    <t>Roofing: - Roofing will be provided with 0.5mm thick galvanized / pre painted G.I. profiled sheets fixed to the purlins with 14 size self drilling screws with neoprene washer. Side laps are stitched with self tapping / drilling
screws. End laps are to be sealed with 25x3 mm Butyl tape. The sheets are provided with anti capillary grove</t>
  </si>
  <si>
    <t>Ms gate (1.2 x 1.85 )</t>
  </si>
  <si>
    <t xml:space="preserve">kitchen sides (2.02 x 1.5) </t>
  </si>
  <si>
    <t>Gate sides (0.8 x 1.4)</t>
  </si>
  <si>
    <t>Gate top (1.2 x .75)</t>
  </si>
  <si>
    <t>kitchen</t>
  </si>
  <si>
    <t>Store</t>
  </si>
  <si>
    <r>
      <t>Painting to New walls with two coats of Acrylic Emulsion paint of superior quality of approved brand and shade over base coat of</t>
    </r>
    <r>
      <rPr>
        <b/>
        <sz val="11"/>
        <rFont val="Arial"/>
        <family val="2"/>
      </rPr>
      <t xml:space="preserve"> cement primer exterior grade -II making three coats in all</t>
    </r>
    <r>
      <rPr>
        <sz val="11"/>
        <rFont val="Arial"/>
        <family val="2"/>
      </rPr>
      <t xml:space="preserve">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t>
    </r>
    <r>
      <rPr>
        <b/>
        <sz val="11"/>
        <rFont val="Arial"/>
        <family val="2"/>
      </rPr>
      <t>.(APSS No. 912) in All Floors</t>
    </r>
  </si>
  <si>
    <t>Gate sides (.8 x 1.4)</t>
  </si>
  <si>
    <t xml:space="preserve">Writing of School Name &amp; SSA logo </t>
  </si>
  <si>
    <t>Supply and Fixing of Door with Double leaf shutter, Door Size 1.22x2.13 mtrs with Medium teak wood Frame of sections size 75mm x 100mm with Flush Door Shutter Solid Bond Wood black board type with commercial ply on both faces of 35mm thick including cost of fixtures such as MS Powder coated Tower Bolts 250mm long 2 Nos, MS Powder coated Handles 150mm long 2 Nos, 300mm long MS Powder coated Aldrops 1No, 125mm long MS Powder coated butt hinges 6Nos, 300 mm long MS Powder coated Flat latch 1No, MS Powder coated heavy Door stoppers 2 Nos, MS Hold fasts 6Nos, Sales and Other Taxes cost and convenyance of all materials to site all Labour charges such as Fixing of Door Frame on shutter Fixing in position , with Hardware fixtures etc., complete for finsihed item of work.</t>
  </si>
  <si>
    <t>Sal Wood Frame</t>
  </si>
  <si>
    <t>30mm thick flush door shutter of soild wood block board type with commercial ply  on both faces</t>
  </si>
  <si>
    <t xml:space="preserve">                                   1x1.095x2.0665 =  2.26 Sqm</t>
  </si>
  <si>
    <t>Grill</t>
  </si>
  <si>
    <t>12mm Square bars @ 125mm c/c</t>
  </si>
  <si>
    <t>WINDOW SIZE 0.90 x 2.13 mtrs : Area = 1.92Sqm</t>
  </si>
  <si>
    <t xml:space="preserve">Verticals   3 x 2.13 x 0.075 x 0.100       = </t>
  </si>
  <si>
    <t>Horizental 2 x 0.90 x 0.075 x 0.100       =</t>
  </si>
  <si>
    <r>
      <t xml:space="preserve">Painting to old walls with two coats of Acrylic Emulsion paint of superior quality of approved brand and shade over base coat </t>
    </r>
    <r>
      <rPr>
        <sz val="10"/>
        <rFont val="Arial"/>
        <family val="2"/>
      </rPr>
      <t xml:space="preserve">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t>
    </r>
    <r>
      <rPr>
        <b/>
        <sz val="10"/>
        <rFont val="Arial"/>
        <family val="2"/>
      </rPr>
      <t>for  external Walls.(APSS No. 912) in All Floors</t>
    </r>
  </si>
  <si>
    <r>
      <t xml:space="preserve">Labour Charges - </t>
    </r>
    <r>
      <rPr>
        <b/>
        <sz val="11"/>
        <color theme="1"/>
        <rFont val="Arial"/>
        <family val="2"/>
      </rPr>
      <t>TBSC-T.I-16 &amp; 17</t>
    </r>
  </si>
  <si>
    <t>Supplying and fixing of MS iron Ventilators of size 1.20x0.45mts with 25x25x5mm angular for frame and providing 10mm square rods verticals - 10nos and horizontals - 3nos including c/c of all materials, labour charges, fabrication charges and applying one coat of red oxide paint etc., complete for finished item of work.</t>
  </si>
  <si>
    <t>Supplying and fixing of MS iron Ventilators of size 1.20x0.30mts with 35x35x5mm angular for frame and providing 10mm square rods verticals - 10nos and horizontals - 2nos including c/c of all materials, labour charges, fabrication charges and applying one coat of red oxide paint etc., complete for finished item of work.</t>
  </si>
  <si>
    <t>Outer frame "L' angle 35x35x5mm</t>
  </si>
  <si>
    <t>Supplying and fixing of MS iron Ventilators of size 1.20x0.45mts with 35x35x5mm angular for frame and providing 10mm square rods verticals - 10nos and horizontals - 3nos including c/c of all materials, labour charges, fabrication charges and applying one coat of red oxide paint etc., complete for finished item of work.</t>
  </si>
  <si>
    <t xml:space="preserve">Supplying and fixing of MS iron Ventilators of size 1.00x0.30mts with 25x25x5mm angular for frame and providing 10mm square rods verticals - 8nos and horizontals - 2nos including c/c of all materials, labour charges, fabrication charges and applying one coat of red oxide paint etc., complete for finished item of work </t>
  </si>
  <si>
    <t xml:space="preserve">Supplying and fixing of MS iron Ventilators of size 1.00x0.45mts with 25x25x5mm angular for frame and providing 10mm square rods verticals - 8nos and horizontals - 3nos including c/c of all materials, labour charges, fabrication charges and applying one coat of red oxide paint etc., complete for finished item of work </t>
  </si>
  <si>
    <t xml:space="preserve">Supplying and fixing of MS iron Ventilators of size 1.00x0.30mts with 35x35x5mm angular for frame and providing 10mm square rods verticals - 8nos and horizontals - 2nos including c/c of all materials, labour charges, fabrication charges and applying one coat of red oxide paint etc., complete for finished item of work </t>
  </si>
  <si>
    <t xml:space="preserve">Supplying and fixing of MS iron Ventilators of size 1.00x0.45mts with 35x35x5mm angular for frame and providing 10mm square rods verticals - 8nos and horizontals - 3nos including c/c of all materials, labour charges, fabrication charges and applying one coat of red oxide paint etc., complete for finished item of work </t>
  </si>
  <si>
    <t xml:space="preserve">Supplying and fixing of MS iron Ventilators of size 0.90x0.30mts with 25x25x5mm angular for frame and providing 10mm square rods verticals - 7nos and horizontals - 2nos including c/c of all materials, labour charges, fabrication charges and applying one coat of red oxide paint etc., complete for finished item of work. </t>
  </si>
  <si>
    <t xml:space="preserve">Supplying and fixing of MS iron Ventilators of size 0.90x0.45mts with 25x25x5mm angular for frame and providing 10mm square rods verticals - 7nos and horizontals - 3nos including c/c of all materials, labour charges, fabrication charges and applying one coat of red oxide paint etc., complete for finished item of work. </t>
  </si>
  <si>
    <t xml:space="preserve">Supplying and fixing of MS iron Ventilators of size 0.90x0.30mts with 35x35x5mm angular for frame and providing 10mm square rods verticals - 7nos and horizontals - 2nos including c/c of all materials, labour charges, fabrication charges and applying one coat of red oxide paint etc., complete for finished item of work. </t>
  </si>
  <si>
    <t>Supplying and fixing of MS iron Ventilators of size 1.50x0.45mts with 25x25x5mm angular for frame and providing 10mm square rods verticals - 13nos and horizontals - 3nos including c/c of all materials, labour charges, fabrication charges and applying one coat of red oxide paint etc., complete for finished item of work.</t>
  </si>
  <si>
    <t>Supplying and fixing of MS iron Ventilators of size 1.50x0.30mts with 35x35x5mm angular for frame and providing 10mm square rods verticals - 13nos and horizontals - 2nos including c/c of all materials, labour charges, fabrication charges and applying one coat of red oxide paint etc., complete for finished item of work.</t>
  </si>
  <si>
    <t>Supplying and fixing of MS iron Ventilators of size 1.50x0.45mts with 35x35x5mm angular for frame and providing 10mm square rods verticals - 13nos and horizontals - 2nos including c/c of all materials, labour charges, fabrication charges and applying one coat of red oxide paint etc., complete for finished item of work.</t>
  </si>
  <si>
    <t>Supplying and fixing of MS iron grill windows of size 1.50x1.20mts made of with 35x35x5mm angular for frame and providing 10mm square rods verticals -13 nos and horizontals -10 nos  welded to the frame including c/c of all materials, labour charges, fabrication charges and applying one coat of red oxide paint etc., complete for finished item of work.</t>
  </si>
  <si>
    <t>Outer frame L angle 35x35x5mm</t>
  </si>
  <si>
    <t>Supplying and fixing and fabrication of MS iron grill window's of size 1.20x1.20mts made of with 25x25x5mm angular for frame and providing 10mm square rods verticals -10 nos and horizontals - 10nos welded to the frame including c/c of all materials, labour charges, fabrication charges and applying one coat of red oxide paint etc., complete for finished item of work.</t>
  </si>
  <si>
    <t xml:space="preserve">Grill window size: </t>
  </si>
  <si>
    <t>Supplying and fixing and fabrication of MS iron grill window's of size 1.20x1.20mts made of with 35x35x5mm angular for frame and providing 10mm square rods verticals -10 nos and horizontals - 10nos welded to the frame including c/c of all materials, labour charges, fabrication charges and applying one coat of red oxide paint etc., complete for finished item of work.</t>
  </si>
  <si>
    <t>Supplying and fixing of MS iron grill window of size 1.30x1.20mts made of with 25x25x5mm angular for frame and providing 10mm square rods verticals - 11nos and horizontals - 10nos welded to the frame including c/c of all materials, labour charges, fabrication charges and applying one coat of red oxide paint etc., complete for finished item of work.</t>
  </si>
  <si>
    <t>Supplying and fixing of MS iron grill window of size 1.30x1.20mts made of with 35x35x5mm angular for frame and providing 10mm square rods verticals - 11nos and horizontals - 10nos welded to the frame including c/c of all materials, labour charges, fabrication charges and applying one coat of red oxide paint etc., complete for finished item of work.</t>
  </si>
  <si>
    <t xml:space="preserve">Supplying and fixing and fabrication of MS iron Ventilators of size 3.30x0.30mts with 25x25x5mm angular for frame and providing 10mm square rods verticals- 31nos and horizontals-2 nos including c/c of all materials, labour charges, fabrication charges and applying one coat of red oxide paint etc., complete for finished item of work </t>
  </si>
  <si>
    <t xml:space="preserve">Supplying and fixing and fabrication of MS iron Ventilators of size 3.30x0.30mts with 35x35x5mm angular for frame and providing 10mm square rods verticals- 31nos and horizontals-2 nos including c/c of all materials, labour charges, fabrication charges and applying one coat of red oxide paint etc., complete for finished item of work </t>
  </si>
  <si>
    <t xml:space="preserve">Supplying and fixing and fabrication of MS iron Ventilators of size 3.30x0.45mts with 25x25x5mm angular for frame and providing 10mm square rods verticals- 31nos and horizontals- 3 nos including c/c of all materials, labour charges, fabrication charges and applying one coat of red oxide paint etc., complete for finished item of work </t>
  </si>
  <si>
    <t xml:space="preserve">Supplying and fixing and fabrication of MS iron Ventilators of size 3.30x0.45mts with 35x35x5mm angular for frame and providing 10mm square rods verticals- 31nos and horizontals- 3 nos including c/c of all materials, labour charges, fabrication charges and applying one coat of red oxide paint etc., complete for finished item of work </t>
  </si>
  <si>
    <t xml:space="preserve">Supplying and fixing and fabrication of MS iron Ventilators of size 2.50x0.30mts with 25x25x5mm angular for frame and providing 10mm square rods verticals- 23 nos and horizontals- 2 nos including c/c of all materials, labour charges, fabrication charges and applying one coat of red oxide paint etc., complete for finished item of work. </t>
  </si>
  <si>
    <t xml:space="preserve">Supplying and fixing and fabrication of MS iron Ventilators of size 2.50x0.30mts with 35x35x5mm angular for frame and providing 10mm square rods verticals- 23 nos and horizontals- 2 nos including c/c of all materials, labour charges, fabrication charges and applying one coat of red oxide paint etc., complete for finished item of work. </t>
  </si>
  <si>
    <t xml:space="preserve">Supplying and fixing and fabrication of MS iron Ventilators of size 2.50x0.45mts with 25x25x5mm angular for frame and providing 10mm square rods verticals- 23 nos and horizontals- 3 nos including c/c of all materials, labour charges, fabrication charges and applying one coat of red oxide paint etc., complete for finished item of work. </t>
  </si>
  <si>
    <t xml:space="preserve">Supplying and fixing and fabrication of MS iron Ventilators of size 2.50x0.45mts with 35x35x5mm angular for frame and providing 10mm square rods verticals- 23 nos and horizontals- 3 nos including c/c of all materials, labour charges, fabrication charges and applying one coat of red oxide paint etc., complete for finished item of work. </t>
  </si>
  <si>
    <t>Supply and fixing of MS grill window of 0.90x1.35mts size, made of with frame equal angle 35x35x5mm hor-2no, ver-2no welded with 10mm square rods hor-11no, ver - 7no, MS hold fasts - 4no, red oxide primer grade - I quality one coat, sales &amp; other taxes on all materials, all operational, incidental labour charges etc., complete for finished item of work.</t>
  </si>
  <si>
    <t>Supply and fixing of MS grill door size 0.90x2.10mts made of with main frame of equal angle 35x35x5mm hor-2no, ver-2no double shutter made of with frame of equal angle 30x30x5mm hor-3no, ver-2no, welded with 10mm square rods hor-18no, ver-4no to each shutter including fixture like 300mm long MS Aldrops - 2no, MS Pidusalu - 4no, MS hold fasts - 6no, red oxide primer grade- I quality one coat, sales &amp; other taxes on all materials, cost and conveyance of all materials and labour charges etc., complete for finished item of work. shutter size (0.58x2.05)mts.</t>
  </si>
  <si>
    <t xml:space="preserve">MS Grill Door size: </t>
  </si>
  <si>
    <r>
      <t xml:space="preserve">MS Grill door outer frame "L' angle </t>
    </r>
    <r>
      <rPr>
        <b/>
        <sz val="11"/>
        <rFont val="Arial"/>
        <family val="2"/>
      </rPr>
      <t>35x35x5mm</t>
    </r>
  </si>
  <si>
    <r>
      <t xml:space="preserve">MS Grill door shutter frame "L' angle </t>
    </r>
    <r>
      <rPr>
        <b/>
        <sz val="11"/>
        <rFont val="Arial"/>
        <family val="2"/>
      </rPr>
      <t>30x30x5mm</t>
    </r>
  </si>
  <si>
    <t>Supplying and fixing of MS iron Ventilators of size 1.80x0.30mts with 25x25x5mm angular for frame and providing 10mm square rods verticals - 16nos and horizontals - 2nos including c/c of all materials, labour charges, fabrication charges and applying one coat of red oxide paint etc., complete for finished item of work.</t>
  </si>
  <si>
    <t>Supplying and fixing of MS iron Ventilators of size 1.80x0.45mts with 25x25x5mm angular for frame and providing 10mm square rods verticals - 16nos and horizontals - 3nos including c/c of all materials, labour charges, fabrication charges and applying one coat of red oxide paint etc., complete for finished item of work.</t>
  </si>
  <si>
    <t>Supply and fixing of MS Plain sheet door of size 0.75x1.80mm frame made of with equal angle of 25x25x5mm hor-3no, ver-2no, welded with 18 guage MS Plain sheet of size 0.73x1.80mts fixtures like MS pidusalu - 2no, factory made locking arrangements, redoxide primer grade-I quality one coat including cost and conveyance of all materials and labour charges etc., complete.</t>
  </si>
  <si>
    <t>DOOR SIZE :</t>
  </si>
  <si>
    <t>AREA OF DOOR</t>
  </si>
  <si>
    <t>Sqmts.</t>
  </si>
  <si>
    <t>THEORITICAL REQUIREMENT</t>
  </si>
  <si>
    <t>SHUTTER FRAME "L" Angle 25x25x5mm</t>
  </si>
  <si>
    <t>Kgs/RM</t>
  </si>
  <si>
    <t xml:space="preserve">18 Gauge MS Sheet </t>
  </si>
  <si>
    <t>Area of Sheet</t>
  </si>
  <si>
    <t>Kgs/Sqmt.</t>
  </si>
  <si>
    <t>DATA for Red Oxide Primer</t>
  </si>
  <si>
    <t>Cost of Red Oxide</t>
  </si>
  <si>
    <t xml:space="preserve">TOTAL  </t>
  </si>
  <si>
    <t>/10 Sqm.</t>
  </si>
  <si>
    <t>AMOUNT</t>
  </si>
  <si>
    <r>
      <rPr>
        <sz val="11"/>
        <rFont val="Arial"/>
        <family val="2"/>
      </rPr>
      <t>18 Gauge MS Sheet</t>
    </r>
    <r>
      <rPr>
        <b/>
        <sz val="11"/>
        <rFont val="Arial"/>
        <family val="2"/>
      </rPr>
      <t xml:space="preserve"> </t>
    </r>
  </si>
  <si>
    <t>/Kg</t>
  </si>
  <si>
    <t>/10 Sqmts.</t>
  </si>
  <si>
    <t>FIXTURES:</t>
  </si>
  <si>
    <t>MS Pidisalu (Factory made)</t>
  </si>
  <si>
    <t>/Each</t>
  </si>
  <si>
    <t>Factory made locking arrangements</t>
  </si>
  <si>
    <r>
      <t>Labour and Fixing Charges</t>
    </r>
    <r>
      <rPr>
        <b/>
        <sz val="11"/>
        <rFont val="Arial"/>
        <family val="2"/>
      </rPr>
      <t xml:space="preserve"> ( TBSC-T.I-16 &amp; 17)</t>
    </r>
  </si>
  <si>
    <t>Supply and fixing of MS grill of size 1.90x2.00mts made of with frame of equal angle 25x25x5mm hor-2no, ver-2no, welded with 10mm square bars of hor-18no, ver-16no, MS hold fasts-4no, red oxide primer grade-1 quality one coat, including cost and conveyance of all materials and labour charges etc., complete for finished item of the work.</t>
  </si>
  <si>
    <t xml:space="preserve">MS Grill size: </t>
  </si>
  <si>
    <t>MS Grill outer frame "L' angle 25x25x5mm</t>
  </si>
  <si>
    <r>
      <rPr>
        <b/>
        <sz val="11"/>
        <rFont val="Arial"/>
        <family val="2"/>
      </rPr>
      <t>Supply and fixing of MS Plain sheet door of size 0.75x1.85mts</t>
    </r>
    <r>
      <rPr>
        <sz val="11"/>
        <rFont val="Arial"/>
        <family val="2"/>
      </rPr>
      <t xml:space="preserve">, made of with frame of 35x35x5mm, hor-2no, ver-2no, shutter frame of 25x25x5mm hor-2no, ver-2no, welded with MS Plain sheet 18 guage supported with equal angle 25x25x5mm 0.70mt long-3no to B/s shutter and fixtuers like MS Hold fasts-6nos, MS Butt hinges 100mm long 3nos, MS Aldrop 200mm long-2no, red oxide primer grade- 1 quality one coat, cost &amp; conveyance of all materials and labour charges etc., complete for finished item of the work fixed to </t>
    </r>
    <r>
      <rPr>
        <b/>
        <sz val="11"/>
        <rFont val="Arial"/>
        <family val="2"/>
      </rPr>
      <t>shutter size 0.70x1.80mts.</t>
    </r>
  </si>
  <si>
    <t>DOOR OUTER FRAME "L" Angle 35x35x5mm</t>
  </si>
  <si>
    <t>Hold Fasts</t>
  </si>
  <si>
    <t>Horizontals at back side of shutter</t>
  </si>
  <si>
    <t>18 Gauge MS Sheet</t>
  </si>
  <si>
    <t xml:space="preserve">Cost of Red Oxide </t>
  </si>
  <si>
    <r>
      <t xml:space="preserve">100mm Long MS(Powder Coated) Butt Hinges - </t>
    </r>
    <r>
      <rPr>
        <b/>
        <sz val="11"/>
        <rFont val="Arial"/>
        <family val="2"/>
      </rPr>
      <t>TBSC-P.II-10</t>
    </r>
  </si>
  <si>
    <r>
      <t xml:space="preserve">200mm Long MS(Powder Coated) Aldrop - 
</t>
    </r>
    <r>
      <rPr>
        <b/>
        <sz val="11"/>
        <rFont val="Arial"/>
        <family val="2"/>
      </rPr>
      <t>TBSC-P.IV-07</t>
    </r>
  </si>
  <si>
    <r>
      <t>Labour Charges</t>
    </r>
    <r>
      <rPr>
        <b/>
        <sz val="11"/>
        <rFont val="Arial"/>
        <family val="2"/>
      </rPr>
      <t xml:space="preserve"> - TBSC-T.I-16 &amp; TBSC-T.I-17</t>
    </r>
  </si>
  <si>
    <t>Supply and fixing of MS Ventilator of size 3.60x0.45mts made of with equal angle of 25x25x5mm hor-2no, ver-2no, welded with 10mm square rods hor- 3no, ver-34no, MS hold fasts-4no, red oxide primer grade-I quality one coat, including cost &amp; conveyance of all materials and labour charges etc., complete.</t>
  </si>
  <si>
    <t>Supply and fixing of MS grill window of 0.90x1.20mts size, made of with frame equal angle 35x35x5mm hor-2no, ver-2no welded with 10mm square rods hor-10no, ver - 7no, MS hold fasts - 4no, red oxide primer grade - I quality one coat, sales &amp; other taxes on all materials, all operational, incidental labour charges etc., complete for finished item of work.</t>
  </si>
  <si>
    <t>Supplying and fixing of MS iron grill window of size 1.50x1.35mts made of with 35x35x5mm angular for frame and providing 10mm square rods verticals - 12nos and horizontals - 10nos welded to the frame including c/c of all materials, labour charges, fabrication charges and applying one coat of red oxide paint etc., complete for finished item of work.</t>
  </si>
  <si>
    <t>Supply and fixing of MS grill door size 0.75x2.10mts made of with main frame of equal angle 35x35x5mm hor-2no, ver-2no double shutter made of with frame of equal angle 30x30x5mm hor-3no, ver-2no, welded with 10mm square rods hor-18no, ver-4no to each shutter including fixture like 300mm long MS Aldrops - 2no, MS Pidusalu - 4no, MS hold fasts - 6no, red oxide primer grade- I quality one coat, sales &amp; other taxes on all materials, cost and conveyance of all materials and labour charges etc., complete for finished item of work. shutter size (0.58x2.05)mts.</t>
  </si>
  <si>
    <t>Cost of 300mm MS Powder coated Flat latch (TBSC-P.V-08)</t>
  </si>
  <si>
    <t>Cost 30mm thick flush door shutter of soild wood block board type with commercial ply  on both faces
(TBSC-L.II-05</t>
  </si>
  <si>
    <t>Detailed Estimate</t>
  </si>
  <si>
    <t>Name of Component</t>
  </si>
  <si>
    <t xml:space="preserve"> Amount in Rs.</t>
  </si>
  <si>
    <t>Sub Total &gt;&gt;&gt;</t>
  </si>
  <si>
    <t xml:space="preserve">Add L.S for unforeseen item of work and Provision for fluctuation of rates </t>
  </si>
  <si>
    <t>Grand Total of Civil Works &gt;&gt;&gt;
(in Rs.)</t>
  </si>
  <si>
    <t>Or say (Rupees in Lakhs)</t>
  </si>
  <si>
    <t>Kitechen Shed in Govt. School</t>
  </si>
  <si>
    <t>COMPONENT - IX</t>
  </si>
  <si>
    <t>TBSC-T.I-16</t>
  </si>
  <si>
    <t xml:space="preserve">TBSC-T.I-17 </t>
  </si>
  <si>
    <t>STRUCTURAL STEEL</t>
  </si>
  <si>
    <t>MBNR</t>
  </si>
  <si>
    <t>RATES AS PER COMMON SSR OF 2021-22 with cement and steel rates of March 2022</t>
  </si>
  <si>
    <t>COMMON STANDARD SCHEDULE OF RATES FOR THE YEAR 2021-22</t>
  </si>
  <si>
    <t>Centring Charges for 2021-22</t>
  </si>
  <si>
    <t>Bond stones20 x20x60 cms</t>
  </si>
  <si>
    <t xml:space="preserve">Bond stone </t>
  </si>
  <si>
    <t>RCC M- 20 Nominal mix (Cement:fine aggregate: coarse aggregate) corresponding to Table 9 of IS 456 using 20mm size graded machine crushed hard granite metal (coarse aggregate) from approved quarry including cost and conveyance of all materials like cement, Sand of Concrete coarse aggregate, water etc., to site and including  sales &amp; other taxes on all materials including all operational, incidental and labour charges such as machine mixing, laying concrete, curing etc.,complete but excluding cost of steel and its fabrication charges for finished item of work, but excluding  centering, shuttering.</t>
  </si>
  <si>
    <t>ADD GST 18%</t>
  </si>
  <si>
    <t>ELECTICAL PLUMBING and cleaning  arrangements</t>
  </si>
  <si>
    <t>AS ON 29.04.2022</t>
  </si>
  <si>
    <t>CONVEYANCE CHARGES AS PER COMMON SSR 2021-22</t>
  </si>
  <si>
    <t>PR SD Makthal</t>
  </si>
  <si>
    <t>PR  MP Utkoor</t>
  </si>
  <si>
    <t>Administratively Sanctioned For Rs:3.40 Lakhs (Three Lakhs fourty thousand Rupees only, By The Dist Collector &amp; Chairman,DRDA Narayanpet Vide Procg. No:D7/MGNREGS/234/2021-22-4, Dt: 21.04.2022</t>
  </si>
  <si>
    <t>Habitation</t>
  </si>
  <si>
    <t>Utkoor</t>
  </si>
  <si>
    <t>Name of the work</t>
  </si>
  <si>
    <t>G.P</t>
  </si>
  <si>
    <t>Mandal</t>
  </si>
  <si>
    <t>Admn. Sanction Number</t>
  </si>
  <si>
    <t>Admn. Sanction Date</t>
  </si>
  <si>
    <t>TS Number</t>
  </si>
  <si>
    <t>TS Date</t>
  </si>
  <si>
    <t>Priority</t>
  </si>
  <si>
    <t>Estd. Cost</t>
  </si>
  <si>
    <t>Average no. of labours</t>
  </si>
  <si>
    <t>Total Area under taken for construction(sq feet)</t>
  </si>
  <si>
    <t>Sangambanda</t>
  </si>
  <si>
    <t>Metal</t>
  </si>
  <si>
    <t>Gudeballur</t>
  </si>
  <si>
    <t>Makthal</t>
  </si>
  <si>
    <t>INPUT SHEET</t>
  </si>
  <si>
    <t>Screen 1</t>
  </si>
  <si>
    <t>FY</t>
  </si>
  <si>
    <t>Proposal date</t>
  </si>
  <si>
    <t>Estimated  person days</t>
  </si>
  <si>
    <t>Estt. Cost</t>
  </si>
  <si>
    <t>Village</t>
  </si>
  <si>
    <t xml:space="preserve">Panchayat is declared for GIS Plan </t>
  </si>
  <si>
    <t>Confirm current work is related to GIS Plan :</t>
  </si>
  <si>
    <t>Reason</t>
  </si>
  <si>
    <t>Work name</t>
  </si>
  <si>
    <t>Wall</t>
  </si>
  <si>
    <t>Roof</t>
  </si>
  <si>
    <t>Present status</t>
  </si>
  <si>
    <t>Proposed status</t>
  </si>
  <si>
    <t>Execution level</t>
  </si>
  <si>
    <t>Executing agency</t>
  </si>
  <si>
    <t>work status</t>
  </si>
  <si>
    <t>work startdate</t>
  </si>
  <si>
    <t>Whether Construction work is being done according to the Ministry Women &amp; Child Development(MWCD) set by STATE Govt.?</t>
  </si>
  <si>
    <t>2022-23</t>
  </si>
  <si>
    <t>Yes</t>
  </si>
  <si>
    <t>not nrm work</t>
  </si>
  <si>
    <t>Other</t>
  </si>
  <si>
    <t>New</t>
  </si>
  <si>
    <t>Gram panchayat</t>
  </si>
  <si>
    <t>pred</t>
  </si>
  <si>
    <t>Approved</t>
  </si>
  <si>
    <t>Screen 2</t>
  </si>
  <si>
    <t>Est. time for completion of work (in months)</t>
  </si>
  <si>
    <t>Avg. No. of labours reqd. per day</t>
  </si>
  <si>
    <t>Expected mandays (in thousand)</t>
  </si>
  <si>
    <t>Tech Sanction Amount (In Lakhs)</t>
  </si>
  <si>
    <t>Estimated cost as per Tech Detl. ( in Lakhs)</t>
  </si>
  <si>
    <t>Unskilled Labour</t>
  </si>
  <si>
    <t>NREGA</t>
  </si>
  <si>
    <t>Scheme1</t>
  </si>
  <si>
    <t>Scheme2</t>
  </si>
  <si>
    <t>Scheme3</t>
  </si>
  <si>
    <t>Admn. Sanction date</t>
  </si>
  <si>
    <t>Admn. Sanction number</t>
  </si>
  <si>
    <t>Admn. Sanction amt</t>
  </si>
  <si>
    <t>Screen 3</t>
  </si>
  <si>
    <t>Activity code</t>
  </si>
  <si>
    <t>Activity</t>
  </si>
  <si>
    <t>Unit Price(in rupees)</t>
  </si>
  <si>
    <t>Total Cost</t>
  </si>
  <si>
    <t>Earthwork</t>
  </si>
  <si>
    <t>Contingencies</t>
  </si>
  <si>
    <t>DETAILED ESTIMATE</t>
  </si>
  <si>
    <t>Add QC 0.5%</t>
  </si>
  <si>
    <t>LS For unforseenitems and electricity</t>
  </si>
  <si>
    <t>Technically Sanctioned For Rs: 3.40 Lakhs (Three Lakhs fourty thousand Rupees only .
Vide DR No:
Dated:</t>
  </si>
  <si>
    <t>Supply , manufacture,  making to  specified design andLabour charges for fabricating steel works like Window Grills, Compound Wall Grills, Iron Doors, Windows including cost of welding rods, power charges, excluding cost of fixing in position</t>
  </si>
  <si>
    <t>Unit = 1Kg</t>
  </si>
  <si>
    <t xml:space="preserve">Cost of MS Steel </t>
  </si>
  <si>
    <t xml:space="preserve">Labour Charges for making  </t>
  </si>
  <si>
    <t xml:space="preserve">Add Mucipal Limits </t>
  </si>
  <si>
    <t>Add 13.615 % overhead charges, Contractor profit</t>
  </si>
  <si>
    <t>BASIC COST per 1 KG</t>
  </si>
  <si>
    <t>As per Rural SSR Rates as GO  Rt.No119 dt 29.04.2022</t>
  </si>
  <si>
    <t>Construction of Kitchen shed at ZPHS  Bijwar(V) of Utkoor(M)</t>
  </si>
  <si>
    <t>Shabadstone</t>
  </si>
  <si>
    <t>Constr. Of Kitchen Shed</t>
  </si>
  <si>
    <t>Government of Telangana
Panchayat Raj Engineering Department</t>
  </si>
  <si>
    <t>Bijwar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</si>
</sst>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64" formatCode="_(* #,##0.00_);_(* \(#,##0.00\);_(* &quot;-&quot;??_);_(@_)"/>
    <numFmt numFmtId="165" formatCode="0.000"/>
    <numFmt numFmtId="166" formatCode="0.0"/>
    <numFmt numFmtId="167" formatCode="0.00\ \ "/>
    <numFmt numFmtId="168" formatCode="\(0\)"/>
    <numFmt numFmtId="169" formatCode="0.0000"/>
    <numFmt numFmtId="170" formatCode="0.00000"/>
    <numFmt numFmtId="171" formatCode="0.00;[Red]0.00"/>
    <numFmt numFmtId="172" formatCode="0.00\ "/>
    <numFmt numFmtId="173" formatCode="0.0%"/>
    <numFmt numFmtId="174" formatCode="[$-409]mmmm/yy;@"/>
    <numFmt numFmtId="175" formatCode="0.000%"/>
    <numFmt numFmtId="176" formatCode="0.0000%"/>
    <numFmt numFmtId="177" formatCode="0.00000%"/>
    <numFmt numFmtId="178" formatCode="[$-F800]dddd\,\ mmmm\ dd\,\ yyyy"/>
    <numFmt numFmtId="179" formatCode="0.000;[Red]0.000"/>
    <numFmt numFmtId="180" formatCode="0.00_);\(0.00\)"/>
    <numFmt numFmtId="181" formatCode="0.00&quot;  &quot;"/>
    <numFmt numFmtId="182" formatCode="0;[Red]0"/>
    <numFmt numFmtId="183" formatCode="#,##0.00000"/>
  </numFmts>
  <fonts count="86">
    <font>
      <sz val="11"/>
      <name val="Times New Roman"/>
    </font>
    <font>
      <sz val="11"/>
      <color theme="1"/>
      <name val="Calibri"/>
      <family val="2"/>
      <scheme val="minor"/>
    </font>
    <font>
      <sz val="11"/>
      <name val="Times New Roman"/>
      <family val="1"/>
    </font>
    <font>
      <b/>
      <sz val="10"/>
      <name val="Arial"/>
      <family val="2"/>
    </font>
    <font>
      <sz val="10"/>
      <name val="Arial"/>
      <family val="2"/>
    </font>
    <font>
      <sz val="10"/>
      <color indexed="10"/>
      <name val="Arial"/>
      <family val="2"/>
    </font>
    <font>
      <b/>
      <sz val="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sz val="10"/>
      <color indexed="10"/>
      <name val="Arial"/>
      <family val="2"/>
    </font>
    <font>
      <sz val="10"/>
      <color indexed="12"/>
      <name val="Arial"/>
      <family val="2"/>
    </font>
    <font>
      <sz val="8"/>
      <name val="Times New Roman"/>
      <family val="1"/>
    </font>
    <font>
      <b/>
      <sz val="12"/>
      <name val="Arial"/>
      <family val="2"/>
    </font>
    <font>
      <b/>
      <sz val="10"/>
      <color indexed="10"/>
      <name val="Arial"/>
      <family val="2"/>
    </font>
    <font>
      <sz val="12"/>
      <name val="Arial"/>
      <family val="2"/>
    </font>
    <font>
      <sz val="12"/>
      <name val="Times New Roman"/>
      <family val="1"/>
    </font>
    <font>
      <b/>
      <u/>
      <sz val="12"/>
      <name val="Times New Roman"/>
      <family val="1"/>
    </font>
    <font>
      <sz val="12"/>
      <color rgb="FFFF0000"/>
      <name val="Times New Roman"/>
      <family val="1"/>
    </font>
    <font>
      <sz val="12"/>
      <color theme="1"/>
      <name val="Times New Roman"/>
      <family val="1"/>
    </font>
    <font>
      <sz val="10"/>
      <color rgb="FFFF0000"/>
      <name val="Arial"/>
      <family val="2"/>
    </font>
    <font>
      <b/>
      <sz val="14"/>
      <name val="Times New Roman"/>
      <family val="1"/>
    </font>
    <font>
      <b/>
      <sz val="12"/>
      <color rgb="FFFF0000"/>
      <name val="Times New Roman"/>
      <family val="1"/>
    </font>
    <font>
      <b/>
      <sz val="12"/>
      <color theme="1"/>
      <name val="Times New Roman"/>
      <family val="1"/>
    </font>
    <font>
      <b/>
      <u/>
      <sz val="12"/>
      <name val="Arial"/>
      <family val="2"/>
    </font>
    <font>
      <b/>
      <sz val="11"/>
      <name val="Arial"/>
      <family val="2"/>
    </font>
    <font>
      <u/>
      <sz val="11"/>
      <name val="Arial"/>
      <family val="2"/>
    </font>
    <font>
      <sz val="11"/>
      <name val="Arial"/>
      <family val="2"/>
    </font>
    <font>
      <b/>
      <i/>
      <sz val="11"/>
      <name val="Arial"/>
      <family val="2"/>
    </font>
    <font>
      <b/>
      <u/>
      <sz val="11"/>
      <name val="Arial"/>
      <family val="2"/>
    </font>
    <font>
      <b/>
      <i/>
      <u/>
      <sz val="11"/>
      <name val="Arial"/>
      <family val="2"/>
    </font>
    <font>
      <sz val="12"/>
      <color indexed="10"/>
      <name val="Arial"/>
      <family val="2"/>
    </font>
    <font>
      <b/>
      <sz val="12"/>
      <color indexed="10"/>
      <name val="Arial"/>
      <family val="2"/>
    </font>
    <font>
      <vertAlign val="superscript"/>
      <sz val="12"/>
      <name val="Arial"/>
      <family val="2"/>
    </font>
    <font>
      <b/>
      <sz val="10"/>
      <name val="Trebuchet MS"/>
      <family val="2"/>
    </font>
    <font>
      <sz val="10"/>
      <name val="Trebuchet MS"/>
      <family val="2"/>
    </font>
    <font>
      <sz val="10"/>
      <color rgb="FF7030A0"/>
      <name val="Arial"/>
      <family val="2"/>
    </font>
    <font>
      <sz val="12"/>
      <color theme="1"/>
      <name val="Arial"/>
      <family val="2"/>
    </font>
    <font>
      <b/>
      <sz val="12"/>
      <color theme="1"/>
      <name val="Arial"/>
      <family val="2"/>
    </font>
    <font>
      <b/>
      <i/>
      <sz val="12"/>
      <color theme="1"/>
      <name val="Times New Roman"/>
      <family val="1"/>
    </font>
    <font>
      <b/>
      <sz val="10"/>
      <color theme="1"/>
      <name val="Arial"/>
      <family val="2"/>
    </font>
    <font>
      <b/>
      <u/>
      <sz val="10"/>
      <name val="Arial"/>
      <family val="2"/>
    </font>
    <font>
      <sz val="11"/>
      <name val="Calibri"/>
      <family val="2"/>
    </font>
    <font>
      <sz val="10"/>
      <name val="Cambria"/>
      <family val="1"/>
      <scheme val="major"/>
    </font>
    <font>
      <b/>
      <sz val="10"/>
      <name val="Cambria"/>
      <family val="1"/>
      <scheme val="major"/>
    </font>
    <font>
      <b/>
      <i/>
      <sz val="10"/>
      <name val="Arial"/>
      <family val="2"/>
    </font>
    <font>
      <b/>
      <sz val="10"/>
      <color rgb="FFFF0000"/>
      <name val="Arial"/>
      <family val="2"/>
    </font>
    <font>
      <sz val="10"/>
      <name val="Helv"/>
      <charset val="204"/>
    </font>
    <font>
      <b/>
      <sz val="11"/>
      <color theme="1"/>
      <name val="Arial"/>
      <family val="2"/>
    </font>
    <font>
      <vertAlign val="superscript"/>
      <sz val="10"/>
      <name val="Arial"/>
      <family val="2"/>
    </font>
    <font>
      <sz val="11"/>
      <color rgb="FFFF0000"/>
      <name val="Arial"/>
      <family val="2"/>
    </font>
    <font>
      <sz val="16"/>
      <name val="Arial"/>
      <family val="2"/>
    </font>
    <font>
      <sz val="18"/>
      <name val="Arial"/>
      <family val="2"/>
    </font>
    <font>
      <sz val="11"/>
      <color theme="1"/>
      <name val="Times New Roman"/>
      <family val="1"/>
    </font>
    <font>
      <sz val="10"/>
      <color theme="1"/>
      <name val="Times New Roman"/>
      <family val="1"/>
    </font>
    <font>
      <b/>
      <sz val="11"/>
      <color theme="1"/>
      <name val="Times New Roman"/>
      <family val="1"/>
    </font>
    <font>
      <b/>
      <sz val="16"/>
      <name val="Arial"/>
      <family val="2"/>
    </font>
    <font>
      <b/>
      <sz val="11"/>
      <name val="Times New Roman"/>
      <family val="1"/>
    </font>
    <font>
      <b/>
      <sz val="16"/>
      <name val="Times New Roman"/>
      <family val="1"/>
    </font>
    <font>
      <b/>
      <sz val="13"/>
      <name val="Arial"/>
      <family val="2"/>
    </font>
    <font>
      <sz val="13"/>
      <name val="Arial"/>
      <family val="2"/>
    </font>
    <font>
      <b/>
      <sz val="11"/>
      <color rgb="FF000000"/>
      <name val="Times New Roman"/>
      <family val="1"/>
    </font>
    <font>
      <b/>
      <sz val="8"/>
      <color rgb="FF000000"/>
      <name val="Times New Roman"/>
      <family val="1"/>
    </font>
    <font>
      <sz val="8"/>
      <name val="Trebuchet MS"/>
      <family val="2"/>
    </font>
    <font>
      <sz val="7"/>
      <name val="Trebuchet MS"/>
      <family val="2"/>
    </font>
    <font>
      <b/>
      <sz val="9"/>
      <name val="Trebuchet MS"/>
      <family val="2"/>
    </font>
    <font>
      <b/>
      <sz val="8"/>
      <name val="Trebuchet MS"/>
      <family val="2"/>
    </font>
    <font>
      <sz val="8"/>
      <color indexed="10"/>
      <name val="Trebuchet MS"/>
      <family val="2"/>
    </font>
    <font>
      <sz val="9"/>
      <name val="Trebuchet MS"/>
      <family val="2"/>
    </font>
    <font>
      <b/>
      <sz val="7"/>
      <name val="Trebuchet MS"/>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FF0000"/>
        <bgColor indexed="64"/>
      </patternFill>
    </fill>
  </fills>
  <borders count="5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bottom/>
      <diagonal/>
    </border>
    <border>
      <left/>
      <right/>
      <top/>
      <bottom style="hair">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hair">
        <color auto="1"/>
      </left>
      <right style="hair">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rgb="FFA5A5A5"/>
      </left>
      <right style="thin">
        <color rgb="FFA5A5A5"/>
      </right>
      <top style="thin">
        <color rgb="FFA5A5A5"/>
      </top>
      <bottom style="thin">
        <color rgb="FFA5A5A5"/>
      </bottom>
      <diagonal/>
    </border>
    <border>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right style="thin">
        <color indexed="64"/>
      </right>
      <top/>
      <bottom/>
      <diagonal/>
    </border>
    <border>
      <left style="thin">
        <color indexed="64"/>
      </left>
      <right style="thin">
        <color indexed="64"/>
      </right>
      <top/>
      <bottom/>
      <diagonal/>
    </border>
    <border>
      <left style="hair">
        <color indexed="64"/>
      </left>
      <right style="thin">
        <color indexed="64"/>
      </right>
      <top style="hair">
        <color indexed="64"/>
      </top>
      <bottom style="hair">
        <color indexed="64"/>
      </bottom>
      <diagonal/>
    </border>
    <border>
      <left/>
      <right/>
      <top style="hair">
        <color indexed="64"/>
      </top>
      <bottom/>
      <diagonal/>
    </border>
  </borders>
  <cellStyleXfs count="61">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1" fillId="21" borderId="2" applyNumberFormat="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0" borderId="4" applyNumberFormat="0" applyFill="0" applyAlignment="0" applyProtection="0"/>
    <xf numFmtId="0" fontId="16" fillId="0" borderId="5" applyNumberFormat="0" applyFill="0" applyAlignment="0" applyProtection="0"/>
    <xf numFmtId="0" fontId="17" fillId="0" borderId="6" applyNumberFormat="0" applyFill="0" applyAlignment="0" applyProtection="0"/>
    <xf numFmtId="0" fontId="17" fillId="0" borderId="0" applyNumberFormat="0" applyFill="0" applyBorder="0" applyAlignment="0" applyProtection="0"/>
    <xf numFmtId="0" fontId="18" fillId="7" borderId="1" applyNumberFormat="0" applyAlignment="0" applyProtection="0"/>
    <xf numFmtId="0" fontId="19" fillId="0" borderId="8" applyNumberFormat="0" applyFill="0" applyAlignment="0" applyProtection="0"/>
    <xf numFmtId="0" fontId="20" fillId="22" borderId="0" applyNumberFormat="0" applyBorder="0" applyAlignment="0" applyProtection="0"/>
    <xf numFmtId="0" fontId="12" fillId="23" borderId="9" applyNumberFormat="0" applyFont="0" applyAlignment="0" applyProtection="0"/>
    <xf numFmtId="0" fontId="21" fillId="20" borderId="10" applyNumberFormat="0" applyAlignment="0" applyProtection="0"/>
    <xf numFmtId="0" fontId="22" fillId="0" borderId="0" applyNumberFormat="0" applyFill="0" applyBorder="0" applyAlignment="0" applyProtection="0"/>
    <xf numFmtId="0" fontId="23" fillId="0" borderId="11" applyNumberFormat="0" applyFill="0" applyAlignment="0" applyProtection="0"/>
    <xf numFmtId="0" fontId="24" fillId="0" borderId="0" applyNumberFormat="0" applyFill="0" applyBorder="0" applyAlignment="0" applyProtection="0"/>
    <xf numFmtId="0" fontId="63" fillId="0" borderId="0"/>
    <xf numFmtId="0" fontId="2" fillId="0" borderId="0"/>
    <xf numFmtId="0" fontId="2" fillId="0" borderId="0"/>
    <xf numFmtId="0" fontId="4" fillId="0" borderId="0"/>
    <xf numFmtId="0" fontId="4" fillId="0" borderId="0"/>
    <xf numFmtId="0" fontId="7" fillId="0" borderId="0"/>
    <xf numFmtId="0" fontId="4" fillId="0" borderId="0"/>
    <xf numFmtId="0" fontId="2" fillId="0" borderId="0"/>
    <xf numFmtId="0" fontId="4" fillId="0" borderId="0"/>
    <xf numFmtId="0" fontId="4" fillId="0" borderId="0"/>
    <xf numFmtId="0" fontId="4" fillId="0" borderId="0"/>
    <xf numFmtId="0" fontId="1" fillId="0" borderId="0"/>
    <xf numFmtId="0" fontId="1" fillId="0" borderId="0"/>
    <xf numFmtId="0" fontId="1" fillId="0" borderId="0"/>
    <xf numFmtId="0" fontId="2" fillId="0" borderId="0"/>
    <xf numFmtId="0" fontId="2" fillId="0" borderId="0"/>
    <xf numFmtId="164" fontId="2" fillId="0" borderId="0" applyFont="0" applyFill="0" applyBorder="0" applyAlignment="0" applyProtection="0"/>
    <xf numFmtId="0" fontId="4" fillId="0" borderId="0"/>
    <xf numFmtId="0" fontId="4" fillId="0" borderId="0"/>
  </cellStyleXfs>
  <cellXfs count="1637">
    <xf numFmtId="0" fontId="0" fillId="0" borderId="0" xfId="0"/>
    <xf numFmtId="0" fontId="3" fillId="0" borderId="42" xfId="0" applyFont="1" applyFill="1" applyBorder="1" applyAlignment="1">
      <alignment horizontal="center" vertical="top"/>
    </xf>
    <xf numFmtId="0" fontId="4" fillId="0" borderId="42" xfId="0" applyFont="1" applyFill="1" applyBorder="1" applyAlignment="1">
      <alignment horizontal="center" wrapText="1"/>
    </xf>
    <xf numFmtId="0" fontId="32" fillId="0" borderId="25" xfId="0" applyFont="1" applyFill="1" applyBorder="1" applyAlignment="1">
      <alignment horizontal="center" vertical="center" wrapText="1"/>
    </xf>
    <xf numFmtId="2" fontId="32" fillId="0" borderId="7" xfId="0" applyNumberFormat="1" applyFont="1" applyFill="1" applyBorder="1" applyAlignment="1">
      <alignment horizontal="left" vertical="center"/>
    </xf>
    <xf numFmtId="2" fontId="3" fillId="0" borderId="42" xfId="0" applyNumberFormat="1" applyFont="1" applyFill="1" applyBorder="1" applyAlignment="1">
      <alignment vertical="center"/>
    </xf>
    <xf numFmtId="165" fontId="3" fillId="0" borderId="42" xfId="0" applyNumberFormat="1" applyFont="1" applyFill="1" applyBorder="1"/>
    <xf numFmtId="9" fontId="32" fillId="0" borderId="3" xfId="0" applyNumberFormat="1" applyFont="1" applyFill="1" applyBorder="1" applyAlignment="1">
      <alignment vertical="center"/>
    </xf>
    <xf numFmtId="0" fontId="6" fillId="0" borderId="7" xfId="0" applyFont="1" applyFill="1" applyBorder="1" applyAlignment="1">
      <alignment horizontal="center" vertical="center"/>
    </xf>
    <xf numFmtId="165" fontId="4" fillId="0" borderId="42" xfId="0" applyNumberFormat="1" applyFont="1" applyFill="1" applyBorder="1" applyAlignment="1">
      <alignment horizontal="right" wrapText="1"/>
    </xf>
    <xf numFmtId="0" fontId="58" fillId="6" borderId="0" xfId="0" applyNumberFormat="1" applyFont="1" applyFill="1" applyBorder="1" applyAlignment="1">
      <alignment vertical="center"/>
    </xf>
    <xf numFmtId="168" fontId="32" fillId="0" borderId="25" xfId="0" applyNumberFormat="1" applyFont="1" applyFill="1" applyBorder="1" applyAlignment="1">
      <alignment horizontal="center" vertical="center" wrapText="1"/>
    </xf>
    <xf numFmtId="0" fontId="4" fillId="0" borderId="42" xfId="0" applyFont="1" applyFill="1" applyBorder="1" applyAlignment="1">
      <alignment wrapText="1"/>
    </xf>
    <xf numFmtId="1" fontId="3" fillId="0" borderId="37" xfId="0" applyNumberFormat="1" applyFont="1" applyFill="1" applyBorder="1" applyAlignment="1">
      <alignment vertical="top"/>
    </xf>
    <xf numFmtId="0" fontId="4" fillId="0" borderId="39" xfId="0" applyNumberFormat="1" applyFont="1" applyFill="1" applyBorder="1" applyAlignment="1">
      <alignment horizontal="justify" wrapText="1"/>
    </xf>
    <xf numFmtId="0" fontId="4" fillId="0" borderId="39" xfId="0" applyNumberFormat="1" applyFont="1" applyFill="1" applyBorder="1" applyAlignment="1">
      <alignment horizontal="right"/>
    </xf>
    <xf numFmtId="2" fontId="4" fillId="0" borderId="39" xfId="0" applyNumberFormat="1" applyFont="1" applyFill="1" applyBorder="1" applyAlignment="1">
      <alignment horizontal="right" shrinkToFit="1"/>
    </xf>
    <xf numFmtId="2" fontId="4" fillId="0" borderId="39" xfId="0" applyNumberFormat="1" applyFont="1" applyFill="1" applyBorder="1" applyAlignment="1">
      <alignment horizontal="right" vertical="center" wrapText="1"/>
    </xf>
    <xf numFmtId="0" fontId="4" fillId="0" borderId="39" xfId="0" applyFont="1" applyFill="1" applyBorder="1" applyAlignment="1" applyProtection="1">
      <alignment horizontal="justify" vertical="top" wrapText="1"/>
      <protection hidden="1"/>
    </xf>
    <xf numFmtId="0" fontId="3" fillId="0" borderId="0" xfId="0" applyFont="1" applyFill="1" applyBorder="1" applyAlignment="1" applyProtection="1">
      <alignment horizontal="justify" vertical="top" wrapText="1"/>
      <protection hidden="1"/>
    </xf>
    <xf numFmtId="2" fontId="4" fillId="0" borderId="39" xfId="0" applyNumberFormat="1" applyFont="1" applyFill="1" applyBorder="1" applyAlignment="1">
      <alignment wrapText="1"/>
    </xf>
    <xf numFmtId="2" fontId="4" fillId="0" borderId="39" xfId="0" applyNumberFormat="1" applyFont="1" applyBorder="1" applyAlignment="1">
      <alignment horizontal="center" vertical="top"/>
    </xf>
    <xf numFmtId="0" fontId="4" fillId="0" borderId="39" xfId="0" applyNumberFormat="1" applyFont="1" applyBorder="1" applyAlignment="1">
      <alignment horizontal="justify" vertical="top" wrapText="1"/>
    </xf>
    <xf numFmtId="0" fontId="4" fillId="0" borderId="39" xfId="0" applyNumberFormat="1" applyFont="1" applyFill="1" applyBorder="1" applyAlignment="1">
      <alignment horizontal="justify" vertical="top" wrapText="1"/>
    </xf>
    <xf numFmtId="165" fontId="4" fillId="0" borderId="43" xfId="0" applyNumberFormat="1" applyFont="1" applyFill="1" applyBorder="1"/>
    <xf numFmtId="0" fontId="4" fillId="0" borderId="43" xfId="0" applyFont="1" applyFill="1" applyBorder="1" applyAlignment="1">
      <alignment horizontal="center" vertical="center"/>
    </xf>
    <xf numFmtId="165" fontId="4" fillId="0" borderId="42" xfId="0" applyNumberFormat="1" applyFont="1" applyFill="1" applyBorder="1" applyAlignment="1">
      <alignment horizontal="center"/>
    </xf>
    <xf numFmtId="9" fontId="4" fillId="0" borderId="42" xfId="0" applyNumberFormat="1" applyFont="1" applyFill="1" applyBorder="1" applyAlignment="1">
      <alignment horizontal="center"/>
    </xf>
    <xf numFmtId="169" fontId="4" fillId="0" borderId="42" xfId="0" applyNumberFormat="1" applyFont="1" applyFill="1" applyBorder="1" applyAlignment="1">
      <alignment horizontal="left" vertical="top" wrapText="1"/>
    </xf>
    <xf numFmtId="0" fontId="4" fillId="0" borderId="42" xfId="0" applyFont="1" applyFill="1" applyBorder="1" applyAlignment="1">
      <alignment horizontal="left"/>
    </xf>
    <xf numFmtId="169" fontId="3" fillId="0" borderId="42" xfId="0" applyNumberFormat="1" applyFont="1" applyFill="1" applyBorder="1" applyAlignment="1">
      <alignment horizontal="justify" vertical="top"/>
    </xf>
    <xf numFmtId="169" fontId="3" fillId="0" borderId="42" xfId="0" applyNumberFormat="1" applyFont="1" applyFill="1" applyBorder="1" applyAlignment="1">
      <alignment horizontal="left" wrapText="1"/>
    </xf>
    <xf numFmtId="0" fontId="4" fillId="0" borderId="42" xfId="0" applyNumberFormat="1" applyFont="1" applyFill="1" applyBorder="1" applyAlignment="1">
      <alignment horizontal="justify" vertical="top" wrapText="1"/>
    </xf>
    <xf numFmtId="2" fontId="4" fillId="0" borderId="42" xfId="0" applyNumberFormat="1" applyFont="1" applyFill="1" applyBorder="1" applyAlignment="1">
      <alignment horizontal="right" vertical="top"/>
    </xf>
    <xf numFmtId="0" fontId="4" fillId="0" borderId="42" xfId="0" applyFont="1" applyFill="1" applyBorder="1" applyAlignment="1">
      <alignment horizontal="center" vertical="top" wrapText="1"/>
    </xf>
    <xf numFmtId="0" fontId="3" fillId="0" borderId="0" xfId="0" applyFont="1" applyFill="1" applyAlignment="1">
      <alignment horizontal="center" vertical="center"/>
    </xf>
    <xf numFmtId="0" fontId="3" fillId="0" borderId="43" xfId="0" applyFont="1" applyFill="1" applyBorder="1"/>
    <xf numFmtId="2" fontId="3" fillId="0" borderId="43" xfId="0" applyNumberFormat="1" applyFont="1" applyFill="1" applyBorder="1"/>
    <xf numFmtId="165" fontId="3" fillId="0" borderId="43" xfId="0" applyNumberFormat="1" applyFont="1" applyFill="1" applyBorder="1" applyAlignment="1">
      <alignment horizontal="right"/>
    </xf>
    <xf numFmtId="0" fontId="3" fillId="0" borderId="43" xfId="0" applyFont="1" applyFill="1" applyBorder="1" applyAlignment="1">
      <alignment horizontal="center" vertical="top"/>
    </xf>
    <xf numFmtId="0" fontId="3" fillId="0" borderId="42" xfId="0" applyFont="1" applyFill="1" applyBorder="1" applyAlignment="1">
      <alignment vertical="top" wrapText="1"/>
    </xf>
    <xf numFmtId="165" fontId="3" fillId="0" borderId="42" xfId="0" applyNumberFormat="1" applyFont="1" applyFill="1" applyBorder="1" applyAlignment="1"/>
    <xf numFmtId="2" fontId="4" fillId="0" borderId="42" xfId="0" applyNumberFormat="1" applyFont="1" applyFill="1" applyBorder="1" applyAlignment="1">
      <alignment horizontal="right" vertical="top" wrapText="1"/>
    </xf>
    <xf numFmtId="0" fontId="3" fillId="0" borderId="42" xfId="0" applyFont="1" applyFill="1" applyBorder="1" applyAlignment="1">
      <alignment horizontal="justify" vertical="top" wrapText="1"/>
    </xf>
    <xf numFmtId="2" fontId="4" fillId="0" borderId="42" xfId="0" applyNumberFormat="1" applyFont="1" applyFill="1" applyBorder="1" applyAlignment="1">
      <alignment horizontal="center"/>
    </xf>
    <xf numFmtId="166" fontId="4" fillId="0" borderId="42" xfId="0" applyNumberFormat="1" applyFont="1" applyFill="1" applyBorder="1" applyAlignment="1">
      <alignment horizontal="center"/>
    </xf>
    <xf numFmtId="1" fontId="3" fillId="0" borderId="42" xfId="0" applyNumberFormat="1" applyFont="1" applyFill="1" applyBorder="1" applyAlignment="1">
      <alignment horizontal="center" vertical="top" wrapText="1"/>
    </xf>
    <xf numFmtId="165" fontId="4" fillId="0" borderId="42" xfId="0" applyNumberFormat="1" applyFont="1" applyFill="1" applyBorder="1" applyAlignment="1">
      <alignment horizontal="center" wrapText="1"/>
    </xf>
    <xf numFmtId="1" fontId="4" fillId="0" borderId="42" xfId="0" applyNumberFormat="1" applyFont="1" applyFill="1" applyBorder="1" applyAlignment="1">
      <alignment horizontal="center" wrapText="1"/>
    </xf>
    <xf numFmtId="0" fontId="3" fillId="0" borderId="42" xfId="0" applyNumberFormat="1" applyFont="1" applyFill="1" applyBorder="1" applyAlignment="1">
      <alignment horizontal="justify" vertical="top" wrapText="1"/>
    </xf>
    <xf numFmtId="165" fontId="4" fillId="0" borderId="42" xfId="0" applyNumberFormat="1" applyFont="1" applyFill="1" applyBorder="1" applyAlignment="1">
      <alignment horizontal="right" vertical="center"/>
    </xf>
    <xf numFmtId="1" fontId="3" fillId="0" borderId="42" xfId="0" applyNumberFormat="1" applyFont="1" applyFill="1" applyBorder="1" applyAlignment="1">
      <alignment horizontal="center" vertical="top"/>
    </xf>
    <xf numFmtId="0" fontId="3" fillId="0" borderId="42" xfId="0" applyFont="1" applyFill="1" applyBorder="1" applyAlignment="1">
      <alignment horizontal="center"/>
    </xf>
    <xf numFmtId="165" fontId="4" fillId="0" borderId="42" xfId="0" applyNumberFormat="1" applyFont="1" applyFill="1" applyBorder="1" applyAlignment="1">
      <alignment horizontal="right"/>
    </xf>
    <xf numFmtId="165" fontId="4" fillId="0" borderId="42" xfId="0" applyNumberFormat="1" applyFont="1" applyFill="1" applyBorder="1"/>
    <xf numFmtId="0" fontId="4" fillId="0" borderId="42" xfId="0" applyNumberFormat="1" applyFont="1" applyFill="1" applyBorder="1" applyAlignment="1">
      <alignment horizontal="left" vertical="top" wrapText="1"/>
    </xf>
    <xf numFmtId="0" fontId="3" fillId="0" borderId="42" xfId="0" applyNumberFormat="1" applyFont="1" applyFill="1" applyBorder="1" applyAlignment="1">
      <alignment horizontal="left"/>
    </xf>
    <xf numFmtId="2" fontId="4" fillId="0" borderId="42" xfId="0" applyNumberFormat="1" applyFont="1" applyFill="1" applyBorder="1" applyAlignment="1">
      <alignment vertical="center"/>
    </xf>
    <xf numFmtId="1" fontId="4" fillId="0" borderId="42" xfId="0" applyNumberFormat="1" applyFont="1" applyFill="1" applyBorder="1" applyAlignment="1">
      <alignment horizontal="center" vertical="center"/>
    </xf>
    <xf numFmtId="0" fontId="4" fillId="0" borderId="42" xfId="0" applyNumberFormat="1" applyFont="1" applyFill="1" applyBorder="1" applyAlignment="1">
      <alignment horizontal="center" vertical="top"/>
    </xf>
    <xf numFmtId="0" fontId="3" fillId="0" borderId="42" xfId="0" applyNumberFormat="1" applyFont="1" applyFill="1" applyBorder="1" applyAlignment="1">
      <alignment horizontal="center" vertical="top"/>
    </xf>
    <xf numFmtId="1" fontId="4" fillId="0" borderId="42" xfId="0" applyNumberFormat="1" applyFont="1" applyFill="1" applyBorder="1" applyAlignment="1">
      <alignment horizontal="center"/>
    </xf>
    <xf numFmtId="0" fontId="4" fillId="0" borderId="42" xfId="0" applyFont="1" applyFill="1" applyBorder="1" applyAlignment="1">
      <alignment vertical="top" wrapText="1"/>
    </xf>
    <xf numFmtId="2" fontId="4" fillId="0" borderId="42" xfId="0" applyNumberFormat="1" applyFont="1" applyFill="1" applyBorder="1"/>
    <xf numFmtId="2" fontId="3" fillId="0" borderId="42" xfId="0" applyNumberFormat="1" applyFont="1" applyFill="1" applyBorder="1"/>
    <xf numFmtId="165" fontId="3" fillId="0" borderId="42" xfId="0" applyNumberFormat="1" applyFont="1" applyFill="1" applyBorder="1" applyAlignment="1">
      <alignment horizontal="right"/>
    </xf>
    <xf numFmtId="2" fontId="4" fillId="0" borderId="42" xfId="0" applyNumberFormat="1" applyFont="1" applyFill="1" applyBorder="1" applyAlignment="1">
      <alignment horizontal="right"/>
    </xf>
    <xf numFmtId="165" fontId="4" fillId="0" borderId="42" xfId="0" applyNumberFormat="1" applyFont="1" applyFill="1" applyBorder="1" applyAlignment="1">
      <alignment vertical="center"/>
    </xf>
    <xf numFmtId="0" fontId="4" fillId="0" borderId="42" xfId="0" applyFont="1" applyFill="1" applyBorder="1" applyAlignment="1">
      <alignment horizontal="center" vertical="center"/>
    </xf>
    <xf numFmtId="12" fontId="4" fillId="0" borderId="42" xfId="0" applyNumberFormat="1" applyFont="1" applyFill="1" applyBorder="1" applyAlignment="1">
      <alignment horizontal="center"/>
    </xf>
    <xf numFmtId="2" fontId="4" fillId="0" borderId="42" xfId="0" applyNumberFormat="1" applyFont="1" applyFill="1" applyBorder="1" applyAlignment="1"/>
    <xf numFmtId="165" fontId="4" fillId="0" borderId="42" xfId="0" applyNumberFormat="1" applyFont="1" applyFill="1" applyBorder="1" applyAlignment="1"/>
    <xf numFmtId="0" fontId="3" fillId="0" borderId="42" xfId="0" applyFont="1" applyFill="1" applyBorder="1" applyAlignment="1">
      <alignment wrapText="1"/>
    </xf>
    <xf numFmtId="9" fontId="32" fillId="0" borderId="16" xfId="0" applyNumberFormat="1" applyFont="1" applyFill="1" applyBorder="1" applyAlignment="1">
      <alignment vertical="center"/>
    </xf>
    <xf numFmtId="0" fontId="32" fillId="0" borderId="16" xfId="0" applyFont="1" applyFill="1" applyBorder="1" applyAlignment="1">
      <alignment vertical="center"/>
    </xf>
    <xf numFmtId="174" fontId="32" fillId="0" borderId="7" xfId="0" applyNumberFormat="1" applyFont="1" applyFill="1" applyBorder="1" applyAlignment="1">
      <alignment vertical="center"/>
    </xf>
    <xf numFmtId="0" fontId="6" fillId="0" borderId="7" xfId="0" applyNumberFormat="1" applyFont="1" applyFill="1" applyBorder="1" applyAlignment="1">
      <alignment horizontal="center" vertical="center" wrapText="1"/>
    </xf>
    <xf numFmtId="0" fontId="32" fillId="0" borderId="12" xfId="0" applyFont="1" applyFill="1" applyBorder="1" applyAlignment="1">
      <alignment vertical="center"/>
    </xf>
    <xf numFmtId="0" fontId="32" fillId="0" borderId="3" xfId="0" applyFont="1" applyFill="1" applyBorder="1" applyAlignment="1">
      <alignment vertical="center"/>
    </xf>
    <xf numFmtId="0" fontId="6" fillId="0" borderId="12" xfId="0" applyFont="1" applyFill="1" applyBorder="1" applyAlignment="1">
      <alignment vertical="center"/>
    </xf>
    <xf numFmtId="2" fontId="6" fillId="0" borderId="0" xfId="0" applyNumberFormat="1" applyFont="1" applyFill="1" applyBorder="1" applyAlignment="1">
      <alignment horizontal="left" vertical="center"/>
    </xf>
    <xf numFmtId="2" fontId="6" fillId="0" borderId="0" xfId="0" applyNumberFormat="1" applyFont="1" applyFill="1" applyBorder="1" applyAlignment="1">
      <alignment horizontal="center" vertical="center" wrapText="1"/>
    </xf>
    <xf numFmtId="2" fontId="6" fillId="0" borderId="7" xfId="0" applyNumberFormat="1" applyFont="1" applyFill="1" applyBorder="1" applyAlignment="1">
      <alignment horizontal="left" vertical="center"/>
    </xf>
    <xf numFmtId="2" fontId="6" fillId="0" borderId="7" xfId="0" applyNumberFormat="1" applyFont="1" applyFill="1" applyBorder="1" applyAlignment="1">
      <alignment horizontal="center" vertical="center" wrapText="1"/>
    </xf>
    <xf numFmtId="166" fontId="32" fillId="0" borderId="7" xfId="0" applyNumberFormat="1" applyFont="1" applyFill="1" applyBorder="1" applyAlignment="1">
      <alignment horizontal="center" vertical="center"/>
    </xf>
    <xf numFmtId="2" fontId="32" fillId="0" borderId="7" xfId="0" applyNumberFormat="1" applyFont="1" applyFill="1" applyBorder="1" applyAlignment="1">
      <alignment horizontal="center" vertical="center" wrapText="1"/>
    </xf>
    <xf numFmtId="1" fontId="32" fillId="0" borderId="7" xfId="0" applyNumberFormat="1" applyFont="1" applyFill="1" applyBorder="1" applyAlignment="1">
      <alignment horizontal="center" vertical="center"/>
    </xf>
    <xf numFmtId="0" fontId="32" fillId="0" borderId="14" xfId="0" applyFont="1" applyFill="1" applyBorder="1" applyAlignment="1">
      <alignment horizontal="center" vertical="center"/>
    </xf>
    <xf numFmtId="167" fontId="6" fillId="0" borderId="7" xfId="0" applyNumberFormat="1" applyFont="1" applyFill="1" applyBorder="1" applyAlignment="1">
      <alignment horizontal="right" vertical="center"/>
    </xf>
    <xf numFmtId="167" fontId="32" fillId="0" borderId="7" xfId="0" applyNumberFormat="1" applyFont="1" applyFill="1" applyBorder="1" applyAlignment="1">
      <alignment horizontal="right" vertical="center"/>
    </xf>
    <xf numFmtId="172" fontId="32" fillId="0" borderId="7" xfId="0" applyNumberFormat="1" applyFont="1" applyFill="1" applyBorder="1" applyAlignment="1">
      <alignment horizontal="right" vertical="center"/>
    </xf>
    <xf numFmtId="172" fontId="32" fillId="0" borderId="7" xfId="0" applyNumberFormat="1" applyFont="1" applyFill="1" applyBorder="1" applyAlignment="1">
      <alignment horizontal="center" vertical="center"/>
    </xf>
    <xf numFmtId="0" fontId="32" fillId="0" borderId="7" xfId="0" applyFont="1" applyFill="1" applyBorder="1" applyAlignment="1">
      <alignment horizontal="center" vertical="center" wrapText="1"/>
    </xf>
    <xf numFmtId="0" fontId="32" fillId="0" borderId="7" xfId="0" applyFont="1" applyFill="1" applyBorder="1" applyAlignment="1">
      <alignment horizontal="center" vertical="center"/>
    </xf>
    <xf numFmtId="0" fontId="32" fillId="0" borderId="12" xfId="0" applyNumberFormat="1" applyFont="1" applyFill="1" applyBorder="1" applyAlignment="1">
      <alignment horizontal="center" vertical="center"/>
    </xf>
    <xf numFmtId="49" fontId="32" fillId="0" borderId="12" xfId="0" applyNumberFormat="1" applyFont="1" applyFill="1" applyBorder="1" applyAlignment="1">
      <alignment horizontal="center" vertical="center"/>
    </xf>
    <xf numFmtId="49" fontId="32" fillId="0" borderId="18" xfId="0" applyNumberFormat="1" applyFont="1" applyFill="1" applyBorder="1" applyAlignment="1">
      <alignment vertical="center"/>
    </xf>
    <xf numFmtId="49" fontId="32" fillId="0" borderId="3" xfId="0" applyNumberFormat="1" applyFont="1" applyFill="1" applyBorder="1" applyAlignment="1">
      <alignment vertical="center"/>
    </xf>
    <xf numFmtId="49" fontId="32" fillId="0" borderId="20" xfId="0" applyNumberFormat="1" applyFont="1" applyFill="1" applyBorder="1" applyAlignment="1">
      <alignment vertical="center"/>
    </xf>
    <xf numFmtId="174" fontId="32" fillId="0" borderId="12" xfId="0" applyNumberFormat="1" applyFont="1" applyFill="1" applyBorder="1" applyAlignment="1">
      <alignment vertical="center"/>
    </xf>
    <xf numFmtId="0" fontId="32" fillId="0" borderId="7" xfId="0" applyFont="1" applyFill="1" applyBorder="1" applyAlignment="1">
      <alignment horizontal="left" vertical="center"/>
    </xf>
    <xf numFmtId="2" fontId="32" fillId="0" borderId="7" xfId="0" applyNumberFormat="1" applyFont="1" applyFill="1" applyBorder="1" applyAlignment="1">
      <alignment horizontal="center" vertical="center"/>
    </xf>
    <xf numFmtId="2" fontId="32" fillId="0" borderId="7" xfId="0" applyNumberFormat="1" applyFont="1" applyFill="1" applyBorder="1" applyAlignment="1">
      <alignment vertical="center"/>
    </xf>
    <xf numFmtId="1" fontId="32" fillId="0" borderId="0" xfId="0" applyNumberFormat="1" applyFont="1" applyFill="1" applyBorder="1" applyAlignment="1">
      <alignment horizontal="center" vertical="center"/>
    </xf>
    <xf numFmtId="0" fontId="6" fillId="0" borderId="0" xfId="0" applyFont="1" applyFill="1" applyBorder="1" applyAlignment="1" applyProtection="1">
      <alignment vertical="center" wrapText="1"/>
      <protection locked="0"/>
    </xf>
    <xf numFmtId="0" fontId="6" fillId="0" borderId="18" xfId="0" applyFont="1" applyFill="1" applyBorder="1" applyAlignment="1">
      <alignment horizontal="center" vertical="center" wrapText="1"/>
    </xf>
    <xf numFmtId="0" fontId="6" fillId="0" borderId="7" xfId="0" applyFont="1" applyFill="1" applyBorder="1" applyAlignment="1">
      <alignment horizontal="center" vertical="center" wrapText="1"/>
    </xf>
    <xf numFmtId="173" fontId="6" fillId="0" borderId="0" xfId="0" applyNumberFormat="1" applyFont="1" applyFill="1" applyBorder="1" applyAlignment="1" applyProtection="1">
      <alignment vertical="center" wrapText="1"/>
      <protection locked="0"/>
    </xf>
    <xf numFmtId="0" fontId="6" fillId="0" borderId="0" xfId="0" applyFont="1" applyFill="1" applyBorder="1" applyAlignment="1">
      <alignment vertical="center" wrapText="1"/>
    </xf>
    <xf numFmtId="0" fontId="32" fillId="0" borderId="7" xfId="0" applyFont="1" applyFill="1" applyBorder="1" applyAlignment="1">
      <alignment vertical="center" wrapText="1"/>
    </xf>
    <xf numFmtId="0" fontId="6" fillId="0" borderId="7" xfId="0" applyFont="1" applyFill="1" applyBorder="1" applyAlignment="1">
      <alignment vertical="center" wrapText="1"/>
    </xf>
    <xf numFmtId="0" fontId="6" fillId="0" borderId="0" xfId="0" applyNumberFormat="1" applyFont="1" applyFill="1" applyBorder="1" applyAlignment="1">
      <alignment vertical="center" wrapText="1"/>
    </xf>
    <xf numFmtId="9" fontId="6" fillId="0" borderId="0" xfId="0" applyNumberFormat="1" applyFont="1" applyFill="1" applyBorder="1" applyAlignment="1" applyProtection="1">
      <alignment vertical="center" wrapText="1"/>
      <protection locked="0"/>
    </xf>
    <xf numFmtId="0" fontId="32" fillId="0" borderId="0" xfId="0" applyFont="1" applyFill="1" applyBorder="1" applyAlignment="1" applyProtection="1">
      <alignment vertical="center" wrapText="1"/>
      <protection locked="0"/>
    </xf>
    <xf numFmtId="0" fontId="32" fillId="0" borderId="0" xfId="0" applyNumberFormat="1" applyFont="1" applyFill="1" applyBorder="1" applyAlignment="1">
      <alignment vertical="center"/>
    </xf>
    <xf numFmtId="175" fontId="32" fillId="0" borderId="0" xfId="0" applyNumberFormat="1" applyFont="1" applyFill="1" applyBorder="1" applyAlignment="1" applyProtection="1">
      <alignment vertical="center"/>
      <protection locked="0"/>
    </xf>
    <xf numFmtId="0" fontId="32" fillId="0" borderId="0" xfId="0" applyFont="1" applyFill="1" applyBorder="1" applyAlignment="1" applyProtection="1">
      <alignment vertical="center"/>
      <protection locked="0"/>
    </xf>
    <xf numFmtId="0" fontId="6" fillId="0" borderId="0" xfId="0" applyFont="1" applyFill="1" applyBorder="1" applyAlignment="1" applyProtection="1">
      <alignment horizontal="center" vertical="center"/>
      <protection locked="0"/>
    </xf>
    <xf numFmtId="1" fontId="32" fillId="0" borderId="0" xfId="0" applyNumberFormat="1" applyFont="1" applyFill="1" applyBorder="1" applyAlignment="1">
      <alignment vertical="center"/>
    </xf>
    <xf numFmtId="0" fontId="32" fillId="0" borderId="7" xfId="0" applyFont="1" applyFill="1" applyBorder="1" applyAlignment="1" applyProtection="1">
      <alignment horizontal="center" vertical="center"/>
      <protection locked="0"/>
    </xf>
    <xf numFmtId="0" fontId="32" fillId="0" borderId="7" xfId="0" applyFont="1" applyFill="1" applyBorder="1" applyAlignment="1">
      <alignment vertical="center"/>
    </xf>
    <xf numFmtId="0" fontId="6" fillId="0" borderId="0" xfId="0" applyFont="1" applyFill="1" applyBorder="1" applyAlignment="1">
      <alignment horizontal="center" vertical="center"/>
    </xf>
    <xf numFmtId="0" fontId="32" fillId="0" borderId="0" xfId="0" applyFont="1" applyFill="1" applyBorder="1" applyAlignment="1" applyProtection="1">
      <alignment horizontal="center" vertical="center"/>
    </xf>
    <xf numFmtId="0" fontId="32" fillId="0" borderId="0" xfId="0" applyFont="1" applyFill="1" applyBorder="1" applyAlignment="1" applyProtection="1">
      <alignment vertical="center"/>
    </xf>
    <xf numFmtId="0" fontId="32" fillId="0" borderId="0" xfId="0" applyNumberFormat="1" applyFont="1" applyFill="1" applyBorder="1" applyAlignment="1">
      <alignment vertical="center" wrapText="1"/>
    </xf>
    <xf numFmtId="0" fontId="32" fillId="0" borderId="0" xfId="0" applyNumberFormat="1" applyFont="1" applyFill="1" applyBorder="1" applyAlignment="1">
      <alignment horizontal="center" vertical="center" wrapText="1"/>
    </xf>
    <xf numFmtId="0" fontId="32" fillId="0" borderId="0" xfId="0" applyFont="1" applyFill="1" applyBorder="1" applyAlignment="1">
      <alignment vertical="center" wrapText="1"/>
    </xf>
    <xf numFmtId="2" fontId="32" fillId="0" borderId="0" xfId="0" applyNumberFormat="1" applyFont="1" applyFill="1" applyBorder="1" applyAlignment="1">
      <alignment horizontal="right" vertical="center"/>
    </xf>
    <xf numFmtId="172" fontId="32" fillId="0" borderId="0" xfId="0" applyNumberFormat="1" applyFont="1" applyFill="1" applyBorder="1" applyAlignment="1" applyProtection="1">
      <alignment horizontal="right" vertical="center"/>
      <protection locked="0"/>
    </xf>
    <xf numFmtId="0" fontId="32" fillId="0" borderId="0" xfId="0" applyFont="1" applyFill="1" applyBorder="1" applyAlignment="1" applyProtection="1">
      <alignment horizontal="center" vertical="center" wrapText="1"/>
      <protection locked="0"/>
    </xf>
    <xf numFmtId="0" fontId="6" fillId="0" borderId="0" xfId="0" applyFont="1" applyFill="1" applyBorder="1" applyAlignment="1">
      <alignment vertical="center"/>
    </xf>
    <xf numFmtId="0" fontId="32" fillId="0" borderId="0" xfId="0" applyFont="1" applyFill="1" applyBorder="1" applyAlignment="1">
      <alignment horizontal="center" vertical="center"/>
    </xf>
    <xf numFmtId="0" fontId="32" fillId="0" borderId="30" xfId="0" applyFont="1" applyFill="1" applyBorder="1" applyAlignment="1">
      <alignment horizontal="center" vertical="center"/>
    </xf>
    <xf numFmtId="167" fontId="29" fillId="0" borderId="7" xfId="0" applyNumberFormat="1" applyFont="1" applyFill="1" applyBorder="1" applyAlignment="1" applyProtection="1">
      <alignment horizontal="right" vertical="center"/>
    </xf>
    <xf numFmtId="0" fontId="32" fillId="0" borderId="25" xfId="0" applyFont="1" applyFill="1" applyBorder="1" applyAlignment="1">
      <alignment horizontal="left" vertical="center" wrapText="1"/>
    </xf>
    <xf numFmtId="178" fontId="58" fillId="3" borderId="0" xfId="0" applyNumberFormat="1" applyFont="1" applyFill="1" applyBorder="1" applyAlignment="1">
      <alignment vertical="center"/>
    </xf>
    <xf numFmtId="0" fontId="32" fillId="0" borderId="0" xfId="0" applyFont="1" applyFill="1" applyBorder="1" applyAlignment="1">
      <alignment vertical="top" wrapText="1"/>
    </xf>
    <xf numFmtId="0" fontId="32" fillId="0" borderId="25" xfId="0" applyFont="1" applyFill="1" applyBorder="1" applyAlignment="1">
      <alignment horizontal="left" vertical="center" wrapText="1" shrinkToFit="1"/>
    </xf>
    <xf numFmtId="0" fontId="32" fillId="0" borderId="25" xfId="0" applyFont="1" applyFill="1" applyBorder="1" applyAlignment="1">
      <alignment horizontal="center" vertical="center"/>
    </xf>
    <xf numFmtId="0" fontId="6" fillId="0" borderId="0" xfId="0" applyFont="1" applyFill="1" applyBorder="1" applyAlignment="1">
      <alignment horizontal="left" vertical="center"/>
    </xf>
    <xf numFmtId="0" fontId="4" fillId="0" borderId="0" xfId="0" applyFont="1" applyAlignment="1">
      <alignment wrapText="1"/>
    </xf>
    <xf numFmtId="0" fontId="4" fillId="0" borderId="43" xfId="0" applyFont="1" applyFill="1" applyBorder="1"/>
    <xf numFmtId="0" fontId="4" fillId="0" borderId="43" xfId="0" applyFont="1" applyFill="1" applyBorder="1" applyAlignment="1">
      <alignment horizontal="center"/>
    </xf>
    <xf numFmtId="0" fontId="3" fillId="0" borderId="42" xfId="0" applyFont="1" applyFill="1" applyBorder="1"/>
    <xf numFmtId="0" fontId="4" fillId="0" borderId="42" xfId="0" applyFont="1" applyFill="1" applyBorder="1"/>
    <xf numFmtId="0" fontId="4" fillId="0" borderId="42" xfId="0" applyFont="1" applyFill="1" applyBorder="1" applyAlignment="1">
      <alignment horizontal="justify" vertical="top" wrapText="1"/>
    </xf>
    <xf numFmtId="0" fontId="4" fillId="0" borderId="42" xfId="0" applyFont="1" applyFill="1" applyBorder="1" applyAlignment="1">
      <alignment horizontal="center"/>
    </xf>
    <xf numFmtId="0" fontId="4" fillId="0" borderId="39" xfId="0" applyFont="1" applyFill="1" applyBorder="1" applyAlignment="1">
      <alignment horizontal="center" vertical="top" wrapText="1"/>
    </xf>
    <xf numFmtId="0" fontId="3" fillId="0" borderId="37" xfId="0" applyFont="1" applyFill="1" applyBorder="1" applyAlignment="1">
      <alignment horizontal="right" vertical="top"/>
    </xf>
    <xf numFmtId="0" fontId="4" fillId="0" borderId="39" xfId="0" applyFont="1" applyFill="1" applyBorder="1" applyAlignment="1">
      <alignment horizontal="justify" vertical="top"/>
    </xf>
    <xf numFmtId="0" fontId="0" fillId="0" borderId="0" xfId="0" applyAlignment="1">
      <alignment vertical="top"/>
    </xf>
    <xf numFmtId="2" fontId="12" fillId="0" borderId="0" xfId="0" applyNumberFormat="1" applyFont="1" applyAlignment="1">
      <alignment horizontal="center" vertical="top"/>
    </xf>
    <xf numFmtId="0" fontId="3" fillId="0" borderId="0" xfId="0" applyFont="1" applyAlignment="1">
      <alignment vertical="top"/>
    </xf>
    <xf numFmtId="0" fontId="4" fillId="0" borderId="0" xfId="0" applyFont="1" applyAlignment="1">
      <alignment vertical="top"/>
    </xf>
    <xf numFmtId="2" fontId="0" fillId="0" borderId="0" xfId="0" applyNumberFormat="1" applyAlignment="1">
      <alignment vertical="top"/>
    </xf>
    <xf numFmtId="0" fontId="3" fillId="0" borderId="13" xfId="0" applyFont="1" applyBorder="1" applyAlignment="1">
      <alignment horizontal="center" vertical="top"/>
    </xf>
    <xf numFmtId="0" fontId="0" fillId="0" borderId="13" xfId="0" applyBorder="1" applyAlignment="1">
      <alignment horizontal="center" vertical="top"/>
    </xf>
    <xf numFmtId="0" fontId="0" fillId="0" borderId="13" xfId="0" applyBorder="1" applyAlignment="1">
      <alignment vertical="top"/>
    </xf>
    <xf numFmtId="0" fontId="3" fillId="0" borderId="13" xfId="0" applyFont="1" applyBorder="1" applyAlignment="1">
      <alignment horizontal="center" vertical="top" wrapText="1"/>
    </xf>
    <xf numFmtId="0" fontId="0" fillId="0" borderId="13" xfId="0" applyBorder="1" applyAlignment="1">
      <alignment horizontal="right" vertical="top"/>
    </xf>
    <xf numFmtId="0" fontId="0" fillId="0" borderId="13" xfId="0" applyBorder="1" applyAlignment="1">
      <alignment horizontal="justify" vertical="top"/>
    </xf>
    <xf numFmtId="2" fontId="12" fillId="0" borderId="13" xfId="0" applyNumberFormat="1" applyFont="1" applyBorder="1" applyAlignment="1">
      <alignment horizontal="center" vertical="top"/>
    </xf>
    <xf numFmtId="0" fontId="26" fillId="0" borderId="13" xfId="0" applyFont="1" applyBorder="1" applyAlignment="1">
      <alignment horizontal="center" vertical="top"/>
    </xf>
    <xf numFmtId="10" fontId="26" fillId="0" borderId="13" xfId="0" applyNumberFormat="1" applyFont="1" applyBorder="1" applyAlignment="1">
      <alignment horizontal="center" vertical="top"/>
    </xf>
    <xf numFmtId="10" fontId="26" fillId="0" borderId="13" xfId="0" applyNumberFormat="1" applyFont="1" applyBorder="1" applyAlignment="1">
      <alignment horizontal="right" vertical="top"/>
    </xf>
    <xf numFmtId="0" fontId="26" fillId="0" borderId="13" xfId="0" applyFont="1" applyBorder="1" applyAlignment="1">
      <alignment vertical="top"/>
    </xf>
    <xf numFmtId="10" fontId="12" fillId="0" borderId="13" xfId="0" applyNumberFormat="1" applyFont="1" applyBorder="1" applyAlignment="1">
      <alignment horizontal="center" vertical="top"/>
    </xf>
    <xf numFmtId="10" fontId="12" fillId="0" borderId="13" xfId="0" applyNumberFormat="1" applyFont="1" applyBorder="1" applyAlignment="1">
      <alignment horizontal="right" vertical="top"/>
    </xf>
    <xf numFmtId="0" fontId="3" fillId="0" borderId="13" xfId="0" applyFont="1" applyBorder="1" applyAlignment="1">
      <alignment vertical="top"/>
    </xf>
    <xf numFmtId="0" fontId="3" fillId="0" borderId="13" xfId="0" applyFont="1" applyBorder="1" applyAlignment="1">
      <alignment horizontal="right" vertical="top"/>
    </xf>
    <xf numFmtId="0" fontId="4" fillId="0" borderId="13" xfId="0" applyFont="1" applyBorder="1" applyAlignment="1">
      <alignment horizontal="center" vertical="top"/>
    </xf>
    <xf numFmtId="0" fontId="4" fillId="0" borderId="13" xfId="0" applyFont="1" applyBorder="1" applyAlignment="1">
      <alignment vertical="top"/>
    </xf>
    <xf numFmtId="2" fontId="5" fillId="0" borderId="13" xfId="0" applyNumberFormat="1" applyFont="1" applyBorder="1" applyAlignment="1">
      <alignment vertical="top"/>
    </xf>
    <xf numFmtId="0" fontId="5" fillId="0" borderId="13" xfId="0" applyFont="1" applyBorder="1" applyAlignment="1">
      <alignment vertical="top"/>
    </xf>
    <xf numFmtId="0" fontId="4" fillId="0" borderId="13" xfId="0" applyFont="1" applyBorder="1" applyAlignment="1">
      <alignment horizontal="right" vertical="top"/>
    </xf>
    <xf numFmtId="2" fontId="27" fillId="0" borderId="13" xfId="0" applyNumberFormat="1" applyFont="1" applyBorder="1" applyAlignment="1">
      <alignment vertical="top"/>
    </xf>
    <xf numFmtId="2" fontId="0" fillId="0" borderId="13" xfId="0" applyNumberFormat="1" applyBorder="1" applyAlignment="1">
      <alignment horizontal="center" vertical="top"/>
    </xf>
    <xf numFmtId="2" fontId="0" fillId="0" borderId="13" xfId="0" applyNumberFormat="1" applyBorder="1" applyAlignment="1">
      <alignment vertical="top"/>
    </xf>
    <xf numFmtId="2" fontId="26" fillId="0" borderId="13" xfId="0" applyNumberFormat="1" applyFont="1" applyBorder="1" applyAlignment="1">
      <alignment vertical="top"/>
    </xf>
    <xf numFmtId="0" fontId="0" fillId="0" borderId="13" xfId="0" applyBorder="1" applyAlignment="1">
      <alignment horizontal="left" vertical="top"/>
    </xf>
    <xf numFmtId="2" fontId="4" fillId="0" borderId="13" xfId="0" applyNumberFormat="1" applyFont="1" applyBorder="1" applyAlignment="1">
      <alignment vertical="top"/>
    </xf>
    <xf numFmtId="2" fontId="3" fillId="0" borderId="13" xfId="0" applyNumberFormat="1" applyFont="1" applyBorder="1" applyAlignment="1">
      <alignment horizontal="center" vertical="top"/>
    </xf>
    <xf numFmtId="1" fontId="5" fillId="0" borderId="13" xfId="0" applyNumberFormat="1" applyFont="1" applyBorder="1" applyAlignment="1">
      <alignment vertical="top"/>
    </xf>
    <xf numFmtId="1" fontId="0" fillId="0" borderId="13" xfId="0" applyNumberFormat="1" applyBorder="1" applyAlignment="1">
      <alignment vertical="top"/>
    </xf>
    <xf numFmtId="1" fontId="26" fillId="0" borderId="13" xfId="0" applyNumberFormat="1" applyFont="1" applyBorder="1" applyAlignment="1">
      <alignment vertical="top"/>
    </xf>
    <xf numFmtId="1" fontId="4" fillId="0" borderId="13" xfId="0" applyNumberFormat="1" applyFont="1" applyBorder="1" applyAlignment="1">
      <alignment vertical="top"/>
    </xf>
    <xf numFmtId="2" fontId="12" fillId="0" borderId="13" xfId="0" applyNumberFormat="1" applyFont="1" applyBorder="1" applyAlignment="1">
      <alignment vertical="top"/>
    </xf>
    <xf numFmtId="0" fontId="12" fillId="0" borderId="13" xfId="0" applyFont="1" applyBorder="1" applyAlignment="1">
      <alignment horizontal="center" vertical="top"/>
    </xf>
    <xf numFmtId="2" fontId="0" fillId="0" borderId="13" xfId="0" applyNumberFormat="1" applyBorder="1" applyAlignment="1">
      <alignment horizontal="right" vertical="top"/>
    </xf>
    <xf numFmtId="165" fontId="12" fillId="0" borderId="13" xfId="0" applyNumberFormat="1" applyFont="1" applyBorder="1" applyAlignment="1">
      <alignment vertical="top"/>
    </xf>
    <xf numFmtId="165" fontId="0" fillId="0" borderId="13" xfId="0" applyNumberFormat="1" applyBorder="1" applyAlignment="1">
      <alignment vertical="top"/>
    </xf>
    <xf numFmtId="1" fontId="0" fillId="0" borderId="13" xfId="0" applyNumberFormat="1" applyBorder="1" applyAlignment="1">
      <alignment horizontal="right" vertical="top"/>
    </xf>
    <xf numFmtId="165" fontId="27" fillId="0" borderId="13" xfId="0" applyNumberFormat="1" applyFont="1" applyBorder="1" applyAlignment="1">
      <alignment vertical="top"/>
    </xf>
    <xf numFmtId="0" fontId="4" fillId="0" borderId="13" xfId="0" applyFont="1" applyFill="1" applyBorder="1" applyAlignment="1">
      <alignment vertical="top"/>
    </xf>
    <xf numFmtId="0" fontId="0" fillId="0" borderId="13" xfId="0" applyBorder="1" applyAlignment="1">
      <alignment horizontal="center" vertical="center" wrapText="1"/>
    </xf>
    <xf numFmtId="0" fontId="12" fillId="0" borderId="13" xfId="0" applyFont="1" applyBorder="1" applyAlignment="1">
      <alignment horizontal="center" vertical="center" wrapText="1"/>
    </xf>
    <xf numFmtId="2" fontId="5" fillId="0" borderId="0" xfId="0" applyNumberFormat="1" applyFont="1" applyAlignment="1">
      <alignment horizontal="center" vertical="top"/>
    </xf>
    <xf numFmtId="2" fontId="30" fillId="0" borderId="0" xfId="0" applyNumberFormat="1" applyFont="1" applyAlignment="1">
      <alignment horizontal="center" vertical="top"/>
    </xf>
    <xf numFmtId="0" fontId="0" fillId="0" borderId="13" xfId="0" applyFill="1" applyBorder="1" applyAlignment="1">
      <alignment horizontal="center" vertical="top"/>
    </xf>
    <xf numFmtId="2" fontId="5" fillId="0" borderId="0" xfId="0" applyNumberFormat="1" applyFont="1" applyFill="1" applyAlignment="1">
      <alignment horizontal="center" vertical="top"/>
    </xf>
    <xf numFmtId="2" fontId="30" fillId="0" borderId="0" xfId="0" applyNumberFormat="1" applyFont="1" applyFill="1" applyAlignment="1">
      <alignment horizontal="center" vertical="top"/>
    </xf>
    <xf numFmtId="2" fontId="12" fillId="0" borderId="13" xfId="0" applyNumberFormat="1" applyFont="1" applyFill="1" applyBorder="1" applyAlignment="1">
      <alignment horizontal="center" vertical="top"/>
    </xf>
    <xf numFmtId="0" fontId="0" fillId="0" borderId="13" xfId="0" applyFill="1" applyBorder="1" applyAlignment="1">
      <alignment horizontal="right" vertical="top"/>
    </xf>
    <xf numFmtId="0" fontId="26" fillId="0" borderId="13" xfId="0" applyFont="1" applyFill="1" applyBorder="1" applyAlignment="1">
      <alignment horizontal="center" vertical="top"/>
    </xf>
    <xf numFmtId="0" fontId="0" fillId="0" borderId="0" xfId="0" applyFill="1" applyAlignment="1">
      <alignment vertical="top"/>
    </xf>
    <xf numFmtId="1" fontId="39" fillId="25" borderId="7" xfId="0" applyNumberFormat="1" applyFont="1" applyFill="1" applyBorder="1" applyAlignment="1">
      <alignment horizontal="center"/>
    </xf>
    <xf numFmtId="1" fontId="35" fillId="25" borderId="7" xfId="0" applyNumberFormat="1" applyFont="1" applyFill="1" applyBorder="1" applyAlignment="1">
      <alignment horizontal="center" vertical="top"/>
    </xf>
    <xf numFmtId="0" fontId="35" fillId="25" borderId="7" xfId="0" applyFont="1" applyFill="1" applyBorder="1" applyAlignment="1">
      <alignment vertical="top"/>
    </xf>
    <xf numFmtId="0" fontId="35" fillId="25" borderId="0" xfId="0" applyFont="1" applyFill="1" applyBorder="1"/>
    <xf numFmtId="2" fontId="35" fillId="25" borderId="0" xfId="0" applyNumberFormat="1" applyFont="1" applyFill="1" applyBorder="1"/>
    <xf numFmtId="0" fontId="35" fillId="25" borderId="7" xfId="0" applyFont="1" applyFill="1" applyBorder="1" applyAlignment="1">
      <alignment horizontal="center" vertical="top"/>
    </xf>
    <xf numFmtId="0" fontId="35" fillId="25" borderId="7" xfId="0" applyFont="1" applyFill="1" applyBorder="1"/>
    <xf numFmtId="2" fontId="35" fillId="25" borderId="7" xfId="0" applyNumberFormat="1" applyFont="1" applyFill="1" applyBorder="1"/>
    <xf numFmtId="1" fontId="35" fillId="25" borderId="7" xfId="0" applyNumberFormat="1" applyFont="1" applyFill="1" applyBorder="1"/>
    <xf numFmtId="2" fontId="35" fillId="25" borderId="7" xfId="0" applyNumberFormat="1" applyFont="1" applyFill="1" applyBorder="1" applyAlignment="1">
      <alignment horizontal="center"/>
    </xf>
    <xf numFmtId="170" fontId="35" fillId="25" borderId="7" xfId="0" applyNumberFormat="1" applyFont="1" applyFill="1" applyBorder="1" applyAlignment="1">
      <alignment horizontal="right"/>
    </xf>
    <xf numFmtId="2" fontId="35" fillId="25" borderId="7" xfId="0" applyNumberFormat="1" applyFont="1" applyFill="1" applyBorder="1" applyAlignment="1">
      <alignment horizontal="right"/>
    </xf>
    <xf numFmtId="1" fontId="35" fillId="25" borderId="7" xfId="0" applyNumberFormat="1" applyFont="1" applyFill="1" applyBorder="1" applyAlignment="1">
      <alignment horizontal="right"/>
    </xf>
    <xf numFmtId="2" fontId="35" fillId="25" borderId="7" xfId="0" applyNumberFormat="1" applyFont="1" applyFill="1" applyBorder="1" applyAlignment="1">
      <alignment shrinkToFit="1"/>
    </xf>
    <xf numFmtId="2" fontId="39" fillId="25" borderId="7" xfId="0" applyNumberFormat="1" applyFont="1" applyFill="1" applyBorder="1" applyAlignment="1">
      <alignment horizontal="left" vertical="top" wrapText="1"/>
    </xf>
    <xf numFmtId="170" fontId="0" fillId="0" borderId="13" xfId="0" applyNumberFormat="1" applyBorder="1" applyAlignment="1">
      <alignment vertical="top"/>
    </xf>
    <xf numFmtId="176" fontId="26" fillId="0" borderId="13" xfId="0" applyNumberFormat="1" applyFont="1" applyBorder="1" applyAlignment="1">
      <alignment horizontal="right" vertical="top"/>
    </xf>
    <xf numFmtId="0" fontId="4" fillId="0" borderId="28" xfId="0" applyFont="1" applyBorder="1" applyAlignment="1">
      <alignment horizontal="center" vertical="top"/>
    </xf>
    <xf numFmtId="0" fontId="4" fillId="0" borderId="28" xfId="0" applyFont="1" applyBorder="1" applyAlignment="1">
      <alignment vertical="top"/>
    </xf>
    <xf numFmtId="0" fontId="0" fillId="0" borderId="28" xfId="0" applyBorder="1" applyAlignment="1">
      <alignment vertical="top"/>
    </xf>
    <xf numFmtId="2" fontId="4" fillId="0" borderId="28" xfId="0" applyNumberFormat="1" applyFont="1" applyBorder="1" applyAlignment="1">
      <alignment vertical="top"/>
    </xf>
    <xf numFmtId="0" fontId="3" fillId="0" borderId="28" xfId="0" applyFont="1" applyBorder="1" applyAlignment="1">
      <alignment horizontal="right" vertical="top"/>
    </xf>
    <xf numFmtId="2" fontId="3" fillId="0" borderId="28" xfId="0" applyNumberFormat="1" applyFont="1" applyBorder="1" applyAlignment="1">
      <alignment horizontal="center" vertical="top"/>
    </xf>
    <xf numFmtId="0" fontId="4" fillId="0" borderId="0" xfId="0" applyFont="1" applyBorder="1" applyAlignment="1">
      <alignment vertical="top"/>
    </xf>
    <xf numFmtId="0" fontId="4" fillId="0" borderId="0" xfId="0" applyFont="1" applyBorder="1" applyAlignment="1">
      <alignment horizontal="center" vertical="top"/>
    </xf>
    <xf numFmtId="0" fontId="4" fillId="0" borderId="0" xfId="0" applyFont="1" applyFill="1" applyBorder="1" applyAlignment="1">
      <alignment vertical="top"/>
    </xf>
    <xf numFmtId="0" fontId="0" fillId="0" borderId="0" xfId="0" applyBorder="1" applyAlignment="1">
      <alignment vertical="top"/>
    </xf>
    <xf numFmtId="2" fontId="4" fillId="0" borderId="0" xfId="0" applyNumberFormat="1" applyFont="1" applyBorder="1" applyAlignment="1">
      <alignment vertical="top"/>
    </xf>
    <xf numFmtId="0" fontId="3" fillId="0" borderId="0" xfId="0" applyFont="1" applyBorder="1" applyAlignment="1">
      <alignment horizontal="right" vertical="top"/>
    </xf>
    <xf numFmtId="2" fontId="3" fillId="0" borderId="0" xfId="0" applyNumberFormat="1" applyFont="1" applyBorder="1" applyAlignment="1">
      <alignment horizontal="center" vertical="top"/>
    </xf>
    <xf numFmtId="0" fontId="0" fillId="0" borderId="0" xfId="0" applyBorder="1" applyAlignment="1">
      <alignment horizontal="center" vertical="top"/>
    </xf>
    <xf numFmtId="0" fontId="0" fillId="0" borderId="0" xfId="0" applyBorder="1" applyAlignment="1">
      <alignment horizontal="right" vertical="top"/>
    </xf>
    <xf numFmtId="15" fontId="0" fillId="0" borderId="0" xfId="0" applyNumberFormat="1" applyAlignment="1">
      <alignment vertical="top"/>
    </xf>
    <xf numFmtId="0" fontId="36" fillId="0" borderId="13" xfId="0" applyFont="1" applyBorder="1" applyAlignment="1">
      <alignment horizontal="center" vertical="top"/>
    </xf>
    <xf numFmtId="2" fontId="36" fillId="0" borderId="13" xfId="0" applyNumberFormat="1" applyFont="1" applyBorder="1" applyAlignment="1">
      <alignment horizontal="center" vertical="top"/>
    </xf>
    <xf numFmtId="0" fontId="36" fillId="0" borderId="0" xfId="0" applyFont="1" applyAlignment="1">
      <alignment vertical="top"/>
    </xf>
    <xf numFmtId="2" fontId="36" fillId="0" borderId="0" xfId="0" applyNumberFormat="1" applyFont="1" applyAlignment="1">
      <alignment horizontal="center" vertical="top"/>
    </xf>
    <xf numFmtId="0" fontId="32" fillId="0" borderId="0" xfId="0" applyFont="1" applyAlignment="1">
      <alignment vertical="top"/>
    </xf>
    <xf numFmtId="0" fontId="32" fillId="0" borderId="7" xfId="0" applyFont="1" applyBorder="1" applyAlignment="1">
      <alignment horizontal="center" vertical="top"/>
    </xf>
    <xf numFmtId="0" fontId="6" fillId="0" borderId="0" xfId="0" applyFont="1" applyBorder="1" applyAlignment="1">
      <alignment vertical="top" wrapText="1"/>
    </xf>
    <xf numFmtId="177" fontId="32" fillId="0" borderId="7" xfId="0" applyNumberFormat="1" applyFont="1" applyBorder="1" applyAlignment="1">
      <alignment horizontal="center" vertical="top"/>
    </xf>
    <xf numFmtId="0" fontId="32" fillId="0" borderId="0" xfId="0" applyFont="1" applyBorder="1" applyAlignment="1">
      <alignment vertical="top"/>
    </xf>
    <xf numFmtId="0" fontId="33" fillId="24" borderId="7" xfId="0" applyFont="1" applyFill="1" applyBorder="1" applyAlignment="1">
      <alignment horizontal="center" vertical="top"/>
    </xf>
    <xf numFmtId="0" fontId="32" fillId="0" borderId="0" xfId="0" applyFont="1" applyBorder="1" applyAlignment="1">
      <alignment horizontal="right" vertical="top"/>
    </xf>
    <xf numFmtId="0" fontId="32" fillId="0" borderId="0" xfId="0" applyFont="1" applyFill="1" applyAlignment="1">
      <alignment vertical="top"/>
    </xf>
    <xf numFmtId="0" fontId="32" fillId="0" borderId="0" xfId="0" applyFont="1" applyFill="1" applyBorder="1" applyAlignment="1">
      <alignment vertical="top"/>
    </xf>
    <xf numFmtId="0" fontId="32" fillId="0" borderId="7" xfId="0" applyFont="1" applyFill="1" applyBorder="1" applyAlignment="1">
      <alignment vertical="top"/>
    </xf>
    <xf numFmtId="0" fontId="32" fillId="0" borderId="7" xfId="0" applyFont="1" applyFill="1" applyBorder="1" applyAlignment="1">
      <alignment vertical="top" wrapText="1"/>
    </xf>
    <xf numFmtId="0" fontId="34" fillId="0" borderId="7" xfId="0" applyFont="1" applyFill="1" applyBorder="1" applyAlignment="1">
      <alignment vertical="top"/>
    </xf>
    <xf numFmtId="0" fontId="32" fillId="0" borderId="7" xfId="0" applyFont="1" applyBorder="1" applyAlignment="1">
      <alignment vertical="top"/>
    </xf>
    <xf numFmtId="0" fontId="34" fillId="0" borderId="7" xfId="0" applyFont="1" applyBorder="1" applyAlignment="1">
      <alignment vertical="top"/>
    </xf>
    <xf numFmtId="0" fontId="32" fillId="0" borderId="7" xfId="0" applyFont="1" applyBorder="1" applyAlignment="1">
      <alignment vertical="top" wrapText="1"/>
    </xf>
    <xf numFmtId="0" fontId="6" fillId="0" borderId="0" xfId="0" applyFont="1" applyAlignment="1">
      <alignment vertical="top"/>
    </xf>
    <xf numFmtId="0" fontId="6" fillId="0" borderId="7" xfId="0" applyFont="1" applyBorder="1" applyAlignment="1">
      <alignment vertical="top"/>
    </xf>
    <xf numFmtId="0" fontId="6" fillId="0" borderId="0" xfId="0" applyFont="1" applyBorder="1" applyAlignment="1">
      <alignment vertical="top"/>
    </xf>
    <xf numFmtId="0" fontId="42" fillId="0" borderId="31" xfId="0" applyFont="1" applyFill="1" applyBorder="1" applyAlignment="1" applyProtection="1">
      <alignment horizontal="center" vertical="top"/>
      <protection hidden="1"/>
    </xf>
    <xf numFmtId="0" fontId="43" fillId="0" borderId="25" xfId="0" applyFont="1" applyFill="1" applyBorder="1" applyAlignment="1" applyProtection="1">
      <alignment horizontal="center" vertical="top"/>
      <protection hidden="1"/>
    </xf>
    <xf numFmtId="0" fontId="41" fillId="0" borderId="25" xfId="0" applyFont="1" applyFill="1" applyBorder="1" applyAlignment="1" applyProtection="1">
      <alignment vertical="top"/>
      <protection hidden="1"/>
    </xf>
    <xf numFmtId="0" fontId="43" fillId="0" borderId="25" xfId="0" applyFont="1" applyFill="1" applyBorder="1" applyAlignment="1" applyProtection="1">
      <alignment vertical="top"/>
      <protection hidden="1"/>
    </xf>
    <xf numFmtId="170" fontId="43" fillId="0" borderId="25" xfId="0" applyNumberFormat="1" applyFont="1" applyFill="1" applyBorder="1" applyAlignment="1" applyProtection="1">
      <alignment horizontal="center" vertical="top"/>
      <protection hidden="1"/>
    </xf>
    <xf numFmtId="0" fontId="44" fillId="0" borderId="25" xfId="0" applyFont="1" applyFill="1" applyBorder="1" applyAlignment="1" applyProtection="1">
      <alignment vertical="top"/>
      <protection hidden="1"/>
    </xf>
    <xf numFmtId="0" fontId="43" fillId="0" borderId="25" xfId="0" applyFont="1" applyFill="1" applyBorder="1" applyAlignment="1" applyProtection="1">
      <alignment vertical="top" wrapText="1"/>
      <protection hidden="1"/>
    </xf>
    <xf numFmtId="0" fontId="41" fillId="0" borderId="25" xfId="0" applyFont="1" applyFill="1" applyBorder="1" applyAlignment="1" applyProtection="1">
      <alignment horizontal="center" vertical="top"/>
      <protection hidden="1"/>
    </xf>
    <xf numFmtId="0" fontId="45" fillId="0" borderId="25" xfId="0" applyFont="1" applyFill="1" applyBorder="1" applyAlignment="1" applyProtection="1">
      <alignment horizontal="center" vertical="top"/>
      <protection hidden="1"/>
    </xf>
    <xf numFmtId="0" fontId="45" fillId="0" borderId="25" xfId="0" applyFont="1" applyFill="1" applyBorder="1" applyAlignment="1" applyProtection="1">
      <alignment horizontal="left" vertical="top"/>
      <protection hidden="1"/>
    </xf>
    <xf numFmtId="0" fontId="43" fillId="0" borderId="25" xfId="0" applyFont="1" applyFill="1" applyBorder="1" applyAlignment="1" applyProtection="1">
      <alignment horizontal="left" vertical="top"/>
      <protection hidden="1"/>
    </xf>
    <xf numFmtId="2" fontId="43" fillId="0" borderId="25" xfId="0" applyNumberFormat="1" applyFont="1" applyFill="1" applyBorder="1" applyAlignment="1" applyProtection="1">
      <alignment horizontal="center" vertical="top"/>
      <protection hidden="1"/>
    </xf>
    <xf numFmtId="2" fontId="43" fillId="0" borderId="25" xfId="0" applyNumberFormat="1" applyFont="1" applyFill="1" applyBorder="1" applyAlignment="1" applyProtection="1">
      <alignment horizontal="right" vertical="top"/>
      <protection hidden="1"/>
    </xf>
    <xf numFmtId="0" fontId="43" fillId="0" borderId="25" xfId="0" applyFont="1" applyFill="1" applyBorder="1" applyAlignment="1" applyProtection="1">
      <alignment horizontal="justify" vertical="top" wrapText="1"/>
      <protection hidden="1"/>
    </xf>
    <xf numFmtId="2" fontId="43" fillId="0" borderId="25" xfId="0" applyNumberFormat="1" applyFont="1" applyFill="1" applyBorder="1" applyAlignment="1" applyProtection="1">
      <alignment vertical="top"/>
      <protection hidden="1"/>
    </xf>
    <xf numFmtId="0" fontId="43" fillId="0" borderId="25" xfId="0" applyFont="1" applyFill="1" applyBorder="1" applyAlignment="1">
      <alignment horizontal="right" vertical="top"/>
    </xf>
    <xf numFmtId="2" fontId="43" fillId="0" borderId="25" xfId="0" applyNumberFormat="1" applyFont="1" applyFill="1" applyBorder="1" applyAlignment="1">
      <alignment horizontal="center" vertical="top"/>
    </xf>
    <xf numFmtId="0" fontId="43" fillId="0" borderId="25" xfId="0" applyFont="1" applyFill="1" applyBorder="1" applyAlignment="1">
      <alignment horizontal="center" vertical="top"/>
    </xf>
    <xf numFmtId="2" fontId="43" fillId="0" borderId="25" xfId="0" applyNumberFormat="1" applyFont="1" applyFill="1" applyBorder="1" applyAlignment="1">
      <alignment vertical="top"/>
    </xf>
    <xf numFmtId="0" fontId="43" fillId="0" borderId="25" xfId="0" applyFont="1" applyFill="1" applyBorder="1" applyAlignment="1" applyProtection="1">
      <alignment horizontal="right" vertical="top"/>
      <protection hidden="1"/>
    </xf>
    <xf numFmtId="175" fontId="43" fillId="0" borderId="25" xfId="0" applyNumberFormat="1" applyFont="1" applyFill="1" applyBorder="1" applyAlignment="1" applyProtection="1">
      <alignment horizontal="center" vertical="top"/>
      <protection hidden="1"/>
    </xf>
    <xf numFmtId="2" fontId="41" fillId="0" borderId="25" xfId="0" applyNumberFormat="1" applyFont="1" applyFill="1" applyBorder="1" applyAlignment="1" applyProtection="1">
      <alignment horizontal="right" vertical="top"/>
      <protection hidden="1"/>
    </xf>
    <xf numFmtId="166" fontId="41" fillId="0" borderId="25" xfId="0" applyNumberFormat="1" applyFont="1" applyFill="1" applyBorder="1" applyAlignment="1" applyProtection="1">
      <alignment horizontal="center" vertical="top"/>
      <protection hidden="1"/>
    </xf>
    <xf numFmtId="0" fontId="45" fillId="0" borderId="25" xfId="0" applyFont="1" applyFill="1" applyBorder="1" applyAlignment="1" applyProtection="1">
      <alignment horizontal="justify" vertical="top" wrapText="1"/>
      <protection hidden="1"/>
    </xf>
    <xf numFmtId="0" fontId="43" fillId="0" borderId="25" xfId="0" applyFont="1" applyFill="1" applyBorder="1" applyAlignment="1" applyProtection="1">
      <alignment horizontal="left" vertical="top" wrapText="1"/>
      <protection hidden="1"/>
    </xf>
    <xf numFmtId="169" fontId="43" fillId="0" borderId="25" xfId="0" applyNumberFormat="1" applyFont="1" applyFill="1" applyBorder="1" applyAlignment="1" applyProtection="1">
      <alignment horizontal="center" vertical="top"/>
      <protection hidden="1"/>
    </xf>
    <xf numFmtId="0" fontId="4" fillId="0" borderId="0" xfId="0" applyFont="1" applyFill="1" applyBorder="1" applyAlignment="1" applyProtection="1">
      <alignment horizontal="left" vertical="top"/>
      <protection hidden="1"/>
    </xf>
    <xf numFmtId="2" fontId="4" fillId="0" borderId="0" xfId="0" applyNumberFormat="1" applyFont="1" applyFill="1" applyBorder="1" applyAlignment="1" applyProtection="1">
      <alignment vertical="top"/>
      <protection hidden="1"/>
    </xf>
    <xf numFmtId="0" fontId="46" fillId="0" borderId="25" xfId="0" applyFont="1" applyFill="1" applyBorder="1" applyAlignment="1" applyProtection="1">
      <alignment horizontal="left" vertical="top"/>
      <protection hidden="1"/>
    </xf>
    <xf numFmtId="0" fontId="41" fillId="0" borderId="25" xfId="0" applyFont="1" applyFill="1" applyBorder="1" applyAlignment="1" applyProtection="1">
      <alignment horizontal="justify" vertical="top" wrapText="1"/>
      <protection hidden="1"/>
    </xf>
    <xf numFmtId="2" fontId="41" fillId="0" borderId="25" xfId="0" applyNumberFormat="1" applyFont="1" applyFill="1" applyBorder="1" applyAlignment="1" applyProtection="1">
      <alignment vertical="top"/>
      <protection hidden="1"/>
    </xf>
    <xf numFmtId="0" fontId="43" fillId="0" borderId="25" xfId="0" applyFont="1" applyFill="1" applyBorder="1" applyAlignment="1">
      <alignment vertical="top"/>
    </xf>
    <xf numFmtId="2" fontId="43" fillId="0" borderId="25" xfId="0" applyNumberFormat="1" applyFont="1" applyFill="1" applyBorder="1" applyAlignment="1">
      <alignment horizontal="right" vertical="top"/>
    </xf>
    <xf numFmtId="0" fontId="41" fillId="0" borderId="25" xfId="0" applyFont="1" applyFill="1" applyBorder="1" applyAlignment="1">
      <alignment vertical="top"/>
    </xf>
    <xf numFmtId="0" fontId="41" fillId="0" borderId="25" xfId="0" applyFont="1" applyFill="1" applyBorder="1" applyAlignment="1">
      <alignment horizontal="center" vertical="top"/>
    </xf>
    <xf numFmtId="2" fontId="41" fillId="0" borderId="25" xfId="0" applyNumberFormat="1" applyFont="1" applyFill="1" applyBorder="1" applyAlignment="1">
      <alignment vertical="top"/>
    </xf>
    <xf numFmtId="0" fontId="3" fillId="0" borderId="0" xfId="0" applyFont="1" applyFill="1" applyBorder="1" applyAlignment="1" applyProtection="1">
      <alignment horizontal="center" vertical="top"/>
      <protection hidden="1"/>
    </xf>
    <xf numFmtId="0" fontId="3" fillId="0" borderId="0" xfId="0" applyFont="1" applyFill="1" applyBorder="1" applyAlignment="1">
      <alignment horizontal="center" vertical="top"/>
    </xf>
    <xf numFmtId="1" fontId="4" fillId="0" borderId="0" xfId="0" applyNumberFormat="1" applyFont="1" applyFill="1" applyBorder="1" applyAlignment="1" applyProtection="1">
      <alignment horizontal="center" vertical="top"/>
      <protection hidden="1"/>
    </xf>
    <xf numFmtId="2" fontId="4" fillId="0" borderId="0" xfId="0" applyNumberFormat="1" applyFont="1" applyFill="1" applyBorder="1" applyAlignment="1" applyProtection="1">
      <alignment horizontal="right" vertical="top"/>
      <protection hidden="1"/>
    </xf>
    <xf numFmtId="0" fontId="3" fillId="0" borderId="0" xfId="0" applyFont="1" applyFill="1" applyBorder="1" applyAlignment="1" applyProtection="1">
      <alignment vertical="top"/>
      <protection hidden="1"/>
    </xf>
    <xf numFmtId="0" fontId="47" fillId="0" borderId="0" xfId="0" applyFont="1" applyAlignment="1"/>
    <xf numFmtId="0" fontId="29" fillId="0" borderId="0" xfId="0" applyFont="1" applyAlignment="1">
      <alignment horizontal="center" vertical="top"/>
    </xf>
    <xf numFmtId="0" fontId="0" fillId="0" borderId="0" xfId="0" applyFont="1"/>
    <xf numFmtId="0" fontId="31" fillId="0" borderId="0" xfId="0" applyFont="1" applyAlignment="1"/>
    <xf numFmtId="2" fontId="29" fillId="0" borderId="0" xfId="0" applyNumberFormat="1" applyFont="1" applyAlignment="1">
      <alignment horizontal="left" vertical="top"/>
    </xf>
    <xf numFmtId="2" fontId="31" fillId="0" borderId="0" xfId="0" applyNumberFormat="1" applyFont="1" applyAlignment="1"/>
    <xf numFmtId="2" fontId="31" fillId="0" borderId="0" xfId="0" applyNumberFormat="1" applyFont="1" applyAlignment="1">
      <alignment horizontal="left"/>
    </xf>
    <xf numFmtId="0" fontId="29" fillId="0" borderId="3" xfId="0" applyFont="1" applyBorder="1" applyAlignment="1">
      <alignment horizontal="center" vertical="top" wrapText="1"/>
    </xf>
    <xf numFmtId="0" fontId="29" fillId="0" borderId="18" xfId="0" applyFont="1" applyBorder="1" applyAlignment="1">
      <alignment horizontal="center" vertical="top" wrapText="1"/>
    </xf>
    <xf numFmtId="0" fontId="29" fillId="0" borderId="0" xfId="0" applyFont="1" applyBorder="1" applyAlignment="1">
      <alignment horizontal="center" vertical="top"/>
    </xf>
    <xf numFmtId="0" fontId="29" fillId="0" borderId="0" xfId="0" applyFont="1" applyBorder="1" applyAlignment="1">
      <alignment horizontal="center" vertical="top" wrapText="1"/>
    </xf>
    <xf numFmtId="0" fontId="29" fillId="0" borderId="0" xfId="0" applyFont="1" applyBorder="1" applyAlignment="1">
      <alignment horizontal="right" vertical="top"/>
    </xf>
    <xf numFmtId="0" fontId="29" fillId="0" borderId="0" xfId="0" applyFont="1" applyBorder="1" applyAlignment="1">
      <alignment horizontal="left" vertical="top"/>
    </xf>
    <xf numFmtId="2" fontId="31" fillId="0" borderId="0" xfId="0" applyNumberFormat="1" applyFont="1" applyAlignment="1">
      <alignment horizontal="right" vertical="top"/>
    </xf>
    <xf numFmtId="2" fontId="31" fillId="0" borderId="0" xfId="0" applyNumberFormat="1" applyFont="1" applyAlignment="1">
      <alignment horizontal="left" vertical="top"/>
    </xf>
    <xf numFmtId="0" fontId="31" fillId="0" borderId="0" xfId="0" applyFont="1" applyBorder="1" applyAlignment="1">
      <alignment horizontal="left" vertical="top"/>
    </xf>
    <xf numFmtId="0" fontId="31" fillId="0" borderId="0" xfId="0" applyFont="1" applyAlignment="1">
      <alignment horizontal="left" vertical="top"/>
    </xf>
    <xf numFmtId="2" fontId="31" fillId="0" borderId="0" xfId="0" applyNumberFormat="1" applyFont="1" applyAlignment="1">
      <alignment horizontal="center" vertical="top"/>
    </xf>
    <xf numFmtId="0" fontId="31" fillId="0" borderId="0" xfId="0" applyFont="1" applyAlignment="1">
      <alignment horizontal="center" vertical="top"/>
    </xf>
    <xf numFmtId="2" fontId="31" fillId="0" borderId="0" xfId="0" applyNumberFormat="1" applyFont="1" applyAlignment="1">
      <alignment horizontal="center"/>
    </xf>
    <xf numFmtId="2" fontId="31" fillId="0" borderId="0" xfId="0" applyNumberFormat="1" applyFont="1" applyAlignment="1">
      <alignment horizontal="right"/>
    </xf>
    <xf numFmtId="0" fontId="31" fillId="0" borderId="0" xfId="0" applyFont="1" applyFill="1" applyBorder="1" applyAlignment="1">
      <alignment horizontal="left" vertical="top"/>
    </xf>
    <xf numFmtId="2" fontId="31" fillId="0" borderId="3" xfId="0" applyNumberFormat="1" applyFont="1" applyBorder="1" applyAlignment="1">
      <alignment horizontal="center"/>
    </xf>
    <xf numFmtId="2" fontId="31" fillId="0" borderId="0" xfId="0" applyNumberFormat="1" applyFont="1" applyAlignment="1">
      <alignment horizontal="right" vertical="top" wrapText="1"/>
    </xf>
    <xf numFmtId="2" fontId="31" fillId="0" borderId="0" xfId="0" applyNumberFormat="1" applyFont="1" applyAlignment="1">
      <alignment horizontal="left" vertical="top" wrapText="1"/>
    </xf>
    <xf numFmtId="2" fontId="31" fillId="0" borderId="0" xfId="0" applyNumberFormat="1" applyFont="1" applyAlignment="1">
      <alignment horizontal="center" vertical="top" wrapText="1"/>
    </xf>
    <xf numFmtId="2" fontId="4" fillId="0" borderId="0" xfId="0" applyNumberFormat="1" applyFont="1" applyAlignment="1">
      <alignment horizontal="center" vertical="top" wrapText="1"/>
    </xf>
    <xf numFmtId="2" fontId="31" fillId="0" borderId="0" xfId="0" applyNumberFormat="1" applyFont="1" applyBorder="1" applyAlignment="1">
      <alignment horizontal="center" vertical="top"/>
    </xf>
    <xf numFmtId="2" fontId="31" fillId="0" borderId="0" xfId="0" applyNumberFormat="1" applyFont="1" applyBorder="1" applyAlignment="1">
      <alignment horizontal="center"/>
    </xf>
    <xf numFmtId="0" fontId="5" fillId="0" borderId="0" xfId="0" applyFont="1" applyAlignment="1"/>
    <xf numFmtId="0" fontId="4" fillId="0" borderId="0" xfId="0" applyFont="1" applyAlignment="1"/>
    <xf numFmtId="2" fontId="31" fillId="0" borderId="12" xfId="0" applyNumberFormat="1" applyFont="1" applyFill="1" applyBorder="1" applyAlignment="1">
      <alignment horizontal="center"/>
    </xf>
    <xf numFmtId="2" fontId="29" fillId="0" borderId="0" xfId="0" applyNumberFormat="1" applyFont="1" applyBorder="1" applyAlignment="1">
      <alignment horizontal="center"/>
    </xf>
    <xf numFmtId="2" fontId="29" fillId="0" borderId="12" xfId="0" applyNumberFormat="1" applyFont="1" applyBorder="1" applyAlignment="1">
      <alignment horizontal="center"/>
    </xf>
    <xf numFmtId="2" fontId="40" fillId="0" borderId="19" xfId="0" applyNumberFormat="1" applyFont="1" applyBorder="1" applyAlignment="1">
      <alignment horizontal="center"/>
    </xf>
    <xf numFmtId="2" fontId="31" fillId="0" borderId="0" xfId="0" applyNumberFormat="1" applyFont="1" applyAlignment="1">
      <alignment shrinkToFit="1"/>
    </xf>
    <xf numFmtId="1" fontId="29" fillId="0" borderId="24" xfId="0" applyNumberFormat="1" applyFont="1" applyBorder="1" applyAlignment="1">
      <alignment horizontal="center"/>
    </xf>
    <xf numFmtId="0" fontId="47" fillId="0" borderId="0" xfId="0" applyFont="1" applyBorder="1" applyAlignment="1"/>
    <xf numFmtId="0" fontId="31" fillId="0" borderId="0" xfId="0" applyFont="1" applyAlignment="1">
      <alignment vertical="top"/>
    </xf>
    <xf numFmtId="2" fontId="31" fillId="0" borderId="0" xfId="0" applyNumberFormat="1" applyFont="1" applyFill="1" applyBorder="1" applyAlignment="1"/>
    <xf numFmtId="0" fontId="29" fillId="0" borderId="0" xfId="0" applyFont="1" applyAlignment="1">
      <alignment horizontal="right"/>
    </xf>
    <xf numFmtId="2" fontId="29" fillId="0" borderId="0" xfId="0" applyNumberFormat="1" applyFont="1" applyFill="1" applyBorder="1" applyAlignment="1"/>
    <xf numFmtId="0" fontId="31" fillId="0" borderId="0" xfId="0" applyFont="1" applyAlignment="1">
      <alignment horizontal="left"/>
    </xf>
    <xf numFmtId="2" fontId="47" fillId="0" borderId="0" xfId="0" applyNumberFormat="1" applyFont="1" applyAlignment="1"/>
    <xf numFmtId="2" fontId="31" fillId="0" borderId="0" xfId="0" applyNumberFormat="1" applyFont="1" applyFill="1" applyBorder="1"/>
    <xf numFmtId="165" fontId="31" fillId="0" borderId="0" xfId="0" applyNumberFormat="1" applyFont="1" applyAlignment="1">
      <alignment horizontal="right"/>
    </xf>
    <xf numFmtId="0" fontId="47" fillId="0" borderId="0" xfId="0" applyFont="1" applyFill="1" applyAlignment="1"/>
    <xf numFmtId="0" fontId="31" fillId="0" borderId="0" xfId="0" applyFont="1" applyFill="1" applyAlignment="1">
      <alignment vertical="top"/>
    </xf>
    <xf numFmtId="2" fontId="31" fillId="0" borderId="0" xfId="0" applyNumberFormat="1" applyFont="1" applyFill="1" applyAlignment="1">
      <alignment horizontal="center"/>
    </xf>
    <xf numFmtId="0" fontId="31" fillId="0" borderId="0" xfId="0" applyFont="1" applyFill="1" applyAlignment="1">
      <alignment horizontal="left"/>
    </xf>
    <xf numFmtId="0" fontId="31" fillId="0" borderId="0" xfId="0" applyFont="1" applyFill="1" applyAlignment="1"/>
    <xf numFmtId="2" fontId="31" fillId="0" borderId="0" xfId="0" applyNumberFormat="1" applyFont="1" applyFill="1" applyBorder="1" applyAlignment="1">
      <alignment horizontal="center"/>
    </xf>
    <xf numFmtId="0" fontId="29" fillId="0" borderId="0" xfId="0" applyFont="1" applyAlignment="1">
      <alignment horizontal="left" vertical="top"/>
    </xf>
    <xf numFmtId="2" fontId="4" fillId="0" borderId="0" xfId="0" applyNumberFormat="1" applyFont="1" applyAlignment="1"/>
    <xf numFmtId="2" fontId="31" fillId="0" borderId="12" xfId="0" applyNumberFormat="1" applyFont="1" applyBorder="1" applyAlignment="1">
      <alignment horizontal="center"/>
    </xf>
    <xf numFmtId="2" fontId="29" fillId="0" borderId="16" xfId="0" applyNumberFormat="1" applyFont="1" applyBorder="1" applyAlignment="1">
      <alignment horizontal="center"/>
    </xf>
    <xf numFmtId="2" fontId="29" fillId="0" borderId="24" xfId="0" applyNumberFormat="1" applyFont="1" applyBorder="1" applyAlignment="1">
      <alignment horizontal="center"/>
    </xf>
    <xf numFmtId="0" fontId="29" fillId="0" borderId="0" xfId="0" applyFont="1" applyAlignment="1">
      <alignment vertical="top"/>
    </xf>
    <xf numFmtId="0" fontId="29" fillId="0" borderId="0" xfId="0" applyFont="1" applyAlignment="1"/>
    <xf numFmtId="0" fontId="31" fillId="0" borderId="0" xfId="0" applyFont="1" applyAlignment="1">
      <alignment horizontal="center"/>
    </xf>
    <xf numFmtId="0" fontId="31" fillId="0" borderId="0" xfId="0" applyFont="1"/>
    <xf numFmtId="0" fontId="31" fillId="0" borderId="3" xfId="0" applyFont="1" applyBorder="1" applyAlignment="1">
      <alignment horizontal="center"/>
    </xf>
    <xf numFmtId="2" fontId="31" fillId="0" borderId="0" xfId="0" applyNumberFormat="1" applyFont="1" applyBorder="1" applyAlignment="1">
      <alignment horizontal="left" vertical="top"/>
    </xf>
    <xf numFmtId="2" fontId="31" fillId="0" borderId="0" xfId="0" applyNumberFormat="1" applyFont="1" applyAlignment="1">
      <alignment horizontal="right" vertical="center"/>
    </xf>
    <xf numFmtId="2" fontId="31" fillId="0" borderId="0" xfId="0" applyNumberFormat="1" applyFont="1" applyAlignment="1">
      <alignment horizontal="left" vertical="center"/>
    </xf>
    <xf numFmtId="2" fontId="43" fillId="0" borderId="3" xfId="0" applyNumberFormat="1" applyFont="1" applyBorder="1" applyAlignment="1">
      <alignment horizontal="center" vertical="top"/>
    </xf>
    <xf numFmtId="2" fontId="41" fillId="0" borderId="0" xfId="0" applyNumberFormat="1" applyFont="1" applyAlignment="1">
      <alignment horizontal="center"/>
    </xf>
    <xf numFmtId="1" fontId="29" fillId="0" borderId="0" xfId="0" applyNumberFormat="1" applyFont="1" applyBorder="1" applyAlignment="1">
      <alignment horizontal="center"/>
    </xf>
    <xf numFmtId="0" fontId="47" fillId="0" borderId="0" xfId="0" applyFont="1" applyAlignment="1">
      <alignment horizontal="center" vertical="top"/>
    </xf>
    <xf numFmtId="2" fontId="31" fillId="0" borderId="0" xfId="0" applyNumberFormat="1" applyFont="1" applyFill="1" applyBorder="1" applyAlignment="1">
      <alignment horizontal="left"/>
    </xf>
    <xf numFmtId="0" fontId="3" fillId="0" borderId="0" xfId="0" applyNumberFormat="1" applyFont="1" applyFill="1" applyBorder="1" applyAlignment="1" applyProtection="1">
      <alignment horizontal="center" wrapText="1"/>
      <protection hidden="1"/>
    </xf>
    <xf numFmtId="0" fontId="50" fillId="0" borderId="0" xfId="0" applyFont="1" applyFill="1" applyBorder="1" applyAlignment="1" applyProtection="1">
      <alignment horizontal="center"/>
      <protection hidden="1"/>
    </xf>
    <xf numFmtId="1" fontId="51" fillId="0" borderId="0" xfId="0" applyNumberFormat="1" applyFont="1" applyFill="1" applyBorder="1" applyAlignment="1" applyProtection="1">
      <alignment horizontal="center"/>
      <protection hidden="1"/>
    </xf>
    <xf numFmtId="0" fontId="50" fillId="0" borderId="0" xfId="0" applyFont="1" applyFill="1" applyBorder="1" applyAlignment="1" applyProtection="1">
      <alignment horizontal="center" vertical="center"/>
      <protection hidden="1"/>
    </xf>
    <xf numFmtId="0" fontId="29" fillId="0" borderId="0" xfId="0" applyFont="1" applyAlignment="1">
      <alignment horizontal="left"/>
    </xf>
    <xf numFmtId="0" fontId="51" fillId="0" borderId="0" xfId="0" applyFont="1" applyFill="1" applyBorder="1" applyAlignment="1" applyProtection="1">
      <alignment horizontal="center"/>
      <protection hidden="1"/>
    </xf>
    <xf numFmtId="0" fontId="51" fillId="0" borderId="0" xfId="0" applyFont="1" applyFill="1" applyBorder="1" applyAlignment="1" applyProtection="1">
      <protection hidden="1"/>
    </xf>
    <xf numFmtId="0" fontId="51" fillId="0" borderId="0" xfId="0" applyFont="1" applyFill="1" applyBorder="1" applyAlignment="1" applyProtection="1">
      <alignment horizontal="center" vertical="center"/>
      <protection hidden="1"/>
    </xf>
    <xf numFmtId="2" fontId="31" fillId="0" borderId="16" xfId="0" applyNumberFormat="1" applyFont="1" applyBorder="1" applyAlignment="1">
      <alignment horizontal="center"/>
    </xf>
    <xf numFmtId="0" fontId="32" fillId="0" borderId="0" xfId="0" applyFont="1" applyAlignment="1"/>
    <xf numFmtId="0" fontId="43" fillId="0" borderId="0" xfId="0" applyFont="1" applyAlignment="1"/>
    <xf numFmtId="0" fontId="2" fillId="0" borderId="0" xfId="0" applyFont="1" applyAlignment="1">
      <alignment vertical="center"/>
    </xf>
    <xf numFmtId="2" fontId="4" fillId="0" borderId="7" xfId="0" applyNumberFormat="1" applyFont="1" applyFill="1" applyBorder="1" applyAlignment="1">
      <alignment vertical="top"/>
    </xf>
    <xf numFmtId="165" fontId="31" fillId="0" borderId="0" xfId="0" applyNumberFormat="1" applyFont="1" applyAlignment="1">
      <alignment horizontal="center" vertical="top"/>
    </xf>
    <xf numFmtId="2" fontId="52" fillId="0" borderId="38" xfId="0" applyNumberFormat="1" applyFont="1" applyFill="1" applyBorder="1" applyAlignment="1">
      <alignment horizontal="center"/>
    </xf>
    <xf numFmtId="2" fontId="5" fillId="0" borderId="0" xfId="0" applyNumberFormat="1" applyFont="1" applyAlignment="1">
      <alignment horizontal="center" vertical="top"/>
    </xf>
    <xf numFmtId="2" fontId="30" fillId="0" borderId="0" xfId="0" applyNumberFormat="1" applyFont="1" applyAlignment="1">
      <alignment horizontal="center" vertical="top"/>
    </xf>
    <xf numFmtId="2" fontId="5" fillId="0" borderId="0" xfId="0" applyNumberFormat="1" applyFont="1" applyFill="1" applyAlignment="1">
      <alignment horizontal="center" vertical="top"/>
    </xf>
    <xf numFmtId="2" fontId="43" fillId="0" borderId="25" xfId="0" applyNumberFormat="1" applyFont="1" applyFill="1" applyBorder="1" applyAlignment="1" applyProtection="1">
      <alignment vertical="top" wrapText="1"/>
      <protection hidden="1"/>
    </xf>
    <xf numFmtId="0" fontId="35" fillId="25" borderId="7" xfId="0" applyFont="1" applyFill="1" applyBorder="1" applyAlignment="1">
      <alignment horizontal="justify" vertical="top" wrapText="1"/>
    </xf>
    <xf numFmtId="0" fontId="35" fillId="25" borderId="0" xfId="0" applyFont="1" applyFill="1" applyBorder="1" applyAlignment="1">
      <alignment wrapText="1"/>
    </xf>
    <xf numFmtId="0" fontId="35" fillId="25" borderId="0" xfId="0" applyFont="1" applyFill="1" applyBorder="1" applyAlignment="1" applyProtection="1">
      <protection hidden="1"/>
    </xf>
    <xf numFmtId="0" fontId="35" fillId="25" borderId="0" xfId="0" applyFont="1" applyFill="1" applyBorder="1" applyProtection="1">
      <protection hidden="1"/>
    </xf>
    <xf numFmtId="0" fontId="35" fillId="25" borderId="14" xfId="0" applyFont="1" applyFill="1" applyBorder="1" applyAlignment="1" applyProtection="1">
      <protection hidden="1"/>
    </xf>
    <xf numFmtId="0" fontId="39" fillId="25" borderId="7" xfId="0" applyFont="1" applyFill="1" applyBorder="1" applyAlignment="1" applyProtection="1">
      <alignment horizontal="centerContinuous" vertical="top" wrapText="1"/>
      <protection hidden="1"/>
    </xf>
    <xf numFmtId="0" fontId="39" fillId="25" borderId="7" xfId="0" applyFont="1" applyFill="1" applyBorder="1" applyAlignment="1" applyProtection="1">
      <alignment horizontal="center" vertical="top" wrapText="1"/>
      <protection hidden="1"/>
    </xf>
    <xf numFmtId="9" fontId="39" fillId="25" borderId="7" xfId="0" applyNumberFormat="1" applyFont="1" applyFill="1" applyBorder="1" applyAlignment="1" applyProtection="1">
      <alignment horizontal="center" vertical="top" wrapText="1"/>
      <protection hidden="1"/>
    </xf>
    <xf numFmtId="175" fontId="39" fillId="25" borderId="7" xfId="0" applyNumberFormat="1" applyFont="1" applyFill="1" applyBorder="1" applyAlignment="1" applyProtection="1">
      <alignment horizontal="center" vertical="top" wrapText="1"/>
      <protection hidden="1"/>
    </xf>
    <xf numFmtId="0" fontId="39" fillId="25" borderId="7" xfId="0" applyFont="1" applyFill="1" applyBorder="1" applyAlignment="1" applyProtection="1">
      <alignment horizontal="center" vertical="center" wrapText="1"/>
      <protection hidden="1"/>
    </xf>
    <xf numFmtId="2" fontId="39" fillId="25" borderId="7" xfId="0" applyNumberFormat="1" applyFont="1" applyFill="1" applyBorder="1" applyAlignment="1" applyProtection="1">
      <alignment horizontal="center" vertical="center" wrapText="1"/>
      <protection hidden="1"/>
    </xf>
    <xf numFmtId="0" fontId="35" fillId="25" borderId="14" xfId="0" applyFont="1" applyFill="1" applyBorder="1" applyAlignment="1" applyProtection="1">
      <alignment horizontal="center" wrapText="1"/>
      <protection hidden="1"/>
    </xf>
    <xf numFmtId="0" fontId="35" fillId="25" borderId="0" xfId="0" applyFont="1" applyFill="1" applyBorder="1" applyAlignment="1" applyProtection="1">
      <alignment horizontal="center" vertical="center" wrapText="1"/>
      <protection hidden="1"/>
    </xf>
    <xf numFmtId="1" fontId="35" fillId="25" borderId="7" xfId="0" applyNumberFormat="1" applyFont="1" applyFill="1" applyBorder="1" applyAlignment="1" applyProtection="1">
      <alignment horizontal="center" vertical="top" wrapText="1"/>
      <protection hidden="1"/>
    </xf>
    <xf numFmtId="1" fontId="39" fillId="25" borderId="7" xfId="0" applyNumberFormat="1" applyFont="1" applyFill="1" applyBorder="1" applyAlignment="1" applyProtection="1">
      <alignment horizontal="center" vertical="top" wrapText="1"/>
      <protection hidden="1"/>
    </xf>
    <xf numFmtId="0" fontId="35" fillId="25" borderId="7" xfId="0" applyFont="1" applyFill="1" applyBorder="1" applyAlignment="1" applyProtection="1">
      <alignment horizontal="center" vertical="top" wrapText="1"/>
      <protection hidden="1"/>
    </xf>
    <xf numFmtId="0" fontId="39" fillId="25" borderId="7" xfId="0" applyFont="1" applyFill="1" applyBorder="1" applyAlignment="1" applyProtection="1">
      <alignment horizontal="left" vertical="top" wrapText="1"/>
      <protection hidden="1"/>
    </xf>
    <xf numFmtId="2" fontId="35" fillId="25" borderId="13" xfId="0" applyNumberFormat="1" applyFont="1" applyFill="1" applyBorder="1" applyAlignment="1">
      <alignment wrapText="1"/>
    </xf>
    <xf numFmtId="2" fontId="35" fillId="25" borderId="7" xfId="0" applyNumberFormat="1" applyFont="1" applyFill="1" applyBorder="1" applyAlignment="1" applyProtection="1">
      <alignment wrapText="1"/>
      <protection hidden="1"/>
    </xf>
    <xf numFmtId="2" fontId="35" fillId="25" borderId="7" xfId="0" applyNumberFormat="1" applyFont="1" applyFill="1" applyBorder="1" applyAlignment="1" applyProtection="1">
      <alignment horizontal="right"/>
      <protection hidden="1"/>
    </xf>
    <xf numFmtId="2" fontId="53" fillId="25" borderId="7" xfId="0" applyNumberFormat="1" applyFont="1" applyFill="1" applyBorder="1" applyAlignment="1" applyProtection="1">
      <alignment horizontal="center" wrapText="1"/>
      <protection hidden="1"/>
    </xf>
    <xf numFmtId="0" fontId="35" fillId="25" borderId="7" xfId="0" applyFont="1" applyFill="1" applyBorder="1" applyAlignment="1" applyProtection="1">
      <alignment horizontal="left" vertical="top" wrapText="1"/>
      <protection hidden="1"/>
    </xf>
    <xf numFmtId="2" fontId="35" fillId="25" borderId="7" xfId="0" applyNumberFormat="1" applyFont="1" applyFill="1" applyBorder="1" applyAlignment="1" applyProtection="1">
      <alignment vertical="top" wrapText="1"/>
      <protection hidden="1"/>
    </xf>
    <xf numFmtId="2" fontId="35" fillId="25" borderId="7" xfId="0" applyNumberFormat="1" applyFont="1" applyFill="1" applyBorder="1" applyAlignment="1" applyProtection="1">
      <alignment horizontal="center" wrapText="1"/>
      <protection hidden="1"/>
    </xf>
    <xf numFmtId="0" fontId="35" fillId="25" borderId="7" xfId="0" applyFont="1" applyFill="1" applyBorder="1" applyAlignment="1" applyProtection="1">
      <alignment horizontal="right" vertical="top" wrapText="1"/>
      <protection hidden="1"/>
    </xf>
    <xf numFmtId="0" fontId="35" fillId="25" borderId="0" xfId="0" applyFont="1" applyFill="1" applyBorder="1" applyAlignment="1" applyProtection="1">
      <alignment horizontal="justify" vertical="top" wrapText="1"/>
      <protection hidden="1"/>
    </xf>
    <xf numFmtId="175" fontId="35" fillId="25" borderId="7" xfId="0" applyNumberFormat="1" applyFont="1" applyFill="1" applyBorder="1" applyAlignment="1" applyProtection="1">
      <alignment wrapText="1"/>
      <protection hidden="1"/>
    </xf>
    <xf numFmtId="1" fontId="39" fillId="25" borderId="7" xfId="0" applyNumberFormat="1" applyFont="1" applyFill="1" applyBorder="1" applyAlignment="1" applyProtection="1">
      <alignment wrapText="1"/>
      <protection hidden="1"/>
    </xf>
    <xf numFmtId="2" fontId="39" fillId="25" borderId="7" xfId="0" applyNumberFormat="1" applyFont="1" applyFill="1" applyBorder="1" applyAlignment="1" applyProtection="1">
      <alignment wrapText="1"/>
      <protection hidden="1"/>
    </xf>
    <xf numFmtId="1" fontId="39" fillId="25" borderId="7" xfId="0" applyNumberFormat="1" applyFont="1" applyFill="1" applyBorder="1" applyAlignment="1" applyProtection="1">
      <alignment horizontal="right" wrapText="1"/>
      <protection hidden="1"/>
    </xf>
    <xf numFmtId="1" fontId="39" fillId="25" borderId="7" xfId="0" applyNumberFormat="1" applyFont="1" applyFill="1" applyBorder="1" applyAlignment="1" applyProtection="1">
      <alignment horizontal="center" wrapText="1"/>
      <protection hidden="1"/>
    </xf>
    <xf numFmtId="1" fontId="35" fillId="25" borderId="7" xfId="0" applyNumberFormat="1" applyFont="1" applyFill="1" applyBorder="1" applyAlignment="1" applyProtection="1">
      <alignment wrapText="1"/>
      <protection hidden="1"/>
    </xf>
    <xf numFmtId="1" fontId="35" fillId="25" borderId="7" xfId="0" applyNumberFormat="1" applyFont="1" applyFill="1" applyBorder="1" applyAlignment="1" applyProtection="1">
      <alignment horizontal="right" wrapText="1"/>
      <protection hidden="1"/>
    </xf>
    <xf numFmtId="1" fontId="35" fillId="25" borderId="7" xfId="0" applyNumberFormat="1" applyFont="1" applyFill="1" applyBorder="1" applyAlignment="1" applyProtection="1">
      <alignment horizontal="center" wrapText="1"/>
      <protection hidden="1"/>
    </xf>
    <xf numFmtId="1" fontId="54" fillId="25" borderId="7" xfId="0" applyNumberFormat="1" applyFont="1" applyFill="1" applyBorder="1" applyAlignment="1" applyProtection="1">
      <alignment horizontal="center" wrapText="1"/>
      <protection hidden="1"/>
    </xf>
    <xf numFmtId="10" fontId="35" fillId="25" borderId="7" xfId="0" applyNumberFormat="1" applyFont="1" applyFill="1" applyBorder="1" applyAlignment="1" applyProtection="1">
      <alignment wrapText="1"/>
      <protection hidden="1"/>
    </xf>
    <xf numFmtId="0" fontId="35" fillId="25" borderId="29" xfId="0" applyFont="1" applyFill="1" applyBorder="1" applyAlignment="1">
      <alignment horizontal="left" vertical="top" wrapText="1"/>
    </xf>
    <xf numFmtId="170" fontId="35" fillId="25" borderId="7" xfId="0" applyNumberFormat="1" applyFont="1" applyFill="1" applyBorder="1" applyAlignment="1">
      <alignment wrapText="1"/>
    </xf>
    <xf numFmtId="9" fontId="39" fillId="25" borderId="7" xfId="0" applyNumberFormat="1" applyFont="1" applyFill="1" applyBorder="1" applyAlignment="1">
      <alignment horizontal="center" vertical="top" wrapText="1"/>
    </xf>
    <xf numFmtId="2" fontId="35" fillId="25" borderId="7" xfId="0" applyNumberFormat="1" applyFont="1" applyFill="1" applyBorder="1" applyAlignment="1">
      <alignment horizontal="right"/>
    </xf>
    <xf numFmtId="2" fontId="35" fillId="25" borderId="7" xfId="0" applyNumberFormat="1" applyFont="1" applyFill="1" applyBorder="1" applyAlignment="1">
      <alignment horizontal="center" wrapText="1"/>
    </xf>
    <xf numFmtId="0" fontId="35" fillId="25" borderId="7" xfId="0" applyFont="1" applyFill="1" applyBorder="1" applyAlignment="1">
      <alignment horizontal="left" vertical="top" wrapText="1"/>
    </xf>
    <xf numFmtId="2" fontId="35" fillId="25" borderId="7" xfId="0" applyNumberFormat="1" applyFont="1" applyFill="1" applyBorder="1" applyAlignment="1">
      <alignment wrapText="1"/>
    </xf>
    <xf numFmtId="2" fontId="53" fillId="25" borderId="7" xfId="0" applyNumberFormat="1" applyFont="1" applyFill="1" applyBorder="1" applyAlignment="1">
      <alignment horizontal="center" wrapText="1"/>
    </xf>
    <xf numFmtId="0" fontId="35" fillId="25" borderId="13" xfId="0" applyFont="1" applyFill="1" applyBorder="1" applyAlignment="1" applyProtection="1">
      <alignment horizontal="left" vertical="top" wrapText="1"/>
      <protection hidden="1"/>
    </xf>
    <xf numFmtId="170" fontId="35" fillId="25" borderId="13" xfId="0" applyNumberFormat="1" applyFont="1" applyFill="1" applyBorder="1" applyAlignment="1">
      <alignment wrapText="1"/>
    </xf>
    <xf numFmtId="165" fontId="35" fillId="25" borderId="7" xfId="0" applyNumberFormat="1" applyFont="1" applyFill="1" applyBorder="1" applyAlignment="1" applyProtection="1">
      <alignment horizontal="right"/>
      <protection hidden="1"/>
    </xf>
    <xf numFmtId="0" fontId="39" fillId="25" borderId="7" xfId="0" applyFont="1" applyFill="1" applyBorder="1" applyAlignment="1" applyProtection="1">
      <alignment horizontal="justify" vertical="top" wrapText="1"/>
      <protection hidden="1"/>
    </xf>
    <xf numFmtId="0" fontId="35" fillId="25" borderId="7" xfId="0" applyFont="1" applyFill="1" applyBorder="1" applyAlignment="1" applyProtection="1">
      <alignment horizontal="justify" vertical="top" wrapText="1"/>
      <protection hidden="1"/>
    </xf>
    <xf numFmtId="0" fontId="35" fillId="25" borderId="7" xfId="0" applyFont="1" applyFill="1" applyBorder="1" applyAlignment="1" applyProtection="1">
      <alignment wrapText="1"/>
      <protection hidden="1"/>
    </xf>
    <xf numFmtId="2" fontId="53" fillId="25" borderId="13" xfId="0" applyNumberFormat="1" applyFont="1" applyFill="1" applyBorder="1" applyAlignment="1" applyProtection="1">
      <alignment vertical="top" wrapText="1"/>
      <protection hidden="1"/>
    </xf>
    <xf numFmtId="0" fontId="39" fillId="25" borderId="7" xfId="0" applyFont="1" applyFill="1" applyBorder="1" applyAlignment="1" applyProtection="1">
      <alignment horizontal="justify" wrapText="1"/>
      <protection hidden="1"/>
    </xf>
    <xf numFmtId="2" fontId="35" fillId="25" borderId="13" xfId="0" applyNumberFormat="1" applyFont="1" applyFill="1" applyBorder="1" applyAlignment="1" applyProtection="1">
      <alignment horizontal="center" wrapText="1"/>
      <protection hidden="1"/>
    </xf>
    <xf numFmtId="1" fontId="35" fillId="25" borderId="0" xfId="0" applyNumberFormat="1" applyFont="1" applyFill="1" applyBorder="1" applyProtection="1">
      <protection hidden="1"/>
    </xf>
    <xf numFmtId="1" fontId="35" fillId="25" borderId="14" xfId="0" applyNumberFormat="1" applyFont="1" applyFill="1" applyBorder="1" applyAlignment="1" applyProtection="1">
      <protection hidden="1"/>
    </xf>
    <xf numFmtId="0" fontId="35" fillId="25" borderId="7" xfId="0" applyFont="1" applyFill="1" applyBorder="1" applyAlignment="1">
      <alignment horizontal="right" vertical="top" wrapText="1"/>
    </xf>
    <xf numFmtId="0" fontId="35" fillId="25" borderId="7" xfId="0" applyFont="1" applyFill="1" applyBorder="1" applyAlignment="1">
      <alignment horizontal="left" vertical="top" wrapText="1"/>
    </xf>
    <xf numFmtId="2" fontId="35" fillId="25" borderId="7" xfId="0" applyNumberFormat="1" applyFont="1" applyFill="1" applyBorder="1" applyAlignment="1">
      <alignment horizontal="right" vertical="top" wrapText="1"/>
    </xf>
    <xf numFmtId="0" fontId="35" fillId="25" borderId="7" xfId="0" applyFont="1" applyFill="1" applyBorder="1" applyAlignment="1"/>
    <xf numFmtId="0" fontId="39" fillId="25" borderId="7" xfId="0" applyFont="1" applyFill="1" applyBorder="1" applyAlignment="1">
      <alignment horizontal="left" vertical="top" wrapText="1"/>
    </xf>
    <xf numFmtId="2" fontId="39" fillId="25" borderId="7" xfId="0" applyNumberFormat="1" applyFont="1" applyFill="1" applyBorder="1" applyAlignment="1">
      <alignment horizontal="center"/>
    </xf>
    <xf numFmtId="0" fontId="35" fillId="25" borderId="7" xfId="0" applyFont="1" applyFill="1" applyBorder="1" applyAlignment="1" applyProtection="1">
      <alignment vertical="top"/>
      <protection hidden="1"/>
    </xf>
    <xf numFmtId="1" fontId="35" fillId="25" borderId="7" xfId="0" applyNumberFormat="1" applyFont="1" applyFill="1" applyBorder="1" applyAlignment="1" applyProtection="1">
      <alignment vertical="top"/>
      <protection hidden="1"/>
    </xf>
    <xf numFmtId="0" fontId="35" fillId="25" borderId="13" xfId="0" applyFont="1" applyFill="1" applyBorder="1" applyAlignment="1">
      <alignment horizontal="left" vertical="top" wrapText="1"/>
    </xf>
    <xf numFmtId="0" fontId="35" fillId="25" borderId="7" xfId="0" applyFont="1" applyFill="1" applyBorder="1" applyAlignment="1" applyProtection="1">
      <protection hidden="1"/>
    </xf>
    <xf numFmtId="2" fontId="35" fillId="25" borderId="7" xfId="0" applyNumberFormat="1" applyFont="1" applyFill="1" applyBorder="1" applyAlignment="1" applyProtection="1">
      <protection hidden="1"/>
    </xf>
    <xf numFmtId="2" fontId="39" fillId="25" borderId="7" xfId="0" applyNumberFormat="1" applyFont="1" applyFill="1" applyBorder="1" applyAlignment="1" applyProtection="1">
      <protection hidden="1"/>
    </xf>
    <xf numFmtId="0" fontId="35" fillId="25" borderId="18" xfId="0" applyNumberFormat="1" applyFont="1" applyFill="1" applyBorder="1" applyAlignment="1">
      <alignment vertical="top" wrapText="1"/>
    </xf>
    <xf numFmtId="1" fontId="39" fillId="25" borderId="7" xfId="0" applyNumberFormat="1" applyFont="1" applyFill="1" applyBorder="1" applyAlignment="1">
      <alignment horizontal="center" vertical="top"/>
    </xf>
    <xf numFmtId="0" fontId="35" fillId="25" borderId="7" xfId="0" applyFont="1" applyFill="1" applyBorder="1" applyAlignment="1">
      <alignment horizontal="center" vertical="top"/>
    </xf>
    <xf numFmtId="0" fontId="35" fillId="25" borderId="0" xfId="0" applyFont="1" applyFill="1" applyBorder="1" applyAlignment="1"/>
    <xf numFmtId="0" fontId="35" fillId="25" borderId="0" xfId="0" applyFont="1" applyFill="1" applyBorder="1"/>
    <xf numFmtId="0" fontId="39" fillId="25" borderId="7" xfId="0" applyFont="1" applyFill="1" applyBorder="1" applyAlignment="1">
      <alignment horizontal="center" vertical="top"/>
    </xf>
    <xf numFmtId="170" fontId="35" fillId="25" borderId="7" xfId="0" applyNumberFormat="1" applyFont="1" applyFill="1" applyBorder="1" applyAlignment="1">
      <alignment vertical="top" wrapText="1"/>
    </xf>
    <xf numFmtId="0" fontId="35" fillId="25" borderId="7" xfId="0" applyNumberFormat="1" applyFont="1" applyFill="1" applyBorder="1" applyAlignment="1">
      <alignment horizontal="left" vertical="top" wrapText="1"/>
    </xf>
    <xf numFmtId="0" fontId="35" fillId="25" borderId="7" xfId="0" applyFont="1" applyFill="1" applyBorder="1" applyAlignment="1">
      <alignment horizontal="right" vertical="top" wrapText="1"/>
    </xf>
    <xf numFmtId="170" fontId="39" fillId="25" borderId="7" xfId="0" applyNumberFormat="1" applyFont="1" applyFill="1" applyBorder="1" applyAlignment="1">
      <alignment wrapText="1"/>
    </xf>
    <xf numFmtId="0" fontId="39" fillId="25" borderId="7" xfId="0" applyFont="1" applyFill="1" applyBorder="1" applyAlignment="1">
      <alignment horizontal="center" vertical="top" wrapText="1"/>
    </xf>
    <xf numFmtId="0" fontId="39" fillId="25" borderId="7" xfId="0" applyFont="1" applyFill="1" applyBorder="1" applyAlignment="1">
      <alignment horizontal="justify" vertical="top" wrapText="1"/>
    </xf>
    <xf numFmtId="170" fontId="35" fillId="25" borderId="7" xfId="0" applyNumberFormat="1" applyFont="1" applyFill="1" applyBorder="1" applyAlignment="1">
      <alignment horizontal="justify" vertical="top" wrapText="1"/>
    </xf>
    <xf numFmtId="0" fontId="35" fillId="25" borderId="7" xfId="0" applyFont="1" applyFill="1" applyBorder="1" applyAlignment="1">
      <alignment horizontal="justify" vertical="top" wrapText="1"/>
    </xf>
    <xf numFmtId="0" fontId="35" fillId="25" borderId="7" xfId="0" applyFont="1" applyFill="1" applyBorder="1" applyAlignment="1"/>
    <xf numFmtId="1" fontId="35" fillId="25" borderId="7" xfId="0" applyNumberFormat="1" applyFont="1" applyFill="1" applyBorder="1" applyAlignment="1">
      <alignment horizontal="center" wrapText="1"/>
    </xf>
    <xf numFmtId="2" fontId="35" fillId="25" borderId="7" xfId="0" applyNumberFormat="1" applyFont="1" applyFill="1" applyBorder="1" applyAlignment="1"/>
    <xf numFmtId="2" fontId="39" fillId="25" borderId="7" xfId="0" applyNumberFormat="1" applyFont="1" applyFill="1" applyBorder="1" applyAlignment="1"/>
    <xf numFmtId="0" fontId="35" fillId="25" borderId="7" xfId="0" applyFont="1" applyFill="1" applyBorder="1" applyAlignment="1" applyProtection="1">
      <alignment horizontal="center"/>
      <protection hidden="1"/>
    </xf>
    <xf numFmtId="170" fontId="35" fillId="25" borderId="29" xfId="0" applyNumberFormat="1" applyFont="1" applyFill="1" applyBorder="1" applyAlignment="1">
      <alignment horizontal="left" vertical="top" wrapText="1"/>
    </xf>
    <xf numFmtId="0" fontId="35" fillId="25" borderId="7" xfId="0" applyFont="1" applyFill="1" applyBorder="1" applyProtection="1">
      <protection hidden="1"/>
    </xf>
    <xf numFmtId="1" fontId="35" fillId="25" borderId="7" xfId="0" applyNumberFormat="1" applyFont="1" applyFill="1" applyBorder="1" applyAlignment="1" applyProtection="1">
      <protection hidden="1"/>
    </xf>
    <xf numFmtId="0" fontId="55" fillId="25" borderId="0" xfId="0" applyFont="1" applyFill="1" applyBorder="1" applyProtection="1">
      <protection hidden="1"/>
    </xf>
    <xf numFmtId="0" fontId="35" fillId="25" borderId="7" xfId="0" applyFont="1" applyFill="1" applyBorder="1" applyAlignment="1" applyProtection="1">
      <alignment horizontal="justify" vertical="justify" wrapText="1"/>
      <protection hidden="1"/>
    </xf>
    <xf numFmtId="2" fontId="35" fillId="25" borderId="7" xfId="0" applyNumberFormat="1" applyFont="1" applyFill="1" applyBorder="1" applyAlignment="1" applyProtection="1">
      <alignment vertical="top" wrapText="1"/>
      <protection hidden="1"/>
    </xf>
    <xf numFmtId="2" fontId="35" fillId="25" borderId="7" xfId="0" applyNumberFormat="1" applyFont="1" applyFill="1" applyBorder="1" applyAlignment="1" applyProtection="1">
      <alignment wrapText="1"/>
      <protection hidden="1"/>
    </xf>
    <xf numFmtId="2" fontId="35" fillId="25" borderId="7" xfId="0" applyNumberFormat="1" applyFont="1" applyFill="1" applyBorder="1" applyAlignment="1" applyProtection="1">
      <alignment horizontal="right"/>
      <protection hidden="1"/>
    </xf>
    <xf numFmtId="2" fontId="35" fillId="25" borderId="7" xfId="0" applyNumberFormat="1" applyFont="1" applyFill="1" applyBorder="1" applyAlignment="1" applyProtection="1">
      <alignment horizontal="center" wrapText="1"/>
      <protection hidden="1"/>
    </xf>
    <xf numFmtId="2" fontId="35" fillId="25" borderId="7" xfId="0" applyNumberFormat="1" applyFont="1" applyFill="1" applyBorder="1" applyAlignment="1" applyProtection="1">
      <alignment horizontal="right" wrapText="1"/>
      <protection hidden="1"/>
    </xf>
    <xf numFmtId="0" fontId="35" fillId="25" borderId="14" xfId="0" applyFont="1" applyFill="1" applyBorder="1" applyAlignment="1" applyProtection="1">
      <alignment vertical="center" wrapText="1"/>
      <protection hidden="1"/>
    </xf>
    <xf numFmtId="0" fontId="35" fillId="25" borderId="0" xfId="0" applyFont="1" applyFill="1" applyBorder="1" applyAlignment="1" applyProtection="1">
      <alignment vertical="center" wrapText="1"/>
      <protection hidden="1"/>
    </xf>
    <xf numFmtId="0" fontId="35" fillId="25" borderId="7" xfId="0" applyFont="1" applyFill="1" applyBorder="1" applyAlignment="1" applyProtection="1">
      <alignment vertical="top"/>
      <protection hidden="1"/>
    </xf>
    <xf numFmtId="0" fontId="35" fillId="25" borderId="7" xfId="0" applyFont="1" applyFill="1" applyBorder="1" applyAlignment="1" applyProtection="1">
      <alignment vertical="top"/>
      <protection hidden="1"/>
    </xf>
    <xf numFmtId="0" fontId="39" fillId="25" borderId="7" xfId="0" applyFont="1" applyFill="1" applyBorder="1" applyAlignment="1" applyProtection="1">
      <alignment horizontal="right" vertical="top"/>
      <protection hidden="1"/>
    </xf>
    <xf numFmtId="2" fontId="39" fillId="25" borderId="7" xfId="0" applyNumberFormat="1" applyFont="1" applyFill="1" applyBorder="1" applyAlignment="1" applyProtection="1">
      <alignment vertical="top" shrinkToFit="1"/>
      <protection hidden="1"/>
    </xf>
    <xf numFmtId="1" fontId="35" fillId="25" borderId="7" xfId="0" applyNumberFormat="1" applyFont="1" applyFill="1" applyBorder="1" applyAlignment="1" applyProtection="1">
      <alignment vertical="top"/>
      <protection hidden="1"/>
    </xf>
    <xf numFmtId="1" fontId="53" fillId="25" borderId="7" xfId="0" applyNumberFormat="1" applyFont="1" applyFill="1" applyBorder="1" applyAlignment="1" applyProtection="1">
      <alignment horizontal="center" wrapText="1"/>
      <protection hidden="1"/>
    </xf>
    <xf numFmtId="0" fontId="39" fillId="25" borderId="0" xfId="0" applyFont="1" applyFill="1" applyBorder="1" applyAlignment="1">
      <alignment horizontal="center" vertical="top" wrapText="1"/>
    </xf>
    <xf numFmtId="0" fontId="35" fillId="25" borderId="7" xfId="0" applyFont="1" applyFill="1" applyBorder="1" applyAlignment="1">
      <alignment horizontal="right"/>
    </xf>
    <xf numFmtId="0" fontId="35" fillId="25" borderId="0" xfId="0" applyFont="1" applyFill="1" applyBorder="1" applyAlignment="1" applyProtection="1">
      <alignment vertical="top"/>
      <protection hidden="1"/>
    </xf>
    <xf numFmtId="1" fontId="35" fillId="25" borderId="0" xfId="0" applyNumberFormat="1" applyFont="1" applyFill="1" applyBorder="1" applyAlignment="1" applyProtection="1">
      <alignment horizontal="center" wrapText="1"/>
      <protection hidden="1"/>
    </xf>
    <xf numFmtId="2" fontId="35" fillId="25" borderId="0" xfId="0" applyNumberFormat="1" applyFont="1" applyFill="1" applyBorder="1" applyAlignment="1" applyProtection="1">
      <protection hidden="1"/>
    </xf>
    <xf numFmtId="1" fontId="35" fillId="25" borderId="0" xfId="0" applyNumberFormat="1" applyFont="1" applyFill="1" applyBorder="1" applyAlignment="1" applyProtection="1">
      <protection hidden="1"/>
    </xf>
    <xf numFmtId="0" fontId="32" fillId="0" borderId="0" xfId="0" applyFont="1" applyBorder="1" applyAlignment="1">
      <alignment wrapText="1"/>
    </xf>
    <xf numFmtId="0" fontId="6" fillId="0" borderId="31" xfId="0" applyFont="1" applyBorder="1" applyAlignment="1">
      <alignment horizontal="center" vertical="center" wrapText="1"/>
    </xf>
    <xf numFmtId="0" fontId="32" fillId="0" borderId="0" xfId="0" applyFont="1" applyFill="1" applyBorder="1" applyAlignment="1">
      <alignment vertical="center"/>
    </xf>
    <xf numFmtId="2" fontId="32" fillId="0" borderId="0" xfId="0" applyNumberFormat="1" applyFont="1" applyFill="1" applyBorder="1" applyAlignment="1">
      <alignment vertical="center"/>
    </xf>
    <xf numFmtId="0" fontId="4" fillId="0" borderId="37" xfId="0" applyFont="1" applyFill="1" applyBorder="1" applyAlignment="1">
      <alignment horizontal="center"/>
    </xf>
    <xf numFmtId="0" fontId="3" fillId="0" borderId="37" xfId="0" applyFont="1" applyFill="1" applyBorder="1" applyAlignment="1">
      <alignment horizontal="right"/>
    </xf>
    <xf numFmtId="0" fontId="3" fillId="0" borderId="37" xfId="0" applyFont="1" applyFill="1" applyBorder="1" applyAlignment="1">
      <alignment vertical="top"/>
    </xf>
    <xf numFmtId="0" fontId="4" fillId="0" borderId="37" xfId="0" applyFont="1" applyFill="1" applyBorder="1" applyAlignment="1">
      <alignment vertical="top"/>
    </xf>
    <xf numFmtId="0" fontId="3" fillId="0" borderId="0" xfId="0" applyFont="1" applyFill="1" applyBorder="1" applyAlignment="1">
      <alignment horizontal="justify" vertical="top"/>
    </xf>
    <xf numFmtId="0" fontId="4" fillId="0" borderId="0" xfId="0" applyNumberFormat="1" applyFont="1" applyFill="1" applyBorder="1" applyAlignment="1">
      <alignment horizontal="justify" vertical="top"/>
    </xf>
    <xf numFmtId="0" fontId="4" fillId="0" borderId="0" xfId="0" applyFont="1" applyFill="1" applyBorder="1" applyAlignment="1">
      <alignment vertical="center"/>
    </xf>
    <xf numFmtId="0" fontId="4" fillId="0" borderId="0" xfId="0" applyFont="1" applyFill="1" applyBorder="1"/>
    <xf numFmtId="0" fontId="4" fillId="0" borderId="0" xfId="0" applyFont="1" applyFill="1" applyBorder="1" applyAlignment="1">
      <alignment horizontal="justify" vertical="top"/>
    </xf>
    <xf numFmtId="0" fontId="4" fillId="0" borderId="37" xfId="0" applyFont="1" applyFill="1" applyBorder="1"/>
    <xf numFmtId="0" fontId="3" fillId="0" borderId="37" xfId="0" applyFont="1" applyFill="1" applyBorder="1" applyAlignment="1">
      <alignment horizontal="center"/>
    </xf>
    <xf numFmtId="0" fontId="3" fillId="0" borderId="37" xfId="0" applyFont="1" applyFill="1" applyBorder="1"/>
    <xf numFmtId="2" fontId="4" fillId="0" borderId="0" xfId="0" applyNumberFormat="1" applyFont="1" applyFill="1" applyBorder="1"/>
    <xf numFmtId="2" fontId="4" fillId="0" borderId="37" xfId="0" applyNumberFormat="1" applyFont="1" applyFill="1" applyBorder="1"/>
    <xf numFmtId="0" fontId="3" fillId="0" borderId="0" xfId="0" applyFont="1" applyFill="1"/>
    <xf numFmtId="1" fontId="4" fillId="0" borderId="0" xfId="0" applyNumberFormat="1" applyFont="1" applyFill="1" applyBorder="1"/>
    <xf numFmtId="165" fontId="3" fillId="0" borderId="31"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wrapText="1"/>
    </xf>
    <xf numFmtId="1" fontId="4" fillId="0" borderId="37" xfId="0" applyNumberFormat="1" applyFont="1" applyFill="1" applyBorder="1" applyAlignment="1">
      <alignment horizontal="center"/>
    </xf>
    <xf numFmtId="165" fontId="4" fillId="0" borderId="0" xfId="0" applyNumberFormat="1" applyFont="1" applyFill="1" applyBorder="1"/>
    <xf numFmtId="2" fontId="3" fillId="0" borderId="0" xfId="0" applyNumberFormat="1" applyFont="1" applyFill="1" applyBorder="1" applyAlignment="1">
      <alignment vertical="top"/>
    </xf>
    <xf numFmtId="165" fontId="4" fillId="0" borderId="0" xfId="0" applyNumberFormat="1" applyFont="1" applyFill="1" applyBorder="1" applyAlignment="1"/>
    <xf numFmtId="2" fontId="4" fillId="0" borderId="0" xfId="0" applyNumberFormat="1" applyFont="1" applyFill="1" applyBorder="1" applyAlignment="1"/>
    <xf numFmtId="0" fontId="36" fillId="0" borderId="0" xfId="0" applyFont="1" applyFill="1" applyBorder="1"/>
    <xf numFmtId="2" fontId="4" fillId="0" borderId="0" xfId="0" applyNumberFormat="1" applyFont="1" applyFill="1" applyBorder="1" applyAlignment="1"/>
    <xf numFmtId="0" fontId="3" fillId="0" borderId="25" xfId="0" applyFont="1" applyFill="1" applyBorder="1" applyAlignment="1">
      <alignment horizontal="justify" vertical="top" wrapText="1"/>
    </xf>
    <xf numFmtId="0" fontId="57" fillId="0" borderId="0" xfId="0" applyFont="1" applyBorder="1" applyAlignment="1">
      <alignment vertical="center"/>
    </xf>
    <xf numFmtId="0" fontId="3" fillId="0" borderId="31" xfId="0" applyNumberFormat="1" applyFont="1" applyBorder="1" applyAlignment="1">
      <alignment horizontal="center" vertical="center"/>
    </xf>
    <xf numFmtId="171" fontId="3" fillId="0" borderId="31" xfId="0" applyNumberFormat="1" applyFont="1" applyBorder="1" applyAlignment="1">
      <alignment horizontal="center" vertical="center"/>
    </xf>
    <xf numFmtId="171" fontId="3" fillId="0" borderId="0" xfId="0" applyNumberFormat="1" applyFont="1" applyFill="1" applyBorder="1" applyAlignment="1">
      <alignment horizontal="center" vertical="center"/>
    </xf>
    <xf numFmtId="0" fontId="3" fillId="0" borderId="25" xfId="0" applyFont="1" applyBorder="1" applyAlignment="1">
      <alignment horizontal="center" vertical="top"/>
    </xf>
    <xf numFmtId="171" fontId="4" fillId="0" borderId="25" xfId="0" applyNumberFormat="1" applyFont="1" applyBorder="1" applyAlignment="1">
      <alignment horizontal="center" vertical="center"/>
    </xf>
    <xf numFmtId="0" fontId="4" fillId="0" borderId="25" xfId="0" applyFont="1" applyBorder="1" applyAlignment="1">
      <alignment horizontal="center" vertical="center"/>
    </xf>
    <xf numFmtId="171" fontId="4" fillId="0" borderId="25" xfId="0" applyNumberFormat="1" applyFont="1" applyBorder="1" applyAlignment="1">
      <alignment horizontal="right" vertical="center"/>
    </xf>
    <xf numFmtId="171" fontId="3" fillId="0" borderId="25" xfId="0" applyNumberFormat="1" applyFont="1" applyBorder="1" applyAlignment="1">
      <alignment horizontal="center" vertical="center"/>
    </xf>
    <xf numFmtId="171" fontId="3" fillId="0" borderId="25" xfId="0" applyNumberFormat="1" applyFont="1" applyBorder="1" applyAlignment="1">
      <alignment horizontal="right" vertical="center"/>
    </xf>
    <xf numFmtId="0" fontId="3" fillId="0" borderId="30" xfId="0" applyFont="1" applyBorder="1" applyAlignment="1">
      <alignment horizontal="center" vertical="top"/>
    </xf>
    <xf numFmtId="0" fontId="4" fillId="0" borderId="30" xfId="0" applyFont="1" applyBorder="1" applyAlignment="1">
      <alignment horizontal="center" vertical="center"/>
    </xf>
    <xf numFmtId="171" fontId="3" fillId="0" borderId="30" xfId="0" applyNumberFormat="1" applyFont="1" applyBorder="1" applyAlignment="1">
      <alignment horizontal="center" vertical="center"/>
    </xf>
    <xf numFmtId="171" fontId="3" fillId="0" borderId="31" xfId="0" applyNumberFormat="1" applyFont="1" applyFill="1" applyBorder="1" applyAlignment="1">
      <alignment horizontal="center" vertical="center"/>
    </xf>
    <xf numFmtId="180" fontId="4" fillId="0" borderId="25" xfId="0" applyNumberFormat="1" applyFont="1" applyBorder="1" applyAlignment="1">
      <alignment horizontal="center" vertical="center"/>
    </xf>
    <xf numFmtId="0" fontId="4" fillId="0" borderId="25" xfId="0" applyFont="1" applyBorder="1" applyAlignment="1">
      <alignment vertical="center"/>
    </xf>
    <xf numFmtId="171" fontId="4" fillId="0" borderId="30" xfId="0" applyNumberFormat="1" applyFont="1" applyBorder="1" applyAlignment="1">
      <alignment horizontal="center" vertical="center"/>
    </xf>
    <xf numFmtId="2" fontId="4" fillId="0" borderId="0" xfId="0" applyNumberFormat="1" applyFont="1" applyFill="1" applyBorder="1" applyAlignment="1">
      <alignment horizontal="center" vertical="top"/>
    </xf>
    <xf numFmtId="165" fontId="4" fillId="0" borderId="0" xfId="0" applyNumberFormat="1" applyFont="1" applyFill="1" applyBorder="1" applyAlignment="1">
      <alignment horizontal="right" vertical="top" wrapText="1"/>
    </xf>
    <xf numFmtId="0" fontId="4" fillId="0" borderId="0" xfId="0" applyFont="1" applyAlignment="1">
      <alignment vertical="center"/>
    </xf>
    <xf numFmtId="0" fontId="4" fillId="0" borderId="0" xfId="0" applyFont="1" applyAlignment="1">
      <alignment horizontal="center" vertical="center"/>
    </xf>
    <xf numFmtId="165" fontId="4" fillId="0" borderId="25" xfId="0" applyNumberFormat="1" applyFont="1" applyBorder="1" applyAlignment="1">
      <alignment horizontal="center" vertical="center"/>
    </xf>
    <xf numFmtId="0" fontId="4" fillId="0" borderId="25" xfId="0" applyFont="1" applyBorder="1" applyAlignment="1">
      <alignment horizontal="justify" vertical="center"/>
    </xf>
    <xf numFmtId="0" fontId="4" fillId="0" borderId="25" xfId="0" applyFont="1" applyBorder="1"/>
    <xf numFmtId="0" fontId="4" fillId="0" borderId="0" xfId="0" applyFont="1"/>
    <xf numFmtId="0" fontId="4" fillId="0" borderId="30" xfId="0" applyFont="1" applyBorder="1" applyAlignment="1">
      <alignment vertical="center"/>
    </xf>
    <xf numFmtId="171" fontId="4" fillId="0" borderId="30" xfId="0" applyNumberFormat="1" applyFont="1" applyBorder="1" applyAlignment="1">
      <alignment horizontal="right" vertical="center"/>
    </xf>
    <xf numFmtId="0" fontId="3" fillId="0" borderId="30" xfId="0" applyFont="1" applyBorder="1"/>
    <xf numFmtId="0" fontId="3" fillId="0" borderId="0" xfId="0" applyFont="1" applyAlignment="1">
      <alignment horizontal="center" vertical="top"/>
    </xf>
    <xf numFmtId="171" fontId="4" fillId="0" borderId="0" xfId="0" applyNumberFormat="1" applyFont="1" applyAlignment="1">
      <alignment horizontal="center" vertical="center"/>
    </xf>
    <xf numFmtId="171" fontId="4" fillId="0" borderId="0" xfId="0" applyNumberFormat="1" applyFont="1" applyAlignment="1">
      <alignment horizontal="right" vertical="center"/>
    </xf>
    <xf numFmtId="0" fontId="32" fillId="0" borderId="0" xfId="0" applyFont="1" applyAlignment="1">
      <alignment vertical="center"/>
    </xf>
    <xf numFmtId="0" fontId="6" fillId="0" borderId="31" xfId="0" applyNumberFormat="1" applyFont="1" applyBorder="1" applyAlignment="1">
      <alignment horizontal="center" vertical="center" wrapText="1"/>
    </xf>
    <xf numFmtId="171" fontId="6" fillId="0" borderId="31" xfId="0" applyNumberFormat="1" applyFont="1" applyBorder="1" applyAlignment="1">
      <alignment horizontal="center" vertical="center" wrapText="1"/>
    </xf>
    <xf numFmtId="171" fontId="6" fillId="0" borderId="31" xfId="0" applyNumberFormat="1" applyFont="1" applyFill="1" applyBorder="1" applyAlignment="1">
      <alignment horizontal="center" vertical="center" wrapText="1"/>
    </xf>
    <xf numFmtId="0" fontId="32" fillId="0" borderId="0" xfId="0" applyFont="1" applyAlignment="1">
      <alignment vertical="center" wrapText="1"/>
    </xf>
    <xf numFmtId="0" fontId="32" fillId="0" borderId="25" xfId="0" applyFont="1" applyBorder="1" applyAlignment="1">
      <alignment horizontal="center" vertical="top"/>
    </xf>
    <xf numFmtId="0" fontId="32" fillId="0" borderId="25" xfId="0" applyFont="1" applyBorder="1" applyAlignment="1">
      <alignment horizontal="center" vertical="center"/>
    </xf>
    <xf numFmtId="0" fontId="6" fillId="0" borderId="25" xfId="0" applyFont="1" applyBorder="1" applyAlignment="1">
      <alignment horizontal="left" vertical="center"/>
    </xf>
    <xf numFmtId="0" fontId="32" fillId="0" borderId="25" xfId="0" applyNumberFormat="1" applyFont="1" applyBorder="1" applyAlignment="1">
      <alignment horizontal="center" vertical="center"/>
    </xf>
    <xf numFmtId="180" fontId="32" fillId="0" borderId="25" xfId="0" applyNumberFormat="1" applyFont="1" applyBorder="1" applyAlignment="1">
      <alignment horizontal="center" vertical="center"/>
    </xf>
    <xf numFmtId="171" fontId="32" fillId="0" borderId="25" xfId="0" applyNumberFormat="1" applyFont="1" applyBorder="1" applyAlignment="1">
      <alignment horizontal="center" vertical="center"/>
    </xf>
    <xf numFmtId="0" fontId="32" fillId="0" borderId="25" xfId="0" applyFont="1" applyBorder="1" applyAlignment="1">
      <alignment horizontal="left" vertical="center"/>
    </xf>
    <xf numFmtId="0" fontId="32" fillId="0" borderId="25" xfId="0" applyFont="1" applyBorder="1" applyAlignment="1">
      <alignment vertical="center"/>
    </xf>
    <xf numFmtId="171" fontId="6" fillId="0" borderId="25" xfId="0" applyNumberFormat="1" applyFont="1" applyFill="1" applyBorder="1" applyAlignment="1">
      <alignment horizontal="center" vertical="center"/>
    </xf>
    <xf numFmtId="0" fontId="32" fillId="0" borderId="30" xfId="0" applyFont="1" applyBorder="1" applyAlignment="1">
      <alignment horizontal="center" vertical="top"/>
    </xf>
    <xf numFmtId="0" fontId="32" fillId="0" borderId="30" xfId="0" applyFont="1" applyBorder="1" applyAlignment="1">
      <alignment vertical="center"/>
    </xf>
    <xf numFmtId="0" fontId="32" fillId="0" borderId="30" xfId="0" applyFont="1" applyBorder="1" applyAlignment="1">
      <alignment horizontal="center" vertical="center"/>
    </xf>
    <xf numFmtId="171" fontId="32" fillId="0" borderId="30" xfId="0" applyNumberFormat="1" applyFont="1" applyBorder="1" applyAlignment="1">
      <alignment horizontal="center" vertical="center"/>
    </xf>
    <xf numFmtId="171" fontId="6" fillId="0" borderId="30" xfId="0" applyNumberFormat="1" applyFont="1" applyFill="1" applyBorder="1" applyAlignment="1">
      <alignment horizontal="center" vertical="center"/>
    </xf>
    <xf numFmtId="179" fontId="6" fillId="0" borderId="30" xfId="0" applyNumberFormat="1" applyFont="1" applyFill="1" applyBorder="1" applyAlignment="1">
      <alignment horizontal="center" vertical="center"/>
    </xf>
    <xf numFmtId="0" fontId="32" fillId="0" borderId="0" xfId="0" applyFont="1" applyBorder="1" applyAlignment="1">
      <alignment horizontal="center" vertical="top"/>
    </xf>
    <xf numFmtId="0" fontId="32" fillId="0" borderId="0" xfId="0" applyFont="1" applyBorder="1" applyAlignment="1">
      <alignment horizontal="left" vertical="center"/>
    </xf>
    <xf numFmtId="0" fontId="32" fillId="0" borderId="0" xfId="0" applyNumberFormat="1" applyFont="1" applyBorder="1" applyAlignment="1">
      <alignment horizontal="center" vertical="center"/>
    </xf>
    <xf numFmtId="0" fontId="32" fillId="0" borderId="0" xfId="0" applyFont="1" applyBorder="1" applyAlignment="1">
      <alignment horizontal="center" vertical="center"/>
    </xf>
    <xf numFmtId="171" fontId="32" fillId="0" borderId="0" xfId="0" applyNumberFormat="1" applyFont="1" applyBorder="1" applyAlignment="1">
      <alignment horizontal="center" vertical="center"/>
    </xf>
    <xf numFmtId="180" fontId="32" fillId="0" borderId="0" xfId="0" applyNumberFormat="1" applyFont="1" applyBorder="1" applyAlignment="1">
      <alignment horizontal="center" vertical="center"/>
    </xf>
    <xf numFmtId="0" fontId="32" fillId="0" borderId="0" xfId="0" applyFont="1" applyAlignment="1">
      <alignment horizontal="center" vertical="top"/>
    </xf>
    <xf numFmtId="0" fontId="32" fillId="0" borderId="0" xfId="0" applyFont="1" applyAlignment="1">
      <alignment horizontal="center" vertical="center"/>
    </xf>
    <xf numFmtId="171" fontId="32" fillId="0" borderId="0" xfId="0" applyNumberFormat="1" applyFont="1" applyAlignment="1">
      <alignment horizontal="center" vertical="center"/>
    </xf>
    <xf numFmtId="171" fontId="6" fillId="0" borderId="0" xfId="0" applyNumberFormat="1" applyFont="1" applyFill="1" applyBorder="1" applyAlignment="1">
      <alignment horizontal="center" vertical="center"/>
    </xf>
    <xf numFmtId="179" fontId="6" fillId="0" borderId="0" xfId="0" applyNumberFormat="1" applyFont="1" applyFill="1" applyBorder="1" applyAlignment="1">
      <alignment horizontal="center" vertical="center"/>
    </xf>
    <xf numFmtId="0" fontId="4" fillId="24" borderId="0" xfId="0" applyFont="1" applyFill="1" applyBorder="1" applyAlignment="1" applyProtection="1">
      <alignment vertical="top"/>
      <protection hidden="1"/>
    </xf>
    <xf numFmtId="0" fontId="43" fillId="24" borderId="25" xfId="0" applyFont="1" applyFill="1" applyBorder="1" applyAlignment="1" applyProtection="1">
      <alignment horizontal="center" vertical="top"/>
      <protection hidden="1"/>
    </xf>
    <xf numFmtId="0" fontId="41" fillId="24" borderId="25" xfId="0" applyFont="1" applyFill="1" applyBorder="1" applyAlignment="1" applyProtection="1">
      <alignment vertical="top"/>
      <protection hidden="1"/>
    </xf>
    <xf numFmtId="2" fontId="43" fillId="24" borderId="25" xfId="0" applyNumberFormat="1" applyFont="1" applyFill="1" applyBorder="1" applyAlignment="1" applyProtection="1">
      <alignment horizontal="center" vertical="top"/>
      <protection hidden="1"/>
    </xf>
    <xf numFmtId="0" fontId="43" fillId="24" borderId="25" xfId="0" applyFont="1" applyFill="1" applyBorder="1" applyAlignment="1" applyProtection="1">
      <alignment vertical="top"/>
      <protection hidden="1"/>
    </xf>
    <xf numFmtId="170" fontId="43" fillId="24" borderId="25" xfId="0" applyNumberFormat="1" applyFont="1" applyFill="1" applyBorder="1" applyAlignment="1" applyProtection="1">
      <alignment horizontal="center" vertical="top"/>
      <protection hidden="1"/>
    </xf>
    <xf numFmtId="0" fontId="44" fillId="24" borderId="25" xfId="0" applyFont="1" applyFill="1" applyBorder="1" applyAlignment="1" applyProtection="1">
      <alignment vertical="top"/>
      <protection hidden="1"/>
    </xf>
    <xf numFmtId="0" fontId="43" fillId="24" borderId="25" xfId="0" applyFont="1" applyFill="1" applyBorder="1" applyAlignment="1" applyProtection="1">
      <alignment vertical="top" wrapText="1"/>
      <protection hidden="1"/>
    </xf>
    <xf numFmtId="0" fontId="41" fillId="24" borderId="25" xfId="0" applyFont="1" applyFill="1" applyBorder="1" applyAlignment="1" applyProtection="1">
      <alignment horizontal="center" vertical="top"/>
      <protection hidden="1"/>
    </xf>
    <xf numFmtId="0" fontId="45" fillId="24" borderId="25" xfId="0" applyFont="1" applyFill="1" applyBorder="1" applyAlignment="1" applyProtection="1">
      <alignment horizontal="center" vertical="top"/>
      <protection hidden="1"/>
    </xf>
    <xf numFmtId="0" fontId="4" fillId="26" borderId="0" xfId="0" applyFont="1" applyFill="1" applyBorder="1" applyAlignment="1" applyProtection="1">
      <alignment vertical="top"/>
      <protection hidden="1"/>
    </xf>
    <xf numFmtId="0" fontId="4" fillId="26" borderId="25" xfId="0" applyFont="1" applyFill="1" applyBorder="1" applyAlignment="1" applyProtection="1">
      <alignment horizontal="center" vertical="top" shrinkToFit="1"/>
      <protection hidden="1"/>
    </xf>
    <xf numFmtId="0" fontId="4" fillId="26" borderId="25" xfId="0" applyFont="1" applyFill="1" applyBorder="1" applyAlignment="1" applyProtection="1">
      <alignment horizontal="center" vertical="top"/>
      <protection hidden="1"/>
    </xf>
    <xf numFmtId="2" fontId="4" fillId="26" borderId="25" xfId="0" applyNumberFormat="1" applyFont="1" applyFill="1" applyBorder="1" applyAlignment="1" applyProtection="1">
      <alignment vertical="top" shrinkToFit="1"/>
      <protection hidden="1"/>
    </xf>
    <xf numFmtId="0" fontId="4" fillId="26" borderId="25" xfId="0" applyNumberFormat="1" applyFont="1" applyFill="1" applyBorder="1" applyAlignment="1" applyProtection="1">
      <alignment vertical="top"/>
      <protection hidden="1"/>
    </xf>
    <xf numFmtId="0" fontId="4" fillId="26" borderId="25" xfId="0" applyNumberFormat="1" applyFont="1" applyFill="1" applyBorder="1" applyAlignment="1" applyProtection="1">
      <alignment vertical="top" shrinkToFit="1"/>
      <protection hidden="1"/>
    </xf>
    <xf numFmtId="0" fontId="3" fillId="26" borderId="25" xfId="0" applyFont="1" applyFill="1" applyBorder="1" applyAlignment="1" applyProtection="1">
      <alignment horizontal="center" vertical="top"/>
      <protection hidden="1"/>
    </xf>
    <xf numFmtId="2" fontId="4" fillId="26" borderId="25" xfId="0" applyNumberFormat="1" applyFont="1" applyFill="1" applyBorder="1" applyAlignment="1" applyProtection="1">
      <alignment wrapText="1"/>
      <protection hidden="1"/>
    </xf>
    <xf numFmtId="0" fontId="4" fillId="26" borderId="25" xfId="0" applyFont="1" applyFill="1" applyBorder="1" applyAlignment="1" applyProtection="1">
      <alignment horizontal="justify" vertical="top"/>
      <protection hidden="1"/>
    </xf>
    <xf numFmtId="170" fontId="3" fillId="26" borderId="25" xfId="0" applyNumberFormat="1" applyFont="1" applyFill="1" applyBorder="1" applyAlignment="1" applyProtection="1">
      <alignment horizontal="right" vertical="top" shrinkToFit="1"/>
      <protection hidden="1"/>
    </xf>
    <xf numFmtId="0" fontId="4" fillId="26" borderId="25" xfId="0" applyFont="1" applyFill="1" applyBorder="1" applyAlignment="1" applyProtection="1">
      <alignment horizontal="left" vertical="top"/>
      <protection hidden="1"/>
    </xf>
    <xf numFmtId="2" fontId="4" fillId="26" borderId="25" xfId="0" applyNumberFormat="1" applyFont="1" applyFill="1" applyBorder="1" applyAlignment="1" applyProtection="1">
      <alignment vertical="top"/>
      <protection hidden="1"/>
    </xf>
    <xf numFmtId="0" fontId="3" fillId="26" borderId="25" xfId="0" applyNumberFormat="1" applyFont="1" applyFill="1" applyBorder="1" applyAlignment="1" applyProtection="1">
      <alignment horizontal="justify" vertical="top" wrapText="1"/>
      <protection hidden="1"/>
    </xf>
    <xf numFmtId="181" fontId="4" fillId="26" borderId="25" xfId="0" applyNumberFormat="1" applyFont="1" applyFill="1" applyBorder="1" applyAlignment="1" applyProtection="1">
      <alignment horizontal="left" vertical="top"/>
      <protection hidden="1"/>
    </xf>
    <xf numFmtId="0" fontId="3" fillId="26" borderId="25" xfId="0" applyFont="1" applyFill="1" applyBorder="1" applyAlignment="1" applyProtection="1">
      <alignment horizontal="right" vertical="top" wrapText="1"/>
      <protection hidden="1"/>
    </xf>
    <xf numFmtId="0" fontId="4" fillId="26" borderId="25" xfId="0" applyFont="1" applyFill="1" applyBorder="1" applyAlignment="1" applyProtection="1">
      <alignment vertical="top" shrinkToFit="1"/>
      <protection hidden="1"/>
    </xf>
    <xf numFmtId="0" fontId="3" fillId="26" borderId="25" xfId="0" applyFont="1" applyFill="1" applyBorder="1" applyAlignment="1" applyProtection="1">
      <alignment horizontal="right" vertical="top"/>
      <protection hidden="1"/>
    </xf>
    <xf numFmtId="2" fontId="3" fillId="26" borderId="25" xfId="0" applyNumberFormat="1" applyFont="1" applyFill="1" applyBorder="1" applyAlignment="1" applyProtection="1">
      <alignment vertical="top" shrinkToFit="1"/>
      <protection hidden="1"/>
    </xf>
    <xf numFmtId="0" fontId="45" fillId="24" borderId="25" xfId="0" applyFont="1" applyFill="1" applyBorder="1" applyAlignment="1" applyProtection="1">
      <alignment horizontal="left" vertical="top"/>
      <protection hidden="1"/>
    </xf>
    <xf numFmtId="0" fontId="43" fillId="24" borderId="25" xfId="0" applyFont="1" applyFill="1" applyBorder="1" applyAlignment="1" applyProtection="1">
      <alignment horizontal="left" vertical="top"/>
      <protection hidden="1"/>
    </xf>
    <xf numFmtId="2" fontId="43" fillId="24" borderId="25" xfId="0" applyNumberFormat="1" applyFont="1" applyFill="1" applyBorder="1" applyAlignment="1" applyProtection="1">
      <alignment horizontal="right" vertical="top"/>
      <protection hidden="1"/>
    </xf>
    <xf numFmtId="0" fontId="43" fillId="24" borderId="25" xfId="0" applyFont="1" applyFill="1" applyBorder="1" applyAlignment="1" applyProtection="1">
      <alignment horizontal="left" vertical="top" wrapText="1"/>
      <protection hidden="1"/>
    </xf>
    <xf numFmtId="2" fontId="43" fillId="24" borderId="25" xfId="0" applyNumberFormat="1" applyFont="1" applyFill="1" applyBorder="1" applyAlignment="1" applyProtection="1">
      <alignment vertical="top"/>
      <protection hidden="1"/>
    </xf>
    <xf numFmtId="0" fontId="43" fillId="24" borderId="25" xfId="0" applyFont="1" applyFill="1" applyBorder="1" applyAlignment="1">
      <alignment horizontal="right" vertical="top"/>
    </xf>
    <xf numFmtId="2" fontId="43" fillId="24" borderId="25" xfId="0" applyNumberFormat="1" applyFont="1" applyFill="1" applyBorder="1" applyAlignment="1">
      <alignment horizontal="center" vertical="top"/>
    </xf>
    <xf numFmtId="0" fontId="43" fillId="24" borderId="25" xfId="0" applyFont="1" applyFill="1" applyBorder="1" applyAlignment="1">
      <alignment horizontal="center" vertical="top"/>
    </xf>
    <xf numFmtId="2" fontId="4" fillId="24" borderId="7" xfId="0" applyNumberFormat="1" applyFont="1" applyFill="1" applyBorder="1" applyAlignment="1">
      <alignment vertical="top"/>
    </xf>
    <xf numFmtId="0" fontId="43" fillId="24" borderId="25" xfId="0" applyFont="1" applyFill="1" applyBorder="1" applyAlignment="1" applyProtection="1">
      <alignment horizontal="right" vertical="top"/>
      <protection hidden="1"/>
    </xf>
    <xf numFmtId="175" fontId="43" fillId="24" borderId="25" xfId="0" applyNumberFormat="1" applyFont="1" applyFill="1" applyBorder="1" applyAlignment="1" applyProtection="1">
      <alignment horizontal="center" vertical="top"/>
      <protection hidden="1"/>
    </xf>
    <xf numFmtId="2" fontId="41" fillId="24" borderId="25" xfId="0" applyNumberFormat="1" applyFont="1" applyFill="1" applyBorder="1" applyAlignment="1" applyProtection="1">
      <alignment horizontal="right" vertical="top"/>
      <protection hidden="1"/>
    </xf>
    <xf numFmtId="0" fontId="4" fillId="0" borderId="39" xfId="0" applyFont="1" applyFill="1" applyBorder="1" applyAlignment="1" applyProtection="1">
      <alignment horizontal="center" vertical="top" shrinkToFit="1"/>
      <protection hidden="1"/>
    </xf>
    <xf numFmtId="0" fontId="4" fillId="0" borderId="39" xfId="0" applyFont="1" applyFill="1" applyBorder="1" applyAlignment="1" applyProtection="1">
      <alignment horizontal="center" vertical="top"/>
      <protection hidden="1"/>
    </xf>
    <xf numFmtId="0" fontId="4" fillId="25" borderId="39" xfId="0" applyFont="1" applyFill="1" applyBorder="1"/>
    <xf numFmtId="2" fontId="4" fillId="0" borderId="39" xfId="0" applyNumberFormat="1" applyFont="1" applyFill="1" applyBorder="1" applyAlignment="1" applyProtection="1">
      <alignment vertical="top" shrinkToFit="1"/>
      <protection hidden="1"/>
    </xf>
    <xf numFmtId="0" fontId="4" fillId="0" borderId="39" xfId="0" applyNumberFormat="1" applyFont="1" applyFill="1" applyBorder="1" applyAlignment="1" applyProtection="1">
      <alignment vertical="top" wrapText="1"/>
      <protection hidden="1"/>
    </xf>
    <xf numFmtId="181" fontId="4" fillId="0" borderId="39" xfId="0" applyNumberFormat="1" applyFont="1" applyFill="1" applyBorder="1" applyAlignment="1" applyProtection="1">
      <alignment horizontal="left" vertical="top" wrapText="1"/>
      <protection hidden="1"/>
    </xf>
    <xf numFmtId="0" fontId="3" fillId="0" borderId="39" xfId="0" applyFont="1" applyFill="1" applyBorder="1" applyAlignment="1">
      <alignment horizontal="center" vertical="center" wrapText="1"/>
    </xf>
    <xf numFmtId="0" fontId="4" fillId="0" borderId="39" xfId="0" applyFont="1" applyFill="1" applyBorder="1" applyAlignment="1">
      <alignment horizontal="justify" vertical="top" wrapText="1"/>
    </xf>
    <xf numFmtId="0" fontId="4" fillId="0" borderId="39" xfId="0" applyFont="1" applyFill="1" applyBorder="1" applyAlignment="1">
      <alignment horizontal="center" vertical="top" shrinkToFit="1"/>
    </xf>
    <xf numFmtId="0" fontId="4" fillId="0" borderId="0" xfId="0" applyFont="1" applyFill="1" applyBorder="1" applyAlignment="1">
      <alignment horizontal="justify" vertical="top" wrapText="1"/>
    </xf>
    <xf numFmtId="2" fontId="4" fillId="0" borderId="39" xfId="0" applyNumberFormat="1" applyFont="1" applyFill="1" applyBorder="1" applyAlignment="1">
      <alignment horizontal="right" vertical="top"/>
    </xf>
    <xf numFmtId="0" fontId="3" fillId="0" borderId="39" xfId="0" applyFont="1" applyFill="1" applyBorder="1" applyAlignment="1">
      <alignment horizontal="justify" vertical="top" wrapText="1"/>
    </xf>
    <xf numFmtId="2" fontId="4" fillId="0" borderId="39" xfId="0" applyNumberFormat="1" applyFont="1" applyFill="1" applyBorder="1" applyAlignment="1">
      <alignment horizontal="center" shrinkToFit="1"/>
    </xf>
    <xf numFmtId="2" fontId="4" fillId="0" borderId="39" xfId="0" applyNumberFormat="1" applyFont="1" applyFill="1" applyBorder="1" applyAlignment="1">
      <alignment vertical="center" wrapText="1"/>
    </xf>
    <xf numFmtId="2" fontId="4" fillId="0" borderId="39" xfId="0" applyNumberFormat="1" applyFont="1" applyFill="1" applyBorder="1" applyAlignment="1"/>
    <xf numFmtId="2" fontId="4" fillId="0" borderId="39" xfId="0" applyNumberFormat="1" applyFont="1" applyFill="1" applyBorder="1" applyAlignment="1">
      <alignment horizontal="right" vertical="top" shrinkToFit="1"/>
    </xf>
    <xf numFmtId="0" fontId="3" fillId="0" borderId="39" xfId="0" applyFont="1" applyFill="1" applyBorder="1" applyAlignment="1">
      <alignment horizontal="center" vertical="center" shrinkToFit="1"/>
    </xf>
    <xf numFmtId="0" fontId="4" fillId="0" borderId="39" xfId="0" applyFont="1" applyFill="1" applyBorder="1" applyAlignment="1"/>
    <xf numFmtId="0" fontId="4" fillId="0" borderId="0" xfId="0" applyFont="1" applyFill="1" applyBorder="1" applyAlignment="1"/>
    <xf numFmtId="0" fontId="4" fillId="0" borderId="39" xfId="0" applyFont="1" applyFill="1" applyBorder="1" applyAlignment="1">
      <alignment horizontal="center" wrapText="1"/>
    </xf>
    <xf numFmtId="2" fontId="4" fillId="0" borderId="39" xfId="0" applyNumberFormat="1" applyFont="1" applyFill="1" applyBorder="1" applyAlignment="1">
      <alignment horizontal="center" vertical="top" shrinkToFit="1"/>
    </xf>
    <xf numFmtId="2" fontId="4" fillId="0" borderId="39" xfId="0" applyNumberFormat="1" applyFont="1" applyFill="1" applyBorder="1" applyAlignment="1">
      <alignment horizontal="right"/>
    </xf>
    <xf numFmtId="172" fontId="4" fillId="0" borderId="39" xfId="0" applyNumberFormat="1" applyFont="1" applyFill="1" applyBorder="1" applyAlignment="1">
      <alignment horizontal="center" shrinkToFit="1"/>
    </xf>
    <xf numFmtId="0" fontId="4" fillId="0" borderId="39" xfId="0" applyFont="1" applyFill="1" applyBorder="1" applyAlignment="1">
      <alignment horizontal="center" shrinkToFit="1"/>
    </xf>
    <xf numFmtId="2" fontId="3" fillId="0" borderId="39" xfId="0" applyNumberFormat="1" applyFont="1" applyFill="1" applyBorder="1" applyAlignment="1">
      <alignment horizontal="right" shrinkToFit="1"/>
    </xf>
    <xf numFmtId="2" fontId="3" fillId="0" borderId="39" xfId="0" applyNumberFormat="1" applyFont="1" applyFill="1" applyBorder="1" applyAlignment="1">
      <alignment vertical="top"/>
    </xf>
    <xf numFmtId="0" fontId="3" fillId="0" borderId="37" xfId="0" applyFont="1" applyFill="1" applyBorder="1" applyAlignment="1">
      <alignment horizontal="center" vertical="center"/>
    </xf>
    <xf numFmtId="0" fontId="4" fillId="0" borderId="39"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39" xfId="0" applyFont="1" applyFill="1" applyBorder="1" applyAlignment="1">
      <alignment horizontal="center" vertical="top"/>
    </xf>
    <xf numFmtId="2" fontId="4" fillId="0" borderId="39" xfId="0" applyNumberFormat="1" applyFont="1" applyFill="1" applyBorder="1" applyAlignment="1">
      <alignment vertical="top"/>
    </xf>
    <xf numFmtId="2" fontId="4" fillId="0" borderId="39" xfId="0" applyNumberFormat="1" applyFont="1" applyFill="1" applyBorder="1" applyAlignment="1">
      <alignment horizontal="center" vertical="top"/>
    </xf>
    <xf numFmtId="1" fontId="4" fillId="0" borderId="39" xfId="0" applyNumberFormat="1" applyFont="1" applyFill="1" applyBorder="1" applyAlignment="1">
      <alignment vertical="top"/>
    </xf>
    <xf numFmtId="0" fontId="4" fillId="0" borderId="39" xfId="0" applyFont="1" applyFill="1" applyBorder="1" applyAlignment="1">
      <alignment horizontal="center"/>
    </xf>
    <xf numFmtId="0" fontId="3" fillId="0" borderId="39" xfId="0" applyFont="1" applyFill="1" applyBorder="1"/>
    <xf numFmtId="2" fontId="4" fillId="0" borderId="39" xfId="0" applyNumberFormat="1" applyFont="1" applyFill="1" applyBorder="1" applyAlignment="1">
      <alignment vertical="top" wrapText="1"/>
    </xf>
    <xf numFmtId="0" fontId="4" fillId="0" borderId="39" xfId="0" applyFont="1" applyFill="1" applyBorder="1"/>
    <xf numFmtId="2" fontId="4" fillId="0" borderId="39" xfId="0" applyNumberFormat="1" applyFont="1" applyFill="1" applyBorder="1" applyAlignment="1">
      <alignment vertical="top" shrinkToFit="1"/>
    </xf>
    <xf numFmtId="0" fontId="4" fillId="0" borderId="39" xfId="0" applyFont="1" applyFill="1" applyBorder="1" applyAlignment="1">
      <alignment wrapText="1"/>
    </xf>
    <xf numFmtId="2" fontId="4" fillId="0" borderId="39" xfId="0" applyNumberFormat="1" applyFont="1" applyFill="1" applyBorder="1" applyAlignment="1">
      <alignment shrinkToFit="1"/>
    </xf>
    <xf numFmtId="166" fontId="4" fillId="0" borderId="0" xfId="0" applyNumberFormat="1" applyFont="1" applyFill="1" applyBorder="1"/>
    <xf numFmtId="0" fontId="4" fillId="0" borderId="0" xfId="0" applyFont="1" applyFill="1" applyBorder="1" applyAlignment="1">
      <alignment horizontal="center"/>
    </xf>
    <xf numFmtId="0" fontId="3" fillId="0" borderId="0" xfId="0" applyFont="1" applyFill="1" applyBorder="1"/>
    <xf numFmtId="0" fontId="4" fillId="0" borderId="0" xfId="0" applyFont="1" applyFill="1"/>
    <xf numFmtId="0" fontId="3" fillId="0" borderId="0" xfId="0" applyFont="1" applyFill="1" applyAlignment="1">
      <alignment horizontal="center"/>
    </xf>
    <xf numFmtId="0" fontId="3" fillId="0" borderId="39" xfId="0" applyFont="1" applyFill="1" applyBorder="1" applyAlignment="1">
      <alignment horizontal="center"/>
    </xf>
    <xf numFmtId="0" fontId="4" fillId="0" borderId="39" xfId="0" applyFont="1" applyFill="1" applyBorder="1" applyAlignment="1">
      <alignment vertical="top"/>
    </xf>
    <xf numFmtId="1" fontId="4" fillId="0" borderId="39" xfId="0" applyNumberFormat="1" applyFont="1" applyFill="1" applyBorder="1" applyAlignment="1">
      <alignment horizontal="center"/>
    </xf>
    <xf numFmtId="2" fontId="4" fillId="0" borderId="39" xfId="0" applyNumberFormat="1" applyFont="1" applyFill="1" applyBorder="1" applyAlignment="1">
      <alignment horizontal="center"/>
    </xf>
    <xf numFmtId="0" fontId="3" fillId="0" borderId="0" xfId="0" applyFont="1" applyFill="1" applyBorder="1" applyAlignment="1">
      <alignment horizontal="center"/>
    </xf>
    <xf numFmtId="0" fontId="3" fillId="0" borderId="0" xfId="0" applyFont="1" applyFill="1" applyBorder="1" applyAlignment="1">
      <alignment vertical="top"/>
    </xf>
    <xf numFmtId="1" fontId="4" fillId="0" borderId="0" xfId="0" applyNumberFormat="1" applyFont="1" applyFill="1" applyBorder="1" applyAlignment="1">
      <alignment horizontal="center"/>
    </xf>
    <xf numFmtId="0" fontId="4" fillId="0" borderId="0" xfId="0" applyFont="1" applyFill="1" applyBorder="1" applyAlignment="1">
      <alignment vertical="top"/>
    </xf>
    <xf numFmtId="1" fontId="3" fillId="0" borderId="0" xfId="0" applyNumberFormat="1" applyFont="1" applyFill="1" applyBorder="1" applyAlignment="1">
      <alignment horizontal="center"/>
    </xf>
    <xf numFmtId="0" fontId="4" fillId="0" borderId="0" xfId="0" applyFont="1" applyFill="1" applyAlignment="1">
      <alignment vertical="top"/>
    </xf>
    <xf numFmtId="0" fontId="4" fillId="0" borderId="0" xfId="0" applyFont="1" applyFill="1" applyAlignment="1">
      <alignment horizontal="center"/>
    </xf>
    <xf numFmtId="1" fontId="4" fillId="0" borderId="0" xfId="0" applyNumberFormat="1" applyFont="1" applyFill="1" applyAlignment="1">
      <alignment horizontal="center"/>
    </xf>
    <xf numFmtId="0" fontId="4" fillId="26" borderId="39" xfId="0" applyFont="1" applyFill="1" applyBorder="1" applyAlignment="1" applyProtection="1">
      <alignment horizontal="center" vertical="top" shrinkToFit="1"/>
      <protection hidden="1"/>
    </xf>
    <xf numFmtId="0" fontId="4" fillId="26" borderId="39" xfId="0" applyFont="1" applyFill="1" applyBorder="1" applyAlignment="1" applyProtection="1">
      <alignment horizontal="justify" vertical="top"/>
      <protection hidden="1"/>
    </xf>
    <xf numFmtId="170" fontId="3" fillId="26" borderId="39" xfId="0" applyNumberFormat="1" applyFont="1" applyFill="1" applyBorder="1" applyAlignment="1" applyProtection="1">
      <alignment horizontal="right" vertical="top" shrinkToFit="1"/>
      <protection hidden="1"/>
    </xf>
    <xf numFmtId="0" fontId="4" fillId="26" borderId="39" xfId="0" applyFont="1" applyFill="1" applyBorder="1" applyAlignment="1" applyProtection="1">
      <alignment horizontal="left" vertical="top"/>
      <protection hidden="1"/>
    </xf>
    <xf numFmtId="2" fontId="4" fillId="26" borderId="39" xfId="0" applyNumberFormat="1" applyFont="1" applyFill="1" applyBorder="1" applyAlignment="1" applyProtection="1">
      <alignment vertical="top"/>
      <protection hidden="1"/>
    </xf>
    <xf numFmtId="0" fontId="4" fillId="26" borderId="39" xfId="0" applyNumberFormat="1" applyFont="1" applyFill="1" applyBorder="1" applyAlignment="1" applyProtection="1">
      <alignment vertical="top"/>
      <protection hidden="1"/>
    </xf>
    <xf numFmtId="0" fontId="3" fillId="26" borderId="39" xfId="0" applyFont="1" applyFill="1" applyBorder="1" applyAlignment="1" applyProtection="1">
      <alignment horizontal="center" vertical="top"/>
      <protection hidden="1"/>
    </xf>
    <xf numFmtId="2" fontId="4" fillId="26" borderId="39" xfId="0" applyNumberFormat="1" applyFont="1" applyFill="1" applyBorder="1" applyAlignment="1" applyProtection="1">
      <alignment wrapText="1"/>
      <protection hidden="1"/>
    </xf>
    <xf numFmtId="2" fontId="4" fillId="0" borderId="39" xfId="0" applyNumberFormat="1" applyFont="1" applyFill="1" applyBorder="1" applyAlignment="1">
      <alignment vertical="top"/>
    </xf>
    <xf numFmtId="0" fontId="4" fillId="0" borderId="39" xfId="0" applyFont="1" applyFill="1" applyBorder="1" applyAlignment="1">
      <alignment vertical="top"/>
    </xf>
    <xf numFmtId="1" fontId="4" fillId="0" borderId="39" xfId="0" applyNumberFormat="1" applyFont="1" applyFill="1" applyBorder="1" applyAlignment="1">
      <alignment vertical="top"/>
    </xf>
    <xf numFmtId="2" fontId="4" fillId="0" borderId="39" xfId="0" applyNumberFormat="1" applyFont="1" applyFill="1" applyBorder="1" applyAlignment="1">
      <alignment vertical="top" shrinkToFit="1"/>
    </xf>
    <xf numFmtId="1" fontId="35" fillId="24" borderId="7" xfId="0" applyNumberFormat="1" applyFont="1" applyFill="1" applyBorder="1" applyAlignment="1">
      <alignment horizontal="center" vertical="top"/>
    </xf>
    <xf numFmtId="0" fontId="35" fillId="24" borderId="7" xfId="0" applyFont="1" applyFill="1" applyBorder="1" applyAlignment="1">
      <alignment vertical="top"/>
    </xf>
    <xf numFmtId="0" fontId="35" fillId="24" borderId="0" xfId="0" applyFont="1" applyFill="1" applyBorder="1"/>
    <xf numFmtId="2" fontId="35" fillId="24" borderId="0" xfId="0" applyNumberFormat="1" applyFont="1" applyFill="1" applyBorder="1"/>
    <xf numFmtId="2" fontId="52" fillId="24" borderId="40" xfId="0" applyNumberFormat="1" applyFont="1" applyFill="1" applyBorder="1" applyAlignment="1">
      <alignment horizontal="right" vertical="center"/>
    </xf>
    <xf numFmtId="0" fontId="52" fillId="24" borderId="40" xfId="0" applyFont="1" applyFill="1" applyBorder="1" applyAlignment="1">
      <alignment horizontal="center" vertical="center"/>
    </xf>
    <xf numFmtId="0" fontId="52" fillId="24" borderId="39" xfId="0" applyFont="1" applyFill="1" applyBorder="1" applyAlignment="1">
      <alignment horizontal="justify" vertical="top" wrapText="1"/>
    </xf>
    <xf numFmtId="0" fontId="52" fillId="24" borderId="39" xfId="0" applyFont="1" applyFill="1" applyBorder="1" applyAlignment="1">
      <alignment horizontal="center" vertical="center" shrinkToFit="1"/>
    </xf>
    <xf numFmtId="0" fontId="35" fillId="24" borderId="7" xfId="0" applyFont="1" applyFill="1" applyBorder="1" applyAlignment="1">
      <alignment horizontal="justify" vertical="top" wrapText="1"/>
    </xf>
    <xf numFmtId="1" fontId="35" fillId="24" borderId="7" xfId="0" applyNumberFormat="1" applyFont="1" applyFill="1" applyBorder="1" applyAlignment="1">
      <alignment horizontal="right"/>
    </xf>
    <xf numFmtId="2" fontId="35" fillId="24" borderId="7" xfId="0" applyNumberFormat="1" applyFont="1" applyFill="1" applyBorder="1"/>
    <xf numFmtId="1" fontId="35" fillId="24" borderId="7" xfId="0" applyNumberFormat="1" applyFont="1" applyFill="1" applyBorder="1"/>
    <xf numFmtId="2" fontId="35" fillId="24" borderId="7" xfId="0" applyNumberFormat="1" applyFont="1" applyFill="1" applyBorder="1" applyAlignment="1">
      <alignment shrinkToFit="1"/>
    </xf>
    <xf numFmtId="0" fontId="39" fillId="24" borderId="0" xfId="0" applyFont="1" applyFill="1" applyBorder="1" applyAlignment="1">
      <alignment horizontal="center" vertical="top" wrapText="1"/>
    </xf>
    <xf numFmtId="170" fontId="35" fillId="24" borderId="7" xfId="0" applyNumberFormat="1" applyFont="1" applyFill="1" applyBorder="1" applyAlignment="1">
      <alignment horizontal="right"/>
    </xf>
    <xf numFmtId="2" fontId="35" fillId="24" borderId="7" xfId="0" applyNumberFormat="1" applyFont="1" applyFill="1" applyBorder="1" applyAlignment="1">
      <alignment horizontal="right"/>
    </xf>
    <xf numFmtId="2" fontId="39" fillId="24" borderId="7" xfId="0" applyNumberFormat="1" applyFont="1" applyFill="1" applyBorder="1" applyAlignment="1">
      <alignment horizontal="left" vertical="top" wrapText="1"/>
    </xf>
    <xf numFmtId="2" fontId="35" fillId="24" borderId="7" xfId="0" applyNumberFormat="1" applyFont="1" applyFill="1" applyBorder="1" applyAlignment="1">
      <alignment horizontal="center"/>
    </xf>
    <xf numFmtId="0" fontId="35" fillId="24" borderId="7" xfId="0" applyFont="1" applyFill="1" applyBorder="1"/>
    <xf numFmtId="1" fontId="39" fillId="24" borderId="7" xfId="0" applyNumberFormat="1" applyFont="1" applyFill="1" applyBorder="1" applyAlignment="1">
      <alignment horizontal="center"/>
    </xf>
    <xf numFmtId="0" fontId="52" fillId="24" borderId="39" xfId="0" applyFont="1" applyFill="1" applyBorder="1" applyAlignment="1" applyProtection="1">
      <alignment horizontal="justify" vertical="top" wrapText="1"/>
      <protection hidden="1"/>
    </xf>
    <xf numFmtId="2" fontId="52" fillId="24" borderId="39" xfId="0" applyNumberFormat="1" applyFont="1" applyFill="1" applyBorder="1" applyAlignment="1" applyProtection="1">
      <alignment horizontal="right" vertical="top" wrapText="1"/>
      <protection hidden="1"/>
    </xf>
    <xf numFmtId="166" fontId="35" fillId="24" borderId="7" xfId="0" applyNumberFormat="1" applyFont="1" applyFill="1" applyBorder="1" applyAlignment="1">
      <alignment horizontal="right"/>
    </xf>
    <xf numFmtId="0" fontId="4" fillId="0" borderId="39" xfId="0" applyFont="1" applyFill="1" applyBorder="1" applyAlignment="1">
      <alignment vertical="top" wrapText="1"/>
    </xf>
    <xf numFmtId="1" fontId="3" fillId="0" borderId="39" xfId="0" applyNumberFormat="1" applyFont="1" applyFill="1" applyBorder="1" applyAlignment="1">
      <alignment horizontal="center"/>
    </xf>
    <xf numFmtId="0" fontId="4" fillId="0" borderId="0" xfId="0" applyFont="1" applyFill="1" applyBorder="1" applyAlignment="1">
      <alignment horizontal="center" vertical="center" wrapText="1"/>
    </xf>
    <xf numFmtId="0" fontId="3" fillId="0" borderId="31" xfId="0" applyFont="1" applyFill="1" applyBorder="1" applyAlignment="1">
      <alignment horizontal="center" vertical="center"/>
    </xf>
    <xf numFmtId="0" fontId="3" fillId="0" borderId="39" xfId="0" applyFont="1" applyFill="1" applyBorder="1" applyAlignment="1">
      <alignment horizontal="center" vertical="center"/>
    </xf>
    <xf numFmtId="2" fontId="3" fillId="0" borderId="39" xfId="0" applyNumberFormat="1" applyFont="1" applyFill="1" applyBorder="1" applyAlignment="1">
      <alignment horizontal="center" vertical="center"/>
    </xf>
    <xf numFmtId="0" fontId="3" fillId="0" borderId="31" xfId="0" applyFont="1" applyFill="1" applyBorder="1" applyAlignment="1">
      <alignment horizontal="center" vertical="center" wrapText="1"/>
    </xf>
    <xf numFmtId="0" fontId="32" fillId="0" borderId="36" xfId="0" applyFont="1" applyBorder="1" applyAlignment="1">
      <alignment vertical="center" wrapText="1"/>
    </xf>
    <xf numFmtId="0" fontId="3" fillId="0" borderId="25" xfId="0" applyFont="1" applyFill="1" applyBorder="1" applyAlignment="1">
      <alignment vertical="top"/>
    </xf>
    <xf numFmtId="2" fontId="4" fillId="0" borderId="25" xfId="0" applyNumberFormat="1" applyFont="1" applyFill="1" applyBorder="1" applyAlignment="1">
      <alignment vertical="top"/>
    </xf>
    <xf numFmtId="0" fontId="4" fillId="0" borderId="25" xfId="0" applyFont="1" applyFill="1" applyBorder="1" applyAlignment="1">
      <alignment vertical="top"/>
    </xf>
    <xf numFmtId="0" fontId="4" fillId="0" borderId="25" xfId="0" applyFont="1" applyFill="1" applyBorder="1" applyAlignment="1">
      <alignment horizontal="center" vertical="top"/>
    </xf>
    <xf numFmtId="2" fontId="3" fillId="0" borderId="25" xfId="0" applyNumberFormat="1" applyFont="1" applyFill="1" applyBorder="1" applyAlignment="1">
      <alignment horizontal="right" vertical="top"/>
    </xf>
    <xf numFmtId="2" fontId="4" fillId="0" borderId="25" xfId="0" applyNumberFormat="1" applyFont="1" applyFill="1" applyBorder="1" applyAlignment="1">
      <alignment horizontal="right" vertical="top"/>
    </xf>
    <xf numFmtId="0" fontId="4" fillId="0" borderId="39" xfId="0" applyFont="1" applyFill="1" applyBorder="1" applyAlignment="1">
      <alignment horizontal="center" vertical="top"/>
    </xf>
    <xf numFmtId="0" fontId="4" fillId="0" borderId="39" xfId="0" applyFont="1" applyFill="1" applyBorder="1" applyAlignment="1">
      <alignment horizontal="justify" vertical="top" wrapText="1"/>
    </xf>
    <xf numFmtId="2" fontId="3" fillId="0" borderId="39" xfId="0" applyNumberFormat="1" applyFont="1" applyFill="1" applyBorder="1" applyAlignment="1">
      <alignment horizontal="right" vertical="top"/>
    </xf>
    <xf numFmtId="0" fontId="59" fillId="0" borderId="0" xfId="0" applyFont="1" applyFill="1" applyBorder="1"/>
    <xf numFmtId="166" fontId="4" fillId="0" borderId="39" xfId="0" applyNumberFormat="1" applyFont="1" applyFill="1" applyBorder="1" applyAlignment="1">
      <alignment horizontal="center"/>
    </xf>
    <xf numFmtId="0" fontId="59" fillId="0" borderId="42" xfId="0" applyFont="1" applyFill="1" applyBorder="1" applyAlignment="1">
      <alignment horizontal="justify" vertical="top"/>
    </xf>
    <xf numFmtId="1" fontId="59" fillId="0" borderId="42" xfId="0" applyNumberFormat="1" applyFont="1" applyFill="1" applyBorder="1" applyAlignment="1">
      <alignment horizontal="center" vertical="top"/>
    </xf>
    <xf numFmtId="0" fontId="59" fillId="0" borderId="42" xfId="0" applyFont="1" applyFill="1" applyBorder="1" applyAlignment="1">
      <alignment horizontal="center"/>
    </xf>
    <xf numFmtId="0" fontId="60" fillId="0" borderId="42" xfId="0" applyFont="1" applyFill="1" applyBorder="1"/>
    <xf numFmtId="0" fontId="59" fillId="0" borderId="42" xfId="0" applyFont="1" applyFill="1" applyBorder="1"/>
    <xf numFmtId="0" fontId="59" fillId="0" borderId="42" xfId="0" applyFont="1" applyFill="1" applyBorder="1" applyAlignment="1">
      <alignment horizontal="left" vertical="top" wrapText="1"/>
    </xf>
    <xf numFmtId="1" fontId="59" fillId="0" borderId="42" xfId="0" applyNumberFormat="1" applyFont="1" applyFill="1" applyBorder="1" applyAlignment="1">
      <alignment horizontal="center" vertical="center"/>
    </xf>
    <xf numFmtId="165" fontId="59" fillId="0" borderId="42" xfId="0" applyNumberFormat="1" applyFont="1" applyFill="1" applyBorder="1" applyAlignment="1">
      <alignment vertical="center"/>
    </xf>
    <xf numFmtId="0" fontId="3" fillId="0" borderId="39" xfId="0" applyFont="1" applyFill="1" applyBorder="1" applyAlignment="1">
      <alignment vertical="top"/>
    </xf>
    <xf numFmtId="2" fontId="3" fillId="0" borderId="39" xfId="0" applyNumberFormat="1" applyFont="1" applyFill="1" applyBorder="1" applyAlignment="1">
      <alignment horizontal="center"/>
    </xf>
    <xf numFmtId="166" fontId="4" fillId="0" borderId="39" xfId="0" applyNumberFormat="1" applyFont="1" applyFill="1" applyBorder="1"/>
    <xf numFmtId="0" fontId="4" fillId="0" borderId="0" xfId="0" applyFont="1" applyBorder="1" applyAlignment="1">
      <alignment vertical="center"/>
    </xf>
    <xf numFmtId="0" fontId="4" fillId="0" borderId="25" xfId="0" applyFont="1" applyFill="1" applyBorder="1" applyAlignment="1" applyProtection="1">
      <alignment horizontal="right" vertical="center" wrapText="1"/>
      <protection hidden="1"/>
    </xf>
    <xf numFmtId="0" fontId="4" fillId="0" borderId="25" xfId="0" applyFont="1" applyBorder="1" applyAlignment="1">
      <alignment horizontal="left" vertical="center"/>
    </xf>
    <xf numFmtId="0" fontId="4" fillId="0" borderId="25" xfId="0" applyFont="1" applyBorder="1" applyAlignment="1">
      <alignment horizontal="right" vertical="center"/>
    </xf>
    <xf numFmtId="2" fontId="4" fillId="0" borderId="25" xfId="0" applyNumberFormat="1" applyFont="1" applyFill="1" applyBorder="1" applyAlignment="1" applyProtection="1">
      <alignment horizontal="center" vertical="center" wrapText="1"/>
      <protection hidden="1"/>
    </xf>
    <xf numFmtId="2" fontId="4" fillId="0" borderId="25" xfId="0" applyNumberFormat="1" applyFont="1" applyFill="1" applyBorder="1" applyAlignment="1" applyProtection="1">
      <alignment horizontal="right" vertical="center" wrapText="1"/>
      <protection hidden="1"/>
    </xf>
    <xf numFmtId="0" fontId="3" fillId="0" borderId="25" xfId="0" applyFont="1" applyBorder="1" applyAlignment="1">
      <alignment horizontal="left" vertical="center"/>
    </xf>
    <xf numFmtId="2" fontId="4" fillId="0" borderId="25" xfId="0" applyNumberFormat="1" applyFont="1" applyBorder="1" applyAlignment="1">
      <alignment horizontal="right" vertical="center"/>
    </xf>
    <xf numFmtId="171" fontId="3" fillId="0" borderId="25" xfId="0" applyNumberFormat="1" applyFont="1" applyFill="1" applyBorder="1" applyAlignment="1">
      <alignment horizontal="right" vertical="center" wrapText="1"/>
    </xf>
    <xf numFmtId="0" fontId="3" fillId="0" borderId="25" xfId="0" applyFont="1" applyBorder="1" applyAlignment="1">
      <alignment horizontal="center" vertical="center"/>
    </xf>
    <xf numFmtId="0" fontId="3" fillId="0" borderId="0" xfId="0" applyFont="1" applyAlignment="1">
      <alignment vertical="center"/>
    </xf>
    <xf numFmtId="0" fontId="3" fillId="0" borderId="25" xfId="0" applyFont="1" applyBorder="1" applyAlignment="1">
      <alignment vertical="center"/>
    </xf>
    <xf numFmtId="180" fontId="4" fillId="0" borderId="0" xfId="0" applyNumberFormat="1" applyFont="1" applyBorder="1" applyAlignment="1">
      <alignment vertical="center"/>
    </xf>
    <xf numFmtId="0" fontId="3" fillId="0" borderId="25" xfId="0" applyFont="1" applyBorder="1" applyAlignment="1">
      <alignment vertical="center" wrapText="1"/>
    </xf>
    <xf numFmtId="171" fontId="3" fillId="0" borderId="25" xfId="0" applyNumberFormat="1" applyFont="1" applyBorder="1" applyAlignment="1">
      <alignment horizontal="left" vertical="center"/>
    </xf>
    <xf numFmtId="165" fontId="4" fillId="0" borderId="0" xfId="0" applyNumberFormat="1" applyFont="1" applyFill="1" applyBorder="1" applyAlignment="1" applyProtection="1">
      <alignment vertical="top"/>
      <protection hidden="1"/>
    </xf>
    <xf numFmtId="9" fontId="3" fillId="0" borderId="40" xfId="0" applyNumberFormat="1" applyFont="1" applyFill="1" applyBorder="1" applyAlignment="1" applyProtection="1">
      <alignment horizontal="center" vertical="top" wrapText="1"/>
      <protection hidden="1"/>
    </xf>
    <xf numFmtId="175" fontId="3" fillId="0" borderId="40" xfId="0" applyNumberFormat="1" applyFont="1" applyFill="1" applyBorder="1" applyAlignment="1" applyProtection="1">
      <alignment horizontal="center" vertical="top" wrapText="1"/>
      <protection hidden="1"/>
    </xf>
    <xf numFmtId="171" fontId="3" fillId="0" borderId="40" xfId="0" applyNumberFormat="1" applyFont="1" applyFill="1" applyBorder="1" applyAlignment="1" applyProtection="1">
      <alignment horizontal="center" vertical="top" wrapText="1"/>
      <protection hidden="1"/>
    </xf>
    <xf numFmtId="182" fontId="3" fillId="0" borderId="40" xfId="0" applyNumberFormat="1" applyFont="1" applyFill="1" applyBorder="1" applyAlignment="1" applyProtection="1">
      <alignment horizontal="center" vertical="top" wrapText="1"/>
      <protection hidden="1"/>
    </xf>
    <xf numFmtId="3" fontId="4" fillId="0" borderId="40" xfId="0" applyNumberFormat="1" applyFont="1" applyFill="1" applyBorder="1" applyAlignment="1" applyProtection="1">
      <alignment horizontal="right" vertical="top"/>
      <protection hidden="1"/>
    </xf>
    <xf numFmtId="1" fontId="3" fillId="0" borderId="40" xfId="0" applyNumberFormat="1" applyFont="1" applyFill="1" applyBorder="1" applyAlignment="1">
      <alignment horizontal="center" vertical="top"/>
    </xf>
    <xf numFmtId="171" fontId="4" fillId="0" borderId="0" xfId="0" applyNumberFormat="1" applyFont="1" applyFill="1" applyBorder="1" applyAlignment="1" applyProtection="1">
      <alignment vertical="top"/>
      <protection hidden="1"/>
    </xf>
    <xf numFmtId="171" fontId="4" fillId="0" borderId="0" xfId="0" applyNumberFormat="1" applyFont="1" applyFill="1" applyBorder="1" applyAlignment="1" applyProtection="1">
      <alignment horizontal="center" vertical="top"/>
      <protection hidden="1"/>
    </xf>
    <xf numFmtId="1" fontId="4" fillId="0" borderId="42" xfId="0" applyNumberFormat="1" applyFont="1" applyFill="1" applyBorder="1" applyAlignment="1">
      <alignment horizontal="center" vertical="top"/>
    </xf>
    <xf numFmtId="2" fontId="4" fillId="0" borderId="42" xfId="0" applyNumberFormat="1" applyFont="1" applyFill="1" applyBorder="1" applyAlignment="1">
      <alignment horizontal="center" vertical="top"/>
    </xf>
    <xf numFmtId="0" fontId="4" fillId="0" borderId="0" xfId="0" applyFont="1" applyFill="1" applyBorder="1" applyAlignment="1">
      <alignment horizontal="center" vertical="top"/>
    </xf>
    <xf numFmtId="0" fontId="4" fillId="0" borderId="40" xfId="0" applyFont="1" applyFill="1" applyBorder="1" applyAlignment="1" applyProtection="1">
      <alignment vertical="top"/>
      <protection hidden="1"/>
    </xf>
    <xf numFmtId="0" fontId="4" fillId="0" borderId="0" xfId="0" applyFont="1" applyFill="1" applyBorder="1" applyAlignment="1" applyProtection="1">
      <alignment vertical="top"/>
      <protection hidden="1"/>
    </xf>
    <xf numFmtId="0" fontId="4" fillId="0" borderId="40" xfId="0" applyFont="1" applyFill="1" applyBorder="1" applyAlignment="1">
      <alignment horizontal="center" vertical="top" wrapText="1"/>
    </xf>
    <xf numFmtId="0" fontId="4" fillId="0" borderId="41" xfId="0" applyFont="1" applyFill="1" applyBorder="1" applyAlignment="1" applyProtection="1">
      <alignment horizontal="center" vertical="top" wrapText="1"/>
      <protection hidden="1"/>
    </xf>
    <xf numFmtId="0" fontId="4" fillId="0" borderId="0" xfId="0" applyFont="1" applyFill="1" applyBorder="1" applyAlignment="1">
      <alignment horizontal="center" vertical="top" wrapText="1"/>
    </xf>
    <xf numFmtId="0" fontId="4" fillId="0" borderId="40" xfId="0" applyFont="1" applyFill="1" applyBorder="1" applyAlignment="1">
      <alignment horizontal="center" vertical="top"/>
    </xf>
    <xf numFmtId="0" fontId="3" fillId="0" borderId="40" xfId="0" applyFont="1" applyFill="1" applyBorder="1" applyAlignment="1">
      <alignment horizontal="center" vertical="top" wrapText="1"/>
    </xf>
    <xf numFmtId="0" fontId="4" fillId="0" borderId="40" xfId="0" applyFont="1" applyFill="1" applyBorder="1" applyAlignment="1" applyProtection="1">
      <alignment horizontal="right" vertical="top"/>
      <protection hidden="1"/>
    </xf>
    <xf numFmtId="0" fontId="3" fillId="0" borderId="40" xfId="0" applyFont="1" applyFill="1" applyBorder="1" applyAlignment="1">
      <alignment horizontal="center" vertical="top"/>
    </xf>
    <xf numFmtId="0" fontId="4" fillId="0" borderId="0" xfId="0" applyFont="1" applyFill="1"/>
    <xf numFmtId="0" fontId="4" fillId="0" borderId="0" xfId="0" applyFont="1" applyFill="1" applyBorder="1" applyAlignment="1" applyProtection="1">
      <alignment horizontal="justify" vertical="top" wrapText="1"/>
      <protection hidden="1"/>
    </xf>
    <xf numFmtId="0" fontId="4" fillId="0" borderId="42" xfId="0" applyFont="1" applyFill="1" applyBorder="1" applyAlignment="1">
      <alignment horizontal="justify" vertical="top" wrapText="1"/>
    </xf>
    <xf numFmtId="0" fontId="4" fillId="0" borderId="0" xfId="0" applyFont="1" applyFill="1" applyBorder="1"/>
    <xf numFmtId="0" fontId="3" fillId="0" borderId="42" xfId="0" applyFont="1" applyFill="1" applyBorder="1" applyAlignment="1">
      <alignment horizontal="center" vertical="center" wrapText="1"/>
    </xf>
    <xf numFmtId="0" fontId="3" fillId="0" borderId="42" xfId="0" applyFont="1" applyFill="1" applyBorder="1" applyAlignment="1">
      <alignment horizontal="center" vertical="top" wrapText="1"/>
    </xf>
    <xf numFmtId="2" fontId="3" fillId="0" borderId="42" xfId="0" applyNumberFormat="1" applyFont="1" applyFill="1" applyBorder="1" applyAlignment="1">
      <alignment horizontal="center" vertical="top" wrapText="1"/>
    </xf>
    <xf numFmtId="2" fontId="3" fillId="0" borderId="42" xfId="0" applyNumberFormat="1" applyFont="1" applyFill="1" applyBorder="1" applyAlignment="1">
      <alignment horizontal="center" vertical="top"/>
    </xf>
    <xf numFmtId="1" fontId="4" fillId="0" borderId="43" xfId="0" applyNumberFormat="1" applyFont="1" applyFill="1" applyBorder="1" applyAlignment="1">
      <alignment horizontal="center" vertical="top"/>
    </xf>
    <xf numFmtId="2" fontId="4" fillId="0" borderId="43" xfId="0" applyNumberFormat="1" applyFont="1" applyFill="1" applyBorder="1" applyAlignment="1">
      <alignment horizontal="center" vertical="top"/>
    </xf>
    <xf numFmtId="0" fontId="4" fillId="0" borderId="43" xfId="0" applyFont="1" applyFill="1" applyBorder="1" applyAlignment="1">
      <alignment horizontal="center" vertical="top" wrapText="1"/>
    </xf>
    <xf numFmtId="2" fontId="3" fillId="0" borderId="43" xfId="0" applyNumberFormat="1" applyFont="1" applyFill="1" applyBorder="1" applyAlignment="1">
      <alignment horizontal="center" vertical="top"/>
    </xf>
    <xf numFmtId="0" fontId="4" fillId="0" borderId="42" xfId="0" applyFont="1" applyFill="1" applyBorder="1" applyAlignment="1" applyProtection="1">
      <alignment horizontal="justify" vertical="top" wrapText="1"/>
      <protection hidden="1"/>
    </xf>
    <xf numFmtId="0" fontId="3" fillId="0" borderId="43" xfId="0" applyFont="1" applyFill="1" applyBorder="1" applyAlignment="1">
      <alignment horizontal="justify" vertical="top" wrapText="1"/>
    </xf>
    <xf numFmtId="0" fontId="3" fillId="0" borderId="43" xfId="0" applyNumberFormat="1" applyFont="1" applyFill="1" applyBorder="1" applyAlignment="1">
      <alignment horizontal="right" vertical="top" wrapText="1"/>
    </xf>
    <xf numFmtId="2" fontId="4" fillId="0" borderId="44" xfId="0" applyNumberFormat="1" applyFont="1" applyFill="1" applyBorder="1" applyAlignment="1">
      <alignment horizontal="right" vertical="top" shrinkToFit="1"/>
    </xf>
    <xf numFmtId="0" fontId="4" fillId="0" borderId="0" xfId="0" applyFont="1" applyAlignment="1">
      <alignment horizontal="center" wrapText="1"/>
    </xf>
    <xf numFmtId="0" fontId="56" fillId="0" borderId="0" xfId="0" applyFont="1" applyAlignment="1">
      <alignment horizontal="center" wrapText="1"/>
    </xf>
    <xf numFmtId="0" fontId="56" fillId="0" borderId="40" xfId="0" applyFont="1" applyBorder="1" applyAlignment="1">
      <alignment horizontal="center" wrapText="1"/>
    </xf>
    <xf numFmtId="0" fontId="4" fillId="0" borderId="40" xfId="0" applyFont="1" applyBorder="1" applyAlignment="1">
      <alignment wrapText="1"/>
    </xf>
    <xf numFmtId="0" fontId="4" fillId="0" borderId="40" xfId="0" applyFont="1" applyBorder="1" applyAlignment="1">
      <alignment horizontal="center" wrapText="1"/>
    </xf>
    <xf numFmtId="0" fontId="56" fillId="0" borderId="40" xfId="0" applyFont="1" applyBorder="1" applyAlignment="1">
      <alignment wrapText="1"/>
    </xf>
    <xf numFmtId="0" fontId="4" fillId="0" borderId="40" xfId="0" applyFont="1" applyBorder="1" applyAlignment="1">
      <alignment horizontal="left" wrapText="1"/>
    </xf>
    <xf numFmtId="1" fontId="4" fillId="0" borderId="40" xfId="0" applyNumberFormat="1" applyFont="1" applyBorder="1" applyAlignment="1">
      <alignment horizontal="center" wrapText="1"/>
    </xf>
    <xf numFmtId="171" fontId="4" fillId="0" borderId="40" xfId="0" applyNumberFormat="1" applyFont="1" applyFill="1" applyBorder="1" applyAlignment="1" applyProtection="1">
      <alignment horizontal="center" vertical="top"/>
      <protection hidden="1"/>
    </xf>
    <xf numFmtId="171" fontId="4" fillId="0" borderId="40" xfId="0" applyNumberFormat="1" applyFont="1" applyFill="1" applyBorder="1" applyAlignment="1" applyProtection="1">
      <alignment vertical="top"/>
      <protection hidden="1"/>
    </xf>
    <xf numFmtId="0" fontId="3" fillId="0" borderId="40" xfId="0" applyNumberFormat="1" applyFont="1" applyFill="1" applyBorder="1" applyAlignment="1" applyProtection="1">
      <alignment horizontal="justify" vertical="top" wrapText="1"/>
      <protection hidden="1"/>
    </xf>
    <xf numFmtId="4" fontId="4" fillId="0" borderId="40" xfId="0" applyNumberFormat="1" applyFont="1" applyFill="1" applyBorder="1" applyAlignment="1" applyProtection="1">
      <alignment horizontal="center" vertical="top" wrapText="1"/>
      <protection hidden="1"/>
    </xf>
    <xf numFmtId="183" fontId="4" fillId="0" borderId="40" xfId="0" applyNumberFormat="1" applyFont="1" applyFill="1" applyBorder="1" applyAlignment="1" applyProtection="1">
      <alignment horizontal="center" vertical="top" wrapText="1"/>
      <protection hidden="1"/>
    </xf>
    <xf numFmtId="0" fontId="3" fillId="0" borderId="40" xfId="0" applyFont="1" applyFill="1" applyBorder="1" applyAlignment="1" applyProtection="1">
      <alignment horizontal="justify" vertical="top" wrapText="1"/>
      <protection hidden="1"/>
    </xf>
    <xf numFmtId="171" fontId="3" fillId="0" borderId="40" xfId="0" applyNumberFormat="1" applyFont="1" applyFill="1" applyBorder="1" applyAlignment="1" applyProtection="1">
      <alignment vertical="top"/>
      <protection hidden="1"/>
    </xf>
    <xf numFmtId="0" fontId="4" fillId="0" borderId="40" xfId="0" quotePrefix="1" applyFont="1" applyFill="1" applyBorder="1" applyAlignment="1" applyProtection="1">
      <alignment horizontal="justify" vertical="top" wrapText="1"/>
      <protection hidden="1"/>
    </xf>
    <xf numFmtId="171" fontId="3" fillId="0" borderId="40" xfId="0" applyNumberFormat="1" applyFont="1" applyFill="1" applyBorder="1" applyAlignment="1" applyProtection="1">
      <alignment horizontal="center" vertical="top"/>
      <protection hidden="1"/>
    </xf>
    <xf numFmtId="2" fontId="4" fillId="0" borderId="40" xfId="0" applyNumberFormat="1" applyFont="1" applyFill="1" applyBorder="1" applyAlignment="1" applyProtection="1">
      <alignment horizontal="center" vertical="top"/>
      <protection hidden="1"/>
    </xf>
    <xf numFmtId="2" fontId="4" fillId="0" borderId="40" xfId="0" applyNumberFormat="1" applyFont="1" applyFill="1" applyBorder="1" applyAlignment="1" applyProtection="1">
      <alignment horizontal="center" vertical="top" wrapText="1"/>
      <protection hidden="1"/>
    </xf>
    <xf numFmtId="0" fontId="4" fillId="0" borderId="40" xfId="0" applyFont="1" applyFill="1" applyBorder="1" applyAlignment="1" applyProtection="1">
      <alignment horizontal="right" vertical="top" wrapText="1"/>
      <protection hidden="1"/>
    </xf>
    <xf numFmtId="175" fontId="4" fillId="0" borderId="40" xfId="0" applyNumberFormat="1" applyFont="1" applyFill="1" applyBorder="1" applyAlignment="1" applyProtection="1">
      <alignment horizontal="center" vertical="top" wrapText="1"/>
      <protection hidden="1"/>
    </xf>
    <xf numFmtId="9" fontId="4" fillId="0" borderId="40" xfId="0" applyNumberFormat="1" applyFont="1" applyFill="1" applyBorder="1" applyAlignment="1" applyProtection="1">
      <alignment horizontal="center" vertical="top" wrapText="1"/>
      <protection hidden="1"/>
    </xf>
    <xf numFmtId="0" fontId="3" fillId="0" borderId="40" xfId="0" applyFont="1" applyFill="1" applyBorder="1" applyAlignment="1" applyProtection="1">
      <alignment vertical="top" wrapText="1"/>
      <protection hidden="1"/>
    </xf>
    <xf numFmtId="171" fontId="4" fillId="0" borderId="40" xfId="0" applyNumberFormat="1" applyFont="1" applyFill="1" applyBorder="1" applyAlignment="1" applyProtection="1">
      <alignment horizontal="right" vertical="top"/>
      <protection hidden="1"/>
    </xf>
    <xf numFmtId="166" fontId="3" fillId="0" borderId="40" xfId="0" applyNumberFormat="1" applyFont="1" applyFill="1" applyBorder="1" applyAlignment="1" applyProtection="1">
      <alignment horizontal="center" vertical="top" wrapText="1"/>
      <protection hidden="1"/>
    </xf>
    <xf numFmtId="182" fontId="3" fillId="0" borderId="40" xfId="0" applyNumberFormat="1" applyFont="1" applyFill="1" applyBorder="1" applyAlignment="1" applyProtection="1">
      <alignment vertical="top" wrapText="1"/>
      <protection hidden="1"/>
    </xf>
    <xf numFmtId="171" fontId="4" fillId="0" borderId="40" xfId="0" applyNumberFormat="1" applyFont="1" applyFill="1" applyBorder="1" applyAlignment="1" applyProtection="1">
      <alignment horizontal="center" vertical="top" wrapText="1"/>
      <protection hidden="1"/>
    </xf>
    <xf numFmtId="171" fontId="4" fillId="0" borderId="40" xfId="0" applyNumberFormat="1" applyFont="1" applyFill="1" applyBorder="1" applyAlignment="1" applyProtection="1">
      <alignment vertical="top" wrapText="1"/>
      <protection hidden="1"/>
    </xf>
    <xf numFmtId="171" fontId="3" fillId="0" borderId="40" xfId="0" applyNumberFormat="1" applyFont="1" applyFill="1" applyBorder="1" applyAlignment="1" applyProtection="1">
      <alignment vertical="top" wrapText="1"/>
      <protection hidden="1"/>
    </xf>
    <xf numFmtId="0" fontId="3" fillId="0" borderId="40" xfId="0" applyFont="1" applyFill="1" applyBorder="1" applyAlignment="1" applyProtection="1">
      <alignment horizontal="left" vertical="top" wrapText="1"/>
      <protection hidden="1"/>
    </xf>
    <xf numFmtId="0" fontId="3" fillId="0" borderId="40" xfId="0" applyFont="1" applyFill="1" applyBorder="1" applyAlignment="1" applyProtection="1">
      <alignment vertical="top"/>
      <protection hidden="1"/>
    </xf>
    <xf numFmtId="2" fontId="4" fillId="0" borderId="40" xfId="0" applyNumberFormat="1" applyFont="1" applyFill="1" applyBorder="1" applyAlignment="1">
      <alignment horizontal="right" vertical="top"/>
    </xf>
    <xf numFmtId="2" fontId="3" fillId="0" borderId="40" xfId="0" applyNumberFormat="1" applyFont="1" applyFill="1" applyBorder="1" applyAlignment="1" applyProtection="1">
      <alignment horizontal="center" vertical="top" wrapText="1"/>
      <protection hidden="1"/>
    </xf>
    <xf numFmtId="0" fontId="4" fillId="0" borderId="40" xfId="0" applyFont="1" applyFill="1" applyBorder="1" applyAlignment="1">
      <alignment horizontal="left" vertical="top" wrapText="1"/>
    </xf>
    <xf numFmtId="0" fontId="3" fillId="0" borderId="40" xfId="0" applyFont="1" applyFill="1" applyBorder="1" applyAlignment="1" applyProtection="1">
      <alignment horizontal="left" vertical="top"/>
      <protection hidden="1"/>
    </xf>
    <xf numFmtId="0" fontId="61" fillId="0" borderId="40" xfId="0" applyFont="1" applyFill="1" applyBorder="1" applyAlignment="1" applyProtection="1">
      <alignment horizontal="justify" vertical="top" wrapText="1"/>
      <protection hidden="1"/>
    </xf>
    <xf numFmtId="0" fontId="3" fillId="0" borderId="40" xfId="0" applyNumberFormat="1" applyFont="1" applyFill="1" applyBorder="1" applyAlignment="1">
      <alignment horizontal="justify" vertical="top" wrapText="1"/>
    </xf>
    <xf numFmtId="0" fontId="4" fillId="0" borderId="40" xfId="0" applyFont="1" applyFill="1" applyBorder="1"/>
    <xf numFmtId="2" fontId="4" fillId="0" borderId="40" xfId="0" applyNumberFormat="1" applyFont="1" applyFill="1" applyBorder="1" applyAlignment="1">
      <alignment vertical="top"/>
    </xf>
    <xf numFmtId="0" fontId="3" fillId="0" borderId="40" xfId="0" applyFont="1" applyFill="1" applyBorder="1" applyAlignment="1">
      <alignment horizontal="justify" vertical="top" wrapText="1"/>
    </xf>
    <xf numFmtId="2" fontId="3" fillId="0" borderId="40" xfId="0" applyNumberFormat="1" applyFont="1" applyFill="1" applyBorder="1" applyAlignment="1" applyProtection="1">
      <alignment horizontal="center" vertical="top"/>
      <protection hidden="1"/>
    </xf>
    <xf numFmtId="2" fontId="4" fillId="0" borderId="40" xfId="0" applyNumberFormat="1" applyFont="1" applyFill="1" applyBorder="1" applyAlignment="1" applyProtection="1">
      <alignment vertical="top"/>
      <protection hidden="1"/>
    </xf>
    <xf numFmtId="0" fontId="4" fillId="0" borderId="40" xfId="0" applyFont="1" applyFill="1" applyBorder="1" applyAlignment="1" applyProtection="1">
      <alignment vertical="top" wrapText="1"/>
      <protection hidden="1"/>
    </xf>
    <xf numFmtId="0" fontId="4" fillId="0" borderId="40" xfId="0" applyFont="1" applyFill="1" applyBorder="1" applyProtection="1">
      <protection hidden="1"/>
    </xf>
    <xf numFmtId="0" fontId="3" fillId="0" borderId="40" xfId="0" applyFont="1" applyFill="1" applyBorder="1" applyAlignment="1" applyProtection="1">
      <alignment horizontal="right" vertical="top"/>
      <protection hidden="1"/>
    </xf>
    <xf numFmtId="2" fontId="4" fillId="0" borderId="40" xfId="0" applyNumberFormat="1" applyFont="1" applyFill="1" applyBorder="1" applyAlignment="1" applyProtection="1">
      <alignment vertical="top" wrapText="1"/>
      <protection hidden="1"/>
    </xf>
    <xf numFmtId="0" fontId="3" fillId="0" borderId="40" xfId="0" applyFont="1" applyFill="1" applyBorder="1" applyAlignment="1" applyProtection="1">
      <alignment horizontal="center" vertical="top"/>
      <protection hidden="1"/>
    </xf>
    <xf numFmtId="0" fontId="4" fillId="0" borderId="40" xfId="0" applyFont="1" applyFill="1" applyBorder="1" applyAlignment="1">
      <alignment horizontal="left" vertical="top"/>
    </xf>
    <xf numFmtId="2" fontId="4" fillId="0" borderId="40" xfId="0" applyNumberFormat="1" applyFont="1" applyFill="1" applyBorder="1" applyAlignment="1">
      <alignment horizontal="right" vertical="top" wrapText="1"/>
    </xf>
    <xf numFmtId="1" fontId="4" fillId="0" borderId="40" xfId="0" applyNumberFormat="1" applyFont="1" applyFill="1" applyBorder="1" applyAlignment="1">
      <alignment horizontal="center" vertical="top" wrapText="1"/>
    </xf>
    <xf numFmtId="2" fontId="4" fillId="0" borderId="40" xfId="0" applyNumberFormat="1" applyFont="1" applyFill="1" applyBorder="1" applyAlignment="1">
      <alignment horizontal="center" vertical="top"/>
    </xf>
    <xf numFmtId="165" fontId="4" fillId="0" borderId="40" xfId="0" applyNumberFormat="1" applyFont="1" applyFill="1" applyBorder="1" applyAlignment="1">
      <alignment horizontal="right" vertical="top" wrapText="1"/>
    </xf>
    <xf numFmtId="4" fontId="4" fillId="0" borderId="40" xfId="0" applyNumberFormat="1" applyFont="1" applyFill="1" applyBorder="1" applyAlignment="1">
      <alignment horizontal="left" vertical="top" wrapText="1"/>
    </xf>
    <xf numFmtId="171" fontId="4" fillId="0" borderId="40" xfId="0" applyNumberFormat="1" applyFont="1" applyFill="1" applyBorder="1" applyAlignment="1">
      <alignment horizontal="center" vertical="center"/>
    </xf>
    <xf numFmtId="0" fontId="4" fillId="0" borderId="40" xfId="0" applyFont="1" applyFill="1" applyBorder="1" applyAlignment="1">
      <alignment vertical="top"/>
    </xf>
    <xf numFmtId="0" fontId="4" fillId="0" borderId="40" xfId="0" applyFont="1" applyFill="1" applyBorder="1" applyAlignment="1">
      <alignment horizontal="center"/>
    </xf>
    <xf numFmtId="2" fontId="3" fillId="0" borderId="40" xfId="0" applyNumberFormat="1" applyFont="1" applyFill="1" applyBorder="1" applyAlignment="1">
      <alignment vertical="top"/>
    </xf>
    <xf numFmtId="2" fontId="3" fillId="0" borderId="40" xfId="0" applyNumberFormat="1" applyFont="1" applyFill="1" applyBorder="1" applyAlignment="1">
      <alignment horizontal="right" vertical="top"/>
    </xf>
    <xf numFmtId="0" fontId="3" fillId="0" borderId="40" xfId="0" applyFont="1" applyFill="1" applyBorder="1" applyAlignment="1">
      <alignment horizontal="right" vertical="top" wrapText="1"/>
    </xf>
    <xf numFmtId="175" fontId="3" fillId="0" borderId="40" xfId="0" applyNumberFormat="1" applyFont="1" applyFill="1" applyBorder="1" applyAlignment="1">
      <alignment horizontal="center" vertical="top"/>
    </xf>
    <xf numFmtId="4" fontId="3" fillId="0" borderId="40" xfId="0" applyNumberFormat="1" applyFont="1" applyFill="1" applyBorder="1" applyAlignment="1">
      <alignment horizontal="left" vertical="top" wrapText="1"/>
    </xf>
    <xf numFmtId="0" fontId="3" fillId="0" borderId="40" xfId="0" applyFont="1" applyFill="1" applyBorder="1" applyAlignment="1">
      <alignment vertical="top"/>
    </xf>
    <xf numFmtId="2" fontId="3" fillId="0" borderId="40" xfId="0" applyNumberFormat="1" applyFont="1" applyFill="1" applyBorder="1" applyAlignment="1">
      <alignment horizontal="right" vertical="top" wrapText="1"/>
    </xf>
    <xf numFmtId="2" fontId="3" fillId="0" borderId="40" xfId="0" applyNumberFormat="1" applyFont="1" applyFill="1" applyBorder="1" applyAlignment="1">
      <alignment horizontal="center" vertical="top"/>
    </xf>
    <xf numFmtId="0" fontId="3" fillId="0" borderId="40" xfId="0" applyFont="1" applyFill="1" applyBorder="1" applyAlignment="1">
      <alignment horizontal="right"/>
    </xf>
    <xf numFmtId="1" fontId="3" fillId="0" borderId="40" xfId="0" applyNumberFormat="1" applyFont="1" applyFill="1" applyBorder="1" applyAlignment="1">
      <alignment horizontal="center" vertical="top" wrapText="1"/>
    </xf>
    <xf numFmtId="2" fontId="57" fillId="0" borderId="40" xfId="0" applyNumberFormat="1" applyFont="1" applyFill="1" applyBorder="1" applyAlignment="1">
      <alignment horizontal="center" vertical="top"/>
    </xf>
    <xf numFmtId="0" fontId="4" fillId="0" borderId="40" xfId="0" applyFont="1" applyFill="1" applyBorder="1" applyAlignment="1">
      <alignment vertical="top" wrapText="1"/>
    </xf>
    <xf numFmtId="0" fontId="32" fillId="0" borderId="42" xfId="0" applyFont="1" applyBorder="1" applyAlignment="1">
      <alignment vertical="center" wrapText="1"/>
    </xf>
    <xf numFmtId="2" fontId="32" fillId="0" borderId="42" xfId="0" applyNumberFormat="1" applyFont="1" applyBorder="1" applyAlignment="1">
      <alignment vertical="center"/>
    </xf>
    <xf numFmtId="0" fontId="6" fillId="0" borderId="0" xfId="0" applyFont="1" applyBorder="1" applyAlignment="1">
      <alignment horizontal="center" wrapText="1"/>
    </xf>
    <xf numFmtId="0" fontId="32" fillId="0" borderId="0" xfId="0" applyFont="1" applyBorder="1" applyAlignment="1">
      <alignment vertical="center" wrapText="1"/>
    </xf>
    <xf numFmtId="0" fontId="32" fillId="0" borderId="36" xfId="0" applyFont="1" applyBorder="1" applyAlignment="1">
      <alignment horizontal="center" vertical="center" wrapText="1"/>
    </xf>
    <xf numFmtId="2" fontId="32" fillId="0" borderId="36" xfId="0" applyNumberFormat="1" applyFont="1" applyBorder="1" applyAlignment="1">
      <alignment vertical="center" wrapText="1"/>
    </xf>
    <xf numFmtId="0" fontId="32" fillId="0" borderId="36" xfId="0" applyFont="1" applyFill="1" applyBorder="1" applyAlignment="1">
      <alignment vertical="center" wrapText="1"/>
    </xf>
    <xf numFmtId="2" fontId="32" fillId="0" borderId="36" xfId="0" applyNumberFormat="1" applyFont="1" applyFill="1" applyBorder="1" applyAlignment="1">
      <alignment vertical="center" wrapText="1"/>
    </xf>
    <xf numFmtId="2" fontId="32" fillId="0" borderId="0" xfId="0" applyNumberFormat="1" applyFont="1" applyFill="1" applyBorder="1" applyAlignment="1">
      <alignment vertical="center" wrapText="1"/>
    </xf>
    <xf numFmtId="0" fontId="6" fillId="0" borderId="36" xfId="0" applyFont="1" applyBorder="1" applyAlignment="1">
      <alignment horizontal="right" vertical="center" wrapText="1"/>
    </xf>
    <xf numFmtId="2" fontId="6" fillId="0" borderId="36" xfId="0" applyNumberFormat="1" applyFont="1" applyBorder="1" applyAlignment="1">
      <alignment vertical="center" wrapText="1"/>
    </xf>
    <xf numFmtId="2" fontId="32" fillId="0" borderId="0" xfId="0" applyNumberFormat="1" applyFont="1" applyBorder="1" applyAlignment="1">
      <alignment vertical="center" wrapText="1"/>
    </xf>
    <xf numFmtId="0" fontId="32" fillId="0" borderId="37" xfId="0" applyFont="1" applyBorder="1" applyAlignment="1">
      <alignment horizontal="center" vertical="center" wrapText="1"/>
    </xf>
    <xf numFmtId="0" fontId="6" fillId="0" borderId="37" xfId="0" applyFont="1" applyBorder="1" applyAlignment="1">
      <alignment horizontal="right" vertical="center" wrapText="1"/>
    </xf>
    <xf numFmtId="2" fontId="37" fillId="0" borderId="37" xfId="0" applyNumberFormat="1" applyFont="1" applyBorder="1" applyAlignment="1">
      <alignment vertical="center" wrapText="1"/>
    </xf>
    <xf numFmtId="0" fontId="32" fillId="0" borderId="0" xfId="0" applyFont="1" applyBorder="1" applyAlignment="1">
      <alignment horizontal="center" wrapText="1"/>
    </xf>
    <xf numFmtId="1" fontId="32" fillId="0" borderId="0" xfId="0" applyNumberFormat="1" applyFont="1" applyBorder="1" applyAlignment="1">
      <alignment wrapText="1"/>
    </xf>
    <xf numFmtId="2" fontId="32" fillId="0" borderId="0" xfId="0" applyNumberFormat="1" applyFont="1" applyBorder="1" applyAlignment="1">
      <alignment wrapText="1"/>
    </xf>
    <xf numFmtId="0" fontId="34" fillId="0" borderId="0" xfId="0" applyFont="1" applyBorder="1" applyAlignment="1">
      <alignment horizontal="center" wrapText="1"/>
    </xf>
    <xf numFmtId="0" fontId="34" fillId="0" borderId="0" xfId="0" applyFont="1" applyBorder="1" applyAlignment="1">
      <alignment wrapText="1"/>
    </xf>
    <xf numFmtId="0" fontId="36" fillId="0" borderId="39" xfId="0" applyFont="1" applyFill="1" applyBorder="1" applyAlignment="1">
      <alignment horizontal="center" vertical="top"/>
    </xf>
    <xf numFmtId="0" fontId="62" fillId="0" borderId="39" xfId="0" applyFont="1" applyFill="1" applyBorder="1" applyAlignment="1">
      <alignment horizontal="center" vertical="center"/>
    </xf>
    <xf numFmtId="0" fontId="36" fillId="0" borderId="39" xfId="0" applyFont="1" applyFill="1" applyBorder="1" applyAlignment="1">
      <alignment horizontal="justify" vertical="top" wrapText="1"/>
    </xf>
    <xf numFmtId="2" fontId="36" fillId="0" borderId="39" xfId="0" applyNumberFormat="1" applyFont="1" applyFill="1" applyBorder="1" applyAlignment="1">
      <alignment horizontal="right" vertical="top"/>
    </xf>
    <xf numFmtId="0" fontId="36" fillId="0" borderId="39" xfId="0" applyFont="1" applyFill="1" applyBorder="1" applyAlignment="1">
      <alignment vertical="top"/>
    </xf>
    <xf numFmtId="2" fontId="36" fillId="0" borderId="39" xfId="0" applyNumberFormat="1" applyFont="1" applyFill="1" applyBorder="1" applyAlignment="1">
      <alignment vertical="top"/>
    </xf>
    <xf numFmtId="2" fontId="36" fillId="0" borderId="39" xfId="0" applyNumberFormat="1" applyFont="1" applyFill="1" applyBorder="1" applyAlignment="1">
      <alignment horizontal="right" shrinkToFit="1"/>
    </xf>
    <xf numFmtId="0" fontId="3" fillId="0" borderId="0" xfId="0" applyFont="1" applyFill="1" applyBorder="1" applyAlignment="1">
      <alignment horizontal="justify" vertical="top" wrapText="1"/>
    </xf>
    <xf numFmtId="0" fontId="32" fillId="0" borderId="0" xfId="0" applyFont="1" applyFill="1" applyBorder="1" applyAlignment="1">
      <alignment vertical="center"/>
    </xf>
    <xf numFmtId="9" fontId="4" fillId="25" borderId="39" xfId="0" applyNumberFormat="1" applyFont="1" applyFill="1" applyBorder="1"/>
    <xf numFmtId="0" fontId="4" fillId="0" borderId="40" xfId="0" applyFont="1" applyFill="1" applyBorder="1" applyAlignment="1" applyProtection="1">
      <alignment horizontal="justify" vertical="top" wrapText="1"/>
      <protection hidden="1"/>
    </xf>
    <xf numFmtId="0" fontId="3" fillId="0" borderId="0" xfId="0" applyFont="1" applyFill="1" applyBorder="1" applyAlignment="1" applyProtection="1">
      <alignment horizontal="center" vertical="center"/>
      <protection hidden="1"/>
    </xf>
    <xf numFmtId="0" fontId="4" fillId="0" borderId="40" xfId="0" applyFont="1" applyFill="1" applyBorder="1" applyAlignment="1">
      <alignment horizontal="justify" vertical="top" wrapText="1"/>
    </xf>
    <xf numFmtId="0" fontId="3" fillId="0" borderId="40" xfId="0" applyFont="1" applyFill="1" applyBorder="1" applyAlignment="1">
      <alignment horizontal="left" vertical="top" wrapText="1"/>
    </xf>
    <xf numFmtId="0" fontId="4" fillId="0" borderId="40" xfId="0" applyFont="1" applyFill="1" applyBorder="1" applyAlignment="1" applyProtection="1">
      <alignment horizontal="left" vertical="top"/>
      <protection hidden="1"/>
    </xf>
    <xf numFmtId="0" fontId="4" fillId="0" borderId="40" xfId="0" applyFont="1" applyFill="1" applyBorder="1" applyAlignment="1" applyProtection="1">
      <alignment horizontal="left" vertical="top" wrapText="1"/>
      <protection hidden="1"/>
    </xf>
    <xf numFmtId="0" fontId="4" fillId="0" borderId="40" xfId="0" applyNumberFormat="1" applyFont="1" applyFill="1" applyBorder="1" applyAlignment="1" applyProtection="1">
      <alignment horizontal="justify" vertical="top" wrapText="1"/>
      <protection hidden="1"/>
    </xf>
    <xf numFmtId="0" fontId="4" fillId="0" borderId="40" xfId="0" applyNumberFormat="1" applyFont="1" applyFill="1" applyBorder="1" applyAlignment="1">
      <alignment horizontal="justify" vertical="top" wrapText="1"/>
    </xf>
    <xf numFmtId="0" fontId="4" fillId="0" borderId="40" xfId="0" applyFont="1" applyFill="1" applyBorder="1" applyAlignment="1" applyProtection="1">
      <alignment horizontal="center" vertical="top"/>
      <protection hidden="1"/>
    </xf>
    <xf numFmtId="0" fontId="3" fillId="0" borderId="40" xfId="0" applyFont="1" applyFill="1" applyBorder="1" applyAlignment="1" applyProtection="1">
      <alignment horizontal="center" vertical="top" wrapText="1"/>
      <protection hidden="1"/>
    </xf>
    <xf numFmtId="2" fontId="3" fillId="0" borderId="40" xfId="0" applyNumberFormat="1" applyFont="1" applyFill="1" applyBorder="1" applyAlignment="1" applyProtection="1">
      <alignment horizontal="center" vertical="center" wrapText="1"/>
      <protection hidden="1"/>
    </xf>
    <xf numFmtId="0" fontId="3" fillId="0" borderId="40" xfId="0" applyFont="1" applyFill="1" applyBorder="1" applyAlignment="1" applyProtection="1">
      <alignment horizontal="center" vertical="center" wrapText="1"/>
      <protection hidden="1"/>
    </xf>
    <xf numFmtId="0" fontId="4" fillId="0" borderId="40" xfId="0" applyFont="1" applyFill="1" applyBorder="1" applyAlignment="1" applyProtection="1">
      <alignment horizontal="center" vertical="top" wrapText="1"/>
      <protection hidden="1"/>
    </xf>
    <xf numFmtId="0" fontId="43" fillId="0" borderId="46" xfId="42" applyFont="1" applyFill="1" applyBorder="1" applyAlignment="1">
      <alignment horizontal="center" vertical="top"/>
    </xf>
    <xf numFmtId="2" fontId="43" fillId="0" borderId="46" xfId="42" applyNumberFormat="1" applyFont="1" applyFill="1" applyBorder="1" applyAlignment="1">
      <alignment horizontal="right" vertical="center"/>
    </xf>
    <xf numFmtId="0" fontId="43" fillId="0" borderId="0" xfId="42" applyFont="1" applyFill="1" applyBorder="1" applyAlignment="1">
      <alignment vertical="top"/>
    </xf>
    <xf numFmtId="0" fontId="43" fillId="0" borderId="0" xfId="0" applyFont="1" applyFill="1" applyBorder="1" applyAlignment="1">
      <alignment horizontal="center" wrapText="1"/>
    </xf>
    <xf numFmtId="0" fontId="43" fillId="0" borderId="0" xfId="42" applyFont="1" applyFill="1" applyBorder="1" applyAlignment="1"/>
    <xf numFmtId="0" fontId="43" fillId="0" borderId="0" xfId="42" applyFont="1" applyFill="1" applyBorder="1" applyAlignment="1">
      <alignment wrapText="1"/>
    </xf>
    <xf numFmtId="0" fontId="43" fillId="0" borderId="35" xfId="42" applyFont="1" applyFill="1" applyBorder="1" applyAlignment="1">
      <alignment horizontal="center" vertical="top"/>
    </xf>
    <xf numFmtId="0" fontId="43" fillId="0" borderId="35" xfId="42" applyFont="1" applyFill="1" applyBorder="1" applyAlignment="1">
      <alignment vertical="top" wrapText="1"/>
    </xf>
    <xf numFmtId="0" fontId="43" fillId="0" borderId="35" xfId="42" applyFont="1" applyFill="1" applyBorder="1" applyAlignment="1">
      <alignment horizontal="center" vertical="center" wrapText="1"/>
    </xf>
    <xf numFmtId="2" fontId="43" fillId="0" borderId="35" xfId="42" applyNumberFormat="1" applyFont="1" applyFill="1" applyBorder="1" applyAlignment="1">
      <alignment horizontal="center" vertical="center" wrapText="1"/>
    </xf>
    <xf numFmtId="2" fontId="43" fillId="0" borderId="35" xfId="42" applyNumberFormat="1" applyFont="1" applyFill="1" applyBorder="1" applyAlignment="1">
      <alignment horizontal="center" vertical="center"/>
    </xf>
    <xf numFmtId="0" fontId="43" fillId="0" borderId="35" xfId="42" applyFont="1" applyFill="1" applyBorder="1" applyAlignment="1">
      <alignment horizontal="center" vertical="center"/>
    </xf>
    <xf numFmtId="2" fontId="43" fillId="0" borderId="35" xfId="42" applyNumberFormat="1" applyFont="1" applyFill="1" applyBorder="1" applyAlignment="1">
      <alignment horizontal="right" vertical="center"/>
    </xf>
    <xf numFmtId="0" fontId="43" fillId="0" borderId="0" xfId="0" applyFont="1" applyFill="1" applyBorder="1" applyAlignment="1">
      <alignment horizontal="center"/>
    </xf>
    <xf numFmtId="165" fontId="43" fillId="0" borderId="0" xfId="0" applyNumberFormat="1" applyFont="1" applyFill="1" applyBorder="1" applyAlignment="1">
      <alignment horizontal="center"/>
    </xf>
    <xf numFmtId="2" fontId="43" fillId="0" borderId="0" xfId="42" applyNumberFormat="1" applyFont="1" applyFill="1" applyBorder="1" applyAlignment="1">
      <alignment vertical="top"/>
    </xf>
    <xf numFmtId="2" fontId="43" fillId="0" borderId="0" xfId="0" applyNumberFormat="1" applyFont="1" applyFill="1" applyBorder="1" applyAlignment="1">
      <alignment horizontal="center" vertical="center" wrapText="1"/>
    </xf>
    <xf numFmtId="0" fontId="43" fillId="0" borderId="0" xfId="0" applyFont="1" applyFill="1" applyBorder="1" applyAlignment="1">
      <alignment vertical="center"/>
    </xf>
    <xf numFmtId="0" fontId="43" fillId="0" borderId="0" xfId="42" applyFont="1" applyFill="1" applyBorder="1" applyAlignment="1">
      <alignment vertical="top" wrapText="1"/>
    </xf>
    <xf numFmtId="0" fontId="43" fillId="0" borderId="0" xfId="0" applyFont="1" applyFill="1" applyBorder="1"/>
    <xf numFmtId="0" fontId="42" fillId="0" borderId="35" xfId="42" applyFont="1" applyFill="1" applyBorder="1" applyAlignment="1">
      <alignment vertical="top"/>
    </xf>
    <xf numFmtId="0" fontId="43" fillId="0" borderId="35" xfId="42" applyFont="1" applyFill="1" applyBorder="1" applyAlignment="1">
      <alignment vertical="top"/>
    </xf>
    <xf numFmtId="2" fontId="41" fillId="0" borderId="35" xfId="42" applyNumberFormat="1" applyFont="1" applyFill="1" applyBorder="1" applyAlignment="1">
      <alignment horizontal="center" vertical="center"/>
    </xf>
    <xf numFmtId="1" fontId="41" fillId="0" borderId="35" xfId="42" applyNumberFormat="1" applyFont="1" applyFill="1" applyBorder="1" applyAlignment="1">
      <alignment horizontal="center" vertical="center"/>
    </xf>
    <xf numFmtId="2" fontId="41" fillId="0" borderId="35" xfId="42" applyNumberFormat="1" applyFont="1" applyFill="1" applyBorder="1" applyAlignment="1">
      <alignment horizontal="right" vertical="center"/>
    </xf>
    <xf numFmtId="165" fontId="43" fillId="0" borderId="35" xfId="42" applyNumberFormat="1" applyFont="1" applyFill="1" applyBorder="1" applyAlignment="1">
      <alignment horizontal="center" vertical="center"/>
    </xf>
    <xf numFmtId="2" fontId="43" fillId="0" borderId="35" xfId="42" quotePrefix="1" applyNumberFormat="1" applyFont="1" applyFill="1" applyBorder="1" applyAlignment="1">
      <alignment horizontal="center" vertical="center" wrapText="1"/>
    </xf>
    <xf numFmtId="4" fontId="43" fillId="0" borderId="35" xfId="42" applyNumberFormat="1" applyFont="1" applyFill="1" applyBorder="1" applyAlignment="1">
      <alignment horizontal="center" vertical="center"/>
    </xf>
    <xf numFmtId="1" fontId="43" fillId="0" borderId="0" xfId="42" applyNumberFormat="1" applyFont="1" applyFill="1" applyBorder="1" applyAlignment="1">
      <alignment vertical="top"/>
    </xf>
    <xf numFmtId="4" fontId="43" fillId="0" borderId="35" xfId="42" applyNumberFormat="1" applyFont="1" applyFill="1" applyBorder="1" applyAlignment="1">
      <alignment horizontal="center" vertical="center" wrapText="1"/>
    </xf>
    <xf numFmtId="0" fontId="41" fillId="0" borderId="35" xfId="42" applyFont="1" applyFill="1" applyBorder="1" applyAlignment="1">
      <alignment horizontal="justify" vertical="top" wrapText="1"/>
    </xf>
    <xf numFmtId="0" fontId="41" fillId="0" borderId="35" xfId="42" applyFont="1" applyFill="1" applyBorder="1" applyAlignment="1">
      <alignment vertical="top"/>
    </xf>
    <xf numFmtId="0" fontId="43" fillId="0" borderId="0" xfId="46" applyFont="1" applyFill="1" applyBorder="1"/>
    <xf numFmtId="0" fontId="43" fillId="0" borderId="35" xfId="46" applyFont="1" applyFill="1" applyBorder="1" applyAlignment="1">
      <alignment horizontal="center"/>
    </xf>
    <xf numFmtId="0" fontId="43" fillId="0" borderId="35" xfId="46" applyFont="1" applyFill="1" applyBorder="1"/>
    <xf numFmtId="0" fontId="41" fillId="0" borderId="35" xfId="47" applyFont="1" applyFill="1" applyBorder="1" applyAlignment="1">
      <alignment horizontal="center" vertical="center" wrapText="1"/>
    </xf>
    <xf numFmtId="0" fontId="43" fillId="0" borderId="0" xfId="47" applyFont="1" applyFill="1" applyBorder="1"/>
    <xf numFmtId="0" fontId="43" fillId="0" borderId="35" xfId="47" applyFont="1" applyFill="1" applyBorder="1" applyAlignment="1">
      <alignment horizontal="center" vertical="top" wrapText="1"/>
    </xf>
    <xf numFmtId="2" fontId="41" fillId="0" borderId="35" xfId="47" applyNumberFormat="1" applyFont="1" applyFill="1" applyBorder="1" applyAlignment="1">
      <alignment horizontal="right" vertical="justify" wrapText="1"/>
    </xf>
    <xf numFmtId="2" fontId="43" fillId="0" borderId="35" xfId="47" applyNumberFormat="1" applyFont="1" applyFill="1" applyBorder="1" applyAlignment="1">
      <alignment horizontal="right" vertical="top" wrapText="1"/>
    </xf>
    <xf numFmtId="0" fontId="41" fillId="0" borderId="35" xfId="47" applyFont="1" applyFill="1" applyBorder="1" applyAlignment="1">
      <alignment horizontal="right" vertical="top" wrapText="1"/>
    </xf>
    <xf numFmtId="0" fontId="43" fillId="0" borderId="35" xfId="47" applyFont="1" applyFill="1" applyBorder="1" applyAlignment="1">
      <alignment horizontal="left" vertical="top" wrapText="1"/>
    </xf>
    <xf numFmtId="0" fontId="43" fillId="0" borderId="35" xfId="47" applyFont="1" applyFill="1" applyBorder="1" applyAlignment="1">
      <alignment horizontal="right" vertical="top" wrapText="1"/>
    </xf>
    <xf numFmtId="2" fontId="41" fillId="0" borderId="35" xfId="47" applyNumberFormat="1" applyFont="1" applyFill="1" applyBorder="1" applyAlignment="1">
      <alignment horizontal="justify" vertical="justify" wrapText="1"/>
    </xf>
    <xf numFmtId="165" fontId="43" fillId="0" borderId="35" xfId="47" applyNumberFormat="1" applyFont="1" applyFill="1" applyBorder="1" applyAlignment="1">
      <alignment horizontal="right" vertical="top" wrapText="1"/>
    </xf>
    <xf numFmtId="2" fontId="41" fillId="0" borderId="35" xfId="47" applyNumberFormat="1" applyFont="1" applyFill="1" applyBorder="1" applyAlignment="1">
      <alignment horizontal="center" vertical="justify" wrapText="1"/>
    </xf>
    <xf numFmtId="2" fontId="41" fillId="0" borderId="35" xfId="47" applyNumberFormat="1" applyFont="1" applyFill="1" applyBorder="1" applyAlignment="1">
      <alignment horizontal="left" vertical="top" wrapText="1"/>
    </xf>
    <xf numFmtId="2" fontId="43" fillId="0" borderId="35" xfId="0" applyNumberFormat="1" applyFont="1" applyFill="1" applyBorder="1"/>
    <xf numFmtId="2" fontId="3" fillId="0" borderId="35" xfId="47" applyNumberFormat="1" applyFont="1" applyFill="1" applyBorder="1" applyAlignment="1">
      <alignment horizontal="left" vertical="top" wrapText="1"/>
    </xf>
    <xf numFmtId="2" fontId="41" fillId="0" borderId="35" xfId="47" applyNumberFormat="1" applyFont="1" applyFill="1" applyBorder="1" applyAlignment="1">
      <alignment horizontal="center" vertical="center" wrapText="1"/>
    </xf>
    <xf numFmtId="2" fontId="43" fillId="0" borderId="35" xfId="47" applyNumberFormat="1" applyFont="1" applyFill="1" applyBorder="1" applyAlignment="1">
      <alignment horizontal="left" vertical="top" wrapText="1"/>
    </xf>
    <xf numFmtId="0" fontId="41" fillId="0" borderId="35" xfId="47" applyFont="1" applyFill="1" applyBorder="1" applyAlignment="1">
      <alignment horizontal="center" vertical="top" wrapText="1"/>
    </xf>
    <xf numFmtId="0" fontId="41" fillId="0" borderId="35" xfId="47" applyFont="1" applyFill="1" applyBorder="1" applyAlignment="1">
      <alignment horizontal="justify" vertical="justify" wrapText="1"/>
    </xf>
    <xf numFmtId="0" fontId="43" fillId="0" borderId="35" xfId="47" applyFont="1" applyFill="1" applyBorder="1" applyAlignment="1">
      <alignment horizontal="justify" vertical="justify" wrapText="1"/>
    </xf>
    <xf numFmtId="0" fontId="43" fillId="0" borderId="35" xfId="0" applyFont="1" applyFill="1" applyBorder="1"/>
    <xf numFmtId="0" fontId="41" fillId="0" borderId="35" xfId="43" applyNumberFormat="1" applyFont="1" applyFill="1" applyBorder="1" applyAlignment="1" applyProtection="1">
      <alignment horizontal="justify" vertical="top" wrapText="1"/>
      <protection hidden="1"/>
    </xf>
    <xf numFmtId="175" fontId="43" fillId="0" borderId="35" xfId="0" applyNumberFormat="1" applyFont="1" applyFill="1" applyBorder="1"/>
    <xf numFmtId="0" fontId="41" fillId="0" borderId="35" xfId="47" applyFont="1" applyFill="1" applyBorder="1" applyAlignment="1">
      <alignment horizontal="right" vertical="justify" wrapText="1"/>
    </xf>
    <xf numFmtId="0" fontId="4" fillId="0" borderId="0" xfId="47" applyFont="1" applyFill="1"/>
    <xf numFmtId="2" fontId="41" fillId="0" borderId="35" xfId="47" applyNumberFormat="1" applyFont="1" applyFill="1" applyBorder="1" applyAlignment="1">
      <alignment horizontal="right" vertical="center" wrapText="1"/>
    </xf>
    <xf numFmtId="0" fontId="43" fillId="0" borderId="0" xfId="46" applyFont="1" applyFill="1" applyBorder="1" applyAlignment="1">
      <alignment horizontal="center"/>
    </xf>
    <xf numFmtId="0" fontId="4" fillId="0" borderId="0" xfId="0" applyFont="1" applyFill="1" applyBorder="1" applyAlignment="1" applyProtection="1">
      <alignment vertical="top" wrapText="1"/>
      <protection hidden="1"/>
    </xf>
    <xf numFmtId="0" fontId="3" fillId="0" borderId="0" xfId="0" applyFont="1" applyFill="1" applyBorder="1" applyAlignment="1" applyProtection="1">
      <alignment horizontal="right" vertical="top" wrapText="1"/>
      <protection hidden="1"/>
    </xf>
    <xf numFmtId="175" fontId="3" fillId="0" borderId="0" xfId="0" applyNumberFormat="1" applyFont="1" applyFill="1" applyBorder="1" applyAlignment="1" applyProtection="1">
      <alignment vertical="top" wrapText="1"/>
      <protection hidden="1"/>
    </xf>
    <xf numFmtId="9" fontId="3" fillId="0" borderId="0" xfId="0" applyNumberFormat="1" applyFont="1" applyFill="1" applyBorder="1" applyAlignment="1" applyProtection="1">
      <alignment vertical="top" wrapText="1"/>
      <protection hidden="1"/>
    </xf>
    <xf numFmtId="9" fontId="3" fillId="0" borderId="0" xfId="0" applyNumberFormat="1" applyFont="1" applyFill="1" applyBorder="1" applyAlignment="1" applyProtection="1">
      <alignment horizontal="center" vertical="top" wrapText="1"/>
      <protection hidden="1"/>
    </xf>
    <xf numFmtId="0" fontId="4" fillId="0" borderId="0" xfId="0" applyFont="1" applyFill="1" applyBorder="1" applyAlignment="1" applyProtection="1">
      <alignment horizontal="right" vertical="top" wrapText="1"/>
      <protection hidden="1"/>
    </xf>
    <xf numFmtId="2" fontId="4" fillId="0" borderId="0" xfId="0" applyNumberFormat="1" applyFont="1" applyFill="1" applyBorder="1" applyAlignment="1" applyProtection="1">
      <alignment horizontal="right" vertical="top" wrapText="1" shrinkToFit="1"/>
      <protection hidden="1"/>
    </xf>
    <xf numFmtId="2" fontId="4" fillId="0" borderId="0" xfId="0" applyNumberFormat="1" applyFont="1" applyFill="1" applyBorder="1" applyAlignment="1" applyProtection="1">
      <alignment vertical="top" wrapText="1" shrinkToFit="1"/>
      <protection hidden="1"/>
    </xf>
    <xf numFmtId="2" fontId="4" fillId="0" borderId="0" xfId="0" applyNumberFormat="1" applyFont="1" applyFill="1" applyBorder="1" applyAlignment="1" applyProtection="1">
      <alignment horizontal="right" vertical="top" wrapText="1"/>
      <protection hidden="1"/>
    </xf>
    <xf numFmtId="16" fontId="4" fillId="0" borderId="0" xfId="0" applyNumberFormat="1" applyFont="1" applyFill="1" applyBorder="1" applyAlignment="1" applyProtection="1">
      <alignment horizontal="center" vertical="top" wrapText="1"/>
      <protection hidden="1"/>
    </xf>
    <xf numFmtId="0" fontId="4" fillId="0" borderId="0" xfId="0" applyFont="1" applyFill="1" applyBorder="1" applyAlignment="1" applyProtection="1">
      <alignment horizontal="center" vertical="center" wrapText="1" shrinkToFit="1"/>
      <protection hidden="1"/>
    </xf>
    <xf numFmtId="2" fontId="4" fillId="0" borderId="0" xfId="0" applyNumberFormat="1" applyFont="1" applyFill="1" applyBorder="1" applyAlignment="1" applyProtection="1">
      <alignment horizontal="center" vertical="top" wrapText="1"/>
      <protection hidden="1"/>
    </xf>
    <xf numFmtId="167" fontId="4" fillId="0" borderId="0" xfId="0" applyNumberFormat="1" applyFont="1" applyFill="1" applyBorder="1" applyAlignment="1" applyProtection="1">
      <alignment horizontal="left" vertical="top" wrapText="1"/>
      <protection hidden="1"/>
    </xf>
    <xf numFmtId="0" fontId="4" fillId="0" borderId="0" xfId="0" applyFont="1" applyFill="1" applyBorder="1" applyAlignment="1" applyProtection="1">
      <alignment vertical="center" wrapText="1"/>
      <protection hidden="1"/>
    </xf>
    <xf numFmtId="2" fontId="4" fillId="0" borderId="0" xfId="0" applyNumberFormat="1" applyFont="1" applyFill="1" applyBorder="1" applyAlignment="1" applyProtection="1">
      <alignment horizontal="left" vertical="top" wrapText="1"/>
      <protection hidden="1"/>
    </xf>
    <xf numFmtId="2" fontId="3" fillId="0" borderId="0" xfId="0" applyNumberFormat="1" applyFont="1" applyFill="1" applyBorder="1" applyAlignment="1" applyProtection="1">
      <alignment horizontal="left" vertical="top" wrapText="1"/>
      <protection hidden="1"/>
    </xf>
    <xf numFmtId="166" fontId="4" fillId="0" borderId="0" xfId="0" applyNumberFormat="1" applyFont="1" applyFill="1" applyBorder="1" applyAlignment="1" applyProtection="1">
      <alignment horizontal="left" vertical="top" wrapText="1"/>
      <protection hidden="1"/>
    </xf>
    <xf numFmtId="166" fontId="3" fillId="0" borderId="0" xfId="0" applyNumberFormat="1" applyFont="1" applyFill="1" applyBorder="1" applyAlignment="1" applyProtection="1">
      <alignment horizontal="left" vertical="top" wrapText="1"/>
      <protection hidden="1"/>
    </xf>
    <xf numFmtId="2" fontId="4" fillId="0" borderId="0" xfId="0" applyNumberFormat="1" applyFont="1" applyFill="1" applyBorder="1" applyAlignment="1" applyProtection="1">
      <alignment vertical="top" wrapText="1"/>
      <protection hidden="1"/>
    </xf>
    <xf numFmtId="2" fontId="3" fillId="0" borderId="0" xfId="0" applyNumberFormat="1" applyFont="1" applyFill="1" applyBorder="1" applyAlignment="1" applyProtection="1">
      <alignment vertical="top" wrapText="1"/>
      <protection hidden="1"/>
    </xf>
    <xf numFmtId="166" fontId="4" fillId="0" borderId="0" xfId="0" applyNumberFormat="1" applyFont="1" applyFill="1" applyBorder="1" applyAlignment="1" applyProtection="1">
      <alignment vertical="top" wrapText="1"/>
      <protection hidden="1"/>
    </xf>
    <xf numFmtId="166" fontId="3" fillId="0" borderId="0" xfId="0" applyNumberFormat="1" applyFont="1" applyFill="1" applyBorder="1" applyAlignment="1" applyProtection="1">
      <alignment vertical="top" wrapText="1"/>
      <protection hidden="1"/>
    </xf>
    <xf numFmtId="178" fontId="4" fillId="0" borderId="0" xfId="0" applyNumberFormat="1" applyFont="1" applyFill="1" applyBorder="1" applyAlignment="1">
      <alignment vertical="top"/>
    </xf>
    <xf numFmtId="2" fontId="3" fillId="0" borderId="0" xfId="0" applyNumberFormat="1" applyFont="1" applyFill="1" applyBorder="1" applyAlignment="1" applyProtection="1">
      <alignment horizontal="center" vertical="top" wrapText="1"/>
      <protection hidden="1"/>
    </xf>
    <xf numFmtId="0" fontId="4" fillId="0" borderId="0" xfId="0" applyFont="1" applyFill="1" applyBorder="1" applyAlignment="1" applyProtection="1">
      <alignment vertical="top" wrapText="1" shrinkToFit="1"/>
      <protection hidden="1"/>
    </xf>
    <xf numFmtId="0" fontId="3" fillId="0" borderId="0" xfId="0" applyFont="1" applyFill="1" applyBorder="1" applyAlignment="1" applyProtection="1">
      <alignment vertical="top" wrapText="1" shrinkToFit="1"/>
      <protection hidden="1"/>
    </xf>
    <xf numFmtId="0" fontId="4" fillId="0" borderId="0" xfId="0" applyNumberFormat="1" applyFont="1" applyFill="1" applyBorder="1" applyAlignment="1" applyProtection="1">
      <alignment horizontal="right" vertical="top" wrapText="1" shrinkToFit="1"/>
      <protection hidden="1"/>
    </xf>
    <xf numFmtId="0" fontId="4" fillId="0" borderId="0" xfId="0" applyNumberFormat="1" applyFont="1" applyFill="1" applyBorder="1" applyAlignment="1" applyProtection="1">
      <alignment horizontal="left" vertical="top" wrapText="1" shrinkToFit="1"/>
      <protection hidden="1"/>
    </xf>
    <xf numFmtId="1" fontId="4" fillId="0" borderId="0" xfId="0" applyNumberFormat="1" applyFont="1" applyFill="1" applyBorder="1" applyAlignment="1" applyProtection="1">
      <alignment horizontal="right" vertical="top" wrapText="1" shrinkToFit="1"/>
      <protection hidden="1"/>
    </xf>
    <xf numFmtId="2" fontId="4" fillId="0" borderId="0" xfId="0" applyNumberFormat="1" applyFont="1" applyFill="1" applyBorder="1" applyAlignment="1" applyProtection="1">
      <alignment horizontal="left" vertical="top" wrapText="1" shrinkToFit="1"/>
      <protection hidden="1"/>
    </xf>
    <xf numFmtId="0" fontId="3" fillId="0" borderId="0" xfId="0" applyNumberFormat="1" applyFont="1" applyFill="1" applyBorder="1" applyAlignment="1" applyProtection="1">
      <alignment horizontal="right" vertical="top" wrapText="1"/>
      <protection hidden="1"/>
    </xf>
    <xf numFmtId="2" fontId="3" fillId="0" borderId="0" xfId="0" applyNumberFormat="1" applyFont="1" applyFill="1" applyBorder="1" applyAlignment="1" applyProtection="1">
      <alignment horizontal="right" vertical="top" wrapText="1" shrinkToFit="1"/>
      <protection hidden="1"/>
    </xf>
    <xf numFmtId="167" fontId="3" fillId="0" borderId="0" xfId="0" applyNumberFormat="1" applyFont="1" applyFill="1" applyBorder="1" applyAlignment="1" applyProtection="1">
      <alignment horizontal="left" vertical="top" wrapText="1"/>
      <protection hidden="1"/>
    </xf>
    <xf numFmtId="2" fontId="3" fillId="0" borderId="0" xfId="0" applyNumberFormat="1" applyFont="1" applyFill="1" applyBorder="1" applyAlignment="1" applyProtection="1">
      <alignment vertical="top" wrapText="1" shrinkToFit="1"/>
      <protection hidden="1"/>
    </xf>
    <xf numFmtId="0" fontId="3" fillId="0" borderId="0" xfId="0" applyNumberFormat="1" applyFont="1" applyFill="1" applyBorder="1" applyAlignment="1" applyProtection="1">
      <alignment horizontal="center" vertical="top" wrapText="1" shrinkToFit="1"/>
      <protection hidden="1"/>
    </xf>
    <xf numFmtId="2" fontId="3" fillId="0" borderId="0" xfId="0" applyNumberFormat="1" applyFont="1" applyFill="1" applyBorder="1" applyAlignment="1" applyProtection="1">
      <alignment horizontal="center" vertical="top" wrapText="1" shrinkToFit="1"/>
      <protection hidden="1"/>
    </xf>
    <xf numFmtId="1" fontId="3" fillId="0" borderId="0" xfId="0" applyNumberFormat="1" applyFont="1" applyFill="1" applyBorder="1" applyAlignment="1" applyProtection="1">
      <alignment horizontal="center" vertical="top" wrapText="1" shrinkToFit="1"/>
      <protection hidden="1"/>
    </xf>
    <xf numFmtId="0" fontId="4" fillId="0" borderId="0" xfId="0" applyNumberFormat="1" applyFont="1" applyFill="1" applyBorder="1" applyAlignment="1">
      <alignment vertical="top"/>
    </xf>
    <xf numFmtId="0" fontId="4" fillId="0" borderId="0" xfId="0" applyNumberFormat="1" applyFont="1" applyFill="1" applyBorder="1" applyAlignment="1" applyProtection="1">
      <alignment horizontal="center" vertical="top" wrapText="1"/>
      <protection hidden="1"/>
    </xf>
    <xf numFmtId="165" fontId="4" fillId="0" borderId="0" xfId="0" applyNumberFormat="1" applyFont="1" applyFill="1" applyBorder="1" applyAlignment="1" applyProtection="1">
      <alignment horizontal="center" vertical="top" wrapText="1"/>
      <protection hidden="1"/>
    </xf>
    <xf numFmtId="0" fontId="4" fillId="0" borderId="0" xfId="0" applyFont="1" applyFill="1" applyBorder="1" applyAlignment="1" applyProtection="1">
      <alignment horizontal="center" vertical="top" wrapText="1" shrinkToFit="1"/>
      <protection hidden="1"/>
    </xf>
    <xf numFmtId="0" fontId="4" fillId="0" borderId="0" xfId="0" applyFont="1" applyFill="1" applyBorder="1" applyAlignment="1" applyProtection="1">
      <alignment horizontal="right" vertical="top" wrapText="1" shrinkToFit="1"/>
      <protection hidden="1"/>
    </xf>
    <xf numFmtId="0" fontId="4" fillId="0" borderId="0" xfId="0" applyNumberFormat="1" applyFont="1" applyFill="1" applyBorder="1" applyAlignment="1" applyProtection="1">
      <alignment vertical="top" wrapText="1" shrinkToFit="1"/>
      <protection hidden="1"/>
    </xf>
    <xf numFmtId="0" fontId="4" fillId="0" borderId="0" xfId="0" applyFont="1" applyFill="1" applyBorder="1" applyAlignment="1" applyProtection="1">
      <alignment horizontal="left" vertical="top" wrapText="1" shrinkToFit="1"/>
      <protection hidden="1"/>
    </xf>
    <xf numFmtId="0" fontId="4" fillId="0" borderId="0" xfId="0" applyNumberFormat="1" applyFont="1" applyFill="1" applyBorder="1" applyAlignment="1" applyProtection="1">
      <alignment vertical="top" wrapText="1"/>
      <protection hidden="1"/>
    </xf>
    <xf numFmtId="0" fontId="4" fillId="0" borderId="0" xfId="0" applyNumberFormat="1" applyFont="1" applyFill="1" applyBorder="1" applyAlignment="1" applyProtection="1">
      <alignment horizontal="right" vertical="top" wrapText="1"/>
      <protection hidden="1"/>
    </xf>
    <xf numFmtId="2" fontId="3" fillId="0" borderId="0" xfId="0" applyNumberFormat="1" applyFont="1" applyFill="1" applyBorder="1" applyAlignment="1" applyProtection="1">
      <alignment horizontal="left" vertical="top" wrapText="1" shrinkToFit="1"/>
      <protection hidden="1"/>
    </xf>
    <xf numFmtId="170" fontId="3" fillId="0" borderId="0" xfId="0" applyNumberFormat="1" applyFont="1" applyFill="1" applyBorder="1" applyAlignment="1" applyProtection="1">
      <alignment horizontal="right" vertical="top" wrapText="1" shrinkToFit="1"/>
      <protection hidden="1"/>
    </xf>
    <xf numFmtId="0" fontId="3" fillId="0" borderId="0" xfId="0" applyNumberFormat="1" applyFont="1" applyFill="1" applyBorder="1" applyAlignment="1" applyProtection="1">
      <alignment vertical="top" wrapText="1"/>
      <protection hidden="1"/>
    </xf>
    <xf numFmtId="0" fontId="4" fillId="0" borderId="0" xfId="0" applyFont="1" applyFill="1" applyBorder="1" applyAlignment="1">
      <alignment horizontal="center" vertical="top" wrapText="1" shrinkToFit="1"/>
    </xf>
    <xf numFmtId="0" fontId="4" fillId="0" borderId="0" xfId="0" applyFont="1" applyFill="1" applyBorder="1" applyAlignment="1">
      <alignment horizontal="right" vertical="top" wrapText="1" shrinkToFit="1"/>
    </xf>
    <xf numFmtId="0" fontId="3" fillId="0" borderId="0" xfId="0" applyFont="1" applyFill="1" applyBorder="1" applyAlignment="1">
      <alignment vertical="top" wrapText="1"/>
    </xf>
    <xf numFmtId="0" fontId="4" fillId="0" borderId="0" xfId="0" applyFont="1" applyFill="1" applyBorder="1" applyAlignment="1">
      <alignment vertical="top" wrapText="1"/>
    </xf>
    <xf numFmtId="2" fontId="4" fillId="0" borderId="0" xfId="0" applyNumberFormat="1" applyFont="1" applyFill="1" applyBorder="1" applyAlignment="1">
      <alignment vertical="top" wrapText="1" shrinkToFit="1"/>
    </xf>
    <xf numFmtId="1" fontId="4" fillId="0" borderId="0" xfId="0" applyNumberFormat="1" applyFont="1" applyFill="1" applyBorder="1" applyAlignment="1">
      <alignment vertical="top" wrapText="1" shrinkToFit="1"/>
    </xf>
    <xf numFmtId="167" fontId="4" fillId="0" borderId="0" xfId="0" applyNumberFormat="1" applyFont="1" applyFill="1" applyBorder="1" applyAlignment="1">
      <alignment horizontal="left" vertical="top" wrapText="1" shrinkToFit="1"/>
    </xf>
    <xf numFmtId="0" fontId="4" fillId="0" borderId="0" xfId="0" applyNumberFormat="1" applyFont="1" applyFill="1" applyBorder="1" applyAlignment="1">
      <alignment horizontal="justify" vertical="top" wrapText="1"/>
    </xf>
    <xf numFmtId="2" fontId="4" fillId="0" borderId="0" xfId="0" applyNumberFormat="1" applyFont="1" applyFill="1" applyBorder="1" applyAlignment="1">
      <alignment horizontal="right" vertical="top" wrapText="1" shrinkToFit="1"/>
    </xf>
    <xf numFmtId="2" fontId="4" fillId="0" borderId="0" xfId="0" applyNumberFormat="1" applyFont="1" applyFill="1" applyBorder="1" applyAlignment="1">
      <alignment horizontal="left" vertical="top" wrapText="1" shrinkToFit="1"/>
    </xf>
    <xf numFmtId="1" fontId="4" fillId="0" borderId="0" xfId="0" applyNumberFormat="1" applyFont="1" applyFill="1" applyBorder="1" applyAlignment="1">
      <alignment horizontal="right" vertical="top" wrapText="1" shrinkToFit="1"/>
    </xf>
    <xf numFmtId="2" fontId="3" fillId="0" borderId="0" xfId="0" applyNumberFormat="1" applyFont="1" applyFill="1" applyBorder="1" applyAlignment="1">
      <alignment horizontal="right" vertical="top" wrapText="1" shrinkToFit="1"/>
    </xf>
    <xf numFmtId="0" fontId="3" fillId="0" borderId="0" xfId="0" applyFont="1" applyFill="1" applyBorder="1" applyAlignment="1">
      <alignment vertical="top" wrapText="1" shrinkToFit="1"/>
    </xf>
    <xf numFmtId="1" fontId="4" fillId="0" borderId="0" xfId="0" applyNumberFormat="1" applyFont="1" applyFill="1" applyBorder="1" applyAlignment="1">
      <alignment vertical="top" wrapText="1"/>
    </xf>
    <xf numFmtId="2" fontId="3" fillId="0" borderId="0" xfId="0" applyNumberFormat="1" applyFont="1" applyFill="1" applyBorder="1" applyAlignment="1">
      <alignment horizontal="left" vertical="top" wrapText="1" shrinkToFit="1"/>
    </xf>
    <xf numFmtId="170" fontId="4" fillId="0" borderId="0" xfId="0" applyNumberFormat="1" applyFont="1" applyFill="1" applyBorder="1" applyAlignment="1">
      <alignment horizontal="right" vertical="top" wrapText="1" shrinkToFit="1"/>
    </xf>
    <xf numFmtId="0" fontId="3" fillId="0" borderId="0" xfId="0" applyNumberFormat="1" applyFont="1" applyFill="1" applyBorder="1" applyAlignment="1">
      <alignment horizontal="justify" vertical="top" wrapText="1"/>
    </xf>
    <xf numFmtId="0" fontId="3" fillId="0" borderId="0" xfId="0" applyFont="1" applyFill="1" applyBorder="1" applyAlignment="1">
      <alignment horizontal="left" vertical="top" wrapText="1" shrinkToFit="1"/>
    </xf>
    <xf numFmtId="1" fontId="3" fillId="0" borderId="0" xfId="0" applyNumberFormat="1" applyFont="1" applyFill="1" applyBorder="1" applyAlignment="1">
      <alignment horizontal="right" vertical="top" wrapText="1" shrinkToFit="1"/>
    </xf>
    <xf numFmtId="9" fontId="4" fillId="0" borderId="0" xfId="0" applyNumberFormat="1" applyFont="1" applyFill="1" applyBorder="1" applyAlignment="1" applyProtection="1">
      <alignment horizontal="right" vertical="top" wrapText="1" shrinkToFit="1"/>
      <protection hidden="1"/>
    </xf>
    <xf numFmtId="0" fontId="3" fillId="0" borderId="0" xfId="0" applyFont="1" applyFill="1" applyBorder="1" applyAlignment="1" applyProtection="1">
      <alignment horizontal="center" vertical="top" wrapText="1" shrinkToFit="1"/>
      <protection hidden="1"/>
    </xf>
    <xf numFmtId="9" fontId="4" fillId="0" borderId="0" xfId="0" applyNumberFormat="1" applyFont="1" applyFill="1" applyBorder="1" applyAlignment="1" applyProtection="1">
      <alignment vertical="top" wrapText="1"/>
      <protection hidden="1"/>
    </xf>
    <xf numFmtId="166" fontId="4" fillId="0" borderId="0" xfId="0" applyNumberFormat="1" applyFont="1" applyFill="1" applyBorder="1" applyAlignment="1" applyProtection="1">
      <alignment vertical="top" wrapText="1" shrinkToFit="1"/>
      <protection hidden="1"/>
    </xf>
    <xf numFmtId="0" fontId="3" fillId="0" borderId="0" xfId="0" applyFont="1" applyFill="1" applyBorder="1" applyAlignment="1" applyProtection="1">
      <alignment horizontal="right" vertical="top" wrapText="1" shrinkToFit="1"/>
      <protection hidden="1"/>
    </xf>
    <xf numFmtId="0" fontId="3" fillId="0" borderId="0" xfId="0" applyNumberFormat="1" applyFont="1" applyFill="1" applyBorder="1" applyAlignment="1" applyProtection="1">
      <alignment vertical="top" wrapText="1" shrinkToFit="1"/>
      <protection hidden="1"/>
    </xf>
    <xf numFmtId="9" fontId="4" fillId="0" borderId="0" xfId="0" applyNumberFormat="1" applyFont="1" applyFill="1" applyBorder="1" applyAlignment="1" applyProtection="1">
      <alignment vertical="top" wrapText="1" shrinkToFit="1"/>
      <protection hidden="1"/>
    </xf>
    <xf numFmtId="1" fontId="4" fillId="0" borderId="0" xfId="0" applyNumberFormat="1" applyFont="1" applyFill="1" applyBorder="1" applyAlignment="1" applyProtection="1">
      <alignment vertical="top" wrapText="1" shrinkToFit="1"/>
      <protection hidden="1"/>
    </xf>
    <xf numFmtId="2" fontId="4" fillId="0" borderId="0" xfId="0" applyNumberFormat="1" applyFont="1" applyFill="1" applyBorder="1" applyAlignment="1">
      <alignment horizontal="right" vertical="top" wrapText="1"/>
    </xf>
    <xf numFmtId="2" fontId="4" fillId="0" borderId="0" xfId="0" applyNumberFormat="1" applyFont="1" applyFill="1" applyBorder="1" applyAlignment="1">
      <alignment horizontal="justify" vertical="top" wrapText="1"/>
    </xf>
    <xf numFmtId="0" fontId="4" fillId="0" borderId="0" xfId="0" applyFont="1" applyFill="1" applyBorder="1" applyAlignment="1">
      <alignment horizontal="left" vertical="top" wrapText="1" shrinkToFit="1"/>
    </xf>
    <xf numFmtId="2" fontId="3" fillId="0" borderId="0" xfId="0" applyNumberFormat="1" applyFont="1" applyFill="1" applyBorder="1" applyAlignment="1" applyProtection="1">
      <alignment horizontal="right" vertical="top" wrapText="1"/>
      <protection hidden="1"/>
    </xf>
    <xf numFmtId="170" fontId="4" fillId="0" borderId="0" xfId="0" applyNumberFormat="1" applyFont="1" applyFill="1" applyBorder="1" applyAlignment="1" applyProtection="1">
      <alignment vertical="top" wrapText="1"/>
      <protection hidden="1"/>
    </xf>
    <xf numFmtId="1" fontId="4" fillId="0" borderId="0" xfId="0" applyNumberFormat="1" applyFont="1" applyFill="1" applyBorder="1" applyAlignment="1">
      <alignment horizontal="center" vertical="top" wrapText="1" shrinkToFit="1"/>
    </xf>
    <xf numFmtId="0" fontId="4" fillId="0" borderId="0" xfId="0" applyFont="1" applyFill="1" applyBorder="1" applyAlignment="1">
      <alignment horizontal="right" vertical="top" wrapText="1"/>
    </xf>
    <xf numFmtId="2" fontId="4" fillId="0" borderId="0" xfId="0" applyNumberFormat="1" applyFont="1" applyFill="1" applyBorder="1" applyAlignment="1">
      <alignment vertical="top" wrapText="1"/>
    </xf>
    <xf numFmtId="0" fontId="3" fillId="0" borderId="0" xfId="0" applyFont="1" applyFill="1" applyBorder="1" applyAlignment="1">
      <alignment horizontal="center" vertical="top" wrapText="1"/>
    </xf>
    <xf numFmtId="1" fontId="3" fillId="0" borderId="0" xfId="0" applyNumberFormat="1" applyFont="1" applyFill="1" applyBorder="1" applyAlignment="1">
      <alignment horizontal="center" vertical="top" wrapText="1"/>
    </xf>
    <xf numFmtId="9" fontId="4" fillId="0" borderId="0" xfId="0" applyNumberFormat="1" applyFont="1" applyFill="1" applyBorder="1" applyAlignment="1">
      <alignment vertical="top" wrapText="1"/>
    </xf>
    <xf numFmtId="170" fontId="3" fillId="0" borderId="0" xfId="0" applyNumberFormat="1" applyFont="1" applyFill="1" applyBorder="1" applyAlignment="1">
      <alignment horizontal="left" vertical="top" wrapText="1" shrinkToFit="1"/>
    </xf>
    <xf numFmtId="175" fontId="4" fillId="0" borderId="0" xfId="0" applyNumberFormat="1" applyFont="1" applyFill="1" applyBorder="1" applyAlignment="1">
      <alignment vertical="top" wrapText="1"/>
    </xf>
    <xf numFmtId="2" fontId="3" fillId="0" borderId="0" xfId="0" applyNumberFormat="1" applyFont="1" applyFill="1" applyBorder="1" applyAlignment="1">
      <alignment vertical="top" wrapText="1" shrinkToFit="1"/>
    </xf>
    <xf numFmtId="2" fontId="3" fillId="0" borderId="0" xfId="0" applyNumberFormat="1" applyFont="1" applyFill="1" applyBorder="1" applyAlignment="1">
      <alignment horizontal="center" vertical="top" wrapText="1" shrinkToFit="1"/>
    </xf>
    <xf numFmtId="1" fontId="3" fillId="0" borderId="0" xfId="0" applyNumberFormat="1" applyFont="1" applyFill="1" applyBorder="1" applyAlignment="1">
      <alignment horizontal="center" vertical="top" wrapText="1" shrinkToFit="1"/>
    </xf>
    <xf numFmtId="0" fontId="4" fillId="0" borderId="0" xfId="0" applyFont="1" applyFill="1" applyBorder="1" applyAlignment="1">
      <alignment horizontal="justify" vertical="justify"/>
    </xf>
    <xf numFmtId="0" fontId="4" fillId="0" borderId="0" xfId="0" applyFont="1" applyFill="1" applyBorder="1" applyAlignment="1">
      <alignment horizontal="center" vertical="center" shrinkToFit="1"/>
    </xf>
    <xf numFmtId="2" fontId="4" fillId="0" borderId="0" xfId="0" applyNumberFormat="1" applyFont="1" applyFill="1" applyBorder="1" applyAlignment="1">
      <alignment horizontal="left" vertical="top" shrinkToFit="1"/>
    </xf>
    <xf numFmtId="2" fontId="4" fillId="0" borderId="0" xfId="0" applyNumberFormat="1" applyFont="1" applyFill="1" applyBorder="1" applyAlignment="1">
      <alignment vertical="top" shrinkToFit="1"/>
    </xf>
    <xf numFmtId="1" fontId="4" fillId="0" borderId="0" xfId="0" applyNumberFormat="1" applyFont="1" applyFill="1" applyBorder="1" applyAlignment="1">
      <alignment vertical="top" shrinkToFit="1"/>
    </xf>
    <xf numFmtId="0" fontId="4" fillId="0" borderId="0" xfId="0" applyFont="1" applyFill="1" applyBorder="1" applyAlignment="1">
      <alignment horizontal="left" vertical="top" shrinkToFit="1"/>
    </xf>
    <xf numFmtId="2" fontId="4" fillId="0" borderId="0" xfId="0" applyNumberFormat="1" applyFont="1" applyFill="1" applyBorder="1" applyAlignment="1">
      <alignment horizontal="right" shrinkToFit="1"/>
    </xf>
    <xf numFmtId="0" fontId="4" fillId="0" borderId="0" xfId="0" applyFont="1" applyFill="1" applyBorder="1" applyAlignment="1" applyProtection="1"/>
    <xf numFmtId="0" fontId="4" fillId="0" borderId="0" xfId="0" applyFont="1" applyFill="1" applyBorder="1" applyAlignment="1">
      <alignment vertical="top" wrapText="1" shrinkToFit="1"/>
    </xf>
    <xf numFmtId="2" fontId="3" fillId="0" borderId="0" xfId="0" applyNumberFormat="1" applyFont="1" applyFill="1" applyBorder="1" applyAlignment="1">
      <alignment horizontal="right" vertical="top" wrapText="1"/>
    </xf>
    <xf numFmtId="0" fontId="3" fillId="0" borderId="0" xfId="0" applyFont="1" applyFill="1" applyBorder="1" applyAlignment="1">
      <alignment horizontal="right" vertical="top" wrapText="1" shrinkToFit="1"/>
    </xf>
    <xf numFmtId="1" fontId="4" fillId="0" borderId="0" xfId="0" applyNumberFormat="1" applyFont="1" applyFill="1" applyBorder="1" applyAlignment="1" applyProtection="1">
      <alignment horizontal="center" vertical="top" wrapText="1" shrinkToFit="1"/>
      <protection hidden="1"/>
    </xf>
    <xf numFmtId="175" fontId="4" fillId="0" borderId="0" xfId="0" applyNumberFormat="1" applyFont="1" applyFill="1" applyBorder="1" applyAlignment="1" applyProtection="1">
      <alignment vertical="top" wrapText="1"/>
      <protection hidden="1"/>
    </xf>
    <xf numFmtId="166" fontId="3" fillId="0" borderId="0" xfId="0" applyNumberFormat="1" applyFont="1" applyFill="1" applyBorder="1" applyAlignment="1" applyProtection="1">
      <alignment horizontal="right" vertical="top" wrapText="1" shrinkToFit="1"/>
      <protection hidden="1"/>
    </xf>
    <xf numFmtId="0" fontId="4"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wrapText="1"/>
      <protection hidden="1"/>
    </xf>
    <xf numFmtId="2" fontId="3" fillId="0" borderId="0" xfId="0" applyNumberFormat="1" applyFont="1" applyFill="1" applyBorder="1" applyAlignment="1" applyProtection="1">
      <alignment vertical="top"/>
      <protection hidden="1"/>
    </xf>
    <xf numFmtId="2" fontId="3" fillId="0" borderId="0" xfId="0" applyNumberFormat="1" applyFont="1" applyFill="1" applyBorder="1" applyAlignment="1" applyProtection="1">
      <alignment horizontal="right" wrapText="1"/>
      <protection hidden="1"/>
    </xf>
    <xf numFmtId="175" fontId="4" fillId="0" borderId="0" xfId="0" applyNumberFormat="1" applyFont="1" applyFill="1" applyBorder="1" applyAlignment="1" applyProtection="1">
      <alignment wrapText="1"/>
      <protection hidden="1"/>
    </xf>
    <xf numFmtId="0" fontId="4" fillId="0" borderId="0" xfId="0" quotePrefix="1" applyFont="1" applyFill="1" applyBorder="1" applyAlignment="1" applyProtection="1">
      <alignment horizontal="left" vertical="top" wrapText="1"/>
      <protection hidden="1"/>
    </xf>
    <xf numFmtId="0" fontId="4" fillId="0" borderId="0" xfId="0" applyFont="1" applyFill="1" applyBorder="1" applyAlignment="1">
      <alignment horizontal="center" vertical="top" shrinkToFit="1"/>
    </xf>
    <xf numFmtId="171" fontId="3" fillId="0" borderId="0" xfId="0" applyNumberFormat="1" applyFont="1" applyFill="1" applyBorder="1" applyAlignment="1">
      <alignment horizontal="justify" vertical="top" wrapText="1"/>
    </xf>
    <xf numFmtId="2" fontId="4" fillId="0" borderId="0" xfId="0" applyNumberFormat="1" applyFont="1" applyFill="1" applyBorder="1" applyAlignment="1">
      <alignment horizontal="right" vertical="top" shrinkToFit="1"/>
    </xf>
    <xf numFmtId="1" fontId="4" fillId="0" borderId="0" xfId="0" applyNumberFormat="1" applyFont="1" applyFill="1" applyBorder="1" applyAlignment="1">
      <alignment horizontal="right" vertical="top" shrinkToFit="1"/>
    </xf>
    <xf numFmtId="0" fontId="3" fillId="0" borderId="0" xfId="0" applyFont="1" applyFill="1" applyBorder="1" applyAlignment="1">
      <alignment horizontal="left" vertical="top" shrinkToFit="1"/>
    </xf>
    <xf numFmtId="2" fontId="3" fillId="0" borderId="0" xfId="0" applyNumberFormat="1" applyFont="1" applyFill="1" applyBorder="1" applyAlignment="1">
      <alignment horizontal="center" vertical="top" shrinkToFit="1"/>
    </xf>
    <xf numFmtId="1" fontId="3" fillId="0" borderId="0" xfId="0" applyNumberFormat="1" applyFont="1" applyFill="1" applyBorder="1" applyAlignment="1">
      <alignment horizontal="right" shrinkToFit="1"/>
    </xf>
    <xf numFmtId="171" fontId="4" fillId="0" borderId="0" xfId="0" applyNumberFormat="1" applyFont="1" applyFill="1" applyBorder="1" applyAlignment="1">
      <alignment horizontal="justify" vertical="top" wrapText="1"/>
    </xf>
    <xf numFmtId="171" fontId="4" fillId="0" borderId="0" xfId="0" applyNumberFormat="1" applyFont="1" applyFill="1" applyBorder="1" applyAlignment="1">
      <alignment horizontal="center" vertical="top" wrapText="1"/>
    </xf>
    <xf numFmtId="1" fontId="4" fillId="0" borderId="0" xfId="0" applyNumberFormat="1" applyFont="1" applyFill="1" applyBorder="1" applyAlignment="1">
      <alignment vertical="top"/>
    </xf>
    <xf numFmtId="4" fontId="4" fillId="0" borderId="0" xfId="0" applyNumberFormat="1" applyFont="1" applyFill="1" applyBorder="1" applyAlignment="1">
      <alignment horizontal="center" vertical="top" wrapText="1"/>
    </xf>
    <xf numFmtId="2" fontId="4" fillId="0" borderId="0" xfId="0" applyNumberFormat="1" applyFont="1" applyFill="1" applyBorder="1" applyAlignment="1" applyProtection="1">
      <alignment horizontal="center" vertical="top" shrinkToFit="1"/>
      <protection hidden="1"/>
    </xf>
    <xf numFmtId="2" fontId="4" fillId="0" borderId="0" xfId="0" applyNumberFormat="1" applyFont="1" applyFill="1" applyBorder="1" applyAlignment="1" applyProtection="1">
      <alignment vertical="top" shrinkToFit="1"/>
      <protection hidden="1"/>
    </xf>
    <xf numFmtId="2" fontId="3" fillId="0" borderId="0" xfId="0" applyNumberFormat="1" applyFont="1" applyFill="1" applyBorder="1" applyAlignment="1">
      <alignment horizontal="right" vertical="top" shrinkToFit="1"/>
    </xf>
    <xf numFmtId="170" fontId="3" fillId="0" borderId="0" xfId="0" applyNumberFormat="1" applyFont="1" applyFill="1" applyBorder="1" applyAlignment="1" applyProtection="1">
      <alignment horizontal="right" vertical="top" shrinkToFit="1"/>
      <protection hidden="1"/>
    </xf>
    <xf numFmtId="0" fontId="4" fillId="0" borderId="0" xfId="0" applyFont="1" applyFill="1" applyBorder="1" applyAlignment="1">
      <alignment horizontal="right" vertical="top" shrinkToFit="1"/>
    </xf>
    <xf numFmtId="0" fontId="2" fillId="0" borderId="0" xfId="0" applyFont="1"/>
    <xf numFmtId="0" fontId="2" fillId="24" borderId="0" xfId="0" applyFont="1" applyFill="1"/>
    <xf numFmtId="0" fontId="2" fillId="0" borderId="0" xfId="0" applyFont="1" applyFill="1"/>
    <xf numFmtId="0" fontId="41" fillId="0" borderId="35" xfId="42" applyFont="1" applyFill="1" applyBorder="1" applyAlignment="1">
      <alignment horizontal="center" vertical="center"/>
    </xf>
    <xf numFmtId="0" fontId="43" fillId="0" borderId="35" xfId="42" applyFont="1" applyFill="1" applyBorder="1" applyAlignment="1">
      <alignment horizontal="justify" vertical="top" wrapText="1"/>
    </xf>
    <xf numFmtId="0" fontId="43" fillId="0" borderId="35" xfId="42" applyFont="1" applyFill="1" applyBorder="1" applyAlignment="1">
      <alignment horizontal="left" vertical="top" wrapText="1"/>
    </xf>
    <xf numFmtId="0" fontId="41" fillId="0" borderId="35" xfId="42" applyFont="1" applyFill="1" applyBorder="1" applyAlignment="1">
      <alignment horizontal="left" vertical="top" wrapText="1"/>
    </xf>
    <xf numFmtId="0" fontId="43" fillId="0" borderId="0" xfId="42" applyFont="1" applyFill="1" applyBorder="1" applyAlignment="1">
      <alignment horizontal="center" vertical="top"/>
    </xf>
    <xf numFmtId="0" fontId="4" fillId="0" borderId="0" xfId="0" applyNumberFormat="1" applyFont="1" applyFill="1" applyBorder="1" applyAlignment="1" applyProtection="1">
      <alignment horizontal="justify" vertical="top" wrapText="1"/>
      <protection hidden="1"/>
    </xf>
    <xf numFmtId="0" fontId="4" fillId="0" borderId="0" xfId="0" applyFont="1" applyFill="1" applyBorder="1" applyAlignment="1" applyProtection="1">
      <alignment horizontal="left" vertical="top" wrapText="1"/>
      <protection hidden="1"/>
    </xf>
    <xf numFmtId="0" fontId="3" fillId="0" borderId="0" xfId="0" applyFont="1" applyFill="1" applyBorder="1" applyAlignment="1" applyProtection="1">
      <alignment horizontal="justify" vertical="top" wrapText="1"/>
      <protection hidden="1"/>
    </xf>
    <xf numFmtId="0" fontId="3" fillId="0" borderId="0" xfId="0" applyFont="1" applyFill="1" applyBorder="1" applyAlignment="1" applyProtection="1">
      <alignment horizontal="left" vertical="top" wrapText="1"/>
      <protection hidden="1"/>
    </xf>
    <xf numFmtId="0" fontId="4" fillId="0" borderId="0" xfId="0" applyFont="1" applyFill="1" applyBorder="1" applyAlignment="1">
      <alignment horizontal="left" vertical="top" wrapText="1"/>
    </xf>
    <xf numFmtId="0" fontId="4" fillId="0" borderId="0" xfId="0" applyFont="1" applyFill="1" applyBorder="1" applyAlignment="1" applyProtection="1">
      <alignment horizontal="center" vertical="top" wrapText="1"/>
      <protection hidden="1"/>
    </xf>
    <xf numFmtId="0" fontId="4" fillId="0" borderId="0" xfId="0" applyFont="1" applyFill="1" applyBorder="1" applyAlignment="1" applyProtection="1">
      <alignment horizontal="center" wrapText="1"/>
      <protection hidden="1"/>
    </xf>
    <xf numFmtId="0" fontId="3" fillId="0" borderId="0" xfId="0" applyFont="1" applyFill="1" applyBorder="1" applyAlignment="1">
      <alignment horizontal="left" vertical="top" wrapText="1"/>
    </xf>
    <xf numFmtId="0" fontId="3" fillId="0" borderId="0" xfId="0" applyNumberFormat="1" applyFont="1" applyFill="1" applyBorder="1" applyAlignment="1" applyProtection="1">
      <alignment horizontal="left" vertical="top" wrapText="1"/>
      <protection hidden="1"/>
    </xf>
    <xf numFmtId="0" fontId="3" fillId="0" borderId="0" xfId="0" applyNumberFormat="1" applyFont="1" applyFill="1" applyBorder="1" applyAlignment="1" applyProtection="1">
      <alignment horizontal="justify" vertical="top" wrapText="1"/>
      <protection hidden="1"/>
    </xf>
    <xf numFmtId="0" fontId="3" fillId="0" borderId="0" xfId="0" applyFont="1" applyFill="1" applyBorder="1" applyAlignment="1" applyProtection="1">
      <alignment horizontal="center" vertical="top" wrapText="1"/>
      <protection hidden="1"/>
    </xf>
    <xf numFmtId="2" fontId="4" fillId="0" borderId="0" xfId="0" applyNumberFormat="1" applyFont="1" applyFill="1" applyBorder="1" applyAlignment="1" applyProtection="1">
      <alignment horizontal="center" vertical="top" wrapText="1" shrinkToFit="1"/>
      <protection hidden="1"/>
    </xf>
    <xf numFmtId="0" fontId="3" fillId="0" borderId="0" xfId="0" applyFont="1" applyFill="1" applyBorder="1" applyAlignment="1" applyProtection="1">
      <alignment vertical="top" wrapText="1"/>
      <protection hidden="1"/>
    </xf>
    <xf numFmtId="0" fontId="3" fillId="0" borderId="0" xfId="0" applyFont="1" applyFill="1" applyBorder="1" applyAlignment="1" applyProtection="1">
      <alignment horizontal="center" vertical="center" wrapText="1"/>
      <protection hidden="1"/>
    </xf>
    <xf numFmtId="0" fontId="57" fillId="0" borderId="0" xfId="0" applyFont="1" applyFill="1" applyBorder="1" applyAlignment="1" applyProtection="1">
      <alignment horizontal="justify" vertical="top" wrapText="1"/>
      <protection hidden="1"/>
    </xf>
    <xf numFmtId="0" fontId="4" fillId="0" borderId="0" xfId="0" applyFont="1" applyFill="1" applyBorder="1" applyAlignment="1" applyProtection="1">
      <alignment horizontal="center" vertical="top"/>
      <protection hidden="1"/>
    </xf>
    <xf numFmtId="0" fontId="3" fillId="0" borderId="0" xfId="0" applyNumberFormat="1" applyFont="1" applyFill="1" applyBorder="1" applyAlignment="1" applyProtection="1">
      <alignment horizontal="center" vertical="top" wrapText="1"/>
      <protection hidden="1"/>
    </xf>
    <xf numFmtId="2" fontId="43" fillId="0" borderId="35" xfId="47" applyNumberFormat="1" applyFont="1" applyFill="1" applyBorder="1" applyAlignment="1">
      <alignment horizontal="justify" vertical="justify" wrapText="1"/>
    </xf>
    <xf numFmtId="2" fontId="41" fillId="0" borderId="35" xfId="47" applyNumberFormat="1" applyFont="1" applyFill="1" applyBorder="1" applyAlignment="1">
      <alignment horizontal="right" vertical="top" wrapText="1"/>
    </xf>
    <xf numFmtId="0" fontId="43" fillId="0" borderId="0" xfId="0" applyFont="1"/>
    <xf numFmtId="0" fontId="41" fillId="0" borderId="40" xfId="0" applyFont="1" applyBorder="1" applyAlignment="1">
      <alignment horizontal="center" vertical="top"/>
    </xf>
    <xf numFmtId="0" fontId="41" fillId="0" borderId="40" xfId="0" applyFont="1" applyBorder="1" applyAlignment="1">
      <alignment vertical="top"/>
    </xf>
    <xf numFmtId="0" fontId="43" fillId="0" borderId="40" xfId="0" applyFont="1" applyBorder="1"/>
    <xf numFmtId="0" fontId="43" fillId="0" borderId="40" xfId="0" applyFont="1" applyBorder="1" applyAlignment="1">
      <alignment horizontal="center" vertical="top"/>
    </xf>
    <xf numFmtId="0" fontId="43" fillId="0" borderId="40" xfId="0" applyFont="1" applyBorder="1" applyAlignment="1">
      <alignment vertical="top"/>
    </xf>
    <xf numFmtId="2" fontId="43" fillId="0" borderId="40" xfId="0" applyNumberFormat="1" applyFont="1" applyBorder="1"/>
    <xf numFmtId="165" fontId="43" fillId="0" borderId="40" xfId="0" applyNumberFormat="1" applyFont="1" applyBorder="1"/>
    <xf numFmtId="0" fontId="43" fillId="0" borderId="40" xfId="0" applyFont="1" applyFill="1" applyBorder="1"/>
    <xf numFmtId="2" fontId="41" fillId="0" borderId="40" xfId="0" applyNumberFormat="1" applyFont="1" applyBorder="1"/>
    <xf numFmtId="0" fontId="41" fillId="0" borderId="40" xfId="0" applyFont="1" applyBorder="1" applyAlignment="1">
      <alignment horizontal="right"/>
    </xf>
    <xf numFmtId="2" fontId="41" fillId="0" borderId="40" xfId="0" applyNumberFormat="1" applyFont="1" applyBorder="1" applyAlignment="1">
      <alignment horizontal="right"/>
    </xf>
    <xf numFmtId="0" fontId="41" fillId="0" borderId="40" xfId="0" applyFont="1" applyBorder="1"/>
    <xf numFmtId="0" fontId="64" fillId="0" borderId="40" xfId="0" applyFont="1" applyBorder="1"/>
    <xf numFmtId="0" fontId="66" fillId="0" borderId="40" xfId="0" applyFont="1" applyBorder="1"/>
    <xf numFmtId="2" fontId="66" fillId="0" borderId="40" xfId="0" applyNumberFormat="1" applyFont="1" applyBorder="1"/>
    <xf numFmtId="2" fontId="43" fillId="0" borderId="40" xfId="0" applyNumberFormat="1" applyFont="1" applyBorder="1" applyAlignment="1">
      <alignment horizontal="right"/>
    </xf>
    <xf numFmtId="1" fontId="41" fillId="0" borderId="40" xfId="0" applyNumberFormat="1" applyFont="1" applyBorder="1" applyAlignment="1">
      <alignment horizontal="right"/>
    </xf>
    <xf numFmtId="165" fontId="41" fillId="0" borderId="40" xfId="0" applyNumberFormat="1" applyFont="1" applyBorder="1" applyAlignment="1">
      <alignment horizontal="right"/>
    </xf>
    <xf numFmtId="166" fontId="43" fillId="0" borderId="40" xfId="0" applyNumberFormat="1" applyFont="1" applyBorder="1"/>
    <xf numFmtId="165" fontId="4" fillId="0" borderId="0" xfId="0" applyNumberFormat="1" applyFont="1" applyFill="1" applyBorder="1" applyAlignment="1" applyProtection="1">
      <alignment horizontal="right" vertical="top" wrapText="1" shrinkToFit="1"/>
      <protection hidden="1"/>
    </xf>
    <xf numFmtId="0" fontId="3" fillId="0" borderId="0" xfId="0" applyFont="1" applyFill="1" applyBorder="1" applyAlignment="1" applyProtection="1">
      <alignment horizontal="left" vertical="top" wrapText="1" shrinkToFit="1"/>
      <protection hidden="1"/>
    </xf>
    <xf numFmtId="0" fontId="4" fillId="0" borderId="25" xfId="0" applyFont="1" applyFill="1" applyBorder="1" applyAlignment="1" applyProtection="1">
      <alignment horizontal="center" vertical="top" shrinkToFit="1"/>
      <protection hidden="1"/>
    </xf>
    <xf numFmtId="0" fontId="4" fillId="0" borderId="25" xfId="0" applyFont="1" applyFill="1" applyBorder="1" applyAlignment="1" applyProtection="1">
      <alignment horizontal="center" vertical="top"/>
      <protection hidden="1"/>
    </xf>
    <xf numFmtId="0" fontId="4" fillId="0" borderId="25" xfId="0" applyFont="1" applyFill="1" applyBorder="1" applyAlignment="1" applyProtection="1">
      <alignment horizontal="left" vertical="top" shrinkToFit="1"/>
      <protection hidden="1"/>
    </xf>
    <xf numFmtId="2" fontId="4" fillId="0" borderId="25" xfId="0" applyNumberFormat="1" applyFont="1" applyFill="1" applyBorder="1" applyAlignment="1" applyProtection="1">
      <alignment vertical="top" shrinkToFit="1"/>
      <protection hidden="1"/>
    </xf>
    <xf numFmtId="0" fontId="4" fillId="0" borderId="25" xfId="0" applyNumberFormat="1" applyFont="1" applyFill="1" applyBorder="1" applyAlignment="1" applyProtection="1">
      <alignment vertical="top"/>
      <protection hidden="1"/>
    </xf>
    <xf numFmtId="0" fontId="3" fillId="0" borderId="25" xfId="0" applyFont="1" applyFill="1" applyBorder="1" applyAlignment="1" applyProtection="1">
      <alignment horizontal="center" vertical="center"/>
      <protection hidden="1"/>
    </xf>
    <xf numFmtId="2" fontId="4" fillId="0" borderId="25" xfId="0" applyNumberFormat="1" applyFont="1" applyFill="1" applyBorder="1" applyAlignment="1" applyProtection="1">
      <alignment vertical="center" wrapText="1"/>
      <protection hidden="1"/>
    </xf>
    <xf numFmtId="0" fontId="4" fillId="0" borderId="25" xfId="0" applyFont="1" applyFill="1" applyBorder="1" applyAlignment="1" applyProtection="1">
      <alignment horizontal="justify" vertical="top" wrapText="1"/>
      <protection hidden="1"/>
    </xf>
    <xf numFmtId="0" fontId="4" fillId="0" borderId="25" xfId="0" applyNumberFormat="1" applyFont="1" applyFill="1" applyBorder="1" applyAlignment="1" applyProtection="1">
      <alignment vertical="top" shrinkToFit="1"/>
      <protection hidden="1"/>
    </xf>
    <xf numFmtId="0" fontId="3" fillId="0" borderId="25" xfId="0" applyFont="1" applyFill="1" applyBorder="1" applyAlignment="1" applyProtection="1">
      <alignment horizontal="center" vertical="top"/>
      <protection hidden="1"/>
    </xf>
    <xf numFmtId="2" fontId="4" fillId="0" borderId="25" xfId="0" applyNumberFormat="1" applyFont="1" applyFill="1" applyBorder="1" applyAlignment="1" applyProtection="1">
      <alignment wrapText="1"/>
      <protection hidden="1"/>
    </xf>
    <xf numFmtId="0" fontId="4" fillId="0" borderId="25" xfId="0" applyFont="1" applyFill="1" applyBorder="1" applyAlignment="1" applyProtection="1">
      <alignment horizontal="justify" vertical="top"/>
      <protection hidden="1"/>
    </xf>
    <xf numFmtId="170" fontId="3" fillId="0" borderId="25" xfId="0" applyNumberFormat="1" applyFont="1" applyFill="1" applyBorder="1" applyAlignment="1" applyProtection="1">
      <alignment horizontal="right" vertical="top" shrinkToFit="1"/>
      <protection hidden="1"/>
    </xf>
    <xf numFmtId="0" fontId="4" fillId="0" borderId="25" xfId="0" applyFont="1" applyFill="1" applyBorder="1" applyAlignment="1" applyProtection="1">
      <alignment horizontal="left" vertical="top"/>
      <protection hidden="1"/>
    </xf>
    <xf numFmtId="2" fontId="4" fillId="0" borderId="25" xfId="0" applyNumberFormat="1" applyFont="1" applyFill="1" applyBorder="1" applyAlignment="1" applyProtection="1">
      <alignment vertical="top"/>
      <protection hidden="1"/>
    </xf>
    <xf numFmtId="0" fontId="3" fillId="0" borderId="25" xfId="0" applyNumberFormat="1" applyFont="1" applyFill="1" applyBorder="1" applyAlignment="1" applyProtection="1">
      <alignment horizontal="justify" vertical="top" wrapText="1"/>
      <protection hidden="1"/>
    </xf>
    <xf numFmtId="181" fontId="4" fillId="0" borderId="25" xfId="0" applyNumberFormat="1" applyFont="1" applyFill="1" applyBorder="1" applyAlignment="1" applyProtection="1">
      <alignment horizontal="left" vertical="top"/>
      <protection hidden="1"/>
    </xf>
    <xf numFmtId="0" fontId="3" fillId="0" borderId="25" xfId="0" applyFont="1" applyFill="1" applyBorder="1" applyAlignment="1" applyProtection="1">
      <alignment horizontal="right" vertical="top" wrapText="1"/>
      <protection hidden="1"/>
    </xf>
    <xf numFmtId="0" fontId="4" fillId="0" borderId="25" xfId="0" applyFont="1" applyFill="1" applyBorder="1" applyAlignment="1" applyProtection="1">
      <alignment vertical="top" shrinkToFit="1"/>
      <protection hidden="1"/>
    </xf>
    <xf numFmtId="0" fontId="3" fillId="0" borderId="25" xfId="0" applyFont="1" applyFill="1" applyBorder="1" applyAlignment="1" applyProtection="1">
      <alignment horizontal="right" vertical="top"/>
      <protection hidden="1"/>
    </xf>
    <xf numFmtId="2" fontId="3" fillId="0" borderId="25" xfId="0" applyNumberFormat="1" applyFont="1" applyFill="1" applyBorder="1" applyAlignment="1" applyProtection="1">
      <alignment vertical="top" shrinkToFit="1"/>
      <protection hidden="1"/>
    </xf>
    <xf numFmtId="2" fontId="41" fillId="0" borderId="25" xfId="0" applyNumberFormat="1" applyFont="1" applyFill="1" applyBorder="1" applyAlignment="1" applyProtection="1">
      <alignment horizontal="center" vertical="top"/>
      <protection hidden="1"/>
    </xf>
    <xf numFmtId="166" fontId="4" fillId="0" borderId="40" xfId="0" applyNumberFormat="1" applyFont="1" applyFill="1" applyBorder="1" applyAlignment="1" applyProtection="1">
      <alignment horizontal="center" vertical="top"/>
      <protection hidden="1"/>
    </xf>
    <xf numFmtId="0" fontId="57" fillId="0" borderId="40" xfId="0" applyFont="1" applyFill="1" applyBorder="1" applyAlignment="1" applyProtection="1">
      <alignment horizontal="justify" vertical="top" wrapText="1"/>
      <protection hidden="1"/>
    </xf>
    <xf numFmtId="171" fontId="4" fillId="0" borderId="40" xfId="0" applyNumberFormat="1" applyFont="1" applyFill="1" applyBorder="1" applyAlignment="1">
      <alignment vertical="top" wrapText="1"/>
    </xf>
    <xf numFmtId="2" fontId="4" fillId="0" borderId="40" xfId="0" applyNumberFormat="1" applyFont="1" applyFill="1" applyBorder="1" applyAlignment="1">
      <alignment horizontal="center" vertical="top" wrapText="1"/>
    </xf>
    <xf numFmtId="0" fontId="51" fillId="0" borderId="40" xfId="0" applyFont="1" applyFill="1" applyBorder="1" applyAlignment="1" applyProtection="1">
      <alignment horizontal="center" vertical="top" wrapText="1"/>
      <protection hidden="1"/>
    </xf>
    <xf numFmtId="0" fontId="51" fillId="0" borderId="40" xfId="0" applyNumberFormat="1" applyFont="1" applyFill="1" applyBorder="1" applyAlignment="1" applyProtection="1">
      <alignment horizontal="justify" vertical="top" wrapText="1"/>
      <protection hidden="1"/>
    </xf>
    <xf numFmtId="171" fontId="51" fillId="0" borderId="40" xfId="0" applyNumberFormat="1" applyFont="1" applyFill="1" applyBorder="1" applyAlignment="1" applyProtection="1">
      <alignment horizontal="center" vertical="top"/>
      <protection hidden="1"/>
    </xf>
    <xf numFmtId="4" fontId="4" fillId="0" borderId="40" xfId="0" applyNumberFormat="1" applyFont="1" applyFill="1" applyBorder="1" applyAlignment="1" applyProtection="1">
      <alignment horizontal="center" vertical="top"/>
      <protection hidden="1"/>
    </xf>
    <xf numFmtId="0" fontId="51" fillId="0" borderId="42" xfId="0" applyNumberFormat="1" applyFont="1" applyFill="1" applyBorder="1" applyAlignment="1" applyProtection="1">
      <alignment horizontal="justify" vertical="top" wrapText="1"/>
    </xf>
    <xf numFmtId="0" fontId="51" fillId="0" borderId="45" xfId="0" applyNumberFormat="1" applyFont="1" applyFill="1" applyBorder="1" applyAlignment="1" applyProtection="1">
      <alignment horizontal="center" vertical="top" wrapText="1"/>
    </xf>
    <xf numFmtId="0" fontId="51" fillId="0" borderId="42" xfId="0" applyNumberFormat="1" applyFont="1" applyFill="1" applyBorder="1" applyAlignment="1" applyProtection="1">
      <alignment horizontal="center" vertical="top" wrapText="1"/>
    </xf>
    <xf numFmtId="2" fontId="51" fillId="0" borderId="42" xfId="0" applyNumberFormat="1" applyFont="1" applyFill="1" applyBorder="1" applyAlignment="1" applyProtection="1">
      <alignment vertical="top"/>
    </xf>
    <xf numFmtId="0" fontId="3" fillId="0" borderId="42" xfId="0" applyFont="1" applyFill="1" applyBorder="1" applyAlignment="1">
      <alignment horizontal="right" vertical="top" wrapText="1"/>
    </xf>
    <xf numFmtId="2" fontId="3" fillId="0" borderId="42" xfId="0" applyNumberFormat="1" applyFont="1" applyFill="1" applyBorder="1" applyAlignment="1">
      <alignment horizontal="right" vertical="top" wrapText="1"/>
    </xf>
    <xf numFmtId="4" fontId="3" fillId="0" borderId="42" xfId="0" applyNumberFormat="1" applyFont="1" applyFill="1" applyBorder="1" applyAlignment="1">
      <alignment horizontal="left" vertical="top" wrapText="1"/>
    </xf>
    <xf numFmtId="0" fontId="0" fillId="0" borderId="21" xfId="0" applyBorder="1"/>
    <xf numFmtId="0" fontId="0" fillId="0" borderId="16" xfId="0" applyBorder="1"/>
    <xf numFmtId="0" fontId="0" fillId="0" borderId="22" xfId="0" applyBorder="1"/>
    <xf numFmtId="0" fontId="0" fillId="0" borderId="14" xfId="0" applyBorder="1"/>
    <xf numFmtId="0" fontId="0" fillId="0" borderId="0" xfId="0" applyBorder="1"/>
    <xf numFmtId="0" fontId="0" fillId="0" borderId="47" xfId="0" applyBorder="1"/>
    <xf numFmtId="0" fontId="0" fillId="0" borderId="23" xfId="0" applyBorder="1"/>
    <xf numFmtId="0" fontId="0" fillId="0" borderId="12" xfId="0" applyBorder="1"/>
    <xf numFmtId="0" fontId="0" fillId="0" borderId="20" xfId="0" applyBorder="1"/>
    <xf numFmtId="0" fontId="31" fillId="0" borderId="14" xfId="0" applyFont="1" applyBorder="1"/>
    <xf numFmtId="0" fontId="31" fillId="0" borderId="0" xfId="0" applyFont="1" applyBorder="1"/>
    <xf numFmtId="0" fontId="31" fillId="0" borderId="47" xfId="0" applyFont="1" applyBorder="1"/>
    <xf numFmtId="0" fontId="67" fillId="0" borderId="14" xfId="0" applyFont="1" applyBorder="1"/>
    <xf numFmtId="0" fontId="67" fillId="0" borderId="0" xfId="0" applyFont="1" applyBorder="1"/>
    <xf numFmtId="0" fontId="67" fillId="0" borderId="47" xfId="0" applyFont="1" applyBorder="1"/>
    <xf numFmtId="2" fontId="67" fillId="0" borderId="0" xfId="0" applyNumberFormat="1" applyFont="1" applyBorder="1"/>
    <xf numFmtId="0" fontId="68" fillId="0" borderId="14" xfId="0" applyFont="1" applyBorder="1"/>
    <xf numFmtId="0" fontId="68" fillId="0" borderId="0" xfId="0" applyFont="1" applyBorder="1"/>
    <xf numFmtId="0" fontId="68" fillId="0" borderId="47" xfId="0" applyFont="1" applyBorder="1"/>
    <xf numFmtId="0" fontId="4" fillId="0" borderId="0" xfId="0" applyNumberFormat="1" applyFont="1" applyFill="1" applyBorder="1" applyAlignment="1" applyProtection="1">
      <alignment horizontal="justify" vertical="top" wrapText="1"/>
      <protection hidden="1"/>
    </xf>
    <xf numFmtId="0" fontId="4" fillId="0" borderId="0" xfId="0" applyFont="1" applyFill="1" applyBorder="1" applyAlignment="1" applyProtection="1">
      <alignment horizontal="left" vertical="top" wrapText="1"/>
      <protection hidden="1"/>
    </xf>
    <xf numFmtId="0" fontId="3" fillId="0" borderId="0" xfId="0" applyFont="1" applyFill="1" applyBorder="1" applyAlignment="1" applyProtection="1">
      <alignment horizontal="justify" vertical="top" wrapText="1"/>
      <protection hidden="1"/>
    </xf>
    <xf numFmtId="0" fontId="3" fillId="0" borderId="0" xfId="0" applyFont="1" applyFill="1" applyBorder="1" applyAlignment="1" applyProtection="1">
      <alignment horizontal="left" vertical="top" wrapText="1"/>
      <protection hidden="1"/>
    </xf>
    <xf numFmtId="0" fontId="4" fillId="0" borderId="0" xfId="0" applyFont="1" applyFill="1" applyBorder="1" applyAlignment="1">
      <alignment horizontal="left" vertical="top" wrapText="1"/>
    </xf>
    <xf numFmtId="0" fontId="4" fillId="0" borderId="0" xfId="0" applyFont="1" applyFill="1" applyBorder="1" applyAlignment="1" applyProtection="1">
      <alignment horizontal="center" vertical="top" wrapText="1"/>
      <protection hidden="1"/>
    </xf>
    <xf numFmtId="0" fontId="4" fillId="0" borderId="0" xfId="0" applyFont="1" applyFill="1" applyBorder="1" applyAlignment="1" applyProtection="1">
      <alignment horizontal="center" wrapText="1"/>
      <protection hidden="1"/>
    </xf>
    <xf numFmtId="0" fontId="3" fillId="0" borderId="0" xfId="0" applyFont="1" applyFill="1" applyBorder="1" applyAlignment="1">
      <alignment horizontal="left" vertical="top" wrapText="1"/>
    </xf>
    <xf numFmtId="0" fontId="3" fillId="0" borderId="0" xfId="0" applyNumberFormat="1" applyFont="1" applyFill="1" applyBorder="1" applyAlignment="1" applyProtection="1">
      <alignment horizontal="justify" vertical="top" wrapText="1"/>
      <protection hidden="1"/>
    </xf>
    <xf numFmtId="0" fontId="3" fillId="0" borderId="0" xfId="0" applyNumberFormat="1" applyFont="1" applyFill="1" applyBorder="1" applyAlignment="1" applyProtection="1">
      <alignment horizontal="left" vertical="top" wrapText="1"/>
      <protection hidden="1"/>
    </xf>
    <xf numFmtId="0" fontId="3" fillId="0" borderId="0" xfId="0" applyFont="1" applyFill="1" applyBorder="1" applyAlignment="1" applyProtection="1">
      <alignment horizontal="center" vertical="top" wrapText="1"/>
      <protection hidden="1"/>
    </xf>
    <xf numFmtId="2" fontId="4" fillId="0" borderId="0" xfId="0" applyNumberFormat="1" applyFont="1" applyFill="1" applyBorder="1" applyAlignment="1" applyProtection="1">
      <alignment horizontal="center" vertical="top" wrapText="1" shrinkToFit="1"/>
      <protection hidden="1"/>
    </xf>
    <xf numFmtId="0" fontId="3" fillId="0" borderId="0" xfId="0" applyFont="1" applyFill="1" applyBorder="1" applyAlignment="1" applyProtection="1">
      <alignment vertical="top" wrapText="1"/>
      <protection hidden="1"/>
    </xf>
    <xf numFmtId="0" fontId="57" fillId="0" borderId="0" xfId="0" applyFont="1" applyFill="1" applyBorder="1" applyAlignment="1" applyProtection="1">
      <alignment horizontal="justify" vertical="top" wrapText="1"/>
      <protection hidden="1"/>
    </xf>
    <xf numFmtId="0" fontId="4" fillId="0" borderId="0" xfId="0" applyFont="1" applyFill="1" applyBorder="1" applyAlignment="1" applyProtection="1">
      <alignment horizontal="center" vertical="top"/>
      <protection hidden="1"/>
    </xf>
    <xf numFmtId="0" fontId="3" fillId="0" borderId="0" xfId="0" applyNumberFormat="1" applyFont="1" applyFill="1" applyBorder="1" applyAlignment="1" applyProtection="1">
      <alignment horizontal="center" vertical="top" wrapText="1"/>
      <protection hidden="1"/>
    </xf>
    <xf numFmtId="2" fontId="41" fillId="0" borderId="35" xfId="47" applyNumberFormat="1" applyFont="1" applyFill="1" applyBorder="1" applyAlignment="1">
      <alignment horizontal="center" vertical="top" wrapText="1"/>
    </xf>
    <xf numFmtId="2" fontId="43" fillId="0" borderId="35" xfId="47" applyNumberFormat="1" applyFont="1" applyFill="1" applyBorder="1" applyAlignment="1">
      <alignment horizontal="justify" vertical="justify" wrapText="1"/>
    </xf>
    <xf numFmtId="2" fontId="41" fillId="0" borderId="35" xfId="47" applyNumberFormat="1" applyFont="1" applyFill="1" applyBorder="1" applyAlignment="1">
      <alignment horizontal="right" vertical="top" wrapText="1"/>
    </xf>
    <xf numFmtId="0" fontId="69" fillId="0" borderId="40" xfId="55" applyFont="1" applyBorder="1" applyAlignment="1">
      <alignment horizontal="center" vertical="top"/>
    </xf>
    <xf numFmtId="0" fontId="69" fillId="0" borderId="0" xfId="55" applyFont="1" applyBorder="1"/>
    <xf numFmtId="0" fontId="32" fillId="0" borderId="0" xfId="51" applyFont="1" applyBorder="1"/>
    <xf numFmtId="0" fontId="73" fillId="0" borderId="40" xfId="55" applyFont="1" applyBorder="1" applyAlignment="1">
      <alignment horizontal="center" vertical="top"/>
    </xf>
    <xf numFmtId="0" fontId="73" fillId="0" borderId="40" xfId="55" applyFont="1" applyBorder="1"/>
    <xf numFmtId="0" fontId="6" fillId="0" borderId="40" xfId="51" applyFont="1" applyBorder="1"/>
    <xf numFmtId="0" fontId="6" fillId="0" borderId="0" xfId="51" applyFont="1" applyBorder="1"/>
    <xf numFmtId="0" fontId="6" fillId="0" borderId="40" xfId="51" applyFont="1" applyBorder="1" applyAlignment="1">
      <alignment horizontal="center"/>
    </xf>
    <xf numFmtId="0" fontId="73" fillId="0" borderId="40" xfId="55" applyFont="1" applyBorder="1" applyAlignment="1">
      <alignment horizontal="center"/>
    </xf>
    <xf numFmtId="0" fontId="69" fillId="0" borderId="40" xfId="55" applyFont="1" applyBorder="1" applyAlignment="1">
      <alignment horizontal="center" vertical="center"/>
    </xf>
    <xf numFmtId="0" fontId="71" fillId="0" borderId="40" xfId="55" applyFont="1" applyBorder="1" applyAlignment="1">
      <alignment horizontal="center"/>
    </xf>
    <xf numFmtId="0" fontId="69" fillId="0" borderId="40" xfId="55" applyFont="1" applyBorder="1"/>
    <xf numFmtId="0" fontId="69" fillId="0" borderId="40" xfId="55" applyFont="1" applyBorder="1" applyAlignment="1">
      <alignment horizontal="center"/>
    </xf>
    <xf numFmtId="2" fontId="69" fillId="0" borderId="40" xfId="55" applyNumberFormat="1" applyFont="1" applyBorder="1" applyAlignment="1">
      <alignment horizontal="center"/>
    </xf>
    <xf numFmtId="0" fontId="32" fillId="0" borderId="40" xfId="51" applyFont="1" applyBorder="1" applyAlignment="1">
      <alignment horizontal="center"/>
    </xf>
    <xf numFmtId="0" fontId="32" fillId="0" borderId="40" xfId="51" applyFont="1" applyBorder="1"/>
    <xf numFmtId="2" fontId="73" fillId="0" borderId="40" xfId="55" applyNumberFormat="1" applyFont="1" applyBorder="1"/>
    <xf numFmtId="2" fontId="71" fillId="0" borderId="40" xfId="55" applyNumberFormat="1" applyFont="1" applyBorder="1" applyAlignment="1">
      <alignment horizontal="center"/>
    </xf>
    <xf numFmtId="2" fontId="71" fillId="0" borderId="40" xfId="55" applyNumberFormat="1" applyFont="1" applyBorder="1"/>
    <xf numFmtId="2" fontId="69" fillId="0" borderId="40" xfId="55" applyNumberFormat="1" applyFont="1" applyBorder="1"/>
    <xf numFmtId="2" fontId="32" fillId="0" borderId="40" xfId="51" applyNumberFormat="1" applyFont="1" applyBorder="1"/>
    <xf numFmtId="2" fontId="6" fillId="0" borderId="40" xfId="51" applyNumberFormat="1" applyFont="1" applyBorder="1" applyAlignment="1">
      <alignment horizontal="center"/>
    </xf>
    <xf numFmtId="0" fontId="2" fillId="0" borderId="40" xfId="51" applyFont="1" applyBorder="1" applyAlignment="1">
      <alignment horizontal="center"/>
    </xf>
    <xf numFmtId="0" fontId="71" fillId="0" borderId="40" xfId="55" applyFont="1" applyBorder="1"/>
    <xf numFmtId="0" fontId="69" fillId="0" borderId="40" xfId="55" applyFont="1" applyBorder="1" applyAlignment="1">
      <alignment horizontal="right"/>
    </xf>
    <xf numFmtId="165" fontId="69" fillId="0" borderId="40" xfId="55" applyNumberFormat="1" applyFont="1" applyBorder="1" applyAlignment="1">
      <alignment horizontal="center"/>
    </xf>
    <xf numFmtId="165" fontId="73" fillId="0" borderId="40" xfId="55" applyNumberFormat="1" applyFont="1" applyBorder="1"/>
    <xf numFmtId="0" fontId="69" fillId="0" borderId="40" xfId="55" applyFont="1" applyBorder="1" applyAlignment="1">
      <alignment wrapText="1"/>
    </xf>
    <xf numFmtId="0" fontId="69" fillId="0" borderId="40" xfId="55" applyFont="1" applyBorder="1" applyAlignment="1">
      <alignment horizontal="center" wrapText="1"/>
    </xf>
    <xf numFmtId="0" fontId="69" fillId="0" borderId="19" xfId="55" applyFont="1" applyBorder="1" applyAlignment="1">
      <alignment horizontal="center" vertical="center"/>
    </xf>
    <xf numFmtId="0" fontId="32" fillId="0" borderId="40" xfId="51" applyFont="1" applyBorder="1" applyAlignment="1">
      <alignment horizontal="left"/>
    </xf>
    <xf numFmtId="0" fontId="69" fillId="0" borderId="0" xfId="55" applyFont="1" applyBorder="1" applyAlignment="1">
      <alignment horizontal="center" vertical="top"/>
    </xf>
    <xf numFmtId="0" fontId="69" fillId="0" borderId="0" xfId="55" applyFont="1" applyBorder="1" applyAlignment="1">
      <alignment horizontal="center"/>
    </xf>
    <xf numFmtId="0" fontId="71" fillId="0" borderId="0" xfId="55" applyFont="1" applyBorder="1" applyAlignment="1">
      <alignment horizontal="center"/>
    </xf>
    <xf numFmtId="0" fontId="73" fillId="0" borderId="0" xfId="55" applyFont="1" applyBorder="1" applyAlignment="1">
      <alignment horizontal="right"/>
    </xf>
    <xf numFmtId="0" fontId="73" fillId="0" borderId="0" xfId="55" applyFont="1" applyBorder="1" applyAlignment="1">
      <alignment horizontal="center" vertical="top"/>
    </xf>
    <xf numFmtId="0" fontId="71" fillId="0" borderId="0" xfId="55" applyFont="1" applyBorder="1" applyAlignment="1"/>
    <xf numFmtId="0" fontId="32" fillId="0" borderId="0" xfId="51" applyFont="1" applyBorder="1" applyAlignment="1">
      <alignment horizontal="center"/>
    </xf>
    <xf numFmtId="0" fontId="6" fillId="0" borderId="0" xfId="51" applyFont="1" applyBorder="1" applyAlignment="1">
      <alignment horizontal="right"/>
    </xf>
    <xf numFmtId="0" fontId="73" fillId="0" borderId="17" xfId="55" applyFont="1" applyBorder="1" applyAlignment="1">
      <alignment horizontal="right"/>
    </xf>
    <xf numFmtId="0" fontId="6" fillId="0" borderId="17" xfId="51" applyFont="1" applyBorder="1" applyAlignment="1">
      <alignment horizontal="right"/>
    </xf>
    <xf numFmtId="2" fontId="71" fillId="0" borderId="17" xfId="55" applyNumberFormat="1" applyFont="1" applyBorder="1" applyAlignment="1">
      <alignment horizontal="right"/>
    </xf>
    <xf numFmtId="0" fontId="4" fillId="0" borderId="40" xfId="46" applyFont="1" applyFill="1" applyBorder="1" applyAlignment="1">
      <alignment horizontal="center"/>
    </xf>
    <xf numFmtId="0" fontId="57" fillId="0" borderId="40" xfId="46" applyFont="1" applyFill="1" applyBorder="1" applyAlignment="1">
      <alignment horizontal="left"/>
    </xf>
    <xf numFmtId="2" fontId="43" fillId="0" borderId="42" xfId="0" applyNumberFormat="1" applyFont="1" applyFill="1" applyBorder="1" applyAlignment="1" applyProtection="1">
      <alignment horizontal="center" vertical="top"/>
      <protection hidden="1"/>
    </xf>
    <xf numFmtId="0" fontId="43" fillId="0" borderId="42" xfId="0" applyFont="1" applyFill="1" applyBorder="1" applyAlignment="1" applyProtection="1">
      <alignment horizontal="justify" vertical="top" wrapText="1"/>
      <protection hidden="1"/>
    </xf>
    <xf numFmtId="0" fontId="41" fillId="0" borderId="35" xfId="0" applyNumberFormat="1" applyFont="1" applyFill="1" applyBorder="1" applyAlignment="1" applyProtection="1">
      <alignment horizontal="left" vertical="top" wrapText="1"/>
      <protection hidden="1"/>
    </xf>
    <xf numFmtId="0" fontId="43" fillId="0" borderId="35" xfId="57" applyFont="1" applyFill="1" applyBorder="1" applyAlignment="1">
      <alignment horizontal="right"/>
    </xf>
    <xf numFmtId="0" fontId="43" fillId="0" borderId="35" xfId="57" applyFont="1" applyFill="1" applyBorder="1"/>
    <xf numFmtId="0" fontId="43" fillId="0" borderId="35" xfId="57" applyFont="1" applyFill="1" applyBorder="1" applyAlignment="1">
      <alignment horizontal="center"/>
    </xf>
    <xf numFmtId="2" fontId="41" fillId="0" borderId="35" xfId="57" applyNumberFormat="1" applyFont="1" applyFill="1" applyBorder="1"/>
    <xf numFmtId="0" fontId="41" fillId="0" borderId="35" xfId="57" applyFont="1" applyFill="1" applyBorder="1"/>
    <xf numFmtId="0" fontId="43" fillId="0" borderId="0" xfId="57" applyFont="1" applyFill="1" applyBorder="1"/>
    <xf numFmtId="0" fontId="58" fillId="0" borderId="0" xfId="47" applyFont="1" applyFill="1" applyBorder="1"/>
    <xf numFmtId="0" fontId="43" fillId="0" borderId="40" xfId="46" applyFont="1" applyFill="1" applyBorder="1" applyAlignment="1">
      <alignment horizontal="center"/>
    </xf>
    <xf numFmtId="0" fontId="41" fillId="0" borderId="40" xfId="46" applyFont="1" applyFill="1" applyBorder="1" applyAlignment="1">
      <alignment vertical="center"/>
    </xf>
    <xf numFmtId="2" fontId="43" fillId="0" borderId="40" xfId="46" applyNumberFormat="1" applyFont="1" applyFill="1" applyBorder="1" applyAlignment="1">
      <alignment horizontal="center"/>
    </xf>
    <xf numFmtId="0" fontId="43" fillId="0" borderId="40" xfId="46" applyFont="1" applyFill="1" applyBorder="1"/>
    <xf numFmtId="170" fontId="43" fillId="0" borderId="40" xfId="46" applyNumberFormat="1" applyFont="1" applyFill="1" applyBorder="1" applyAlignment="1">
      <alignment horizontal="center"/>
    </xf>
    <xf numFmtId="170" fontId="41" fillId="0" borderId="40" xfId="46" applyNumberFormat="1" applyFont="1" applyFill="1" applyBorder="1" applyAlignment="1">
      <alignment horizontal="center"/>
    </xf>
    <xf numFmtId="0" fontId="43" fillId="0" borderId="40" xfId="46" applyFont="1" applyFill="1" applyBorder="1" applyAlignment="1">
      <alignment wrapText="1"/>
    </xf>
    <xf numFmtId="2" fontId="41" fillId="0" borderId="40" xfId="46" applyNumberFormat="1" applyFont="1" applyFill="1" applyBorder="1" applyAlignment="1">
      <alignment horizontal="center"/>
    </xf>
    <xf numFmtId="0" fontId="41" fillId="0" borderId="40" xfId="46" applyFont="1" applyFill="1" applyBorder="1" applyAlignment="1">
      <alignment horizontal="center"/>
    </xf>
    <xf numFmtId="0" fontId="45" fillId="0" borderId="40" xfId="46" applyFont="1" applyFill="1" applyBorder="1" applyAlignment="1">
      <alignment horizontal="center"/>
    </xf>
    <xf numFmtId="0" fontId="76" fillId="0" borderId="0" xfId="59" applyFont="1" applyFill="1" applyBorder="1" applyAlignment="1" applyProtection="1">
      <alignment horizontal="right" vertical="center"/>
      <protection hidden="1"/>
    </xf>
    <xf numFmtId="0" fontId="76" fillId="0" borderId="0" xfId="59" applyFont="1" applyFill="1" applyBorder="1" applyAlignment="1" applyProtection="1">
      <alignment vertical="center"/>
      <protection hidden="1"/>
    </xf>
    <xf numFmtId="0" fontId="75" fillId="0" borderId="40" xfId="59" applyFont="1" applyFill="1" applyBorder="1" applyAlignment="1" applyProtection="1">
      <alignment horizontal="center" vertical="center" wrapText="1"/>
      <protection hidden="1"/>
    </xf>
    <xf numFmtId="0" fontId="76" fillId="0" borderId="40" xfId="59" applyFont="1" applyFill="1" applyBorder="1" applyAlignment="1" applyProtection="1">
      <alignment horizontal="center" vertical="center" wrapText="1"/>
      <protection hidden="1"/>
    </xf>
    <xf numFmtId="2" fontId="76" fillId="0" borderId="0" xfId="59" applyNumberFormat="1" applyFont="1" applyFill="1" applyBorder="1" applyAlignment="1" applyProtection="1">
      <alignment horizontal="right" vertical="center"/>
      <protection hidden="1"/>
    </xf>
    <xf numFmtId="2" fontId="76" fillId="0" borderId="0" xfId="59" applyNumberFormat="1" applyFont="1" applyFill="1" applyBorder="1" applyAlignment="1" applyProtection="1">
      <alignment vertical="center"/>
      <protection hidden="1"/>
    </xf>
    <xf numFmtId="1" fontId="76" fillId="0" borderId="0" xfId="59" applyNumberFormat="1" applyFont="1" applyFill="1" applyBorder="1" applyAlignment="1" applyProtection="1">
      <alignment vertical="center"/>
      <protection hidden="1"/>
    </xf>
    <xf numFmtId="2" fontId="75" fillId="0" borderId="40" xfId="59" applyNumberFormat="1" applyFont="1" applyFill="1" applyBorder="1" applyAlignment="1" applyProtection="1">
      <alignment horizontal="right" vertical="center" wrapText="1"/>
      <protection hidden="1"/>
    </xf>
    <xf numFmtId="2" fontId="75" fillId="0" borderId="0" xfId="59" applyNumberFormat="1" applyFont="1" applyFill="1" applyBorder="1" applyAlignment="1" applyProtection="1">
      <alignment horizontal="right" vertical="center"/>
      <protection hidden="1"/>
    </xf>
    <xf numFmtId="0" fontId="76" fillId="0" borderId="40" xfId="43" applyFont="1" applyFill="1" applyBorder="1" applyAlignment="1" applyProtection="1">
      <alignment vertical="center"/>
      <protection hidden="1"/>
    </xf>
    <xf numFmtId="2" fontId="76" fillId="0" borderId="0" xfId="43" applyNumberFormat="1" applyFont="1" applyFill="1" applyBorder="1" applyAlignment="1" applyProtection="1">
      <alignment horizontal="right" vertical="center"/>
      <protection hidden="1"/>
    </xf>
    <xf numFmtId="0" fontId="76" fillId="0" borderId="0" xfId="43" applyFont="1" applyFill="1" applyBorder="1" applyAlignment="1" applyProtection="1">
      <alignment vertical="center"/>
      <protection hidden="1"/>
    </xf>
    <xf numFmtId="0" fontId="75" fillId="0" borderId="0" xfId="59" applyNumberFormat="1" applyFont="1" applyFill="1" applyBorder="1" applyAlignment="1" applyProtection="1">
      <alignment horizontal="center" vertical="center" wrapText="1"/>
      <protection hidden="1"/>
    </xf>
    <xf numFmtId="0" fontId="75" fillId="0" borderId="0" xfId="59" applyFont="1" applyFill="1" applyBorder="1" applyAlignment="1" applyProtection="1">
      <alignment horizontal="right" vertical="center"/>
      <protection hidden="1"/>
    </xf>
    <xf numFmtId="0" fontId="75" fillId="0" borderId="0" xfId="59" applyFont="1" applyFill="1" applyBorder="1" applyAlignment="1" applyProtection="1">
      <alignment vertical="center"/>
      <protection hidden="1"/>
    </xf>
    <xf numFmtId="0" fontId="4" fillId="0" borderId="0" xfId="0" applyFont="1" applyFill="1" applyBorder="1" applyAlignment="1" applyProtection="1">
      <alignment horizontal="center" vertical="top" wrapText="1"/>
      <protection hidden="1"/>
    </xf>
    <xf numFmtId="2" fontId="41" fillId="0" borderId="35" xfId="47" applyNumberFormat="1" applyFont="1" applyFill="1" applyBorder="1" applyAlignment="1">
      <alignment horizontal="center" vertical="top" wrapText="1"/>
    </xf>
    <xf numFmtId="2" fontId="76" fillId="0" borderId="40" xfId="42" applyNumberFormat="1" applyFont="1" applyFill="1" applyBorder="1" applyAlignment="1">
      <alignment horizontal="center" vertical="center"/>
    </xf>
    <xf numFmtId="2" fontId="75" fillId="0" borderId="40" xfId="59" applyNumberFormat="1" applyFont="1" applyFill="1" applyBorder="1" applyAlignment="1" applyProtection="1">
      <alignment horizontal="center" vertical="center" wrapText="1"/>
      <protection hidden="1"/>
    </xf>
    <xf numFmtId="2" fontId="76" fillId="0" borderId="40" xfId="59" applyNumberFormat="1" applyFont="1" applyFill="1" applyBorder="1" applyAlignment="1" applyProtection="1">
      <alignment horizontal="center" vertical="center" wrapText="1"/>
      <protection hidden="1"/>
    </xf>
    <xf numFmtId="2" fontId="75" fillId="0" borderId="40" xfId="43" applyNumberFormat="1" applyFont="1" applyFill="1" applyBorder="1" applyAlignment="1" applyProtection="1">
      <alignment horizontal="center" vertical="center"/>
      <protection hidden="1"/>
    </xf>
    <xf numFmtId="0" fontId="32" fillId="0" borderId="0" xfId="0" applyFont="1" applyFill="1" applyBorder="1" applyAlignment="1">
      <alignment vertical="center"/>
    </xf>
    <xf numFmtId="166" fontId="43" fillId="0" borderId="25" xfId="0" applyNumberFormat="1" applyFont="1" applyFill="1" applyBorder="1" applyAlignment="1" applyProtection="1">
      <alignment horizontal="right" vertical="top"/>
      <protection hidden="1"/>
    </xf>
    <xf numFmtId="166" fontId="41" fillId="0" borderId="25" xfId="0" applyNumberFormat="1" applyFont="1" applyFill="1" applyBorder="1" applyAlignment="1" applyProtection="1">
      <alignment horizontal="right" vertical="top"/>
      <protection hidden="1"/>
    </xf>
    <xf numFmtId="2" fontId="71" fillId="24" borderId="40" xfId="55" applyNumberFormat="1" applyFont="1" applyFill="1" applyBorder="1" applyAlignment="1">
      <alignment horizontal="center"/>
    </xf>
    <xf numFmtId="2" fontId="36" fillId="0" borderId="0" xfId="0" applyNumberFormat="1" applyFont="1" applyFill="1" applyBorder="1" applyAlignment="1" applyProtection="1">
      <alignment horizontal="right" vertical="top" wrapText="1"/>
      <protection hidden="1"/>
    </xf>
    <xf numFmtId="0" fontId="4" fillId="24" borderId="0" xfId="0" applyFont="1" applyFill="1" applyBorder="1" applyAlignment="1" applyProtection="1">
      <alignment horizontal="right" vertical="top" wrapText="1"/>
      <protection hidden="1"/>
    </xf>
    <xf numFmtId="2" fontId="4" fillId="24" borderId="0" xfId="0" applyNumberFormat="1" applyFont="1" applyFill="1" applyBorder="1" applyAlignment="1" applyProtection="1">
      <alignment horizontal="right" vertical="top" wrapText="1"/>
      <protection hidden="1"/>
    </xf>
    <xf numFmtId="2" fontId="4" fillId="24" borderId="0" xfId="0" applyNumberFormat="1" applyFont="1" applyFill="1" applyBorder="1" applyAlignment="1" applyProtection="1">
      <alignment vertical="top" wrapText="1"/>
      <protection hidden="1"/>
    </xf>
    <xf numFmtId="2" fontId="43" fillId="0" borderId="35" xfId="47" applyNumberFormat="1" applyFont="1" applyFill="1" applyBorder="1" applyAlignment="1">
      <alignment horizontal="justify" vertical="justify" wrapText="1"/>
    </xf>
    <xf numFmtId="2" fontId="6" fillId="0" borderId="40" xfId="51" applyNumberFormat="1" applyFont="1" applyFill="1" applyBorder="1" applyAlignment="1">
      <alignment horizontal="center"/>
    </xf>
    <xf numFmtId="0" fontId="69" fillId="0" borderId="40" xfId="55" applyFont="1" applyBorder="1"/>
    <xf numFmtId="0" fontId="32" fillId="0" borderId="0" xfId="51" applyFont="1" applyBorder="1" applyAlignment="1">
      <alignment horizontal="center" vertical="center"/>
    </xf>
    <xf numFmtId="0" fontId="4" fillId="0" borderId="0" xfId="60" applyProtection="1">
      <protection locked="0"/>
    </xf>
    <xf numFmtId="0" fontId="4" fillId="24" borderId="0" xfId="60" applyFill="1" applyAlignment="1" applyProtection="1">
      <alignment horizontal="left"/>
      <protection locked="0"/>
    </xf>
    <xf numFmtId="0" fontId="4" fillId="0" borderId="0" xfId="60" applyAlignment="1" applyProtection="1">
      <alignment wrapText="1"/>
      <protection locked="0"/>
    </xf>
    <xf numFmtId="2" fontId="4" fillId="27" borderId="0" xfId="60" applyNumberFormat="1" applyFill="1" applyProtection="1">
      <protection locked="0"/>
    </xf>
    <xf numFmtId="14" fontId="4" fillId="24" borderId="0" xfId="60" applyNumberFormat="1" applyFill="1" applyAlignment="1" applyProtection="1">
      <alignment horizontal="left"/>
      <protection locked="0"/>
    </xf>
    <xf numFmtId="2" fontId="4" fillId="24" borderId="0" xfId="60" applyNumberFormat="1" applyFill="1" applyAlignment="1" applyProtection="1">
      <alignment horizontal="left"/>
      <protection locked="0"/>
    </xf>
    <xf numFmtId="2" fontId="4" fillId="0" borderId="0" xfId="60" applyNumberFormat="1" applyProtection="1">
      <protection locked="0"/>
    </xf>
    <xf numFmtId="0" fontId="4" fillId="0" borderId="0" xfId="60"/>
    <xf numFmtId="0" fontId="4" fillId="0" borderId="0" xfId="60" applyAlignment="1">
      <alignment horizontal="left"/>
    </xf>
    <xf numFmtId="0" fontId="4" fillId="26" borderId="0" xfId="60" applyFill="1" applyAlignment="1">
      <alignment horizontal="left"/>
    </xf>
    <xf numFmtId="0" fontId="4" fillId="26" borderId="0" xfId="60" applyFill="1"/>
    <xf numFmtId="2" fontId="4" fillId="24" borderId="0" xfId="60" applyNumberFormat="1" applyFill="1" applyAlignment="1" applyProtection="1">
      <alignment horizontal="left" wrapText="1"/>
      <protection locked="0"/>
    </xf>
    <xf numFmtId="0" fontId="72" fillId="0" borderId="0" xfId="60" applyFont="1" applyAlignment="1">
      <alignment vertical="center" wrapText="1"/>
    </xf>
    <xf numFmtId="0" fontId="4" fillId="0" borderId="0" xfId="60" applyAlignment="1">
      <alignment horizontal="center" vertical="center"/>
    </xf>
    <xf numFmtId="0" fontId="3" fillId="0" borderId="40" xfId="60" applyFont="1" applyBorder="1" applyAlignment="1">
      <alignment horizontal="center" vertical="center" wrapText="1"/>
    </xf>
    <xf numFmtId="0" fontId="77" fillId="0" borderId="40" xfId="44" applyFont="1" applyBorder="1" applyAlignment="1">
      <alignment wrapText="1"/>
    </xf>
    <xf numFmtId="0" fontId="78" fillId="0" borderId="40" xfId="44" applyFont="1" applyBorder="1" applyAlignment="1">
      <alignment wrapText="1"/>
    </xf>
    <xf numFmtId="0" fontId="3" fillId="0" borderId="0" xfId="60" applyFont="1" applyAlignment="1">
      <alignment horizontal="center" vertical="center" wrapText="1"/>
    </xf>
    <xf numFmtId="0" fontId="4" fillId="0" borderId="40" xfId="60" applyBorder="1" applyAlignment="1">
      <alignment horizontal="center" vertical="center" wrapText="1"/>
    </xf>
    <xf numFmtId="14" fontId="4" fillId="0" borderId="40" xfId="60" applyNumberFormat="1" applyBorder="1" applyAlignment="1">
      <alignment horizontal="center" vertical="center" wrapText="1"/>
    </xf>
    <xf numFmtId="169" fontId="4" fillId="0" borderId="40" xfId="60" applyNumberFormat="1" applyBorder="1" applyAlignment="1">
      <alignment horizontal="center" vertical="center" wrapText="1"/>
    </xf>
    <xf numFmtId="2" fontId="4" fillId="0" borderId="40" xfId="60" applyNumberFormat="1" applyBorder="1" applyAlignment="1">
      <alignment horizontal="center" vertical="center" wrapText="1"/>
    </xf>
    <xf numFmtId="0" fontId="4" fillId="0" borderId="0" xfId="60" applyAlignment="1">
      <alignment horizontal="center" vertical="center" wrapText="1"/>
    </xf>
    <xf numFmtId="14" fontId="4" fillId="0" borderId="0" xfId="60" applyNumberFormat="1" applyAlignment="1">
      <alignment horizontal="center" vertical="center" wrapText="1"/>
    </xf>
    <xf numFmtId="2" fontId="4" fillId="0" borderId="0" xfId="60" applyNumberFormat="1" applyAlignment="1">
      <alignment horizontal="center" vertical="center" wrapText="1"/>
    </xf>
    <xf numFmtId="0" fontId="4" fillId="0" borderId="40" xfId="60" applyBorder="1" applyAlignment="1">
      <alignment horizontal="left" vertical="center"/>
    </xf>
    <xf numFmtId="0" fontId="4" fillId="0" borderId="40" xfId="60" applyBorder="1" applyAlignment="1">
      <alignment horizontal="center" vertical="center"/>
    </xf>
    <xf numFmtId="0" fontId="4" fillId="0" borderId="0" xfId="60" quotePrefix="1" applyAlignment="1">
      <alignment horizontal="center" vertical="center" wrapText="1"/>
    </xf>
    <xf numFmtId="170" fontId="4" fillId="0" borderId="40" xfId="60" applyNumberFormat="1" applyBorder="1" applyAlignment="1">
      <alignment horizontal="center" vertical="center" wrapText="1"/>
    </xf>
    <xf numFmtId="0" fontId="4" fillId="0" borderId="41" xfId="60" applyBorder="1" applyAlignment="1">
      <alignment horizontal="center" vertical="center" wrapText="1"/>
    </xf>
    <xf numFmtId="169" fontId="4" fillId="0" borderId="0" xfId="60" applyNumberFormat="1" applyAlignment="1">
      <alignment horizontal="center" vertical="center" wrapText="1"/>
    </xf>
    <xf numFmtId="0" fontId="3" fillId="0" borderId="0" xfId="60" applyFont="1" applyAlignment="1">
      <alignment horizontal="center" vertical="center"/>
    </xf>
    <xf numFmtId="165" fontId="4" fillId="0" borderId="0" xfId="60" applyNumberFormat="1" applyAlignment="1">
      <alignment horizontal="center" vertical="center"/>
    </xf>
    <xf numFmtId="2" fontId="4" fillId="0" borderId="40" xfId="60" applyNumberFormat="1" applyBorder="1" applyAlignment="1">
      <alignment horizontal="center" vertical="center"/>
    </xf>
    <xf numFmtId="0" fontId="54" fillId="25" borderId="19" xfId="54" applyFont="1" applyFill="1" applyBorder="1"/>
    <xf numFmtId="0" fontId="6" fillId="0" borderId="19" xfId="51" applyFont="1" applyBorder="1"/>
    <xf numFmtId="0" fontId="73" fillId="0" borderId="19" xfId="55" applyFont="1" applyBorder="1"/>
    <xf numFmtId="0" fontId="6" fillId="0" borderId="19" xfId="51" applyFont="1" applyBorder="1" applyAlignment="1">
      <alignment horizontal="center"/>
    </xf>
    <xf numFmtId="2" fontId="71" fillId="0" borderId="21" xfId="55" applyNumberFormat="1" applyFont="1" applyBorder="1" applyAlignment="1">
      <alignment horizontal="right"/>
    </xf>
    <xf numFmtId="2" fontId="73" fillId="0" borderId="40" xfId="55" applyNumberFormat="1" applyFont="1" applyBorder="1" applyAlignment="1">
      <alignment horizontal="right"/>
    </xf>
    <xf numFmtId="0" fontId="73" fillId="0" borderId="40" xfId="55" applyFont="1" applyBorder="1" applyAlignment="1">
      <alignment horizontal="right"/>
    </xf>
    <xf numFmtId="0" fontId="4" fillId="0" borderId="0" xfId="60" applyFill="1" applyProtection="1">
      <protection locked="0"/>
    </xf>
    <xf numFmtId="2" fontId="4" fillId="0" borderId="0" xfId="60" applyNumberFormat="1" applyFill="1" applyProtection="1">
      <protection locked="0"/>
    </xf>
    <xf numFmtId="0" fontId="3" fillId="0" borderId="0" xfId="0" applyFont="1" applyFill="1" applyBorder="1" applyAlignment="1" applyProtection="1">
      <alignment vertical="top" wrapText="1"/>
      <protection hidden="1"/>
    </xf>
    <xf numFmtId="0" fontId="4" fillId="0" borderId="0" xfId="0" applyFont="1" applyFill="1" applyBorder="1" applyAlignment="1" applyProtection="1">
      <alignment horizontal="center" wrapText="1"/>
      <protection hidden="1"/>
    </xf>
    <xf numFmtId="0" fontId="51" fillId="0" borderId="35" xfId="0" applyFont="1" applyBorder="1" applyAlignment="1">
      <alignment horizontal="justify" vertical="top" wrapText="1"/>
    </xf>
    <xf numFmtId="171" fontId="51" fillId="0" borderId="35" xfId="0" applyNumberFormat="1" applyFont="1" applyBorder="1" applyAlignment="1">
      <alignment horizontal="center" vertical="top" shrinkToFit="1"/>
    </xf>
    <xf numFmtId="171" fontId="51" fillId="0" borderId="49" xfId="0" applyNumberFormat="1" applyFont="1" applyBorder="1" applyAlignment="1">
      <alignment horizontal="right" vertical="top" shrinkToFit="1"/>
    </xf>
    <xf numFmtId="171" fontId="81" fillId="0" borderId="35" xfId="0" applyNumberFormat="1" applyFont="1" applyBorder="1" applyAlignment="1">
      <alignment horizontal="justify" vertical="top" wrapText="1"/>
    </xf>
    <xf numFmtId="171" fontId="82" fillId="0" borderId="35" xfId="0" applyNumberFormat="1" applyFont="1" applyBorder="1" applyAlignment="1">
      <alignment horizontal="center" vertical="top" wrapText="1"/>
    </xf>
    <xf numFmtId="171" fontId="83" fillId="0" borderId="35" xfId="0" applyNumberFormat="1" applyFont="1" applyBorder="1" applyAlignment="1">
      <alignment horizontal="center" vertical="top" wrapText="1"/>
    </xf>
    <xf numFmtId="171" fontId="84" fillId="0" borderId="35" xfId="0" applyNumberFormat="1" applyFont="1" applyBorder="1" applyAlignment="1">
      <alignment horizontal="justify" vertical="top" wrapText="1"/>
    </xf>
    <xf numFmtId="171" fontId="79" fillId="0" borderId="35" xfId="0" applyNumberFormat="1" applyFont="1" applyBorder="1" applyAlignment="1">
      <alignment horizontal="center" vertical="top" wrapText="1"/>
    </xf>
    <xf numFmtId="2" fontId="80" fillId="0" borderId="35" xfId="0" applyNumberFormat="1" applyFont="1" applyBorder="1" applyAlignment="1">
      <alignment horizontal="center" vertical="top" shrinkToFit="1"/>
    </xf>
    <xf numFmtId="2" fontId="51" fillId="0" borderId="35" xfId="0" applyNumberFormat="1" applyFont="1" applyBorder="1" applyAlignment="1">
      <alignment horizontal="center" vertical="top" shrinkToFit="1"/>
    </xf>
    <xf numFmtId="2" fontId="51" fillId="0" borderId="49" xfId="0" applyNumberFormat="1" applyFont="1" applyBorder="1" applyAlignment="1">
      <alignment horizontal="right" vertical="top" shrinkToFit="1"/>
    </xf>
    <xf numFmtId="0" fontId="50" fillId="0" borderId="35" xfId="0" applyFont="1" applyBorder="1" applyAlignment="1">
      <alignment horizontal="justify" vertical="top" wrapText="1"/>
    </xf>
    <xf numFmtId="2" fontId="85" fillId="0" borderId="35" xfId="0" applyNumberFormat="1" applyFont="1" applyBorder="1" applyAlignment="1">
      <alignment horizontal="center" vertical="top" shrinkToFit="1"/>
    </xf>
    <xf numFmtId="2" fontId="50" fillId="0" borderId="35" xfId="0" applyNumberFormat="1" applyFont="1" applyBorder="1" applyAlignment="1">
      <alignment horizontal="center" vertical="top" shrinkToFit="1"/>
    </xf>
    <xf numFmtId="171" fontId="50" fillId="0" borderId="35" xfId="0" applyNumberFormat="1" applyFont="1" applyBorder="1" applyAlignment="1">
      <alignment horizontal="center" vertical="top" shrinkToFit="1"/>
    </xf>
    <xf numFmtId="2" fontId="50" fillId="0" borderId="49" xfId="0" applyNumberFormat="1" applyFont="1" applyBorder="1" applyAlignment="1">
      <alignment horizontal="right" vertical="top" shrinkToFit="1"/>
    </xf>
    <xf numFmtId="171" fontId="50" fillId="0" borderId="35" xfId="0" applyNumberFormat="1" applyFont="1" applyBorder="1" applyAlignment="1">
      <alignment horizontal="right" vertical="top" shrinkToFit="1"/>
    </xf>
    <xf numFmtId="0" fontId="32" fillId="0" borderId="17" xfId="51" applyFont="1" applyBorder="1" applyAlignment="1"/>
    <xf numFmtId="0" fontId="32" fillId="0" borderId="3" xfId="51" applyFont="1" applyBorder="1" applyAlignment="1"/>
    <xf numFmtId="0" fontId="32" fillId="0" borderId="41" xfId="51" applyFont="1" applyBorder="1" applyAlignment="1"/>
    <xf numFmtId="0" fontId="32" fillId="0" borderId="25" xfId="0" applyFont="1" applyFill="1" applyBorder="1" applyAlignment="1">
      <alignment horizontal="left" vertical="center" shrinkToFit="1"/>
    </xf>
    <xf numFmtId="0" fontId="32" fillId="0" borderId="25" xfId="0" applyFont="1" applyFill="1" applyBorder="1" applyAlignment="1">
      <alignment horizontal="left" vertical="center"/>
    </xf>
    <xf numFmtId="0" fontId="69" fillId="0" borderId="40" xfId="0" applyFont="1" applyBorder="1" applyAlignment="1">
      <alignment horizontal="left" vertical="center"/>
    </xf>
    <xf numFmtId="172" fontId="2" fillId="0" borderId="25" xfId="0" applyNumberFormat="1" applyFont="1" applyFill="1" applyBorder="1" applyAlignment="1" applyProtection="1">
      <alignment horizontal="left" vertical="center"/>
      <protection locked="0"/>
    </xf>
    <xf numFmtId="172" fontId="32" fillId="0" borderId="25" xfId="0" applyNumberFormat="1" applyFont="1" applyFill="1" applyBorder="1" applyAlignment="1" applyProtection="1">
      <alignment horizontal="left" vertical="center"/>
      <protection hidden="1"/>
    </xf>
    <xf numFmtId="167" fontId="31" fillId="0" borderId="35" xfId="0" applyNumberFormat="1" applyFont="1" applyFill="1" applyBorder="1" applyAlignment="1" applyProtection="1">
      <alignment horizontal="left" vertical="center"/>
    </xf>
    <xf numFmtId="167" fontId="31" fillId="0" borderId="36" xfId="0" applyNumberFormat="1" applyFont="1" applyFill="1" applyBorder="1" applyAlignment="1" applyProtection="1">
      <alignment horizontal="left" vertical="center"/>
      <protection hidden="1"/>
    </xf>
    <xf numFmtId="167" fontId="32" fillId="0" borderId="25" xfId="0" applyNumberFormat="1" applyFont="1" applyFill="1" applyBorder="1" applyAlignment="1">
      <alignment horizontal="left" vertical="center"/>
    </xf>
    <xf numFmtId="172" fontId="32" fillId="0" borderId="25" xfId="0" applyNumberFormat="1" applyFont="1" applyFill="1" applyBorder="1" applyAlignment="1">
      <alignment horizontal="left" vertical="center"/>
    </xf>
    <xf numFmtId="167" fontId="31" fillId="0" borderId="36" xfId="0" applyNumberFormat="1" applyFont="1" applyFill="1" applyBorder="1" applyAlignment="1" applyProtection="1">
      <alignment horizontal="left" vertical="center"/>
    </xf>
    <xf numFmtId="167" fontId="6" fillId="0" borderId="25" xfId="0" applyNumberFormat="1" applyFont="1" applyFill="1" applyBorder="1" applyAlignment="1">
      <alignment horizontal="left" vertical="center"/>
    </xf>
    <xf numFmtId="0" fontId="6" fillId="0" borderId="25" xfId="0" applyFont="1" applyFill="1" applyBorder="1" applyAlignment="1">
      <alignment horizontal="left" vertical="center" wrapText="1"/>
    </xf>
    <xf numFmtId="2" fontId="2" fillId="0" borderId="25" xfId="0" applyNumberFormat="1" applyFont="1" applyFill="1" applyBorder="1" applyAlignment="1" applyProtection="1">
      <alignment horizontal="left" vertical="center"/>
      <protection locked="0"/>
    </xf>
    <xf numFmtId="0" fontId="31" fillId="0" borderId="36" xfId="0" applyFont="1" applyFill="1" applyBorder="1" applyAlignment="1" applyProtection="1">
      <alignment horizontal="left" vertical="center" wrapText="1"/>
    </xf>
    <xf numFmtId="0" fontId="32" fillId="0" borderId="25" xfId="0" applyFont="1" applyFill="1" applyBorder="1" applyAlignment="1" applyProtection="1">
      <alignment horizontal="left" vertical="center" wrapText="1"/>
      <protection locked="0"/>
    </xf>
    <xf numFmtId="0" fontId="70" fillId="0" borderId="40" xfId="48" applyFont="1" applyFill="1" applyBorder="1" applyAlignment="1" applyProtection="1">
      <alignment horizontal="left" vertical="center" wrapText="1"/>
      <protection locked="0" hidden="1"/>
    </xf>
    <xf numFmtId="172" fontId="70" fillId="0" borderId="40" xfId="48" applyNumberFormat="1" applyFont="1" applyFill="1" applyBorder="1" applyAlignment="1" applyProtection="1">
      <alignment horizontal="left" vertical="center"/>
      <protection locked="0" hidden="1"/>
    </xf>
    <xf numFmtId="0" fontId="32" fillId="0" borderId="25" xfId="0" applyFont="1" applyFill="1" applyBorder="1" applyAlignment="1" applyProtection="1">
      <alignment horizontal="left" vertical="center" wrapText="1"/>
      <protection hidden="1"/>
    </xf>
    <xf numFmtId="172" fontId="32" fillId="0" borderId="25" xfId="0" applyNumberFormat="1" applyFont="1" applyFill="1" applyBorder="1" applyAlignment="1" applyProtection="1">
      <alignment horizontal="left" vertical="center"/>
      <protection locked="0"/>
    </xf>
    <xf numFmtId="2" fontId="32" fillId="0" borderId="25" xfId="0" applyNumberFormat="1" applyFont="1" applyFill="1" applyBorder="1" applyAlignment="1">
      <alignment horizontal="left" vertical="center"/>
    </xf>
    <xf numFmtId="167" fontId="54" fillId="0" borderId="40" xfId="48" applyNumberFormat="1" applyFont="1" applyFill="1" applyBorder="1" applyAlignment="1" applyProtection="1">
      <alignment horizontal="left" vertical="center"/>
    </xf>
    <xf numFmtId="0" fontId="2" fillId="0" borderId="25" xfId="0" applyFont="1" applyFill="1" applyBorder="1" applyAlignment="1" applyProtection="1">
      <alignment horizontal="left" vertical="center" wrapText="1"/>
      <protection locked="0" hidden="1"/>
    </xf>
    <xf numFmtId="0" fontId="32" fillId="0" borderId="30" xfId="0" applyFont="1" applyFill="1" applyBorder="1" applyAlignment="1">
      <alignment horizontal="left" vertical="center" wrapText="1"/>
    </xf>
    <xf numFmtId="0" fontId="32" fillId="0" borderId="30" xfId="0" applyFont="1" applyFill="1" applyBorder="1" applyAlignment="1">
      <alignment horizontal="left" vertical="center"/>
    </xf>
    <xf numFmtId="0" fontId="2" fillId="0" borderId="30" xfId="0" applyFont="1" applyFill="1" applyBorder="1" applyAlignment="1" applyProtection="1">
      <alignment horizontal="left" vertical="center" wrapText="1"/>
      <protection locked="0" hidden="1"/>
    </xf>
    <xf numFmtId="172" fontId="32" fillId="0" borderId="30" xfId="0" applyNumberFormat="1" applyFont="1" applyFill="1" applyBorder="1" applyAlignment="1" applyProtection="1">
      <alignment horizontal="left" vertical="center"/>
      <protection locked="0"/>
    </xf>
    <xf numFmtId="2" fontId="32" fillId="0" borderId="30" xfId="0" applyNumberFormat="1" applyFont="1" applyFill="1" applyBorder="1" applyAlignment="1">
      <alignment horizontal="left" vertical="center"/>
    </xf>
    <xf numFmtId="172" fontId="32" fillId="0" borderId="30" xfId="0" applyNumberFormat="1" applyFont="1" applyFill="1" applyBorder="1" applyAlignment="1" applyProtection="1">
      <alignment horizontal="left" vertical="center"/>
      <protection hidden="1"/>
    </xf>
    <xf numFmtId="167" fontId="31" fillId="0" borderId="37" xfId="0" applyNumberFormat="1" applyFont="1" applyFill="1" applyBorder="1" applyAlignment="1" applyProtection="1">
      <alignment horizontal="left" vertical="center"/>
      <protection hidden="1"/>
    </xf>
    <xf numFmtId="167" fontId="32" fillId="0" borderId="30" xfId="0" applyNumberFormat="1" applyFont="1" applyFill="1" applyBorder="1" applyAlignment="1">
      <alignment horizontal="left" vertical="center"/>
    </xf>
    <xf numFmtId="172" fontId="32" fillId="0" borderId="30" xfId="0" applyNumberFormat="1" applyFont="1" applyFill="1" applyBorder="1" applyAlignment="1">
      <alignment horizontal="left" vertical="center"/>
    </xf>
    <xf numFmtId="167" fontId="31" fillId="0" borderId="37" xfId="0" applyNumberFormat="1" applyFont="1" applyFill="1" applyBorder="1" applyAlignment="1" applyProtection="1">
      <alignment horizontal="left" vertical="center"/>
    </xf>
    <xf numFmtId="167" fontId="6" fillId="0" borderId="30" xfId="0" applyNumberFormat="1" applyFont="1" applyFill="1" applyBorder="1" applyAlignment="1">
      <alignment horizontal="left" vertical="center"/>
    </xf>
    <xf numFmtId="0" fontId="6" fillId="0" borderId="30" xfId="0" applyFont="1" applyFill="1" applyBorder="1" applyAlignment="1">
      <alignment horizontal="left" vertical="center" wrapText="1"/>
    </xf>
    <xf numFmtId="0" fontId="72" fillId="0" borderId="14" xfId="0" applyFont="1" applyBorder="1" applyAlignment="1">
      <alignment horizontal="center" vertical="center" wrapText="1"/>
    </xf>
    <xf numFmtId="0" fontId="72" fillId="0" borderId="0" xfId="0" applyFont="1" applyBorder="1" applyAlignment="1">
      <alignment horizontal="center" vertical="center" wrapText="1"/>
    </xf>
    <xf numFmtId="0" fontId="72" fillId="0" borderId="47" xfId="0" applyFont="1" applyBorder="1" applyAlignment="1">
      <alignment horizontal="center" vertical="center" wrapText="1"/>
    </xf>
    <xf numFmtId="0" fontId="68" fillId="0" borderId="14" xfId="0" applyFont="1" applyBorder="1" applyAlignment="1">
      <alignment horizontal="center" wrapText="1"/>
    </xf>
    <xf numFmtId="0" fontId="68" fillId="0" borderId="0" xfId="0" applyFont="1" applyBorder="1" applyAlignment="1">
      <alignment horizontal="center" wrapText="1"/>
    </xf>
    <xf numFmtId="0" fontId="68" fillId="0" borderId="47" xfId="0" applyFont="1" applyBorder="1" applyAlignment="1">
      <alignment horizontal="center" wrapText="1"/>
    </xf>
    <xf numFmtId="0" fontId="67" fillId="0" borderId="14" xfId="0" applyFont="1" applyBorder="1" applyAlignment="1">
      <alignment horizontal="center"/>
    </xf>
    <xf numFmtId="0" fontId="67" fillId="0" borderId="0" xfId="0" applyFont="1" applyBorder="1" applyAlignment="1">
      <alignment horizontal="center"/>
    </xf>
    <xf numFmtId="0" fontId="68" fillId="0" borderId="14" xfId="0" applyFont="1" applyBorder="1" applyAlignment="1">
      <alignment horizontal="center"/>
    </xf>
    <xf numFmtId="0" fontId="68" fillId="0" borderId="0" xfId="0" applyFont="1" applyBorder="1" applyAlignment="1">
      <alignment horizontal="center"/>
    </xf>
    <xf numFmtId="0" fontId="68" fillId="0" borderId="47" xfId="0" applyFont="1" applyBorder="1" applyAlignment="1">
      <alignment horizontal="center"/>
    </xf>
    <xf numFmtId="0" fontId="75" fillId="0" borderId="16" xfId="59" applyNumberFormat="1" applyFont="1" applyFill="1" applyBorder="1" applyAlignment="1" applyProtection="1">
      <alignment horizontal="center" vertical="center" wrapText="1"/>
      <protection hidden="1"/>
    </xf>
    <xf numFmtId="0" fontId="75" fillId="0" borderId="0" xfId="59" applyNumberFormat="1" applyFont="1" applyFill="1" applyBorder="1" applyAlignment="1" applyProtection="1">
      <alignment horizontal="center" vertical="center" wrapText="1"/>
      <protection hidden="1"/>
    </xf>
    <xf numFmtId="0" fontId="75" fillId="0" borderId="17" xfId="59" applyFont="1" applyFill="1" applyBorder="1" applyAlignment="1" applyProtection="1">
      <alignment horizontal="right" vertical="center" wrapText="1"/>
      <protection hidden="1"/>
    </xf>
    <xf numFmtId="0" fontId="75" fillId="0" borderId="41" xfId="59" applyFont="1" applyFill="1" applyBorder="1" applyAlignment="1" applyProtection="1">
      <alignment horizontal="right" vertical="center" wrapText="1"/>
      <protection hidden="1"/>
    </xf>
    <xf numFmtId="0" fontId="76" fillId="0" borderId="17" xfId="59" applyFont="1" applyFill="1" applyBorder="1" applyAlignment="1" applyProtection="1">
      <alignment horizontal="left" vertical="center" wrapText="1"/>
      <protection hidden="1"/>
    </xf>
    <xf numFmtId="0" fontId="76" fillId="0" borderId="41" xfId="59" applyFont="1" applyFill="1" applyBorder="1" applyAlignment="1" applyProtection="1">
      <alignment horizontal="left" vertical="center" wrapText="1"/>
      <protection hidden="1"/>
    </xf>
    <xf numFmtId="0" fontId="76" fillId="0" borderId="17" xfId="43" applyFont="1" applyFill="1" applyBorder="1" applyAlignment="1" applyProtection="1">
      <alignment horizontal="right" vertical="center"/>
      <protection hidden="1"/>
    </xf>
    <xf numFmtId="0" fontId="76" fillId="0" borderId="41" xfId="43" applyFont="1" applyFill="1" applyBorder="1" applyAlignment="1" applyProtection="1">
      <alignment horizontal="right" vertical="center"/>
      <protection hidden="1"/>
    </xf>
    <xf numFmtId="0" fontId="75" fillId="0" borderId="17" xfId="59" applyFont="1" applyFill="1" applyBorder="1" applyAlignment="1" applyProtection="1">
      <alignment horizontal="center" vertical="center"/>
      <protection hidden="1"/>
    </xf>
    <xf numFmtId="0" fontId="75" fillId="0" borderId="3" xfId="59" applyFont="1" applyFill="1" applyBorder="1" applyAlignment="1" applyProtection="1">
      <alignment horizontal="center" vertical="center"/>
      <protection hidden="1"/>
    </xf>
    <xf numFmtId="0" fontId="75" fillId="0" borderId="41" xfId="59" applyFont="1" applyFill="1" applyBorder="1" applyAlignment="1" applyProtection="1">
      <alignment horizontal="center" vertical="center"/>
      <protection hidden="1"/>
    </xf>
    <xf numFmtId="2" fontId="75" fillId="0" borderId="17" xfId="59" applyNumberFormat="1" applyFont="1" applyFill="1" applyBorder="1" applyAlignment="1" applyProtection="1">
      <alignment horizontal="center" vertical="center" wrapText="1"/>
      <protection hidden="1"/>
    </xf>
    <xf numFmtId="2" fontId="75" fillId="0" borderId="3" xfId="59" applyNumberFormat="1" applyFont="1" applyFill="1" applyBorder="1" applyAlignment="1" applyProtection="1">
      <alignment horizontal="center" vertical="center" wrapText="1"/>
      <protection hidden="1"/>
    </xf>
    <xf numFmtId="2" fontId="75" fillId="0" borderId="41" xfId="59" applyNumberFormat="1" applyFont="1" applyFill="1" applyBorder="1" applyAlignment="1" applyProtection="1">
      <alignment horizontal="center" vertical="center" wrapText="1"/>
      <protection hidden="1"/>
    </xf>
    <xf numFmtId="0" fontId="75" fillId="0" borderId="17" xfId="59" applyFont="1" applyFill="1" applyBorder="1" applyAlignment="1" applyProtection="1">
      <alignment horizontal="center" vertical="center" wrapText="1"/>
      <protection hidden="1"/>
    </xf>
    <xf numFmtId="0" fontId="75" fillId="0" borderId="41" xfId="59" applyFont="1" applyFill="1" applyBorder="1" applyAlignment="1" applyProtection="1">
      <alignment horizontal="center" vertical="center" wrapText="1"/>
      <protection hidden="1"/>
    </xf>
    <xf numFmtId="0" fontId="74" fillId="0" borderId="12" xfId="51" applyFont="1" applyBorder="1" applyAlignment="1">
      <alignment horizontal="center"/>
    </xf>
    <xf numFmtId="0" fontId="31" fillId="0" borderId="0" xfId="49" applyFont="1" applyFill="1" applyBorder="1" applyAlignment="1">
      <alignment horizontal="center" vertical="justify" wrapText="1"/>
    </xf>
    <xf numFmtId="0" fontId="31" fillId="0" borderId="0" xfId="49" applyFont="1" applyFill="1" applyBorder="1" applyAlignment="1">
      <alignment horizontal="center" vertical="center" wrapText="1"/>
    </xf>
    <xf numFmtId="0" fontId="69" fillId="0" borderId="17" xfId="55" applyFont="1" applyBorder="1" applyAlignment="1">
      <alignment vertical="center" wrapText="1"/>
    </xf>
    <xf numFmtId="0" fontId="69" fillId="0" borderId="3" xfId="55" applyFont="1" applyBorder="1" applyAlignment="1">
      <alignment vertical="center" wrapText="1"/>
    </xf>
    <xf numFmtId="0" fontId="69" fillId="0" borderId="41" xfId="55" applyFont="1" applyBorder="1" applyAlignment="1">
      <alignment vertical="center" wrapText="1"/>
    </xf>
    <xf numFmtId="0" fontId="69" fillId="0" borderId="17" xfId="55" applyFont="1" applyBorder="1" applyAlignment="1">
      <alignment vertical="top" wrapText="1"/>
    </xf>
    <xf numFmtId="0" fontId="69" fillId="0" borderId="3" xfId="55" applyFont="1" applyBorder="1" applyAlignment="1">
      <alignment vertical="top" wrapText="1"/>
    </xf>
    <xf numFmtId="0" fontId="69" fillId="0" borderId="41" xfId="55" applyFont="1" applyBorder="1" applyAlignment="1">
      <alignment vertical="top" wrapText="1"/>
    </xf>
    <xf numFmtId="0" fontId="69" fillId="0" borderId="40" xfId="55" applyFont="1" applyBorder="1"/>
    <xf numFmtId="0" fontId="72" fillId="0" borderId="40" xfId="52" applyFont="1" applyBorder="1" applyAlignment="1">
      <alignment horizontal="center" vertical="center" wrapText="1"/>
    </xf>
    <xf numFmtId="0" fontId="73" fillId="0" borderId="17" xfId="55" applyFont="1" applyBorder="1" applyAlignment="1">
      <alignment horizontal="center"/>
    </xf>
    <xf numFmtId="0" fontId="73" fillId="0" borderId="41" xfId="55" applyFont="1" applyBorder="1" applyAlignment="1">
      <alignment horizontal="center"/>
    </xf>
    <xf numFmtId="0" fontId="73" fillId="0" borderId="40" xfId="55" applyFont="1" applyBorder="1"/>
    <xf numFmtId="0" fontId="32" fillId="0" borderId="0" xfId="51" applyFont="1" applyBorder="1" applyAlignment="1">
      <alignment horizontal="left" vertical="top" wrapText="1"/>
    </xf>
    <xf numFmtId="0" fontId="32" fillId="0" borderId="0" xfId="51" applyFont="1" applyBorder="1" applyAlignment="1">
      <alignment horizontal="left" wrapText="1"/>
    </xf>
    <xf numFmtId="0" fontId="32" fillId="0" borderId="0" xfId="51" applyFont="1" applyBorder="1" applyAlignment="1">
      <alignment horizontal="left"/>
    </xf>
    <xf numFmtId="2" fontId="69" fillId="0" borderId="17" xfId="55" applyNumberFormat="1" applyFont="1" applyBorder="1" applyAlignment="1">
      <alignment vertical="center" wrapText="1"/>
    </xf>
    <xf numFmtId="0" fontId="32" fillId="0" borderId="7" xfId="0" applyFont="1" applyFill="1" applyBorder="1" applyAlignment="1">
      <alignment horizontal="center" vertical="center"/>
    </xf>
    <xf numFmtId="0" fontId="6" fillId="0" borderId="0" xfId="0" applyFont="1" applyFill="1" applyBorder="1" applyAlignment="1">
      <alignment horizontal="center" vertical="center"/>
    </xf>
    <xf numFmtId="0" fontId="32" fillId="0" borderId="23" xfId="0" applyFont="1" applyFill="1" applyBorder="1" applyAlignment="1">
      <alignment horizontal="center" vertical="center"/>
    </xf>
    <xf numFmtId="0" fontId="32" fillId="0" borderId="12" xfId="0" applyFont="1" applyFill="1" applyBorder="1" applyAlignment="1">
      <alignment horizontal="center" vertical="center"/>
    </xf>
    <xf numFmtId="0" fontId="32" fillId="0" borderId="14" xfId="0" applyFont="1" applyFill="1" applyBorder="1" applyAlignment="1">
      <alignment horizontal="center" vertical="center"/>
    </xf>
    <xf numFmtId="0" fontId="32" fillId="0" borderId="0" xfId="0" applyFont="1" applyFill="1" applyBorder="1" applyAlignment="1">
      <alignment horizontal="center" vertical="center"/>
    </xf>
    <xf numFmtId="0" fontId="32" fillId="0" borderId="0" xfId="0" applyFont="1" applyFill="1" applyBorder="1" applyAlignment="1" applyProtection="1">
      <alignment horizontal="center" vertical="center"/>
    </xf>
    <xf numFmtId="0" fontId="6" fillId="0" borderId="0" xfId="0" applyFont="1" applyFill="1" applyBorder="1" applyAlignment="1" applyProtection="1">
      <alignment horizontal="center" vertical="center"/>
      <protection locked="0"/>
    </xf>
    <xf numFmtId="0" fontId="6" fillId="0" borderId="0" xfId="0" applyFont="1" applyFill="1" applyBorder="1" applyAlignment="1">
      <alignment horizontal="center" vertical="center" wrapText="1"/>
    </xf>
    <xf numFmtId="0" fontId="32" fillId="0" borderId="0" xfId="0" applyNumberFormat="1" applyFont="1" applyFill="1" applyBorder="1" applyAlignment="1">
      <alignment horizontal="center" vertical="center" wrapText="1"/>
    </xf>
    <xf numFmtId="0" fontId="32" fillId="0" borderId="0" xfId="0" applyFont="1" applyFill="1" applyBorder="1" applyAlignment="1">
      <alignment horizontal="left" vertical="center" wrapText="1"/>
    </xf>
    <xf numFmtId="0" fontId="32" fillId="0" borderId="0" xfId="0" applyFont="1" applyFill="1" applyBorder="1" applyAlignment="1" applyProtection="1">
      <alignment horizontal="left" vertical="center" wrapText="1"/>
      <protection locked="0"/>
    </xf>
    <xf numFmtId="167" fontId="29" fillId="0" borderId="14" xfId="0" applyNumberFormat="1" applyFont="1" applyFill="1" applyBorder="1" applyAlignment="1" applyProtection="1">
      <alignment horizontal="center" vertical="center" wrapText="1"/>
    </xf>
    <xf numFmtId="167" fontId="29" fillId="0" borderId="23" xfId="0" applyNumberFormat="1" applyFont="1" applyFill="1" applyBorder="1" applyAlignment="1" applyProtection="1">
      <alignment horizontal="center" vertical="center" wrapText="1"/>
    </xf>
    <xf numFmtId="0" fontId="32" fillId="0" borderId="25" xfId="0" applyFont="1" applyFill="1" applyBorder="1" applyAlignment="1">
      <alignment horizontal="center" vertical="center" wrapText="1"/>
    </xf>
    <xf numFmtId="0" fontId="6" fillId="0" borderId="13" xfId="0" applyFont="1" applyFill="1" applyBorder="1" applyAlignment="1">
      <alignment horizontal="center" vertical="center"/>
    </xf>
    <xf numFmtId="0" fontId="37" fillId="0" borderId="15" xfId="0" applyFont="1" applyFill="1" applyBorder="1" applyAlignment="1" applyProtection="1">
      <alignment horizontal="center" vertical="center" wrapText="1"/>
    </xf>
    <xf numFmtId="0" fontId="6" fillId="0" borderId="33"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4" fillId="0" borderId="0" xfId="0" applyFont="1" applyFill="1" applyBorder="1" applyAlignment="1" applyProtection="1">
      <alignment horizontal="center" vertical="top" wrapText="1"/>
      <protection hidden="1"/>
    </xf>
    <xf numFmtId="0" fontId="4" fillId="0" borderId="0" xfId="0" applyNumberFormat="1" applyFont="1" applyFill="1" applyBorder="1" applyAlignment="1" applyProtection="1">
      <alignment horizontal="justify" vertical="top" wrapText="1"/>
      <protection hidden="1"/>
    </xf>
    <xf numFmtId="0" fontId="4" fillId="26" borderId="25" xfId="0" applyNumberFormat="1" applyFont="1" applyFill="1" applyBorder="1" applyAlignment="1" applyProtection="1">
      <alignment horizontal="justify" vertical="top" wrapText="1"/>
      <protection hidden="1"/>
    </xf>
    <xf numFmtId="0" fontId="4" fillId="25" borderId="39" xfId="0" applyNumberFormat="1" applyFont="1" applyFill="1" applyBorder="1" applyAlignment="1" applyProtection="1">
      <alignment horizontal="justify" vertical="top" wrapText="1"/>
      <protection hidden="1"/>
    </xf>
    <xf numFmtId="0" fontId="4" fillId="0" borderId="25" xfId="0" applyNumberFormat="1" applyFont="1" applyFill="1" applyBorder="1" applyAlignment="1" applyProtection="1">
      <alignment horizontal="justify" vertical="top" wrapText="1"/>
      <protection hidden="1"/>
    </xf>
    <xf numFmtId="0" fontId="4" fillId="0" borderId="25" xfId="0" applyFont="1" applyFill="1" applyBorder="1" applyAlignment="1" applyProtection="1">
      <alignment horizontal="justify" vertical="center" wrapText="1"/>
      <protection hidden="1"/>
    </xf>
    <xf numFmtId="0" fontId="4" fillId="0" borderId="0" xfId="0" applyFont="1" applyFill="1" applyBorder="1" applyAlignment="1" applyProtection="1">
      <alignment horizontal="center" wrapText="1"/>
      <protection hidden="1"/>
    </xf>
    <xf numFmtId="0" fontId="4" fillId="0" borderId="0" xfId="0" applyFont="1" applyFill="1" applyBorder="1" applyAlignment="1" applyProtection="1">
      <alignment horizontal="left" vertical="top" wrapText="1"/>
      <protection hidden="1"/>
    </xf>
    <xf numFmtId="0" fontId="3" fillId="0" borderId="0" xfId="0" applyFont="1" applyFill="1" applyBorder="1" applyAlignment="1" applyProtection="1">
      <alignment horizontal="justify" vertical="top" wrapText="1"/>
      <protection hidden="1"/>
    </xf>
    <xf numFmtId="0" fontId="4" fillId="0" borderId="0" xfId="0" applyFont="1" applyFill="1" applyBorder="1" applyAlignment="1">
      <alignment horizontal="left" vertical="top" wrapText="1"/>
    </xf>
    <xf numFmtId="0" fontId="3" fillId="0" borderId="0" xfId="0" applyFont="1" applyFill="1" applyBorder="1" applyAlignment="1" applyProtection="1">
      <alignment horizontal="left" vertical="top" wrapText="1"/>
      <protection hidden="1"/>
    </xf>
    <xf numFmtId="0" fontId="3" fillId="0" borderId="0" xfId="0" applyFont="1" applyFill="1" applyBorder="1" applyAlignment="1">
      <alignment horizontal="left" vertical="top" wrapText="1"/>
    </xf>
    <xf numFmtId="0" fontId="3" fillId="0" borderId="0" xfId="0" applyNumberFormat="1" applyFont="1" applyFill="1" applyBorder="1" applyAlignment="1" applyProtection="1">
      <alignment horizontal="justify" vertical="top" wrapText="1"/>
      <protection hidden="1"/>
    </xf>
    <xf numFmtId="0" fontId="3" fillId="0" borderId="0" xfId="0" applyNumberFormat="1" applyFont="1" applyFill="1" applyBorder="1" applyAlignment="1" applyProtection="1">
      <alignment horizontal="left" vertical="top" wrapText="1"/>
      <protection hidden="1"/>
    </xf>
    <xf numFmtId="0" fontId="3" fillId="0" borderId="0" xfId="0" applyNumberFormat="1" applyFont="1" applyFill="1" applyBorder="1" applyAlignment="1">
      <alignment horizontal="left" vertical="top" wrapText="1"/>
    </xf>
    <xf numFmtId="0" fontId="3" fillId="0" borderId="0" xfId="0" applyFont="1" applyFill="1" applyBorder="1" applyAlignment="1" applyProtection="1">
      <alignment horizontal="center" vertical="top" wrapText="1"/>
      <protection hidden="1"/>
    </xf>
    <xf numFmtId="2" fontId="4" fillId="0" borderId="0" xfId="0" applyNumberFormat="1" applyFont="1" applyFill="1" applyBorder="1" applyAlignment="1" applyProtection="1">
      <alignment horizontal="center" vertical="top" wrapText="1" shrinkToFit="1"/>
      <protection hidden="1"/>
    </xf>
    <xf numFmtId="0" fontId="3" fillId="0" borderId="0" xfId="0" applyFont="1" applyFill="1" applyBorder="1" applyAlignment="1" applyProtection="1">
      <alignment vertical="top" wrapText="1"/>
      <protection hidden="1"/>
    </xf>
    <xf numFmtId="0" fontId="57" fillId="0" borderId="0" xfId="0" applyFont="1" applyFill="1" applyBorder="1" applyAlignment="1" applyProtection="1">
      <alignment horizontal="justify" vertical="top" wrapText="1"/>
      <protection hidden="1"/>
    </xf>
    <xf numFmtId="2" fontId="3" fillId="0" borderId="0" xfId="0" applyNumberFormat="1" applyFont="1" applyFill="1" applyBorder="1" applyAlignment="1" applyProtection="1">
      <alignment horizontal="center" vertical="center" wrapText="1"/>
      <protection hidden="1"/>
    </xf>
    <xf numFmtId="0" fontId="3" fillId="0" borderId="0" xfId="0" applyFont="1" applyFill="1" applyBorder="1" applyAlignment="1" applyProtection="1">
      <alignment horizontal="center" vertical="center" wrapText="1"/>
      <protection hidden="1"/>
    </xf>
    <xf numFmtId="0" fontId="4" fillId="0" borderId="50" xfId="0" applyFont="1" applyFill="1" applyBorder="1" applyAlignment="1" applyProtection="1">
      <alignment horizontal="center" wrapText="1"/>
      <protection hidden="1"/>
    </xf>
    <xf numFmtId="0" fontId="4" fillId="0" borderId="15" xfId="0" applyFont="1" applyFill="1" applyBorder="1" applyAlignment="1" applyProtection="1">
      <alignment horizontal="left" vertical="top" wrapText="1"/>
      <protection hidden="1"/>
    </xf>
    <xf numFmtId="0" fontId="4" fillId="0" borderId="0" xfId="0" applyFont="1" applyFill="1" applyBorder="1" applyAlignment="1" applyProtection="1">
      <alignment horizontal="center" vertical="top"/>
      <protection hidden="1"/>
    </xf>
    <xf numFmtId="0" fontId="3" fillId="0" borderId="0" xfId="0" applyNumberFormat="1" applyFont="1" applyFill="1" applyBorder="1" applyAlignment="1" applyProtection="1">
      <alignment horizontal="center" vertical="top" wrapText="1"/>
      <protection hidden="1"/>
    </xf>
    <xf numFmtId="0" fontId="43" fillId="0" borderId="32" xfId="0" applyFont="1" applyFill="1" applyBorder="1" applyAlignment="1" applyProtection="1">
      <alignment horizontal="justify" vertical="top" wrapText="1"/>
      <protection hidden="1"/>
    </xf>
    <xf numFmtId="0" fontId="43" fillId="0" borderId="27" xfId="0" applyFont="1" applyFill="1" applyBorder="1" applyAlignment="1" applyProtection="1">
      <alignment horizontal="justify" vertical="top" wrapText="1"/>
      <protection hidden="1"/>
    </xf>
    <xf numFmtId="0" fontId="43" fillId="0" borderId="26" xfId="0" applyFont="1" applyFill="1" applyBorder="1" applyAlignment="1" applyProtection="1">
      <alignment horizontal="justify" vertical="top" wrapText="1"/>
      <protection hidden="1"/>
    </xf>
    <xf numFmtId="0" fontId="4" fillId="0" borderId="0" xfId="0" applyFont="1" applyFill="1" applyBorder="1" applyAlignment="1">
      <alignment horizontal="center" vertical="top"/>
    </xf>
    <xf numFmtId="0" fontId="43" fillId="0" borderId="40" xfId="46" applyNumberFormat="1" applyFont="1" applyFill="1" applyBorder="1" applyAlignment="1">
      <alignment horizontal="justify" vertical="justify" wrapText="1"/>
    </xf>
    <xf numFmtId="0" fontId="2" fillId="0" borderId="40" xfId="56" applyFont="1" applyFill="1" applyBorder="1" applyAlignment="1">
      <alignment wrapText="1"/>
    </xf>
    <xf numFmtId="0" fontId="43" fillId="0" borderId="32" xfId="0" applyNumberFormat="1" applyFont="1" applyFill="1" applyBorder="1" applyAlignment="1" applyProtection="1">
      <alignment horizontal="justify" vertical="top" wrapText="1"/>
      <protection hidden="1"/>
    </xf>
    <xf numFmtId="0" fontId="43" fillId="0" borderId="27" xfId="0" applyNumberFormat="1" applyFont="1" applyFill="1" applyBorder="1" applyAlignment="1" applyProtection="1">
      <alignment horizontal="justify" vertical="top" wrapText="1"/>
      <protection hidden="1"/>
    </xf>
    <xf numFmtId="0" fontId="43" fillId="0" borderId="26" xfId="0" applyNumberFormat="1" applyFont="1" applyFill="1" applyBorder="1" applyAlignment="1" applyProtection="1">
      <alignment horizontal="justify" vertical="top" wrapText="1"/>
      <protection hidden="1"/>
    </xf>
    <xf numFmtId="0" fontId="43" fillId="24" borderId="32" xfId="0" applyFont="1" applyFill="1" applyBorder="1" applyAlignment="1" applyProtection="1">
      <alignment horizontal="justify" vertical="top" wrapText="1"/>
      <protection hidden="1"/>
    </xf>
    <xf numFmtId="0" fontId="43" fillId="24" borderId="27" xfId="0" applyFont="1" applyFill="1" applyBorder="1" applyAlignment="1" applyProtection="1">
      <alignment horizontal="justify" vertical="top" wrapText="1"/>
      <protection hidden="1"/>
    </xf>
    <xf numFmtId="0" fontId="43" fillId="24" borderId="26" xfId="0" applyFont="1" applyFill="1" applyBorder="1" applyAlignment="1" applyProtection="1">
      <alignment horizontal="justify" vertical="top" wrapText="1"/>
      <protection hidden="1"/>
    </xf>
    <xf numFmtId="2" fontId="41" fillId="0" borderId="0" xfId="0" applyNumberFormat="1" applyFont="1" applyFill="1" applyBorder="1" applyAlignment="1" applyProtection="1">
      <alignment horizontal="center" vertical="top" wrapText="1"/>
      <protection hidden="1"/>
    </xf>
    <xf numFmtId="0" fontId="41" fillId="0" borderId="0" xfId="0" applyFont="1" applyFill="1" applyBorder="1" applyAlignment="1" applyProtection="1">
      <alignment horizontal="center" vertical="top" wrapText="1"/>
      <protection hidden="1"/>
    </xf>
    <xf numFmtId="0" fontId="31" fillId="0" borderId="0" xfId="0" applyFont="1" applyAlignment="1" applyProtection="1">
      <alignment horizontal="left" vertical="top" wrapText="1"/>
      <protection locked="0"/>
    </xf>
    <xf numFmtId="0" fontId="29" fillId="0" borderId="0" xfId="0" applyFont="1" applyBorder="1" applyAlignment="1">
      <alignment horizontal="left" vertical="top" wrapText="1"/>
    </xf>
    <xf numFmtId="0" fontId="4" fillId="0" borderId="0" xfId="0" applyFont="1" applyBorder="1" applyAlignment="1">
      <alignment horizontal="left" vertical="top" wrapText="1"/>
    </xf>
    <xf numFmtId="0" fontId="31" fillId="0" borderId="0" xfId="0" applyFont="1" applyAlignment="1">
      <alignment horizontal="left" vertical="top" wrapText="1"/>
    </xf>
    <xf numFmtId="2" fontId="29" fillId="0" borderId="0" xfId="0" applyNumberFormat="1" applyFont="1" applyAlignment="1">
      <alignment shrinkToFit="1"/>
    </xf>
    <xf numFmtId="0" fontId="29" fillId="0" borderId="0" xfId="0" applyFont="1" applyAlignment="1"/>
    <xf numFmtId="0" fontId="48" fillId="0" borderId="0" xfId="0" applyFont="1" applyAlignment="1">
      <alignment vertical="top" wrapText="1"/>
    </xf>
    <xf numFmtId="0" fontId="31" fillId="0" borderId="0" xfId="0" applyFont="1" applyAlignment="1">
      <alignment vertical="top" wrapText="1"/>
    </xf>
    <xf numFmtId="0" fontId="43" fillId="0" borderId="0" xfId="0" applyFont="1" applyAlignment="1">
      <alignment horizontal="left" vertical="center" wrapText="1"/>
    </xf>
    <xf numFmtId="0" fontId="48" fillId="0" borderId="0" xfId="0" applyFont="1" applyBorder="1" applyAlignment="1">
      <alignment horizontal="left" vertical="top" wrapText="1"/>
    </xf>
    <xf numFmtId="2" fontId="29" fillId="0" borderId="0" xfId="0" applyNumberFormat="1" applyFont="1" applyAlignment="1">
      <alignment horizontal="center" vertical="top" wrapText="1"/>
    </xf>
    <xf numFmtId="0" fontId="31" fillId="0" borderId="0" xfId="0" applyFont="1" applyAlignment="1">
      <alignment horizontal="center" vertical="top" wrapText="1"/>
    </xf>
    <xf numFmtId="1" fontId="29" fillId="0" borderId="0" xfId="0" applyNumberFormat="1" applyFont="1" applyAlignment="1">
      <alignment horizontal="left" vertical="top" wrapText="1"/>
    </xf>
    <xf numFmtId="1" fontId="31" fillId="0" borderId="0" xfId="0" applyNumberFormat="1" applyFont="1" applyAlignment="1">
      <alignment horizontal="left" vertical="top" wrapText="1"/>
    </xf>
    <xf numFmtId="0" fontId="29" fillId="0" borderId="17" xfId="0" applyFont="1" applyBorder="1" applyAlignment="1">
      <alignment horizontal="center" vertical="top" wrapText="1"/>
    </xf>
    <xf numFmtId="0" fontId="29" fillId="0" borderId="3" xfId="0" applyFont="1" applyBorder="1" applyAlignment="1">
      <alignment horizontal="center" vertical="top" wrapText="1"/>
    </xf>
    <xf numFmtId="0" fontId="29" fillId="0" borderId="3" xfId="0" applyFont="1" applyBorder="1" applyAlignment="1">
      <alignment horizontal="center" vertical="top"/>
    </xf>
    <xf numFmtId="0" fontId="29" fillId="0" borderId="0" xfId="0" applyFont="1" applyBorder="1" applyAlignment="1">
      <alignment horizontal="center" vertical="top"/>
    </xf>
    <xf numFmtId="0" fontId="39" fillId="24" borderId="7" xfId="0" applyFont="1" applyFill="1" applyBorder="1" applyAlignment="1">
      <alignment horizontal="justify" vertical="top" wrapText="1"/>
    </xf>
    <xf numFmtId="0" fontId="35" fillId="24" borderId="7" xfId="0" applyFont="1" applyFill="1" applyBorder="1" applyAlignment="1">
      <alignment horizontal="justify" vertical="top" wrapText="1"/>
    </xf>
    <xf numFmtId="0" fontId="35" fillId="25" borderId="17" xfId="0" applyFont="1" applyFill="1" applyBorder="1" applyAlignment="1" applyProtection="1">
      <alignment horizontal="left" vertical="top" wrapText="1"/>
      <protection hidden="1"/>
    </xf>
    <xf numFmtId="0" fontId="35" fillId="25" borderId="3" xfId="0" applyFont="1" applyFill="1" applyBorder="1" applyAlignment="1" applyProtection="1">
      <alignment horizontal="left" vertical="top" wrapText="1"/>
      <protection hidden="1"/>
    </xf>
    <xf numFmtId="0" fontId="35" fillId="25" borderId="18" xfId="0" applyFont="1" applyFill="1" applyBorder="1" applyAlignment="1" applyProtection="1">
      <alignment horizontal="left" vertical="top" wrapText="1"/>
      <protection hidden="1"/>
    </xf>
    <xf numFmtId="0" fontId="35" fillId="25" borderId="17" xfId="0" applyFont="1" applyFill="1" applyBorder="1" applyAlignment="1" applyProtection="1">
      <alignment horizontal="left" vertical="justify" wrapText="1"/>
      <protection hidden="1"/>
    </xf>
    <xf numFmtId="0" fontId="35" fillId="25" borderId="3" xfId="0" applyFont="1" applyFill="1" applyBorder="1" applyAlignment="1" applyProtection="1">
      <alignment horizontal="left" vertical="justify" wrapText="1"/>
      <protection hidden="1"/>
    </xf>
    <xf numFmtId="0" fontId="35" fillId="25" borderId="18" xfId="0" applyFont="1" applyFill="1" applyBorder="1" applyAlignment="1" applyProtection="1">
      <alignment horizontal="left" vertical="justify" wrapText="1"/>
      <protection hidden="1"/>
    </xf>
    <xf numFmtId="0" fontId="35" fillId="25" borderId="21" xfId="0" applyFont="1" applyFill="1" applyBorder="1" applyAlignment="1" applyProtection="1">
      <alignment horizontal="left" vertical="top" wrapText="1"/>
      <protection hidden="1"/>
    </xf>
    <xf numFmtId="0" fontId="35" fillId="25" borderId="16" xfId="0" applyFont="1" applyFill="1" applyBorder="1" applyAlignment="1" applyProtection="1">
      <alignment horizontal="left" vertical="top" wrapText="1"/>
      <protection hidden="1"/>
    </xf>
    <xf numFmtId="0" fontId="35" fillId="25" borderId="22" xfId="0" applyFont="1" applyFill="1" applyBorder="1" applyAlignment="1" applyProtection="1">
      <alignment horizontal="left" vertical="top" wrapText="1"/>
      <protection hidden="1"/>
    </xf>
    <xf numFmtId="0" fontId="39" fillId="25" borderId="7" xfId="0" applyFont="1" applyFill="1" applyBorder="1" applyAlignment="1">
      <alignment horizontal="justify" vertical="top" wrapText="1"/>
    </xf>
    <xf numFmtId="0" fontId="35" fillId="25" borderId="7" xfId="0" applyFont="1" applyFill="1" applyBorder="1" applyAlignment="1">
      <alignment horizontal="justify" vertical="top" wrapText="1"/>
    </xf>
    <xf numFmtId="0" fontId="53" fillId="25" borderId="7" xfId="0" applyFont="1" applyFill="1" applyBorder="1" applyAlignment="1" applyProtection="1">
      <alignment horizontal="center" vertical="center" wrapText="1"/>
      <protection hidden="1"/>
    </xf>
    <xf numFmtId="0" fontId="39" fillId="25" borderId="17" xfId="0" applyFont="1" applyFill="1" applyBorder="1" applyAlignment="1" applyProtection="1">
      <alignment horizontal="left" vertical="top" wrapText="1"/>
      <protection hidden="1"/>
    </xf>
    <xf numFmtId="0" fontId="39" fillId="25" borderId="3" xfId="0" applyFont="1" applyFill="1" applyBorder="1" applyAlignment="1" applyProtection="1">
      <alignment horizontal="left" vertical="top" wrapText="1"/>
      <protection hidden="1"/>
    </xf>
    <xf numFmtId="0" fontId="39" fillId="25" borderId="18" xfId="0" applyFont="1" applyFill="1" applyBorder="1" applyAlignment="1" applyProtection="1">
      <alignment horizontal="left" vertical="top" wrapText="1"/>
      <protection hidden="1"/>
    </xf>
    <xf numFmtId="0" fontId="35" fillId="25" borderId="13" xfId="0" applyFont="1" applyFill="1" applyBorder="1" applyAlignment="1" applyProtection="1">
      <alignment horizontal="left" vertical="top" wrapText="1"/>
      <protection hidden="1"/>
    </xf>
    <xf numFmtId="0" fontId="39" fillId="25" borderId="12" xfId="0" applyFont="1" applyFill="1" applyBorder="1" applyAlignment="1" applyProtection="1">
      <alignment horizontal="center" vertical="center" wrapText="1"/>
      <protection hidden="1"/>
    </xf>
    <xf numFmtId="0" fontId="35" fillId="25" borderId="7" xfId="0" applyFont="1" applyFill="1" applyBorder="1" applyAlignment="1" applyProtection="1">
      <alignment horizontal="left" vertical="top" wrapText="1"/>
      <protection hidden="1"/>
    </xf>
    <xf numFmtId="0" fontId="35" fillId="25" borderId="0" xfId="0" applyFont="1" applyFill="1" applyBorder="1" applyAlignment="1" applyProtection="1">
      <alignment horizontal="center" vertical="top" wrapText="1"/>
      <protection hidden="1"/>
    </xf>
    <xf numFmtId="0" fontId="35" fillId="25" borderId="0" xfId="0" applyFont="1" applyFill="1" applyBorder="1" applyAlignment="1" applyProtection="1">
      <alignment horizontal="left" vertical="top" wrapText="1"/>
      <protection hidden="1"/>
    </xf>
    <xf numFmtId="1" fontId="35" fillId="25" borderId="0" xfId="0" applyNumberFormat="1" applyFont="1" applyFill="1" applyBorder="1" applyAlignment="1" applyProtection="1">
      <alignment horizontal="center" wrapText="1"/>
      <protection hidden="1"/>
    </xf>
    <xf numFmtId="0" fontId="6"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3" fillId="0" borderId="31" xfId="0" applyFont="1" applyFill="1" applyBorder="1" applyAlignment="1">
      <alignment horizontal="center" vertical="center" wrapText="1"/>
    </xf>
    <xf numFmtId="0" fontId="3" fillId="0" borderId="39" xfId="0" applyFont="1" applyFill="1" applyBorder="1" applyAlignment="1">
      <alignment horizontal="center" vertical="center" wrapText="1"/>
    </xf>
    <xf numFmtId="0" fontId="3" fillId="0" borderId="31" xfId="0" applyFont="1" applyFill="1" applyBorder="1" applyAlignment="1">
      <alignment horizontal="center" vertical="center"/>
    </xf>
    <xf numFmtId="0" fontId="3" fillId="0" borderId="39" xfId="0" applyFont="1" applyFill="1" applyBorder="1" applyAlignment="1">
      <alignment horizontal="center" vertical="center"/>
    </xf>
    <xf numFmtId="2" fontId="3" fillId="0" borderId="31" xfId="0" applyNumberFormat="1" applyFont="1" applyFill="1" applyBorder="1" applyAlignment="1">
      <alignment horizontal="center" vertical="center"/>
    </xf>
    <xf numFmtId="2" fontId="3" fillId="0" borderId="39" xfId="0" applyNumberFormat="1" applyFont="1" applyFill="1" applyBorder="1" applyAlignment="1">
      <alignment horizontal="center" vertical="center"/>
    </xf>
    <xf numFmtId="0" fontId="3" fillId="0" borderId="42" xfId="0" applyFont="1" applyFill="1" applyBorder="1" applyAlignment="1">
      <alignment horizontal="center" vertical="center" wrapText="1"/>
    </xf>
    <xf numFmtId="0" fontId="3" fillId="0" borderId="31" xfId="0" applyNumberFormat="1" applyFont="1" applyFill="1" applyBorder="1" applyAlignment="1">
      <alignment horizontal="center" vertical="center" wrapText="1"/>
    </xf>
    <xf numFmtId="0" fontId="3" fillId="0" borderId="42" xfId="0" applyNumberFormat="1" applyFont="1" applyFill="1" applyBorder="1" applyAlignment="1">
      <alignment horizontal="center" vertical="center" wrapText="1"/>
    </xf>
    <xf numFmtId="2" fontId="3" fillId="0" borderId="31" xfId="0" applyNumberFormat="1" applyFont="1" applyFill="1" applyBorder="1" applyAlignment="1">
      <alignment horizontal="center" vertical="center" wrapText="1"/>
    </xf>
    <xf numFmtId="2" fontId="3" fillId="0" borderId="42"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2" fontId="4" fillId="0" borderId="25" xfId="0" applyNumberFormat="1" applyFont="1" applyFill="1" applyBorder="1" applyAlignment="1" applyProtection="1">
      <alignment horizontal="justify" vertical="top" wrapText="1"/>
      <protection hidden="1"/>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1" fontId="3" fillId="0" borderId="31" xfId="0" applyNumberFormat="1" applyFont="1" applyBorder="1" applyAlignment="1">
      <alignment horizontal="center" vertical="center"/>
    </xf>
    <xf numFmtId="0" fontId="6" fillId="0" borderId="0" xfId="0" applyFont="1" applyBorder="1" applyAlignment="1">
      <alignment horizontal="center" vertical="center"/>
    </xf>
    <xf numFmtId="1" fontId="6" fillId="0" borderId="31" xfId="0" applyNumberFormat="1" applyFont="1" applyBorder="1" applyAlignment="1">
      <alignment horizontal="center" vertical="center" wrapText="1"/>
    </xf>
    <xf numFmtId="0" fontId="2" fillId="0" borderId="25" xfId="0" applyFont="1" applyBorder="1" applyAlignment="1">
      <alignment horizontal="justify" vertical="top" wrapText="1"/>
    </xf>
    <xf numFmtId="0" fontId="3" fillId="0" borderId="13" xfId="0" applyFont="1" applyBorder="1" applyAlignment="1">
      <alignment horizontal="center" vertical="center"/>
    </xf>
    <xf numFmtId="0" fontId="6" fillId="0" borderId="7" xfId="0" applyFont="1" applyBorder="1" applyAlignment="1">
      <alignment horizontal="center" vertical="top" wrapText="1"/>
    </xf>
    <xf numFmtId="0" fontId="6" fillId="0" borderId="7" xfId="0" applyFont="1" applyBorder="1" applyAlignment="1">
      <alignment horizontal="center"/>
    </xf>
    <xf numFmtId="0" fontId="6" fillId="0" borderId="7" xfId="0" applyFont="1" applyBorder="1" applyAlignment="1">
      <alignment horizontal="center" wrapText="1"/>
    </xf>
    <xf numFmtId="0" fontId="6" fillId="0" borderId="7" xfId="0" applyFont="1" applyBorder="1" applyAlignment="1">
      <alignment horizontal="left" wrapText="1"/>
    </xf>
    <xf numFmtId="0" fontId="6" fillId="0" borderId="7" xfId="0" applyFont="1" applyBorder="1" applyAlignment="1">
      <alignment horizontal="left" vertical="top" wrapText="1"/>
    </xf>
    <xf numFmtId="0" fontId="6" fillId="0" borderId="7" xfId="0" applyFont="1" applyBorder="1" applyAlignment="1">
      <alignment horizontal="left"/>
    </xf>
    <xf numFmtId="0" fontId="34" fillId="0" borderId="7" xfId="0" applyFont="1" applyBorder="1" applyAlignment="1">
      <alignment horizontal="center" vertical="top" wrapText="1"/>
    </xf>
    <xf numFmtId="0" fontId="34" fillId="0" borderId="7" xfId="0" applyFont="1" applyBorder="1" applyAlignment="1">
      <alignment horizontal="center" vertical="top"/>
    </xf>
    <xf numFmtId="0" fontId="3" fillId="0" borderId="13" xfId="0" applyFont="1" applyBorder="1" applyAlignment="1">
      <alignment horizontal="center" vertical="top"/>
    </xf>
    <xf numFmtId="0" fontId="0" fillId="0" borderId="13" xfId="0" applyBorder="1" applyAlignment="1">
      <alignment horizontal="justify" vertical="top"/>
    </xf>
    <xf numFmtId="0" fontId="0" fillId="0" borderId="13" xfId="0" applyFill="1" applyBorder="1" applyAlignment="1">
      <alignment horizontal="justify" vertical="top"/>
    </xf>
    <xf numFmtId="0" fontId="3" fillId="0" borderId="13" xfId="0" applyFont="1" applyBorder="1" applyAlignment="1">
      <alignment horizontal="justify" vertical="top"/>
    </xf>
    <xf numFmtId="0" fontId="3" fillId="0" borderId="13" xfId="0" applyFont="1" applyBorder="1" applyAlignment="1">
      <alignment horizontal="justify" vertical="top" wrapText="1"/>
    </xf>
    <xf numFmtId="0" fontId="38" fillId="0" borderId="7" xfId="0" applyFont="1" applyBorder="1" applyAlignment="1">
      <alignment horizontal="center" vertical="top" wrapText="1"/>
    </xf>
    <xf numFmtId="0" fontId="38" fillId="0" borderId="7" xfId="0" applyFont="1" applyBorder="1" applyAlignment="1">
      <alignment horizontal="center" vertical="top"/>
    </xf>
    <xf numFmtId="0" fontId="4" fillId="0" borderId="12" xfId="0" applyFont="1" applyBorder="1" applyAlignment="1">
      <alignment wrapText="1"/>
    </xf>
    <xf numFmtId="2" fontId="41" fillId="0" borderId="35" xfId="47" applyNumberFormat="1" applyFont="1" applyFill="1" applyBorder="1" applyAlignment="1">
      <alignment horizontal="center" vertical="top" wrapText="1"/>
    </xf>
    <xf numFmtId="2" fontId="43" fillId="0" borderId="35" xfId="47" applyNumberFormat="1" applyFont="1" applyFill="1" applyBorder="1" applyAlignment="1">
      <alignment horizontal="justify" vertical="justify" wrapText="1"/>
    </xf>
    <xf numFmtId="2" fontId="41" fillId="0" borderId="35" xfId="47" applyNumberFormat="1" applyFont="1" applyFill="1" applyBorder="1" applyAlignment="1">
      <alignment horizontal="right" vertical="top" wrapText="1"/>
    </xf>
    <xf numFmtId="0" fontId="41" fillId="0" borderId="35" xfId="46" applyFont="1" applyFill="1" applyBorder="1" applyAlignment="1">
      <alignment horizontal="center" vertical="center"/>
    </xf>
    <xf numFmtId="0" fontId="43" fillId="0" borderId="40" xfId="0" applyFont="1" applyBorder="1" applyAlignment="1">
      <alignment horizontal="left" vertical="top" wrapText="1"/>
    </xf>
    <xf numFmtId="0" fontId="43" fillId="0" borderId="14" xfId="42" applyFont="1" applyFill="1" applyBorder="1" applyAlignment="1">
      <alignment horizontal="center" vertical="top" wrapText="1"/>
    </xf>
    <xf numFmtId="0" fontId="43" fillId="0" borderId="0" xfId="42" applyFont="1" applyFill="1" applyBorder="1" applyAlignment="1">
      <alignment horizontal="center" vertical="top" wrapText="1"/>
    </xf>
    <xf numFmtId="0" fontId="43" fillId="0" borderId="46" xfId="42" applyFont="1" applyFill="1" applyBorder="1" applyAlignment="1">
      <alignment horizontal="justify" vertical="top" wrapText="1"/>
    </xf>
    <xf numFmtId="0" fontId="43" fillId="0" borderId="0" xfId="42" applyFont="1" applyFill="1" applyBorder="1" applyAlignment="1">
      <alignment horizontal="center" vertical="top"/>
    </xf>
    <xf numFmtId="0" fontId="41" fillId="0" borderId="35" xfId="42" applyFont="1" applyFill="1" applyBorder="1" applyAlignment="1">
      <alignment horizontal="left" vertical="top" wrapText="1"/>
    </xf>
    <xf numFmtId="0" fontId="43" fillId="0" borderId="35" xfId="42" applyFont="1" applyFill="1" applyBorder="1" applyAlignment="1">
      <alignment horizontal="justify" vertical="top" wrapText="1"/>
    </xf>
    <xf numFmtId="0" fontId="43" fillId="0" borderId="35" xfId="42" applyFont="1" applyFill="1" applyBorder="1" applyAlignment="1">
      <alignment horizontal="left" vertical="top" wrapText="1"/>
    </xf>
    <xf numFmtId="0" fontId="43" fillId="0" borderId="14" xfId="42" applyFont="1" applyFill="1" applyBorder="1" applyAlignment="1">
      <alignment horizontal="left" vertical="top" wrapText="1"/>
    </xf>
    <xf numFmtId="0" fontId="43" fillId="0" borderId="0" xfId="42" applyFont="1" applyFill="1" applyBorder="1" applyAlignment="1">
      <alignment horizontal="left" vertical="top" wrapText="1"/>
    </xf>
    <xf numFmtId="0" fontId="4" fillId="0" borderId="17" xfId="60" applyBorder="1" applyAlignment="1">
      <alignment horizontal="center" vertical="center"/>
    </xf>
    <xf numFmtId="0" fontId="4" fillId="0" borderId="3" xfId="60" applyBorder="1" applyAlignment="1">
      <alignment horizontal="center" vertical="center"/>
    </xf>
    <xf numFmtId="0" fontId="4" fillId="0" borderId="41" xfId="60" applyBorder="1" applyAlignment="1">
      <alignment horizontal="center" vertical="center"/>
    </xf>
    <xf numFmtId="0" fontId="3" fillId="0" borderId="19" xfId="60" applyFont="1" applyBorder="1" applyAlignment="1">
      <alignment horizontal="center" vertical="center" textRotation="90" wrapText="1"/>
    </xf>
    <xf numFmtId="0" fontId="3" fillId="0" borderId="48" xfId="60" applyFont="1" applyBorder="1" applyAlignment="1">
      <alignment horizontal="center" vertical="center" textRotation="90" wrapText="1"/>
    </xf>
    <xf numFmtId="0" fontId="3" fillId="0" borderId="14" xfId="60" applyFont="1" applyBorder="1" applyAlignment="1">
      <alignment horizontal="center" vertical="center" textRotation="90" wrapText="1"/>
    </xf>
    <xf numFmtId="0" fontId="72" fillId="0" borderId="0" xfId="60" applyFont="1" applyAlignment="1">
      <alignment horizontal="center" vertical="center" wrapText="1"/>
    </xf>
    <xf numFmtId="0" fontId="3" fillId="0" borderId="40" xfId="60" applyFont="1" applyBorder="1" applyAlignment="1">
      <alignment horizontal="center" vertical="center" textRotation="90" wrapText="1"/>
    </xf>
    <xf numFmtId="0" fontId="3" fillId="0" borderId="24" xfId="60" applyFont="1" applyBorder="1" applyAlignment="1">
      <alignment horizontal="center" vertical="center" textRotation="90" wrapText="1"/>
    </xf>
    <xf numFmtId="0" fontId="4" fillId="0" borderId="40" xfId="60" applyBorder="1" applyAlignment="1">
      <alignment horizontal="center" vertical="center" wrapText="1"/>
    </xf>
    <xf numFmtId="14" fontId="4" fillId="0" borderId="17" xfId="60" applyNumberFormat="1" applyBorder="1" applyAlignment="1">
      <alignment horizontal="center" vertical="center"/>
    </xf>
    <xf numFmtId="14" fontId="4" fillId="0" borderId="3" xfId="60" applyNumberFormat="1" applyBorder="1" applyAlignment="1">
      <alignment horizontal="center" vertical="center"/>
    </xf>
    <xf numFmtId="14" fontId="4" fillId="0" borderId="41" xfId="60" applyNumberFormat="1" applyBorder="1" applyAlignment="1">
      <alignment horizontal="center" vertical="center"/>
    </xf>
  </cellXfs>
  <cellStyles count="61">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10 2" xfId="58" xr:uid="{00000000-0005-0000-0000-00001B000000}"/>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 Style1" xfId="51" xr:uid="{00000000-0005-0000-0000-000026000000}"/>
    <cellStyle name="Normal 10 14" xfId="44" xr:uid="{00000000-0005-0000-0000-000027000000}"/>
    <cellStyle name="Normal 132" xfId="55" xr:uid="{00000000-0005-0000-0000-000028000000}"/>
    <cellStyle name="Normal 138" xfId="54" xr:uid="{00000000-0005-0000-0000-000029000000}"/>
    <cellStyle name="Normal 151" xfId="56" xr:uid="{00000000-0005-0000-0000-00002A000000}"/>
    <cellStyle name="Normal 16_Compound Wall to Model School CHINNA MULKANOOR with SSR 15-16" xfId="49" xr:uid="{00000000-0005-0000-0000-00002B000000}"/>
    <cellStyle name="Normal 2 13" xfId="60" xr:uid="{C1823A81-968D-4832-994C-7ED7EAF1AAFB}"/>
    <cellStyle name="Normal 2 2" xfId="45" xr:uid="{00000000-0005-0000-0000-00002C000000}"/>
    <cellStyle name="Normal 2_SPD OFFICE RURAL KGBV RANGA REDDY (TOTOAL ZERO%) 2010-11 Final" xfId="52" xr:uid="{00000000-0005-0000-0000-00002D000000}"/>
    <cellStyle name="Normal 3 2 2 5" xfId="53" xr:uid="{00000000-0005-0000-0000-00002E000000}"/>
    <cellStyle name="Normal 7 3" xfId="50" xr:uid="{00000000-0005-0000-0000-00002F000000}"/>
    <cellStyle name="Normal_DATA 2 2 2" xfId="43" xr:uid="{00000000-0005-0000-0000-000030000000}"/>
    <cellStyle name="Normal_Estimate &amp; Data (Repairs of Govt BC Hostels building at KODANGAL 1.72 Lakhs" xfId="57" xr:uid="{00000000-0005-0000-0000-000031000000}"/>
    <cellStyle name="Normal_LEAD STATEMENT OF JAMMALAMADUGU 2 2" xfId="48" xr:uid="{00000000-0005-0000-0000-000032000000}"/>
    <cellStyle name="Normal_model nabard DATAS 2 2" xfId="46" xr:uid="{00000000-0005-0000-0000-000033000000}"/>
    <cellStyle name="Normal_Sal wood door &amp; Windows 2011-12" xfId="47" xr:uid="{00000000-0005-0000-0000-000034000000}"/>
    <cellStyle name="Normal_SW HOSTEL dharmapuri 50.00+2.5 2" xfId="59" xr:uid="{00000000-0005-0000-0000-000035000000}"/>
    <cellStyle name="Note" xfId="37" builtinId="10" customBuiltin="1"/>
    <cellStyle name="Output" xfId="38" builtinId="21" customBuiltin="1"/>
    <cellStyle name="Style 1" xfId="42" xr:uid="{00000000-0005-0000-0000-000038000000}"/>
    <cellStyle name="Title" xfId="39" builtinId="15" customBuiltin="1"/>
    <cellStyle name="Total" xfId="40" builtinId="25" customBuiltin="1"/>
    <cellStyle name="Warning Text" xfId="41" builtinId="11" customBuiltin="1"/>
  </cellStyles>
  <dxfs count="0"/>
  <tableStyles count="0" defaultTableStyle="TableStyleMedium9" defaultPivotStyle="PivotStyleLight16"/>
  <colors>
    <mruColors>
      <color rgb="FFFF0000"/>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7.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6.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36" Type="http://schemas.openxmlformats.org/officeDocument/2006/relationships/externalLink" Target="externalLinks/externalLink10.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externalLink" Target="externalLinks/externalLink4.xml"/><Relationship Id="rId35" Type="http://schemas.openxmlformats.org/officeDocument/2006/relationships/externalLink" Target="externalLinks/externalLink9.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0</xdr:col>
      <xdr:colOff>298174</xdr:colOff>
      <xdr:row>15</xdr:row>
      <xdr:rowOff>57978</xdr:rowOff>
    </xdr:from>
    <xdr:to>
      <xdr:col>1</xdr:col>
      <xdr:colOff>1234108</xdr:colOff>
      <xdr:row>17</xdr:row>
      <xdr:rowOff>57978</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298174" y="7049328"/>
          <a:ext cx="1440759"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endParaRPr lang="en-US" sz="1100"/>
        </a:p>
      </xdr:txBody>
    </xdr:sp>
    <xdr:clientData/>
  </xdr:twoCellAnchor>
  <xdr:twoCellAnchor>
    <xdr:from>
      <xdr:col>2</xdr:col>
      <xdr:colOff>289892</xdr:colOff>
      <xdr:row>15</xdr:row>
      <xdr:rowOff>107674</xdr:rowOff>
    </xdr:from>
    <xdr:to>
      <xdr:col>2</xdr:col>
      <xdr:colOff>1913284</xdr:colOff>
      <xdr:row>17</xdr:row>
      <xdr:rowOff>107674</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2090117" y="7099024"/>
          <a:ext cx="1623392"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endParaRPr lang="en-US" sz="1100"/>
        </a:p>
      </xdr:txBody>
    </xdr:sp>
    <xdr:clientData/>
  </xdr:twoCellAnchor>
  <xdr:twoCellAnchor>
    <xdr:from>
      <xdr:col>3</xdr:col>
      <xdr:colOff>8282</xdr:colOff>
      <xdr:row>15</xdr:row>
      <xdr:rowOff>107675</xdr:rowOff>
    </xdr:from>
    <xdr:to>
      <xdr:col>3</xdr:col>
      <xdr:colOff>1631674</xdr:colOff>
      <xdr:row>17</xdr:row>
      <xdr:rowOff>107675</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4094507" y="7099025"/>
          <a:ext cx="1623392"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endParaRPr lang="en-US" sz="1100"/>
        </a:p>
      </xdr:txBody>
    </xdr:sp>
    <xdr:clientData/>
  </xdr:twoCellAnchor>
  <xdr:twoCellAnchor>
    <xdr:from>
      <xdr:col>0</xdr:col>
      <xdr:colOff>190499</xdr:colOff>
      <xdr:row>21</xdr:row>
      <xdr:rowOff>16565</xdr:rowOff>
    </xdr:from>
    <xdr:to>
      <xdr:col>2</xdr:col>
      <xdr:colOff>182217</xdr:colOff>
      <xdr:row>23</xdr:row>
      <xdr:rowOff>16565</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190499" y="8265215"/>
          <a:ext cx="1791943"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endParaRPr lang="en-US" sz="1100"/>
        </a:p>
      </xdr:txBody>
    </xdr:sp>
    <xdr:clientData/>
  </xdr:twoCellAnchor>
  <xdr:twoCellAnchor>
    <xdr:from>
      <xdr:col>2</xdr:col>
      <xdr:colOff>1515718</xdr:colOff>
      <xdr:row>20</xdr:row>
      <xdr:rowOff>223630</xdr:rowOff>
    </xdr:from>
    <xdr:to>
      <xdr:col>3</xdr:col>
      <xdr:colOff>1018762</xdr:colOff>
      <xdr:row>22</xdr:row>
      <xdr:rowOff>223630</xdr:rowOff>
    </xdr:to>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3315943" y="8253205"/>
          <a:ext cx="1789044"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1</xdr:row>
      <xdr:rowOff>0</xdr:rowOff>
    </xdr:from>
    <xdr:to>
      <xdr:col>7</xdr:col>
      <xdr:colOff>0</xdr:colOff>
      <xdr:row>1</xdr:row>
      <xdr:rowOff>0</xdr:rowOff>
    </xdr:to>
    <xdr:sp macro="" textlink="">
      <xdr:nvSpPr>
        <xdr:cNvPr id="2" name="Text Box 1">
          <a:extLst>
            <a:ext uri="{FF2B5EF4-FFF2-40B4-BE49-F238E27FC236}">
              <a16:creationId xmlns:a16="http://schemas.microsoft.com/office/drawing/2014/main" id="{00000000-0008-0000-0900-000002000000}"/>
            </a:ext>
          </a:extLst>
        </xdr:cNvPr>
        <xdr:cNvSpPr txBox="1">
          <a:spLocks noChangeArrowheads="1"/>
        </xdr:cNvSpPr>
      </xdr:nvSpPr>
      <xdr:spPr bwMode="auto">
        <a:xfrm>
          <a:off x="724852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7</xdr:col>
      <xdr:colOff>800100</xdr:colOff>
      <xdr:row>1</xdr:row>
      <xdr:rowOff>0</xdr:rowOff>
    </xdr:from>
    <xdr:to>
      <xdr:col>7</xdr:col>
      <xdr:colOff>800100</xdr:colOff>
      <xdr:row>1</xdr:row>
      <xdr:rowOff>0</xdr:rowOff>
    </xdr:to>
    <xdr:sp macro="" textlink="">
      <xdr:nvSpPr>
        <xdr:cNvPr id="3" name="Text Box 1">
          <a:extLst>
            <a:ext uri="{FF2B5EF4-FFF2-40B4-BE49-F238E27FC236}">
              <a16:creationId xmlns:a16="http://schemas.microsoft.com/office/drawing/2014/main" id="{00000000-0008-0000-0900-000003000000}"/>
            </a:ext>
          </a:extLst>
        </xdr:cNvPr>
        <xdr:cNvSpPr txBox="1">
          <a:spLocks noChangeArrowheads="1"/>
        </xdr:cNvSpPr>
      </xdr:nvSpPr>
      <xdr:spPr bwMode="auto">
        <a:xfrm>
          <a:off x="761047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3</xdr:col>
      <xdr:colOff>454310</xdr:colOff>
      <xdr:row>1520</xdr:row>
      <xdr:rowOff>2073</xdr:rowOff>
    </xdr:from>
    <xdr:to>
      <xdr:col>6</xdr:col>
      <xdr:colOff>436773</xdr:colOff>
      <xdr:row>1520</xdr:row>
      <xdr:rowOff>2073</xdr:rowOff>
    </xdr:to>
    <xdr:sp macro="" textlink="">
      <xdr:nvSpPr>
        <xdr:cNvPr id="4" name="Rectangle 8">
          <a:extLst>
            <a:ext uri="{FF2B5EF4-FFF2-40B4-BE49-F238E27FC236}">
              <a16:creationId xmlns:a16="http://schemas.microsoft.com/office/drawing/2014/main" id="{00000000-0008-0000-0900-000004000000}"/>
            </a:ext>
          </a:extLst>
        </xdr:cNvPr>
        <xdr:cNvSpPr>
          <a:spLocks noChangeArrowheads="1"/>
        </xdr:cNvSpPr>
      </xdr:nvSpPr>
      <xdr:spPr bwMode="auto">
        <a:xfrm>
          <a:off x="4959635" y="267073548"/>
          <a:ext cx="1935088" cy="0"/>
        </a:xfrm>
        <a:prstGeom prst="rect">
          <a:avLst/>
        </a:prstGeom>
        <a:noFill/>
        <a:ln w="9525">
          <a:noFill/>
          <a:miter lim="800000"/>
          <a:headEnd/>
          <a:tailEnd/>
        </a:ln>
      </xdr:spPr>
      <xdr:txBody>
        <a:bodyPr vertOverflow="clip" wrap="square" lIns="27432" tIns="22860" rIns="27432" bIns="0" anchor="t" upright="1"/>
        <a:lstStyle/>
        <a:p>
          <a:pPr algn="ctr" rtl="1">
            <a:defRPr sz="1000"/>
          </a:pPr>
          <a:r>
            <a:rPr lang="en-US" sz="900" b="1" i="0" strike="noStrike">
              <a:solidFill>
                <a:srgbClr val="000000"/>
              </a:solidFill>
              <a:latin typeface="Arial"/>
              <a:cs typeface="Arial"/>
            </a:rPr>
            <a:t>Assistant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NELLORE.</a:t>
          </a:r>
        </a:p>
      </xdr:txBody>
    </xdr:sp>
    <xdr:clientData/>
  </xdr:twoCellAnchor>
  <xdr:twoCellAnchor>
    <xdr:from>
      <xdr:col>2</xdr:col>
      <xdr:colOff>1201400</xdr:colOff>
      <xdr:row>1520</xdr:row>
      <xdr:rowOff>2073</xdr:rowOff>
    </xdr:from>
    <xdr:to>
      <xdr:col>2</xdr:col>
      <xdr:colOff>2267394</xdr:colOff>
      <xdr:row>1520</xdr:row>
      <xdr:rowOff>2073</xdr:rowOff>
    </xdr:to>
    <xdr:sp macro="" textlink="">
      <xdr:nvSpPr>
        <xdr:cNvPr id="5" name="Rectangle 9">
          <a:extLst>
            <a:ext uri="{FF2B5EF4-FFF2-40B4-BE49-F238E27FC236}">
              <a16:creationId xmlns:a16="http://schemas.microsoft.com/office/drawing/2014/main" id="{00000000-0008-0000-0900-000005000000}"/>
            </a:ext>
          </a:extLst>
        </xdr:cNvPr>
        <xdr:cNvSpPr>
          <a:spLocks noChangeArrowheads="1"/>
        </xdr:cNvSpPr>
      </xdr:nvSpPr>
      <xdr:spPr bwMode="auto">
        <a:xfrm>
          <a:off x="2439650" y="267073548"/>
          <a:ext cx="1065994" cy="0"/>
        </a:xfrm>
        <a:prstGeom prst="rect">
          <a:avLst/>
        </a:prstGeom>
        <a:noFill/>
        <a:ln w="9525">
          <a:noFill/>
          <a:miter lim="800000"/>
          <a:headEnd/>
          <a:tailEnd/>
        </a:ln>
      </xdr:spPr>
      <xdr:txBody>
        <a:bodyPr vertOverflow="clip" wrap="square" lIns="27432" tIns="22860" rIns="27432" bIns="22860" anchor="t" upright="1"/>
        <a:lstStyle/>
        <a:p>
          <a:pPr algn="ctr" rtl="1">
            <a:defRPr sz="1000"/>
          </a:pPr>
          <a:r>
            <a:rPr lang="en-US" sz="900" b="1" i="0" strike="noStrike">
              <a:solidFill>
                <a:srgbClr val="000000"/>
              </a:solidFill>
              <a:latin typeface="Arial"/>
              <a:cs typeface="Arial"/>
            </a:rPr>
            <a:t>Deputy Executive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South Sub-Division, </a:t>
          </a:r>
        </a:p>
        <a:p>
          <a:pPr algn="ctr" rtl="1">
            <a:defRPr sz="1000"/>
          </a:pPr>
          <a:r>
            <a:rPr lang="en-US" sz="900" b="1" i="0" strike="noStrike">
              <a:solidFill>
                <a:srgbClr val="000000"/>
              </a:solidFill>
              <a:latin typeface="Arial"/>
              <a:cs typeface="Arial"/>
            </a:rPr>
            <a:t> N E L L O R E.</a:t>
          </a:r>
        </a:p>
      </xdr:txBody>
    </xdr:sp>
    <xdr:clientData/>
  </xdr:twoCellAnchor>
  <xdr:twoCellAnchor>
    <xdr:from>
      <xdr:col>1</xdr:col>
      <xdr:colOff>165660</xdr:colOff>
      <xdr:row>1520</xdr:row>
      <xdr:rowOff>2073</xdr:rowOff>
    </xdr:from>
    <xdr:to>
      <xdr:col>2</xdr:col>
      <xdr:colOff>857382</xdr:colOff>
      <xdr:row>1520</xdr:row>
      <xdr:rowOff>2073</xdr:rowOff>
    </xdr:to>
    <xdr:sp macro="" textlink="">
      <xdr:nvSpPr>
        <xdr:cNvPr id="6" name="Rectangle 10">
          <a:extLst>
            <a:ext uri="{FF2B5EF4-FFF2-40B4-BE49-F238E27FC236}">
              <a16:creationId xmlns:a16="http://schemas.microsoft.com/office/drawing/2014/main" id="{00000000-0008-0000-0900-000006000000}"/>
            </a:ext>
          </a:extLst>
        </xdr:cNvPr>
        <xdr:cNvSpPr>
          <a:spLocks noChangeArrowheads="1"/>
        </xdr:cNvSpPr>
      </xdr:nvSpPr>
      <xdr:spPr bwMode="auto">
        <a:xfrm>
          <a:off x="470460" y="267073548"/>
          <a:ext cx="1625172" cy="0"/>
        </a:xfrm>
        <a:prstGeom prst="rect">
          <a:avLst/>
        </a:prstGeom>
        <a:noFill/>
        <a:ln w="9525">
          <a:noFill/>
          <a:miter lim="800000"/>
          <a:headEnd/>
          <a:tailEnd/>
        </a:ln>
      </xdr:spPr>
      <xdr:txBody>
        <a:bodyPr vertOverflow="clip" wrap="square" lIns="27432" tIns="22860" rIns="27432" bIns="22860" anchor="t" upright="1"/>
        <a:lstStyle/>
        <a:p>
          <a:pPr algn="ctr" rtl="1">
            <a:defRPr sz="1000"/>
          </a:pPr>
          <a:r>
            <a:rPr lang="en-US" sz="900" b="1" i="0" strike="noStrike">
              <a:solidFill>
                <a:srgbClr val="000000"/>
              </a:solidFill>
              <a:latin typeface="Arial"/>
              <a:cs typeface="Arial"/>
            </a:rPr>
            <a:t>Executive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N E L L O R E. </a:t>
          </a:r>
        </a:p>
      </xdr:txBody>
    </xdr:sp>
    <xdr:clientData/>
  </xdr:twoCellAnchor>
  <xdr:twoCellAnchor>
    <xdr:from>
      <xdr:col>7</xdr:col>
      <xdr:colOff>0</xdr:colOff>
      <xdr:row>1</xdr:row>
      <xdr:rowOff>0</xdr:rowOff>
    </xdr:from>
    <xdr:to>
      <xdr:col>7</xdr:col>
      <xdr:colOff>0</xdr:colOff>
      <xdr:row>1</xdr:row>
      <xdr:rowOff>0</xdr:rowOff>
    </xdr:to>
    <xdr:sp macro="" textlink="">
      <xdr:nvSpPr>
        <xdr:cNvPr id="7" name="Text Box 1">
          <a:extLst>
            <a:ext uri="{FF2B5EF4-FFF2-40B4-BE49-F238E27FC236}">
              <a16:creationId xmlns:a16="http://schemas.microsoft.com/office/drawing/2014/main" id="{00000000-0008-0000-0900-000007000000}"/>
            </a:ext>
          </a:extLst>
        </xdr:cNvPr>
        <xdr:cNvSpPr txBox="1">
          <a:spLocks noChangeArrowheads="1"/>
        </xdr:cNvSpPr>
      </xdr:nvSpPr>
      <xdr:spPr bwMode="auto">
        <a:xfrm>
          <a:off x="724852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7</xdr:col>
      <xdr:colOff>800100</xdr:colOff>
      <xdr:row>1</xdr:row>
      <xdr:rowOff>0</xdr:rowOff>
    </xdr:from>
    <xdr:to>
      <xdr:col>7</xdr:col>
      <xdr:colOff>800100</xdr:colOff>
      <xdr:row>1</xdr:row>
      <xdr:rowOff>0</xdr:rowOff>
    </xdr:to>
    <xdr:sp macro="" textlink="">
      <xdr:nvSpPr>
        <xdr:cNvPr id="8" name="Text Box 1">
          <a:extLst>
            <a:ext uri="{FF2B5EF4-FFF2-40B4-BE49-F238E27FC236}">
              <a16:creationId xmlns:a16="http://schemas.microsoft.com/office/drawing/2014/main" id="{00000000-0008-0000-0900-000008000000}"/>
            </a:ext>
          </a:extLst>
        </xdr:cNvPr>
        <xdr:cNvSpPr txBox="1">
          <a:spLocks noChangeArrowheads="1"/>
        </xdr:cNvSpPr>
      </xdr:nvSpPr>
      <xdr:spPr bwMode="auto">
        <a:xfrm>
          <a:off x="761047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7</xdr:col>
      <xdr:colOff>0</xdr:colOff>
      <xdr:row>1</xdr:row>
      <xdr:rowOff>0</xdr:rowOff>
    </xdr:from>
    <xdr:to>
      <xdr:col>7</xdr:col>
      <xdr:colOff>0</xdr:colOff>
      <xdr:row>1</xdr:row>
      <xdr:rowOff>0</xdr:rowOff>
    </xdr:to>
    <xdr:sp macro="" textlink="">
      <xdr:nvSpPr>
        <xdr:cNvPr id="9" name="Text Box 1">
          <a:extLst>
            <a:ext uri="{FF2B5EF4-FFF2-40B4-BE49-F238E27FC236}">
              <a16:creationId xmlns:a16="http://schemas.microsoft.com/office/drawing/2014/main" id="{00000000-0008-0000-0900-000009000000}"/>
            </a:ext>
          </a:extLst>
        </xdr:cNvPr>
        <xdr:cNvSpPr txBox="1">
          <a:spLocks noChangeArrowheads="1"/>
        </xdr:cNvSpPr>
      </xdr:nvSpPr>
      <xdr:spPr bwMode="auto">
        <a:xfrm>
          <a:off x="724852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7</xdr:col>
      <xdr:colOff>800100</xdr:colOff>
      <xdr:row>1</xdr:row>
      <xdr:rowOff>0</xdr:rowOff>
    </xdr:from>
    <xdr:to>
      <xdr:col>7</xdr:col>
      <xdr:colOff>800100</xdr:colOff>
      <xdr:row>1</xdr:row>
      <xdr:rowOff>0</xdr:rowOff>
    </xdr:to>
    <xdr:sp macro="" textlink="">
      <xdr:nvSpPr>
        <xdr:cNvPr id="10" name="Text Box 1">
          <a:extLst>
            <a:ext uri="{FF2B5EF4-FFF2-40B4-BE49-F238E27FC236}">
              <a16:creationId xmlns:a16="http://schemas.microsoft.com/office/drawing/2014/main" id="{00000000-0008-0000-0900-00000A000000}"/>
            </a:ext>
          </a:extLst>
        </xdr:cNvPr>
        <xdr:cNvSpPr txBox="1">
          <a:spLocks noChangeArrowheads="1"/>
        </xdr:cNvSpPr>
      </xdr:nvSpPr>
      <xdr:spPr bwMode="auto">
        <a:xfrm>
          <a:off x="761047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3</xdr:col>
      <xdr:colOff>454310</xdr:colOff>
      <xdr:row>1493</xdr:row>
      <xdr:rowOff>2073</xdr:rowOff>
    </xdr:from>
    <xdr:to>
      <xdr:col>6</xdr:col>
      <xdr:colOff>436773</xdr:colOff>
      <xdr:row>1493</xdr:row>
      <xdr:rowOff>2073</xdr:rowOff>
    </xdr:to>
    <xdr:sp macro="" textlink="">
      <xdr:nvSpPr>
        <xdr:cNvPr id="11" name="Rectangle 8">
          <a:extLst>
            <a:ext uri="{FF2B5EF4-FFF2-40B4-BE49-F238E27FC236}">
              <a16:creationId xmlns:a16="http://schemas.microsoft.com/office/drawing/2014/main" id="{00000000-0008-0000-0900-00000B000000}"/>
            </a:ext>
          </a:extLst>
        </xdr:cNvPr>
        <xdr:cNvSpPr>
          <a:spLocks noChangeArrowheads="1"/>
        </xdr:cNvSpPr>
      </xdr:nvSpPr>
      <xdr:spPr bwMode="auto">
        <a:xfrm>
          <a:off x="4959635" y="262701573"/>
          <a:ext cx="1935088" cy="0"/>
        </a:xfrm>
        <a:prstGeom prst="rect">
          <a:avLst/>
        </a:prstGeom>
        <a:noFill/>
        <a:ln w="9525">
          <a:noFill/>
          <a:miter lim="800000"/>
          <a:headEnd/>
          <a:tailEnd/>
        </a:ln>
      </xdr:spPr>
      <xdr:txBody>
        <a:bodyPr vertOverflow="clip" wrap="square" lIns="27432" tIns="22860" rIns="27432" bIns="0" anchor="t" upright="1"/>
        <a:lstStyle/>
        <a:p>
          <a:pPr algn="ctr" rtl="1">
            <a:defRPr sz="1000"/>
          </a:pPr>
          <a:r>
            <a:rPr lang="en-US" sz="900" b="1" i="0" strike="noStrike">
              <a:solidFill>
                <a:srgbClr val="000000"/>
              </a:solidFill>
              <a:latin typeface="Arial"/>
              <a:cs typeface="Arial"/>
            </a:rPr>
            <a:t>Assistant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NELLORE.</a:t>
          </a:r>
        </a:p>
      </xdr:txBody>
    </xdr:sp>
    <xdr:clientData/>
  </xdr:twoCellAnchor>
  <xdr:twoCellAnchor>
    <xdr:from>
      <xdr:col>2</xdr:col>
      <xdr:colOff>1201400</xdr:colOff>
      <xdr:row>1493</xdr:row>
      <xdr:rowOff>2073</xdr:rowOff>
    </xdr:from>
    <xdr:to>
      <xdr:col>2</xdr:col>
      <xdr:colOff>2267394</xdr:colOff>
      <xdr:row>1493</xdr:row>
      <xdr:rowOff>2073</xdr:rowOff>
    </xdr:to>
    <xdr:sp macro="" textlink="">
      <xdr:nvSpPr>
        <xdr:cNvPr id="12" name="Rectangle 9">
          <a:extLst>
            <a:ext uri="{FF2B5EF4-FFF2-40B4-BE49-F238E27FC236}">
              <a16:creationId xmlns:a16="http://schemas.microsoft.com/office/drawing/2014/main" id="{00000000-0008-0000-0900-00000C000000}"/>
            </a:ext>
          </a:extLst>
        </xdr:cNvPr>
        <xdr:cNvSpPr>
          <a:spLocks noChangeArrowheads="1"/>
        </xdr:cNvSpPr>
      </xdr:nvSpPr>
      <xdr:spPr bwMode="auto">
        <a:xfrm>
          <a:off x="2439650" y="262701573"/>
          <a:ext cx="1065994" cy="0"/>
        </a:xfrm>
        <a:prstGeom prst="rect">
          <a:avLst/>
        </a:prstGeom>
        <a:noFill/>
        <a:ln w="9525">
          <a:noFill/>
          <a:miter lim="800000"/>
          <a:headEnd/>
          <a:tailEnd/>
        </a:ln>
      </xdr:spPr>
      <xdr:txBody>
        <a:bodyPr vertOverflow="clip" wrap="square" lIns="27432" tIns="22860" rIns="27432" bIns="22860" anchor="t" upright="1"/>
        <a:lstStyle/>
        <a:p>
          <a:pPr algn="ctr" rtl="1">
            <a:defRPr sz="1000"/>
          </a:pPr>
          <a:r>
            <a:rPr lang="en-US" sz="900" b="1" i="0" strike="noStrike">
              <a:solidFill>
                <a:srgbClr val="000000"/>
              </a:solidFill>
              <a:latin typeface="Arial"/>
              <a:cs typeface="Arial"/>
            </a:rPr>
            <a:t>Deputy Executive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South Sub-Division, </a:t>
          </a:r>
        </a:p>
        <a:p>
          <a:pPr algn="ctr" rtl="1">
            <a:defRPr sz="1000"/>
          </a:pPr>
          <a:r>
            <a:rPr lang="en-US" sz="900" b="1" i="0" strike="noStrike">
              <a:solidFill>
                <a:srgbClr val="000000"/>
              </a:solidFill>
              <a:latin typeface="Arial"/>
              <a:cs typeface="Arial"/>
            </a:rPr>
            <a:t> N E L L O R E.</a:t>
          </a:r>
        </a:p>
      </xdr:txBody>
    </xdr:sp>
    <xdr:clientData/>
  </xdr:twoCellAnchor>
  <xdr:twoCellAnchor>
    <xdr:from>
      <xdr:col>1</xdr:col>
      <xdr:colOff>165660</xdr:colOff>
      <xdr:row>1493</xdr:row>
      <xdr:rowOff>2073</xdr:rowOff>
    </xdr:from>
    <xdr:to>
      <xdr:col>2</xdr:col>
      <xdr:colOff>857382</xdr:colOff>
      <xdr:row>1493</xdr:row>
      <xdr:rowOff>2073</xdr:rowOff>
    </xdr:to>
    <xdr:sp macro="" textlink="">
      <xdr:nvSpPr>
        <xdr:cNvPr id="13" name="Rectangle 10">
          <a:extLst>
            <a:ext uri="{FF2B5EF4-FFF2-40B4-BE49-F238E27FC236}">
              <a16:creationId xmlns:a16="http://schemas.microsoft.com/office/drawing/2014/main" id="{00000000-0008-0000-0900-00000D000000}"/>
            </a:ext>
          </a:extLst>
        </xdr:cNvPr>
        <xdr:cNvSpPr>
          <a:spLocks noChangeArrowheads="1"/>
        </xdr:cNvSpPr>
      </xdr:nvSpPr>
      <xdr:spPr bwMode="auto">
        <a:xfrm>
          <a:off x="470460" y="262701573"/>
          <a:ext cx="1625172" cy="0"/>
        </a:xfrm>
        <a:prstGeom prst="rect">
          <a:avLst/>
        </a:prstGeom>
        <a:noFill/>
        <a:ln w="9525">
          <a:noFill/>
          <a:miter lim="800000"/>
          <a:headEnd/>
          <a:tailEnd/>
        </a:ln>
      </xdr:spPr>
      <xdr:txBody>
        <a:bodyPr vertOverflow="clip" wrap="square" lIns="27432" tIns="22860" rIns="27432" bIns="22860" anchor="t" upright="1"/>
        <a:lstStyle/>
        <a:p>
          <a:pPr algn="ctr" rtl="1">
            <a:defRPr sz="1000"/>
          </a:pPr>
          <a:r>
            <a:rPr lang="en-US" sz="900" b="1" i="0" strike="noStrike">
              <a:solidFill>
                <a:srgbClr val="000000"/>
              </a:solidFill>
              <a:latin typeface="Arial"/>
              <a:cs typeface="Arial"/>
            </a:rPr>
            <a:t>Executive Engineer, </a:t>
          </a:r>
        </a:p>
        <a:p>
          <a:pPr algn="ctr" rtl="1">
            <a:defRPr sz="1000"/>
          </a:pPr>
          <a:r>
            <a:rPr lang="en-US" sz="900" b="1" i="0" strike="noStrike">
              <a:solidFill>
                <a:srgbClr val="000000"/>
              </a:solidFill>
              <a:latin typeface="Arial"/>
              <a:cs typeface="Arial"/>
            </a:rPr>
            <a:t>A.P.E.W.I.D.Corporation,</a:t>
          </a:r>
        </a:p>
        <a:p>
          <a:pPr algn="ctr" rtl="1">
            <a:defRPr sz="1000"/>
          </a:pPr>
          <a:r>
            <a:rPr lang="en-US" sz="900" b="1" i="0" strike="noStrike">
              <a:solidFill>
                <a:srgbClr val="000000"/>
              </a:solidFill>
              <a:latin typeface="Arial"/>
              <a:cs typeface="Arial"/>
            </a:rPr>
            <a:t>N E L L O R E. </a:t>
          </a:r>
        </a:p>
      </xdr:txBody>
    </xdr:sp>
    <xdr:clientData/>
  </xdr:twoCellAnchor>
  <xdr:twoCellAnchor>
    <xdr:from>
      <xdr:col>7</xdr:col>
      <xdr:colOff>0</xdr:colOff>
      <xdr:row>1</xdr:row>
      <xdr:rowOff>0</xdr:rowOff>
    </xdr:from>
    <xdr:to>
      <xdr:col>7</xdr:col>
      <xdr:colOff>0</xdr:colOff>
      <xdr:row>1</xdr:row>
      <xdr:rowOff>0</xdr:rowOff>
    </xdr:to>
    <xdr:sp macro="" textlink="">
      <xdr:nvSpPr>
        <xdr:cNvPr id="14" name="Text Box 1">
          <a:extLst>
            <a:ext uri="{FF2B5EF4-FFF2-40B4-BE49-F238E27FC236}">
              <a16:creationId xmlns:a16="http://schemas.microsoft.com/office/drawing/2014/main" id="{00000000-0008-0000-0900-00000E000000}"/>
            </a:ext>
          </a:extLst>
        </xdr:cNvPr>
        <xdr:cNvSpPr txBox="1">
          <a:spLocks noChangeArrowheads="1"/>
        </xdr:cNvSpPr>
      </xdr:nvSpPr>
      <xdr:spPr bwMode="auto">
        <a:xfrm>
          <a:off x="724852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7</xdr:col>
      <xdr:colOff>800100</xdr:colOff>
      <xdr:row>1</xdr:row>
      <xdr:rowOff>0</xdr:rowOff>
    </xdr:from>
    <xdr:to>
      <xdr:col>7</xdr:col>
      <xdr:colOff>800100</xdr:colOff>
      <xdr:row>1</xdr:row>
      <xdr:rowOff>0</xdr:rowOff>
    </xdr:to>
    <xdr:sp macro="" textlink="">
      <xdr:nvSpPr>
        <xdr:cNvPr id="15" name="Text Box 1">
          <a:extLst>
            <a:ext uri="{FF2B5EF4-FFF2-40B4-BE49-F238E27FC236}">
              <a16:creationId xmlns:a16="http://schemas.microsoft.com/office/drawing/2014/main" id="{00000000-0008-0000-0900-00000F000000}"/>
            </a:ext>
          </a:extLst>
        </xdr:cNvPr>
        <xdr:cNvSpPr txBox="1">
          <a:spLocks noChangeArrowheads="1"/>
        </xdr:cNvSpPr>
      </xdr:nvSpPr>
      <xdr:spPr bwMode="auto">
        <a:xfrm>
          <a:off x="7610475" y="161925"/>
          <a:ext cx="0" cy="0"/>
        </a:xfrm>
        <a:prstGeom prst="rect">
          <a:avLst/>
        </a:prstGeom>
        <a:solidFill>
          <a:srgbClr val="FFFFFF">
            <a:alpha val="0"/>
          </a:srgbClr>
        </a:solidFill>
        <a:ln w="9525">
          <a:noFill/>
          <a:miter lim="800000"/>
          <a:headEnd/>
          <a:tailEnd/>
        </a:ln>
      </xdr:spPr>
      <xdr:txBody>
        <a:bodyPr vertOverflow="clip" wrap="square" lIns="27432" tIns="22860" rIns="27432" bIns="0" anchor="t" upright="1"/>
        <a:lstStyle/>
        <a:p>
          <a:pPr algn="ctr" rtl="1">
            <a:defRPr sz="1000"/>
          </a:pPr>
          <a:r>
            <a:rPr lang="en-US" sz="900" b="0" i="0" strike="noStrike">
              <a:solidFill>
                <a:srgbClr val="000000"/>
              </a:solidFill>
              <a:latin typeface="Arial"/>
              <a:cs typeface="Arial"/>
            </a:rPr>
            <a:t>31-10-2006</a:t>
          </a:r>
        </a:p>
      </xdr:txBody>
    </xdr:sp>
    <xdr:clientData/>
  </xdr:twoCellAnchor>
  <xdr:twoCellAnchor>
    <xdr:from>
      <xdr:col>1</xdr:col>
      <xdr:colOff>0</xdr:colOff>
      <xdr:row>1025</xdr:row>
      <xdr:rowOff>0</xdr:rowOff>
    </xdr:from>
    <xdr:to>
      <xdr:col>2</xdr:col>
      <xdr:colOff>847725</xdr:colOff>
      <xdr:row>1025</xdr:row>
      <xdr:rowOff>133350</xdr:rowOff>
    </xdr:to>
    <xdr:sp macro="" textlink="">
      <xdr:nvSpPr>
        <xdr:cNvPr id="16" name="Text Box 74">
          <a:extLst>
            <a:ext uri="{FF2B5EF4-FFF2-40B4-BE49-F238E27FC236}">
              <a16:creationId xmlns:a16="http://schemas.microsoft.com/office/drawing/2014/main" id="{00000000-0008-0000-0900-000010000000}"/>
            </a:ext>
          </a:extLst>
        </xdr:cNvPr>
        <xdr:cNvSpPr txBox="1">
          <a:spLocks noChangeArrowheads="1"/>
        </xdr:cNvSpPr>
      </xdr:nvSpPr>
      <xdr:spPr bwMode="auto">
        <a:xfrm>
          <a:off x="304800" y="186918600"/>
          <a:ext cx="1781175" cy="133350"/>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r>
            <a:rPr lang="en-US" sz="1000" b="1" i="0" strike="noStrike">
              <a:solidFill>
                <a:srgbClr val="000000"/>
              </a:solidFill>
              <a:latin typeface="Arial"/>
              <a:cs typeface="Arial"/>
            </a:rPr>
            <a:t> </a:t>
          </a:r>
        </a:p>
      </xdr:txBody>
    </xdr:sp>
    <xdr:clientData/>
  </xdr:twoCellAnchor>
  <xdr:twoCellAnchor>
    <xdr:from>
      <xdr:col>4</xdr:col>
      <xdr:colOff>114300</xdr:colOff>
      <xdr:row>1025</xdr:row>
      <xdr:rowOff>0</xdr:rowOff>
    </xdr:from>
    <xdr:to>
      <xdr:col>6</xdr:col>
      <xdr:colOff>663949</xdr:colOff>
      <xdr:row>1025</xdr:row>
      <xdr:rowOff>115420</xdr:rowOff>
    </xdr:to>
    <xdr:sp macro="" textlink="">
      <xdr:nvSpPr>
        <xdr:cNvPr id="17" name="Text Box 76">
          <a:extLst>
            <a:ext uri="{FF2B5EF4-FFF2-40B4-BE49-F238E27FC236}">
              <a16:creationId xmlns:a16="http://schemas.microsoft.com/office/drawing/2014/main" id="{00000000-0008-0000-0900-000011000000}"/>
            </a:ext>
          </a:extLst>
        </xdr:cNvPr>
        <xdr:cNvSpPr txBox="1">
          <a:spLocks noChangeArrowheads="1"/>
        </xdr:cNvSpPr>
      </xdr:nvSpPr>
      <xdr:spPr bwMode="auto">
        <a:xfrm>
          <a:off x="5372100" y="186918600"/>
          <a:ext cx="1749799" cy="115420"/>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endParaRPr lang="en-US" sz="1000" b="1" i="0" strike="noStrike">
            <a:solidFill>
              <a:srgbClr val="000000"/>
            </a:solidFill>
            <a:latin typeface="Arial"/>
            <a:cs typeface="Arial"/>
          </a:endParaRPr>
        </a:p>
      </xdr:txBody>
    </xdr:sp>
    <xdr:clientData/>
  </xdr:twoCellAnchor>
  <xdr:twoCellAnchor>
    <xdr:from>
      <xdr:col>1</xdr:col>
      <xdr:colOff>676275</xdr:colOff>
      <xdr:row>1030</xdr:row>
      <xdr:rowOff>85725</xdr:rowOff>
    </xdr:from>
    <xdr:to>
      <xdr:col>2</xdr:col>
      <xdr:colOff>1861852</xdr:colOff>
      <xdr:row>1032</xdr:row>
      <xdr:rowOff>143436</xdr:rowOff>
    </xdr:to>
    <xdr:sp macro="" textlink="">
      <xdr:nvSpPr>
        <xdr:cNvPr id="18" name="Text Box 75">
          <a:extLst>
            <a:ext uri="{FF2B5EF4-FFF2-40B4-BE49-F238E27FC236}">
              <a16:creationId xmlns:a16="http://schemas.microsoft.com/office/drawing/2014/main" id="{00000000-0008-0000-0900-000012000000}"/>
            </a:ext>
          </a:extLst>
        </xdr:cNvPr>
        <xdr:cNvSpPr txBox="1">
          <a:spLocks noChangeArrowheads="1"/>
        </xdr:cNvSpPr>
      </xdr:nvSpPr>
      <xdr:spPr bwMode="auto">
        <a:xfrm>
          <a:off x="981075" y="187813950"/>
          <a:ext cx="2119027" cy="381561"/>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endParaRPr lang="en-US" sz="1000" b="1" i="0" strike="noStrike">
            <a:solidFill>
              <a:srgbClr val="000000"/>
            </a:solidFill>
            <a:latin typeface="Arial"/>
            <a:cs typeface="Arial"/>
          </a:endParaRPr>
        </a:p>
      </xdr:txBody>
    </xdr:sp>
    <xdr:clientData/>
  </xdr:twoCellAnchor>
  <xdr:twoCellAnchor>
    <xdr:from>
      <xdr:col>2</xdr:col>
      <xdr:colOff>2609850</xdr:colOff>
      <xdr:row>1030</xdr:row>
      <xdr:rowOff>95250</xdr:rowOff>
    </xdr:from>
    <xdr:to>
      <xdr:col>5</xdr:col>
      <xdr:colOff>180974</xdr:colOff>
      <xdr:row>1032</xdr:row>
      <xdr:rowOff>142876</xdr:rowOff>
    </xdr:to>
    <xdr:sp macro="" textlink="">
      <xdr:nvSpPr>
        <xdr:cNvPr id="19" name="Text Box 75">
          <a:extLst>
            <a:ext uri="{FF2B5EF4-FFF2-40B4-BE49-F238E27FC236}">
              <a16:creationId xmlns:a16="http://schemas.microsoft.com/office/drawing/2014/main" id="{00000000-0008-0000-0900-000013000000}"/>
            </a:ext>
          </a:extLst>
        </xdr:cNvPr>
        <xdr:cNvSpPr txBox="1">
          <a:spLocks noChangeArrowheads="1"/>
        </xdr:cNvSpPr>
      </xdr:nvSpPr>
      <xdr:spPr bwMode="auto">
        <a:xfrm>
          <a:off x="3848100" y="187823475"/>
          <a:ext cx="2105024" cy="371476"/>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endParaRPr lang="en-US" sz="1000" b="1" i="0" strike="noStrike">
            <a:solidFill>
              <a:srgbClr val="00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er\Downloads\Qpur%20new%20one%202017-2018%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GNREGS%202021-22%20CC%20roads/MGNREGS%2019-20/CRemetorium/orginal%20estimate/Ameenpu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100.2\Temp\Electrical\Mbnr%20Min%20School%20Est\Final%20MBNR%20Block-1%20Estimate%2015.12.20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100.2\Temp\ELECTRICAL\ADILABAD-ESTIM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uhasini\Downloads\RMSA%20LIBRARY%2024.00%20LAKHS%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Durgaprasad\Documents\KGBV%20UP-gradation%20Estimates.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APRIL-2021\VARIOUS%20COMPENTENTS%20ESTIMATES%20OF%20MAHESHWARAM%20CONSITUTENCY%20-%20URGENT%20-%2029-4-2021-MD%20INSTRUCTIONS\maheshwaram%20madl%20various%20components%20%20estimates%20to%20MPPS%20Raviryal%20school%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OMB/Compound%20wall/Compound%20wall%20MPPS%20Ukoor%20%20UM.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OMB/Compound%20wall/compound%20wall%20school%20Utkoor%20U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Fee Rate Summary"/>
      <sheetName val="Basement Budget"/>
      <sheetName val="RECAPITULATION"/>
      <sheetName val="Rate analysis"/>
      <sheetName val="Break up Sheet"/>
      <sheetName val="TBAL9697 -group wise  sdpl"/>
      <sheetName val="B &amp; C - M - ccp"/>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Field Values"/>
      <sheetName val="rdamdata"/>
      <sheetName val="Estimate "/>
      <sheetName val="HDPE"/>
      <sheetName val="Rates"/>
      <sheetName val="PH data"/>
      <sheetName val="labour"/>
      <sheetName val="Details (3)"/>
      <sheetName val="Rates-May-14"/>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A"/>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Config"/>
      <sheetName val="Break Dw"/>
      <sheetName val="MES-SEC"/>
      <sheetName val="Data"/>
      <sheetName val="Lead"/>
      <sheetName val="Analy_7-10"/>
      <sheetName val="INDORAMA Group June 02"/>
      <sheetName val="SPT vs PHI"/>
      <sheetName val="Civil Boq"/>
      <sheetName val="beam-reinft-IIInd floor"/>
      <sheetName val="Design"/>
      <sheetName val="Desgn(zone I)"/>
      <sheetName val="PA- Consutant "/>
      <sheetName val="Debits as on 12.04.08"/>
      <sheetName val="THK"/>
      <sheetName val="FitOutConfCentre"/>
      <sheetName val="PART-I_(2)"/>
      <sheetName val="final_abstract"/>
      <sheetName val="INPUT-DATA1"/>
      <sheetName val="VCH-SLC"/>
      <sheetName val="Supplier"/>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RES-PLANNING"/>
      <sheetName val="col-reinft1"/>
      <sheetName val="FORM7"/>
      <sheetName val="RCC,Ret. Wall"/>
      <sheetName val="Build-up"/>
      <sheetName val="RA 4 Challan Summary "/>
      <sheetName val="p&amp;m"/>
      <sheetName val="Labour productivity"/>
      <sheetName val="labour coeff"/>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ORDER BOOKING"/>
      <sheetName val="Usage"/>
      <sheetName val="Common "/>
      <sheetName val="General"/>
      <sheetName val="Sheet3 (2)"/>
      <sheetName val="대외공문"/>
      <sheetName val="COST"/>
      <sheetName val="Formulas"/>
      <sheetName val="For Bill-04 PS"/>
      <sheetName val="M B-QtyRecn"/>
      <sheetName val="Quotation"/>
      <sheetName val="Sqn _Main_ Abs"/>
      <sheetName val="Mat.Cost"/>
      <sheetName val="Staff Acco."/>
      <sheetName val="Section Catalogue"/>
      <sheetName val="#REF!"/>
      <sheetName val="lookup"/>
      <sheetName val="Approved MTD Proj #'s"/>
      <sheetName val="Delhi"/>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目录"/>
      <sheetName val="Lowside"/>
      <sheetName val="Measurements"/>
      <sheetName val="Tables"/>
      <sheetName val="Flooring"/>
      <sheetName val="Ceilings"/>
      <sheetName val="ACAD Finishes"/>
      <sheetName val="Site Details"/>
      <sheetName val="Chair"/>
      <sheetName val="Site Area Statement"/>
      <sheetName val="Doors"/>
      <sheetName val="Estimate"/>
      <sheetName val="Material "/>
      <sheetName val="std.wt."/>
      <sheetName val="BOQ-Tower"/>
      <sheetName val="BOQ civil"/>
      <sheetName val="Lead statement"/>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Interior"/>
      <sheetName val="parametry"/>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VARIABLE"/>
      <sheetName val="det_est"/>
      <sheetName val="#REF"/>
      <sheetName val="PRECAST lightconc-II"/>
      <sheetName val="pvc"/>
      <sheetName val="M-Book for Conc"/>
      <sheetName val="M-Book for FW"/>
      <sheetName val="GR.slab-reinft"/>
      <sheetName val="SCHEDULE"/>
      <sheetName val="선수금"/>
      <sheetName val="Code"/>
      <sheetName val="Set"/>
      <sheetName val="Summary_Bank"/>
      <sheetName val="Staircase "/>
      <sheetName val="concrete"/>
      <sheetName val="NLD - Assum"/>
      <sheetName val="Capex-fixed"/>
      <sheetName val="schedule nos"/>
      <sheetName val="CPIPE"/>
      <sheetName val="ssr-rates"/>
      <sheetName val="leads"/>
      <sheetName val="DATA-2005-06"/>
      <sheetName val="pvc_basic"/>
      <sheetName val="INPUT SHEET"/>
      <sheetName val="BOM"/>
      <sheetName val="Price Schedule"/>
      <sheetName val="Mat_Cost"/>
      <sheetName val="Cost_Any."/>
      <sheetName val="Ratio"/>
      <sheetName val="S &amp; A"/>
      <sheetName val="office"/>
      <sheetName val="Lab"/>
      <sheetName val="Material&amp;equipment"/>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bill 2"/>
      <sheetName val="SOR"/>
      <sheetName val="Cable-data"/>
      <sheetName val="purpose&amp;input"/>
      <sheetName val="train cash"/>
      <sheetName val="accom cash"/>
      <sheetName val="Column Steel-R2"/>
      <sheetName val="beam-reinft-machine rm"/>
      <sheetName val="QS Name"/>
      <sheetName val="CANDY BOQ"/>
      <sheetName val="BOQ_(2)"/>
      <sheetName val="ACAD_Finishes"/>
      <sheetName val="Site_Details"/>
      <sheetName val="Site_Area_Statement"/>
      <sheetName val="Labour &amp; Plant"/>
      <sheetName val="Flight-1"/>
      <sheetName val="Proforma -II "/>
      <sheetName val="Data.F8.BTR"/>
      <sheetName val="Register"/>
      <sheetName val="r"/>
      <sheetName val="lead-st"/>
      <sheetName val="newsales"/>
      <sheetName val="Meas.-Hotel Part"/>
      <sheetName val="Pay_Sep06"/>
      <sheetName val="협조전"/>
      <sheetName val="AK-Offertstammblatt"/>
      <sheetName val="WORK TABLE"/>
      <sheetName val="220 11  BS "/>
      <sheetName val="Intro."/>
      <sheetName val="B3-B4-B5-B6"/>
      <sheetName val="Detail"/>
      <sheetName val="B1"/>
      <sheetName val="B"/>
      <sheetName val="BOQ Distribution"/>
      <sheetName val="Balustrade"/>
      <sheetName val="CFForecast detail"/>
      <sheetName val="Model (Not Merged)"/>
      <sheetName val="IS"/>
      <sheetName val="SGS ACQ"/>
      <sheetName val="Form 6"/>
      <sheetName val="EDWise"/>
      <sheetName val="01"/>
      <sheetName val="Version"/>
      <sheetName val="환율"/>
      <sheetName val="discounts_XP140"/>
      <sheetName val="Vind - BtB"/>
      <sheetName val="Tender Summary"/>
      <sheetName val="intr stool brkup"/>
      <sheetName val="Cash Flows &amp; IRR"/>
      <sheetName val="MFG"/>
      <sheetName val="QCEQPT-owned"/>
      <sheetName val="Internet"/>
      <sheetName val="Introduction"/>
      <sheetName val="Operating Statistics"/>
      <sheetName val="Financials"/>
      <sheetName val="1"/>
      <sheetName val="PriceSummary"/>
      <sheetName val="A.O.R."/>
      <sheetName val="sheeet7"/>
      <sheetName val="P4-BOQ"/>
      <sheetName val="Material Rate"/>
      <sheetName val="Conc_Analysis"/>
      <sheetName val="upa"/>
      <sheetName val="RAJU ASSO"/>
      <sheetName val="소상 &quot;1&quot;"/>
      <sheetName val="Discount &amp; Margin"/>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Hire"/>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Estimate 10.00 Lakhs "/>
      <sheetName val="mlead"/>
      <sheetName val="abs road"/>
      <sheetName val="coverpage"/>
      <sheetName val="RMR"/>
      <sheetName val="Road data"/>
      <sheetName val="R_Det"/>
      <sheetName val="Detail In Door Stad"/>
      <sheetName val="DATA_PRG"/>
      <sheetName val="Ellis &amp; WS&amp;S"/>
      <sheetName val="Drip mould &amp; Elevation"/>
      <sheetName val="Trussess"/>
      <sheetName val="MRATES"/>
      <sheetName val="Pump se_x0000_Ñ"/>
      <sheetName val="Pump se"/>
      <sheetName val="Works - Quote Sheet"/>
      <sheetName val="BS"/>
      <sheetName val="Capex"/>
      <sheetName val="CIV INV&amp;EXP"/>
      <sheetName val="not req 3"/>
      <sheetName val="Mater_x0000_fÙ_x0002_G"/>
      <sheetName val=""/>
      <sheetName val="220Kv (2)"/>
      <sheetName val="COMPLEXALL"/>
      <sheetName val="Material"/>
      <sheetName val="Lead statement ss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sheetData sheetId="183"/>
      <sheetData sheetId="184"/>
      <sheetData sheetId="185"/>
      <sheetData sheetId="186"/>
      <sheetData sheetId="187"/>
      <sheetData sheetId="188"/>
      <sheetData sheetId="189"/>
      <sheetData sheetId="190"/>
      <sheetData sheetId="191"/>
      <sheetData sheetId="192"/>
      <sheetData sheetId="193"/>
      <sheetData sheetId="194" refreshError="1"/>
      <sheetData sheetId="195" refreshError="1"/>
      <sheetData sheetId="196" refreshError="1"/>
      <sheetData sheetId="197"/>
      <sheetData sheetId="198" refreshError="1"/>
      <sheetData sheetId="199" refreshError="1"/>
      <sheetData sheetId="200"/>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sheetData sheetId="240" refreshError="1"/>
      <sheetData sheetId="241"/>
      <sheetData sheetId="242" refreshError="1"/>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refreshError="1"/>
      <sheetData sheetId="391" refreshError="1"/>
      <sheetData sheetId="392" refreshError="1"/>
      <sheetData sheetId="393"/>
      <sheetData sheetId="394"/>
      <sheetData sheetId="395"/>
      <sheetData sheetId="396"/>
      <sheetData sheetId="397"/>
      <sheetData sheetId="398"/>
      <sheetData sheetId="399"/>
      <sheetData sheetId="400"/>
      <sheetData sheetId="401"/>
      <sheetData sheetId="402"/>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 Tank"/>
      <sheetName val="THIRD"/>
      <sheetName val="KS-I (2)"/>
      <sheetName val="4roomsGA"/>
      <sheetName val="4rooms"/>
      <sheetName val="cdata toilets"/>
      <sheetName val="GA MRC"/>
      <sheetName val="sp MRC"/>
      <sheetName val="GA 3 units"/>
      <sheetName val="2unit working"/>
      <sheetName val="3units"/>
      <sheetName val="GA 2 units"/>
      <sheetName val="sp 2room"/>
      <sheetName val="sp 3 units"/>
      <sheetName val="HS yellammabanda 2 rooms"/>
      <sheetName val="GA YEllamabanda"/>
      <sheetName val="one room"/>
      <sheetName val="GA 1room"/>
      <sheetName val="sp 2 units"/>
      <sheetName val="Sheet1"/>
      <sheetName val="C-data"/>
      <sheetName val="GAKS-I"/>
      <sheetName val="KS-I"/>
      <sheetName val="ksty-II"/>
      <sheetName val="GAKSY-II"/>
      <sheetName val="2units"/>
      <sheetName val="sp 1 units"/>
      <sheetName val="GA 2room"/>
      <sheetName val="two room"/>
      <sheetName val="GA units"/>
      <sheetName val="MRC "/>
      <sheetName val="MRC compl"/>
      <sheetName val="abstractmrc cc"/>
      <sheetName val="abstractnizcc"/>
      <sheetName val="compl 1 nizampet"/>
      <sheetName val="abstract pragcc"/>
      <sheetName val="COMPL 1 PRAGATHI"/>
      <sheetName val="1unit working"/>
      <sheetName val="pragathi nagar"/>
      <sheetName val="nizampet"/>
      <sheetName val="boq-p5"/>
      <sheetName val="boq -p3"/>
      <sheetName val="sp p5"/>
      <sheetName val="sp p4"/>
      <sheetName val="no place -7"/>
      <sheetName val="GA -5"/>
      <sheetName val="GA - 4"/>
      <sheetName val="GA -3"/>
      <sheetName val="kitchen shed p5"/>
      <sheetName val="kitchen shed  p3 "/>
      <sheetName val="SP KS-II"/>
      <sheetName val="SP KS-I"/>
      <sheetName val="ACR Ref."/>
      <sheetName val="steels ACR"/>
      <sheetName val="babuguda working"/>
      <sheetName val="CR Babbuguda"/>
      <sheetName val="ACR"/>
      <sheetName val="kitchen shed type2 "/>
      <sheetName val="boq-p4"/>
      <sheetName val="kitchen shed p4 "/>
      <sheetName val="ABST"/>
      <sheetName val="ESTIMATE"/>
      <sheetName val="RCC. ST (300)"/>
      <sheetName val="sp one room"/>
      <sheetName val="ab babuguda"/>
      <sheetName val="KUKATPALLY"/>
      <sheetName val="LEAD"/>
      <sheetName val="D&amp;W DATA 1"/>
      <sheetName val="model door 2x2.13"/>
      <sheetName val="sal wood window 1.52X1.35 "/>
      <sheetName val="model door 4X2.7"/>
      <sheetName val="D&amp;W DATA"/>
      <sheetName val="MS D &amp; W(2)"/>
      <sheetName val="MS D&amp;W"/>
      <sheetName val="WS-DATA"/>
      <sheetName val="El Data"/>
      <sheetName val="seignerage"/>
      <sheetName val="CC road data"/>
      <sheetName val="BidRequirement"/>
      <sheetName val="Note"/>
      <sheetName val="Conv"/>
      <sheetName val="Basic Data"/>
      <sheetName val="BO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row r="565">
          <cell r="B565" t="str">
            <v>Supplying and fabrication and placing of MSGrills or Doors with of MS Flat including Cost and Convenance of all material and labour charges etc complete.</v>
          </cell>
        </row>
      </sheetData>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SK"/>
      <sheetName val="Cover"/>
      <sheetName val="Spicification Report "/>
      <sheetName val="Abs Qty"/>
      <sheetName val="Crematoria Estimate "/>
      <sheetName val="Lead- Input sheet "/>
      <sheetName val="Datas"/>
      <sheetName val="Bar Bending Schedule"/>
      <sheetName val="Sheet1"/>
      <sheetName val="Modal Estimate "/>
      <sheetName val="Elec Estimate"/>
      <sheetName val="Sanitory Estimate"/>
      <sheetName val="Septic tank"/>
      <sheetName val="Bore &amp; Pumpset"/>
      <sheetName val="Furniture "/>
      <sheetName val="20 TNs Detailed Est "/>
      <sheetName val="Flush Door  Shutter Country"/>
      <sheetName val=" Doors window- Country 2.0- 1.2"/>
      <sheetName val="Datas  Side wall "/>
      <sheetName val="Sheet2"/>
      <sheetName val="Ele data "/>
      <sheetName val="Sanitary&amp;water supply DATA "/>
      <sheetName val=" Doors window- Sal Wood "/>
      <sheetName val=" Doors window- Teak 18-19"/>
      <sheetName val=" Doors window- Country "/>
      <sheetName val=" Doors window- Country  -2.0 m"/>
      <sheetName val=" Doors and windows "/>
      <sheetName val="Conveyance"/>
      <sheetName val="Sheet3"/>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C-data"/>
      <sheetName val="D&amp;W DATA 1"/>
      <sheetName val="CC road data"/>
      <sheetName val="WS-DATA"/>
      <sheetName val="GA (2)"/>
      <sheetName val="ABCD-CVL"/>
      <sheetName val="ABCD-WS"/>
      <sheetName val="GA"/>
      <sheetName val="Abs-SCH"/>
      <sheetName val="Abs-WS-SCH"/>
      <sheetName val="ELE-data"/>
      <sheetName val="ABCD-ELE"/>
      <sheetName val="ABS-ELE-SCH"/>
      <sheetName val="ABS-ELE-HOS"/>
      <sheetName val="ABS-ELE-DIN"/>
      <sheetName val="Abs-ELE-PQ"/>
      <sheetName val="DESN"/>
      <sheetName val="GF-SCH"/>
      <sheetName val="FF-SCH"/>
      <sheetName val="SF-SCH"/>
      <sheetName val="TER-SCH"/>
      <sheetName val="WS-SCH"/>
      <sheetName val="Abs-HOS"/>
      <sheetName val="WS-Abs-HOS"/>
      <sheetName val="GF-HOS"/>
      <sheetName val="FF-HOS"/>
      <sheetName val="SF-HOS"/>
      <sheetName val="TER-HOS"/>
      <sheetName val="WS-HOS"/>
      <sheetName val="ABS-DIN"/>
      <sheetName val="WS-ABS-DIN"/>
      <sheetName val="Detail-Dining"/>
      <sheetName val="Det-Dining-WS"/>
      <sheetName val="Abs-civil- Principal"/>
      <sheetName val="Abs-WS-PQ"/>
      <sheetName val="Det-civil-PQ"/>
      <sheetName val="Det-WS-PQ"/>
      <sheetName val="ABS-CVL-SEC"/>
      <sheetName val="ABS-WS-SEC"/>
      <sheetName val="ABS-ELE-SEC"/>
      <sheetName val="Security-GF "/>
      <sheetName val="Ws-Det-Security"/>
      <sheetName val="S.tank"/>
      <sheetName val="S.T-Steel"/>
      <sheetName val="Abs-ST"/>
      <sheetName val="Det-ST(100users)"/>
      <sheetName val="Abs-sump(65000lit)"/>
      <sheetName val="Det-sump (65000lit)"/>
      <sheetName val="C.wall"/>
      <sheetName val="C.wall-Steel"/>
      <sheetName val="CC Road"/>
      <sheetName val="Conv"/>
      <sheetName val="Basic Data"/>
      <sheetName val="Abs"/>
    </sheetNames>
    <sheetDataSet>
      <sheetData sheetId="0" refreshError="1"/>
      <sheetData sheetId="1">
        <row r="3">
          <cell r="D3">
            <v>0.13614999999999999</v>
          </cell>
        </row>
      </sheetData>
      <sheetData sheetId="2" refreshError="1"/>
      <sheetData sheetId="3" refreshError="1"/>
      <sheetData sheetId="4" refreshError="1"/>
      <sheetData sheetId="5">
        <row r="2">
          <cell r="A2" t="str">
            <v>NAME OF THE WORK:- CONSTRUCTION  OF MINORITY RESIDENTIAL SCHOOL COMPLEX  AT MAHABOONAGAR IN MAHABOOBNAGAR DISTRICT</v>
          </cell>
        </row>
      </sheetData>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ow r="2">
          <cell r="A2" t="str">
            <v>NAME OF THE WORK : CONSTRUCTION MINORITY RESIDENTIAL SCHOOL, AT MAHABUBNAGAR DIST.(SSR 2020-21)</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v"/>
      <sheetName val="Basic Data"/>
      <sheetName val="model door 2x2.13"/>
      <sheetName val="model door 4X2.7"/>
      <sheetName val="ABS"/>
      <sheetName val="Schl-Civil GF"/>
      <sheetName val="CIVL -ABCD"/>
      <sheetName val="FF"/>
      <sheetName val="SF"/>
      <sheetName val="TF HEAD ROOM"/>
      <sheetName val="Schl-WS"/>
      <sheetName val="Ele-Schl"/>
      <sheetName val="Schl-Steel"/>
      <sheetName val="Ele-Schl,Dorm,Ptrs,Dinng"/>
      <sheetName val="Dorm-Civil GF"/>
      <sheetName val="Dor FF"/>
      <sheetName val="Dor SF"/>
      <sheetName val="Dor TF Head room"/>
      <sheetName val="Dorm-WS"/>
      <sheetName val="Ele-Dorm"/>
      <sheetName val="Dorm-Steel"/>
      <sheetName val="Dinnig-Civil GF"/>
      <sheetName val="Dining ff head room"/>
      <sheetName val="Ding-WS"/>
      <sheetName val="Ele-Dinng"/>
      <sheetName val="Ding-Steel"/>
      <sheetName val="P.Qtrs-Civil"/>
      <sheetName val="P.Qtr FF Head room"/>
      <sheetName val="PQtrs-WS"/>
      <sheetName val="Ele-Ptrs"/>
      <sheetName val="Ptrs-Steel"/>
      <sheetName val="S.tank"/>
      <sheetName val="S.T-Steel"/>
      <sheetName val="ST 100 USERS"/>
      <sheetName val="RCC-Sump"/>
      <sheetName val="Sump-Steel"/>
      <sheetName val="C.wall"/>
      <sheetName val="C.wall-Steel"/>
      <sheetName val="CC Road"/>
      <sheetName val="LEAD"/>
      <sheetName val="C-data"/>
      <sheetName val="D&amp;W DATA (K)"/>
      <sheetName val="D&amp;W DATA"/>
      <sheetName val="WS-DATA"/>
      <sheetName val="ele data"/>
      <sheetName val="MS Dta (K)"/>
      <sheetName val="MS D &amp; W(2)"/>
      <sheetName val="MS D&amp;W"/>
      <sheetName val="Grill Dts"/>
      <sheetName val="CC road data"/>
      <sheetName val="Drain datas"/>
      <sheetName val="Road Dta (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3">
          <cell r="D3">
            <v>0.13614999999999999</v>
          </cell>
        </row>
        <row r="10">
          <cell r="E10">
            <v>470</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 Tank"/>
      <sheetName val="THIRD"/>
      <sheetName val="RCC. ST (300)"/>
      <sheetName val="Conv"/>
      <sheetName val="Basic Data"/>
      <sheetName val="model door 2x2.13"/>
      <sheetName val="sal wood window 1.52X1.35 "/>
      <sheetName val="model door 4X2.7"/>
      <sheetName val="D&amp;W DATA"/>
      <sheetName val="MS D &amp; W(2)"/>
      <sheetName val="MS D&amp;W"/>
      <sheetName val="CC road data"/>
      <sheetName val="BidRequirement"/>
      <sheetName val="Note"/>
      <sheetName val="CP"/>
      <sheetName val="ABS"/>
      <sheetName val="GF"/>
      <sheetName val="Head room"/>
      <sheetName val="ELE"/>
      <sheetName val="LEAD"/>
      <sheetName val="C-data"/>
      <sheetName val="D&amp;W DATA 1"/>
      <sheetName val="Grill Data"/>
      <sheetName val="ele data"/>
      <sheetName val="WS-DATA"/>
      <sheetName val="BOQ"/>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
          <cell r="A2" t="str">
            <v>NAME OF THE WORK :  CONSTRUCTION OF LIBRARY IN ZPHS BUILDING AT                                 ( V &amp; M) IN                                DISTRICT.</v>
          </cell>
        </row>
      </sheetData>
      <sheetData sheetId="20">
        <row r="3">
          <cell r="D3">
            <v>0.13614999999999999</v>
          </cell>
        </row>
        <row r="5">
          <cell r="E5">
            <v>0.2</v>
          </cell>
        </row>
        <row r="245">
          <cell r="C245" t="str">
            <v>Add 5% over heads</v>
          </cell>
        </row>
      </sheetData>
      <sheetData sheetId="21"/>
      <sheetData sheetId="22"/>
      <sheetData sheetId="23">
        <row r="555">
          <cell r="C555" t="str">
            <v>Supply and fixing of modular Electronic stept type fan regulator hum free step type  socket size with MS box, front plate in the existing switch board ( Modular Type ) Makes :Makes : Legrand Arteor / Schneider Zen celo / Honeywell Blenge Plus / Cabtree Amare / Logus Platina.</v>
          </cell>
        </row>
      </sheetData>
      <sheetData sheetId="24"/>
      <sheetData sheetId="2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C road"/>
      <sheetName val="S Tank"/>
      <sheetName val="COVER"/>
      <sheetName val="COVER1"/>
      <sheetName val="Index"/>
      <sheetName val="Sp Report"/>
      <sheetName val="ABT"/>
      <sheetName val="GROUND"/>
      <sheetName val="GROUND (2)"/>
      <sheetName val="Final First Floor"/>
      <sheetName val="FIRST"/>
      <sheetName val="THIRD"/>
      <sheetName val="Final Second Floor (2)"/>
      <sheetName val="SECOND"/>
      <sheetName val="HEAD ROOM (2)"/>
      <sheetName val="HEAD ROOM"/>
      <sheetName val="W. SUPPLY"/>
      <sheetName val="Electrification"/>
      <sheetName val="S Tank (2)"/>
      <sheetName val="Compound Wall "/>
      <sheetName val="S Tank (3)"/>
      <sheetName val="seignerage"/>
      <sheetName val="LEAD"/>
      <sheetName val="Basic Data"/>
      <sheetName val="qury"/>
      <sheetName val="C-data"/>
      <sheetName val="D&amp;W DATA (2)"/>
      <sheetName val="D&amp;W DATA (1)"/>
      <sheetName val="model door 2x2.13"/>
      <sheetName val="sal wood window 1.52X1.35 "/>
      <sheetName val="model door 4X2.7"/>
      <sheetName val="D&amp;W DATA"/>
      <sheetName val="MS D &amp; W(2)"/>
      <sheetName val="MS D&amp;W"/>
      <sheetName val="WS-DATA"/>
      <sheetName val="El Data"/>
      <sheetName val="BOQ"/>
      <sheetName val="CC road data"/>
      <sheetName val="BidRequirement"/>
      <sheetName val="Note"/>
      <sheetName val="Conv"/>
      <sheetName val="Datas"/>
      <sheetName val="Gate Datas"/>
      <sheetName val="Material"/>
      <sheetName val="Supp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22">
          <cell r="B22" t="str">
            <v>Polished Shabad/Tandur blue Slabas 15 to 18 mm thick  (0.457M x 0.457M)</v>
          </cell>
        </row>
        <row r="48">
          <cell r="M48">
            <v>150</v>
          </cell>
        </row>
        <row r="49">
          <cell r="G49">
            <v>2</v>
          </cell>
        </row>
        <row r="67">
          <cell r="C67" t="str">
            <v>SBC</v>
          </cell>
          <cell r="D67" t="str">
            <v>FG1</v>
          </cell>
          <cell r="E67" t="str">
            <v>FG2</v>
          </cell>
          <cell r="F67" t="str">
            <v>FG3</v>
          </cell>
          <cell r="G67" t="str">
            <v>FG4</v>
          </cell>
          <cell r="H67" t="str">
            <v>FG5</v>
          </cell>
          <cell r="I67" t="str">
            <v>FG6</v>
          </cell>
          <cell r="K67" t="str">
            <v>FG7</v>
          </cell>
          <cell r="L67" t="str">
            <v>FG8</v>
          </cell>
          <cell r="M67" t="str">
            <v>FG9</v>
          </cell>
          <cell r="N67" t="str">
            <v>FG10</v>
          </cell>
          <cell r="O67" t="str">
            <v>FG11</v>
          </cell>
          <cell r="P67" t="str">
            <v>FG12</v>
          </cell>
          <cell r="Q67" t="str">
            <v>FG13</v>
          </cell>
          <cell r="R67" t="str">
            <v>FG14</v>
          </cell>
          <cell r="S67" t="str">
            <v>FG15</v>
          </cell>
          <cell r="T67" t="str">
            <v>FG16</v>
          </cell>
        </row>
        <row r="68">
          <cell r="C68">
            <v>100</v>
          </cell>
          <cell r="D68">
            <v>2.25</v>
          </cell>
          <cell r="E68">
            <v>2.5</v>
          </cell>
          <cell r="F68">
            <v>2.85</v>
          </cell>
          <cell r="G68">
            <v>3.05</v>
          </cell>
          <cell r="H68">
            <v>3.35</v>
          </cell>
          <cell r="I68">
            <v>3.7</v>
          </cell>
          <cell r="K68">
            <v>3.95</v>
          </cell>
          <cell r="L68">
            <v>4.25</v>
          </cell>
          <cell r="M68">
            <v>2.9</v>
          </cell>
          <cell r="N68">
            <v>2.2000000000000002</v>
          </cell>
          <cell r="O68">
            <v>8</v>
          </cell>
          <cell r="P68">
            <v>5</v>
          </cell>
          <cell r="Q68">
            <v>6.2</v>
          </cell>
          <cell r="R68">
            <v>6.3</v>
          </cell>
          <cell r="S68">
            <v>6.6</v>
          </cell>
          <cell r="T68">
            <v>6.5</v>
          </cell>
        </row>
        <row r="69">
          <cell r="C69">
            <v>150</v>
          </cell>
          <cell r="D69">
            <v>3.1</v>
          </cell>
          <cell r="E69">
            <v>2.9</v>
          </cell>
          <cell r="F69">
            <v>2.7</v>
          </cell>
          <cell r="G69">
            <v>2.2999999999999998</v>
          </cell>
          <cell r="H69">
            <v>2</v>
          </cell>
          <cell r="I69">
            <v>1.5</v>
          </cell>
          <cell r="K69">
            <v>1.35</v>
          </cell>
        </row>
        <row r="70">
          <cell r="C70">
            <v>200</v>
          </cell>
          <cell r="D70">
            <v>0.8</v>
          </cell>
          <cell r="E70">
            <v>1.5</v>
          </cell>
          <cell r="F70">
            <v>1.7</v>
          </cell>
          <cell r="G70">
            <v>2.06</v>
          </cell>
          <cell r="H70">
            <v>1.85</v>
          </cell>
          <cell r="I70">
            <v>1.2</v>
          </cell>
          <cell r="K70">
            <v>1.55</v>
          </cell>
          <cell r="L70">
            <v>1</v>
          </cell>
          <cell r="M70">
            <v>1.75</v>
          </cell>
          <cell r="N70">
            <v>1.2</v>
          </cell>
          <cell r="O70">
            <v>1.55</v>
          </cell>
          <cell r="P70">
            <v>1.4</v>
          </cell>
          <cell r="Q70">
            <v>1.25</v>
          </cell>
          <cell r="R70">
            <v>1.7</v>
          </cell>
          <cell r="S70">
            <v>0.9</v>
          </cell>
          <cell r="T70">
            <v>1.7</v>
          </cell>
        </row>
        <row r="71">
          <cell r="C71">
            <v>250</v>
          </cell>
          <cell r="D71">
            <v>1.6</v>
          </cell>
          <cell r="E71">
            <v>1.8</v>
          </cell>
          <cell r="F71">
            <v>2</v>
          </cell>
          <cell r="G71">
            <v>2.2000000000000002</v>
          </cell>
          <cell r="H71">
            <v>2.4</v>
          </cell>
          <cell r="I71">
            <v>2.6</v>
          </cell>
          <cell r="K71">
            <v>2.8</v>
          </cell>
          <cell r="L71">
            <v>3</v>
          </cell>
          <cell r="M71">
            <v>2.1</v>
          </cell>
          <cell r="N71">
            <v>2.1</v>
          </cell>
          <cell r="O71">
            <v>2.4</v>
          </cell>
          <cell r="P71">
            <v>1.8</v>
          </cell>
        </row>
        <row r="74">
          <cell r="C74" t="str">
            <v>SBC</v>
          </cell>
          <cell r="D74" t="str">
            <v>FG1</v>
          </cell>
          <cell r="E74" t="str">
            <v>FG2</v>
          </cell>
          <cell r="F74" t="str">
            <v>FG3</v>
          </cell>
          <cell r="G74" t="str">
            <v>FG4</v>
          </cell>
          <cell r="H74" t="str">
            <v>FG5</v>
          </cell>
          <cell r="I74" t="str">
            <v>FG6</v>
          </cell>
          <cell r="K74" t="str">
            <v>FG7</v>
          </cell>
          <cell r="L74" t="str">
            <v>FG8</v>
          </cell>
          <cell r="M74" t="str">
            <v>FG9</v>
          </cell>
          <cell r="N74" t="str">
            <v>FG10</v>
          </cell>
          <cell r="O74" t="str">
            <v>FG11</v>
          </cell>
          <cell r="P74" t="str">
            <v>FG12</v>
          </cell>
          <cell r="Q74" t="str">
            <v>FG13</v>
          </cell>
          <cell r="R74" t="str">
            <v>FG14</v>
          </cell>
          <cell r="S74" t="str">
            <v>FG15</v>
          </cell>
          <cell r="T74" t="str">
            <v>FG16</v>
          </cell>
        </row>
        <row r="75">
          <cell r="C75">
            <v>100</v>
          </cell>
          <cell r="D75">
            <v>2.25</v>
          </cell>
          <cell r="E75">
            <v>2.5</v>
          </cell>
          <cell r="F75">
            <v>2.85</v>
          </cell>
          <cell r="G75">
            <v>3.05</v>
          </cell>
          <cell r="H75">
            <v>3.35</v>
          </cell>
          <cell r="I75">
            <v>3.7</v>
          </cell>
          <cell r="K75">
            <v>3.95</v>
          </cell>
          <cell r="L75">
            <v>4.25</v>
          </cell>
          <cell r="M75">
            <v>3.55</v>
          </cell>
          <cell r="N75">
            <v>3</v>
          </cell>
          <cell r="O75">
            <v>4.5</v>
          </cell>
          <cell r="P75">
            <v>3</v>
          </cell>
          <cell r="Q75">
            <v>3.4</v>
          </cell>
          <cell r="R75">
            <v>3.4</v>
          </cell>
          <cell r="S75">
            <v>3.4</v>
          </cell>
          <cell r="T75">
            <v>3.05</v>
          </cell>
        </row>
        <row r="76">
          <cell r="C76">
            <v>150</v>
          </cell>
          <cell r="D76">
            <v>3.1</v>
          </cell>
          <cell r="E76">
            <v>2.9</v>
          </cell>
          <cell r="F76">
            <v>2.7</v>
          </cell>
          <cell r="G76">
            <v>2.2999999999999998</v>
          </cell>
          <cell r="H76">
            <v>2</v>
          </cell>
          <cell r="I76">
            <v>1.5</v>
          </cell>
          <cell r="K76">
            <v>1.35</v>
          </cell>
        </row>
        <row r="77">
          <cell r="C77">
            <v>200</v>
          </cell>
          <cell r="D77">
            <v>0.8</v>
          </cell>
          <cell r="E77">
            <v>1.4</v>
          </cell>
          <cell r="F77">
            <v>1.6</v>
          </cell>
          <cell r="G77">
            <v>1.95</v>
          </cell>
          <cell r="H77">
            <v>1.75</v>
          </cell>
          <cell r="I77">
            <v>1.1000000000000001</v>
          </cell>
          <cell r="K77">
            <v>1.5</v>
          </cell>
          <cell r="L77">
            <v>0.95</v>
          </cell>
          <cell r="M77">
            <v>1.7</v>
          </cell>
          <cell r="N77">
            <v>1.2</v>
          </cell>
          <cell r="O77">
            <v>1.55</v>
          </cell>
          <cell r="P77">
            <v>1.4</v>
          </cell>
          <cell r="Q77">
            <v>1.25</v>
          </cell>
          <cell r="R77">
            <v>1.6</v>
          </cell>
          <cell r="S77">
            <v>0.9</v>
          </cell>
          <cell r="T77">
            <v>1.6</v>
          </cell>
        </row>
        <row r="78">
          <cell r="C78">
            <v>250</v>
          </cell>
          <cell r="D78">
            <v>1.6</v>
          </cell>
          <cell r="E78">
            <v>1.8</v>
          </cell>
          <cell r="F78">
            <v>2</v>
          </cell>
          <cell r="G78">
            <v>2.2000000000000002</v>
          </cell>
          <cell r="H78">
            <v>2.4</v>
          </cell>
          <cell r="I78">
            <v>2.6</v>
          </cell>
          <cell r="K78">
            <v>2.8</v>
          </cell>
          <cell r="L78">
            <v>3</v>
          </cell>
          <cell r="M78">
            <v>1.8</v>
          </cell>
          <cell r="N78">
            <v>1.8</v>
          </cell>
          <cell r="O78">
            <v>1.8</v>
          </cell>
          <cell r="P78">
            <v>1.35</v>
          </cell>
        </row>
        <row r="82">
          <cell r="C82" t="str">
            <v>SBC</v>
          </cell>
          <cell r="D82" t="str">
            <v>FG1</v>
          </cell>
          <cell r="E82" t="str">
            <v>FG2</v>
          </cell>
          <cell r="F82" t="str">
            <v>FG3</v>
          </cell>
          <cell r="G82" t="str">
            <v>FG4</v>
          </cell>
          <cell r="H82" t="str">
            <v>FG5</v>
          </cell>
          <cell r="I82" t="str">
            <v>FG6</v>
          </cell>
          <cell r="K82" t="str">
            <v>FG7</v>
          </cell>
          <cell r="L82" t="str">
            <v>FG8</v>
          </cell>
          <cell r="M82" t="str">
            <v>FG9</v>
          </cell>
          <cell r="N82" t="str">
            <v>FG10</v>
          </cell>
          <cell r="O82" t="str">
            <v>FG11</v>
          </cell>
          <cell r="P82" t="str">
            <v>FG12</v>
          </cell>
          <cell r="Q82" t="str">
            <v>FG13</v>
          </cell>
          <cell r="R82" t="str">
            <v>FG14</v>
          </cell>
          <cell r="S82" t="str">
            <v>FG15</v>
          </cell>
          <cell r="T82" t="str">
            <v>FG16</v>
          </cell>
        </row>
        <row r="83">
          <cell r="C83">
            <v>100</v>
          </cell>
          <cell r="D83">
            <v>0.375</v>
          </cell>
          <cell r="E83">
            <v>0.4</v>
          </cell>
          <cell r="F83">
            <v>0.45</v>
          </cell>
          <cell r="G83">
            <v>0.47499999999999998</v>
          </cell>
          <cell r="H83">
            <v>0.52500000000000002</v>
          </cell>
          <cell r="I83">
            <v>0.6</v>
          </cell>
          <cell r="K83">
            <v>0.6</v>
          </cell>
          <cell r="L83">
            <v>0.67500000000000004</v>
          </cell>
          <cell r="M83">
            <v>0.52500000000000002</v>
          </cell>
          <cell r="N83">
            <v>0.42499999999999999</v>
          </cell>
          <cell r="O83">
            <v>0.65</v>
          </cell>
          <cell r="P83">
            <v>0.57499999999999996</v>
          </cell>
          <cell r="Q83">
            <v>0.52500000000000002</v>
          </cell>
          <cell r="R83">
            <v>0.57499999999999996</v>
          </cell>
          <cell r="S83">
            <v>0.57499999999999996</v>
          </cell>
          <cell r="T83">
            <v>0.52500000000000002</v>
          </cell>
        </row>
        <row r="84">
          <cell r="C84">
            <v>150</v>
          </cell>
          <cell r="D84">
            <v>0.52500000000000002</v>
          </cell>
          <cell r="E84">
            <v>0.5</v>
          </cell>
          <cell r="F84">
            <v>0.45</v>
          </cell>
          <cell r="G84">
            <v>0.42499999999999999</v>
          </cell>
          <cell r="H84">
            <v>0.375</v>
          </cell>
          <cell r="I84">
            <v>0.35</v>
          </cell>
          <cell r="K84">
            <v>0.3</v>
          </cell>
        </row>
        <row r="85">
          <cell r="C85">
            <v>200</v>
          </cell>
          <cell r="D85">
            <v>0.22500000000000001</v>
          </cell>
          <cell r="E85">
            <v>0.25</v>
          </cell>
          <cell r="F85">
            <v>0.3</v>
          </cell>
          <cell r="G85">
            <v>0.375</v>
          </cell>
          <cell r="H85">
            <v>0.35</v>
          </cell>
          <cell r="I85">
            <v>0.22500000000000001</v>
          </cell>
          <cell r="K85">
            <v>0.27500000000000002</v>
          </cell>
          <cell r="L85">
            <v>0.22500000000000001</v>
          </cell>
          <cell r="M85">
            <v>0.32500000000000001</v>
          </cell>
          <cell r="N85">
            <v>0.22500000000000001</v>
          </cell>
          <cell r="O85">
            <v>0.27500000000000002</v>
          </cell>
          <cell r="P85">
            <v>0.25</v>
          </cell>
          <cell r="Q85">
            <v>0.22500000000000001</v>
          </cell>
          <cell r="R85">
            <v>0.45</v>
          </cell>
          <cell r="S85">
            <v>0.3</v>
          </cell>
          <cell r="T85">
            <v>0.45</v>
          </cell>
        </row>
        <row r="86">
          <cell r="C86">
            <v>250</v>
          </cell>
          <cell r="D86">
            <v>0.32500000000000001</v>
          </cell>
          <cell r="E86">
            <v>0.375</v>
          </cell>
          <cell r="F86">
            <v>0.4</v>
          </cell>
          <cell r="G86">
            <v>0.45</v>
          </cell>
          <cell r="H86">
            <v>0.5</v>
          </cell>
          <cell r="I86">
            <v>0.55000000000000004</v>
          </cell>
          <cell r="K86">
            <v>0.55000000000000004</v>
          </cell>
          <cell r="L86">
            <v>0.625</v>
          </cell>
          <cell r="M86">
            <v>0.375</v>
          </cell>
          <cell r="N86">
            <v>0.375</v>
          </cell>
          <cell r="O86">
            <v>0.45</v>
          </cell>
          <cell r="P86">
            <v>0.375</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CC. ST (300)"/>
      <sheetName val="Conv"/>
      <sheetName val="Basic Data"/>
      <sheetName val="model door 2x2.13"/>
      <sheetName val="model door 4X2.7"/>
      <sheetName val="D&amp;W DATA"/>
      <sheetName val="MS D &amp; W(2)"/>
      <sheetName val="MS D&amp;W"/>
      <sheetName val="CC road data"/>
      <sheetName val="BidRequirement"/>
      <sheetName val="Note"/>
      <sheetName val="DUMMY COPY"/>
      <sheetName val="Drain datas"/>
      <sheetName val="Road Dta (K)"/>
      <sheetName val="1"/>
      <sheetName val="WKD"/>
      <sheetName val="LEAD"/>
      <sheetName val="BOQ"/>
      <sheetName val="WS-DATA (K)"/>
      <sheetName val="ele data (K)"/>
      <sheetName val="MS Dta (K)"/>
      <sheetName val="Grill Dts (K)"/>
      <sheetName val="D&amp;W DATA (K)"/>
      <sheetName val="C-data (K)"/>
      <sheetName val="Abstract"/>
      <sheetName val="Toilet Block"/>
      <sheetName val="dismantling est"/>
      <sheetName val="5 new rooms"/>
      <sheetName val="MAJOR REPAIRS"/>
      <sheetName val="girls toilets rep"/>
      <sheetName val="boys toilets rep "/>
      <sheetName val="3 units new toilet"/>
      <sheetName val="drink water"/>
      <sheetName val="sump"/>
      <sheetName val="KITCHEN SHED"/>
      <sheetName val="Dinning hall"/>
      <sheetName val=" furniture"/>
      <sheetName val="compound wall"/>
      <sheetName val="SMART CLASS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30">
          <cell r="P30">
            <v>49000</v>
          </cell>
        </row>
      </sheetData>
      <sheetData sheetId="17" refreshError="1"/>
      <sheetData sheetId="18" refreshError="1"/>
      <sheetData sheetId="19" refreshError="1"/>
      <sheetData sheetId="20" refreshError="1"/>
      <sheetData sheetId="21" refreshError="1"/>
      <sheetData sheetId="22" refreshError="1"/>
      <sheetData sheetId="23" refreshError="1">
        <row r="3">
          <cell r="D3">
            <v>0</v>
          </cell>
        </row>
        <row r="5">
          <cell r="E5">
            <v>0.2</v>
          </cell>
        </row>
        <row r="19">
          <cell r="F19">
            <v>684</v>
          </cell>
        </row>
        <row r="20">
          <cell r="F20">
            <v>564</v>
          </cell>
        </row>
        <row r="86">
          <cell r="F86">
            <v>129</v>
          </cell>
        </row>
        <row r="174">
          <cell r="C174" t="str">
            <v>Add 5% over heads</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
      <sheetName val="COVER"/>
      <sheetName val="Input"/>
      <sheetName val="NREGA DATA"/>
      <sheetName val="COVER1"/>
      <sheetName val="Sp Report"/>
      <sheetName val="Index"/>
      <sheetName val="BOQ"/>
      <sheetName val="abst"/>
      <sheetName val="compound wall"/>
      <sheetName val="KIT.HEAD ROOM"/>
      <sheetName val="WS-DATA"/>
      <sheetName val="ele data"/>
      <sheetName val="C-data"/>
      <sheetName val="W.E Staff Qtr"/>
      <sheetName val="W.E Staff Qtr (ELE)"/>
      <sheetName val="W.E Staff Qtr (W.S)"/>
      <sheetName val="OHSR"/>
      <sheetName val="qury"/>
      <sheetName val="ext-drainag"/>
      <sheetName val="Note"/>
      <sheetName val="D&amp;W DATA 1"/>
      <sheetName val="LEAD"/>
      <sheetName val="Conv"/>
      <sheetName val="Basic Data"/>
      <sheetName val="Sheet1"/>
    </sheetNames>
    <sheetDataSet>
      <sheetData sheetId="0" refreshError="1"/>
      <sheetData sheetId="1" refreshError="1"/>
      <sheetData sheetId="2" refreshError="1">
        <row r="4">
          <cell r="B4">
            <v>1</v>
          </cell>
        </row>
        <row r="6">
          <cell r="B6">
            <v>1</v>
          </cell>
        </row>
        <row r="10">
          <cell r="B10">
            <v>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Cover"/>
      <sheetName val="SPC"/>
      <sheetName val="Compund wall Estimate"/>
      <sheetName val="Lead"/>
      <sheetName val="Datas"/>
      <sheetName val="Inputsheet"/>
      <sheetName val="20 TNs Detailed Est "/>
      <sheetName val="Bar Bending Schedule"/>
      <sheetName val=" Doors and windows "/>
      <sheetName val="Conveyance"/>
      <sheetName val="Comple"/>
      <sheetName val="Comtion"/>
      <sheetName val="Comple (2)"/>
      <sheetName val="Completeeeion"/>
      <sheetName val="comparative"/>
    </sheetNames>
    <sheetDataSet>
      <sheetData sheetId="0">
        <row r="2">
          <cell r="B2" t="str">
            <v>Utkoor</v>
          </cell>
        </row>
      </sheetData>
      <sheetData sheetId="1" refreshError="1"/>
      <sheetData sheetId="2" refreshError="1"/>
      <sheetData sheetId="3">
        <row r="9">
          <cell r="I9">
            <v>45</v>
          </cell>
          <cell r="J9">
            <v>257</v>
          </cell>
        </row>
      </sheetData>
      <sheetData sheetId="4" refreshError="1"/>
      <sheetData sheetId="5" refreshError="1"/>
      <sheetData sheetId="6">
        <row r="20">
          <cell r="G20">
            <v>11565</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8" Type="http://schemas.openxmlformats.org/officeDocument/2006/relationships/hyperlink" Target="mailto:VAT@%204%25" TargetMode="External"/><Relationship Id="rId13" Type="http://schemas.openxmlformats.org/officeDocument/2006/relationships/hyperlink" Target="mailto:VAT@%204%25" TargetMode="External"/><Relationship Id="rId18" Type="http://schemas.openxmlformats.org/officeDocument/2006/relationships/hyperlink" Target="mailto:VAT@%204%25" TargetMode="External"/><Relationship Id="rId26" Type="http://schemas.openxmlformats.org/officeDocument/2006/relationships/hyperlink" Target="mailto:VAT@%204%25" TargetMode="External"/><Relationship Id="rId3" Type="http://schemas.openxmlformats.org/officeDocument/2006/relationships/hyperlink" Target="mailto:VAT@%204%25" TargetMode="External"/><Relationship Id="rId21" Type="http://schemas.openxmlformats.org/officeDocument/2006/relationships/hyperlink" Target="mailto:VAT@%204%25" TargetMode="External"/><Relationship Id="rId7" Type="http://schemas.openxmlformats.org/officeDocument/2006/relationships/hyperlink" Target="mailto:VAT@%204%25" TargetMode="External"/><Relationship Id="rId12" Type="http://schemas.openxmlformats.org/officeDocument/2006/relationships/hyperlink" Target="mailto:VAT@%204%25" TargetMode="External"/><Relationship Id="rId17" Type="http://schemas.openxmlformats.org/officeDocument/2006/relationships/hyperlink" Target="mailto:VAT@%204%25" TargetMode="External"/><Relationship Id="rId25" Type="http://schemas.openxmlformats.org/officeDocument/2006/relationships/hyperlink" Target="mailto:VAT@%204%25" TargetMode="External"/><Relationship Id="rId2" Type="http://schemas.openxmlformats.org/officeDocument/2006/relationships/hyperlink" Target="mailto:VAT@%204%25" TargetMode="External"/><Relationship Id="rId16" Type="http://schemas.openxmlformats.org/officeDocument/2006/relationships/hyperlink" Target="mailto:VAT@%204%25" TargetMode="External"/><Relationship Id="rId20" Type="http://schemas.openxmlformats.org/officeDocument/2006/relationships/hyperlink" Target="mailto:VAT@%204%25" TargetMode="External"/><Relationship Id="rId29" Type="http://schemas.openxmlformats.org/officeDocument/2006/relationships/hyperlink" Target="mailto:VAT@%204%25" TargetMode="External"/><Relationship Id="rId1" Type="http://schemas.openxmlformats.org/officeDocument/2006/relationships/hyperlink" Target="mailto:VAT@%204%25" TargetMode="External"/><Relationship Id="rId6" Type="http://schemas.openxmlformats.org/officeDocument/2006/relationships/hyperlink" Target="mailto:VAT@%204%25" TargetMode="External"/><Relationship Id="rId11" Type="http://schemas.openxmlformats.org/officeDocument/2006/relationships/hyperlink" Target="mailto:VAT@%204%25" TargetMode="External"/><Relationship Id="rId24" Type="http://schemas.openxmlformats.org/officeDocument/2006/relationships/hyperlink" Target="mailto:VAT@%204%25" TargetMode="External"/><Relationship Id="rId32" Type="http://schemas.openxmlformats.org/officeDocument/2006/relationships/drawing" Target="../drawings/drawing2.xml"/><Relationship Id="rId5" Type="http://schemas.openxmlformats.org/officeDocument/2006/relationships/hyperlink" Target="mailto:VAT@%204%25" TargetMode="External"/><Relationship Id="rId15" Type="http://schemas.openxmlformats.org/officeDocument/2006/relationships/hyperlink" Target="mailto:VAT@%204%25" TargetMode="External"/><Relationship Id="rId23" Type="http://schemas.openxmlformats.org/officeDocument/2006/relationships/hyperlink" Target="mailto:VAT@%204%25" TargetMode="External"/><Relationship Id="rId28" Type="http://schemas.openxmlformats.org/officeDocument/2006/relationships/hyperlink" Target="mailto:VAT@%204%25" TargetMode="External"/><Relationship Id="rId10" Type="http://schemas.openxmlformats.org/officeDocument/2006/relationships/hyperlink" Target="mailto:VAT@%204%25" TargetMode="External"/><Relationship Id="rId19" Type="http://schemas.openxmlformats.org/officeDocument/2006/relationships/hyperlink" Target="mailto:VAT@%204%25" TargetMode="External"/><Relationship Id="rId31" Type="http://schemas.openxmlformats.org/officeDocument/2006/relationships/printerSettings" Target="../printerSettings/printerSettings9.bin"/><Relationship Id="rId4" Type="http://schemas.openxmlformats.org/officeDocument/2006/relationships/hyperlink" Target="mailto:VAT@%204%25" TargetMode="External"/><Relationship Id="rId9" Type="http://schemas.openxmlformats.org/officeDocument/2006/relationships/hyperlink" Target="mailto:VAT@%204%25" TargetMode="External"/><Relationship Id="rId14" Type="http://schemas.openxmlformats.org/officeDocument/2006/relationships/hyperlink" Target="mailto:VAT@%204%25" TargetMode="External"/><Relationship Id="rId22" Type="http://schemas.openxmlformats.org/officeDocument/2006/relationships/hyperlink" Target="mailto:VAT@%204%25" TargetMode="External"/><Relationship Id="rId27" Type="http://schemas.openxmlformats.org/officeDocument/2006/relationships/hyperlink" Target="mailto:VAT@%204%25" TargetMode="External"/><Relationship Id="rId30" Type="http://schemas.openxmlformats.org/officeDocument/2006/relationships/hyperlink" Target="mailto:VAT@%204%25"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D9E53-2AC1-433A-8035-EE237142B25F}">
  <dimension ref="A1:G17"/>
  <sheetViews>
    <sheetView tabSelected="1" zoomScale="110" zoomScaleNormal="110" workbookViewId="0">
      <selection activeCell="B3" sqref="B3"/>
    </sheetView>
  </sheetViews>
  <sheetFormatPr defaultRowHeight="14.1"/>
  <cols>
    <col min="2" max="2" width="20.9453125" customWidth="1"/>
  </cols>
  <sheetData>
    <row r="1" spans="1:7" ht="25.2">
      <c r="A1" s="1328" t="s">
        <v>2601</v>
      </c>
      <c r="B1" s="1329" t="s">
        <v>2683</v>
      </c>
      <c r="C1" s="1328"/>
      <c r="D1" s="1330" t="s">
        <v>2603</v>
      </c>
      <c r="E1" s="1328" t="s">
        <v>2679</v>
      </c>
      <c r="F1" s="1328"/>
      <c r="G1" s="1328"/>
    </row>
    <row r="2" spans="1:7">
      <c r="A2" s="1328" t="s">
        <v>2604</v>
      </c>
      <c r="B2" s="1329" t="str">
        <f>B1</f>
        <v>Bijwar</v>
      </c>
      <c r="C2" s="1328"/>
      <c r="D2" s="1369"/>
      <c r="E2" s="1370"/>
      <c r="F2" s="1328"/>
      <c r="G2" s="1328"/>
    </row>
    <row r="3" spans="1:7">
      <c r="A3" s="1328" t="s">
        <v>2605</v>
      </c>
      <c r="B3" s="1329" t="s">
        <v>2602</v>
      </c>
      <c r="C3" s="1328"/>
      <c r="D3" s="1328" t="s">
        <v>1858</v>
      </c>
      <c r="E3" s="1331">
        <f>'kitchen shed'!K146</f>
        <v>18645</v>
      </c>
      <c r="F3" s="1328"/>
      <c r="G3" s="1328"/>
    </row>
    <row r="4" spans="1:7">
      <c r="A4" s="1328" t="s">
        <v>2606</v>
      </c>
      <c r="B4" s="1329">
        <v>1</v>
      </c>
      <c r="C4" s="1328"/>
      <c r="D4" s="1328"/>
      <c r="E4" s="1328"/>
      <c r="F4" s="1328"/>
      <c r="G4" s="1328"/>
    </row>
    <row r="5" spans="1:7">
      <c r="A5" s="1328" t="s">
        <v>2607</v>
      </c>
      <c r="B5" s="1332">
        <v>44672</v>
      </c>
      <c r="C5" s="1328"/>
      <c r="D5" s="1328"/>
      <c r="E5" s="1328"/>
      <c r="F5" s="1328"/>
      <c r="G5" s="1328"/>
    </row>
    <row r="6" spans="1:7">
      <c r="A6" s="1328" t="s">
        <v>2608</v>
      </c>
      <c r="B6" s="1329">
        <v>76</v>
      </c>
      <c r="C6" s="1328"/>
      <c r="D6" s="1328"/>
      <c r="E6" s="1328"/>
      <c r="F6" s="1328"/>
      <c r="G6" s="1328"/>
    </row>
    <row r="7" spans="1:7">
      <c r="A7" s="1328" t="s">
        <v>2609</v>
      </c>
      <c r="B7" s="1332">
        <v>44672</v>
      </c>
      <c r="C7" s="1328"/>
      <c r="D7" s="1328"/>
      <c r="E7" s="1328"/>
      <c r="F7" s="1328"/>
      <c r="G7" s="1328"/>
    </row>
    <row r="8" spans="1:7">
      <c r="A8" s="1328" t="s">
        <v>2610</v>
      </c>
      <c r="B8" s="1329">
        <f>B6</f>
        <v>76</v>
      </c>
      <c r="C8" s="1328"/>
      <c r="D8" s="1328"/>
      <c r="E8" s="1328"/>
      <c r="F8" s="1328"/>
      <c r="G8" s="1328"/>
    </row>
    <row r="9" spans="1:7">
      <c r="A9" s="1328" t="s">
        <v>2611</v>
      </c>
      <c r="B9" s="1333">
        <v>3.4</v>
      </c>
      <c r="C9" s="1328"/>
      <c r="D9" s="1334"/>
      <c r="E9" s="1328"/>
      <c r="F9" s="1328"/>
      <c r="G9" s="1328"/>
    </row>
    <row r="10" spans="1:7">
      <c r="A10" s="1328" t="s">
        <v>2612</v>
      </c>
      <c r="B10" s="1333">
        <v>4</v>
      </c>
      <c r="C10" s="1328"/>
      <c r="D10" s="1328"/>
      <c r="E10" s="1328"/>
      <c r="F10" s="1328"/>
      <c r="G10" s="1328"/>
    </row>
    <row r="11" spans="1:7" ht="62.1">
      <c r="A11" s="1330" t="s">
        <v>2613</v>
      </c>
      <c r="B11" s="1330"/>
      <c r="C11" s="1330"/>
      <c r="D11" s="1330"/>
      <c r="E11" s="1330"/>
      <c r="F11" s="1330"/>
      <c r="G11" s="1330"/>
    </row>
    <row r="12" spans="1:7">
      <c r="A12" s="1335"/>
      <c r="B12" s="1336"/>
      <c r="C12" s="1335"/>
      <c r="D12" s="1335"/>
      <c r="E12" s="1335"/>
      <c r="F12" s="1335"/>
      <c r="G12" s="1335"/>
    </row>
    <row r="13" spans="1:7">
      <c r="A13" s="1335" t="s">
        <v>519</v>
      </c>
      <c r="B13" s="1337" t="s">
        <v>2614</v>
      </c>
      <c r="C13" s="1338">
        <v>29</v>
      </c>
      <c r="D13" s="1335"/>
      <c r="E13" s="1335"/>
      <c r="F13" s="1335"/>
      <c r="G13" s="1335"/>
    </row>
    <row r="14" spans="1:7">
      <c r="A14" s="1335" t="s">
        <v>2615</v>
      </c>
      <c r="B14" s="1337" t="s">
        <v>2616</v>
      </c>
      <c r="C14" s="1338">
        <v>38</v>
      </c>
      <c r="D14" s="1335"/>
      <c r="E14" s="1335"/>
      <c r="F14" s="1335"/>
      <c r="G14" s="1335"/>
    </row>
    <row r="15" spans="1:7">
      <c r="A15" s="1335" t="s">
        <v>15</v>
      </c>
      <c r="B15" s="1337" t="s">
        <v>2617</v>
      </c>
      <c r="C15" s="1338">
        <v>23</v>
      </c>
      <c r="D15" s="1335"/>
      <c r="E15" s="1335"/>
      <c r="F15" s="1335"/>
      <c r="G15" s="1335"/>
    </row>
    <row r="16" spans="1:7">
      <c r="A16" s="1335" t="s">
        <v>2680</v>
      </c>
      <c r="B16" s="1337" t="s">
        <v>2587</v>
      </c>
      <c r="C16" s="1338">
        <v>80</v>
      </c>
      <c r="D16" s="1335"/>
      <c r="E16" s="1335"/>
      <c r="F16" s="1335"/>
      <c r="G16" s="1335"/>
    </row>
    <row r="17" spans="1:7">
      <c r="A17" s="1339"/>
      <c r="B17" s="1336"/>
      <c r="C17" s="1335"/>
      <c r="D17" s="1335"/>
      <c r="E17" s="1335"/>
      <c r="F17" s="1335"/>
      <c r="G17" s="133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1"/>
  <sheetViews>
    <sheetView view="pageBreakPreview" zoomScale="60" workbookViewId="0">
      <selection activeCell="P4" sqref="P4"/>
    </sheetView>
  </sheetViews>
  <sheetFormatPr defaultRowHeight="14.1"/>
  <cols>
    <col min="1" max="1" width="5.578125" style="1197" customWidth="1"/>
    <col min="2" max="4" width="9.15625" style="1197"/>
    <col min="5" max="5" width="4.41796875" style="1197" bestFit="1" customWidth="1"/>
    <col min="6" max="6" width="9.15625" style="1197" bestFit="1" customWidth="1"/>
    <col min="7" max="7" width="7.578125" style="1197" bestFit="1" customWidth="1"/>
    <col min="8" max="8" width="9.15625" style="1197"/>
    <col min="9" max="9" width="23.26171875" style="1197" customWidth="1"/>
  </cols>
  <sheetData>
    <row r="2" spans="2:9">
      <c r="B2" s="1193"/>
      <c r="C2" s="1194"/>
      <c r="D2" s="1194"/>
      <c r="E2" s="1194"/>
      <c r="F2" s="1194"/>
      <c r="G2" s="1194"/>
      <c r="H2" s="1194"/>
      <c r="I2" s="1195"/>
    </row>
    <row r="3" spans="2:9">
      <c r="B3" s="1196"/>
      <c r="I3" s="1198"/>
    </row>
    <row r="4" spans="2:9" ht="150" customHeight="1">
      <c r="B4" s="1427" t="s">
        <v>2682</v>
      </c>
      <c r="C4" s="1428"/>
      <c r="D4" s="1428"/>
      <c r="E4" s="1428"/>
      <c r="F4" s="1428"/>
      <c r="G4" s="1428"/>
      <c r="H4" s="1428"/>
      <c r="I4" s="1429"/>
    </row>
    <row r="5" spans="2:9" ht="19.8">
      <c r="B5" s="1205"/>
      <c r="C5" s="1206"/>
      <c r="D5" s="1206"/>
      <c r="E5" s="1206"/>
      <c r="F5" s="1206"/>
      <c r="G5" s="1206"/>
      <c r="H5" s="1206"/>
      <c r="I5" s="1207"/>
    </row>
    <row r="6" spans="2:9" ht="19.8">
      <c r="B6" s="1205"/>
      <c r="C6" s="1206"/>
      <c r="D6" s="1206"/>
      <c r="E6" s="1206"/>
      <c r="F6" s="1206"/>
      <c r="G6" s="1206"/>
      <c r="H6" s="1206"/>
      <c r="I6" s="1207"/>
    </row>
    <row r="7" spans="2:9" ht="27.75" customHeight="1">
      <c r="B7" s="1435" t="s">
        <v>2667</v>
      </c>
      <c r="C7" s="1436"/>
      <c r="D7" s="1436"/>
      <c r="E7" s="1436"/>
      <c r="F7" s="1436"/>
      <c r="G7" s="1436"/>
      <c r="H7" s="1436"/>
      <c r="I7" s="1437"/>
    </row>
    <row r="8" spans="2:9" ht="8.25" customHeight="1">
      <c r="B8" s="1209"/>
      <c r="C8" s="1210"/>
      <c r="D8" s="1210"/>
      <c r="E8" s="1210"/>
      <c r="F8" s="1210"/>
      <c r="G8" s="1210"/>
      <c r="H8" s="1210"/>
      <c r="I8" s="1211"/>
    </row>
    <row r="9" spans="2:9" ht="91.5" customHeight="1">
      <c r="B9" s="1430" t="str">
        <f>LEAD!A2</f>
        <v>Construction of Kitchen shed at ZPHS  Bijwar(V) of Utkoor(M)</v>
      </c>
      <c r="C9" s="1431"/>
      <c r="D9" s="1431"/>
      <c r="E9" s="1431"/>
      <c r="F9" s="1431"/>
      <c r="G9" s="1431"/>
      <c r="H9" s="1431"/>
      <c r="I9" s="1432"/>
    </row>
    <row r="10" spans="2:9" ht="19.8">
      <c r="B10" s="1205"/>
      <c r="C10" s="1206"/>
      <c r="D10" s="1206"/>
      <c r="E10" s="1206"/>
      <c r="F10" s="1206"/>
      <c r="G10" s="1206"/>
      <c r="H10" s="1206"/>
      <c r="I10" s="1207"/>
    </row>
    <row r="11" spans="2:9" ht="19.8">
      <c r="B11" s="1205"/>
      <c r="C11" s="1206"/>
      <c r="D11" s="1206"/>
      <c r="E11" s="1206"/>
      <c r="F11" s="1206"/>
      <c r="G11" s="1206"/>
      <c r="H11" s="1206"/>
      <c r="I11" s="1207"/>
    </row>
    <row r="12" spans="2:9" ht="19.8">
      <c r="B12" s="1205"/>
      <c r="C12" s="1206"/>
      <c r="D12" s="1206"/>
      <c r="E12" s="1206"/>
      <c r="F12" s="1206"/>
      <c r="G12" s="1206"/>
      <c r="H12" s="1206"/>
      <c r="I12" s="1207"/>
    </row>
    <row r="13" spans="2:9" ht="19.8">
      <c r="B13" s="1205"/>
      <c r="C13" s="1206"/>
      <c r="D13" s="1206"/>
      <c r="E13" s="1206"/>
      <c r="F13" s="1206"/>
      <c r="G13" s="1206"/>
      <c r="H13" s="1206"/>
      <c r="I13" s="1207"/>
    </row>
    <row r="14" spans="2:9" ht="19.8">
      <c r="B14" s="1205"/>
      <c r="C14" s="1206"/>
      <c r="D14" s="1206"/>
      <c r="E14" s="1206"/>
      <c r="F14" s="1206"/>
      <c r="G14" s="1206"/>
      <c r="H14" s="1206"/>
      <c r="I14" s="1207"/>
    </row>
    <row r="15" spans="2:9" ht="19.8">
      <c r="B15" s="1205"/>
      <c r="C15" s="1206"/>
      <c r="D15" s="1206"/>
      <c r="E15" s="1206"/>
      <c r="F15" s="1206"/>
      <c r="G15" s="1206"/>
      <c r="H15" s="1206"/>
      <c r="I15" s="1207"/>
    </row>
    <row r="16" spans="2:9" ht="19.8">
      <c r="B16" s="1433" t="s">
        <v>2424</v>
      </c>
      <c r="C16" s="1434"/>
      <c r="D16" s="1434"/>
      <c r="E16" s="1206" t="s">
        <v>290</v>
      </c>
      <c r="F16" s="1208">
        <v>3.4</v>
      </c>
      <c r="G16" s="1206" t="s">
        <v>2425</v>
      </c>
      <c r="H16" s="1206"/>
      <c r="I16" s="1207"/>
    </row>
    <row r="17" spans="2:9" ht="19.8">
      <c r="B17" s="1205"/>
      <c r="C17" s="1206"/>
      <c r="D17" s="1206"/>
      <c r="E17" s="1206"/>
      <c r="F17" s="1206"/>
      <c r="G17" s="1206"/>
      <c r="H17" s="1206"/>
      <c r="I17" s="1207"/>
    </row>
    <row r="18" spans="2:9" ht="15">
      <c r="B18" s="1202"/>
      <c r="C18" s="1203"/>
      <c r="D18" s="1203"/>
      <c r="E18" s="1203"/>
      <c r="F18" s="1203"/>
      <c r="G18" s="1203"/>
      <c r="H18" s="1203"/>
      <c r="I18" s="1204"/>
    </row>
    <row r="19" spans="2:9" ht="15">
      <c r="B19" s="1202"/>
      <c r="C19" s="1203"/>
      <c r="D19" s="1203"/>
      <c r="E19" s="1203"/>
      <c r="F19" s="1203"/>
      <c r="G19" s="1203"/>
      <c r="H19" s="1203"/>
      <c r="I19" s="1204"/>
    </row>
    <row r="20" spans="2:9" ht="15">
      <c r="B20" s="1202"/>
      <c r="C20" s="1203"/>
      <c r="D20" s="1203"/>
      <c r="E20" s="1203"/>
      <c r="F20" s="1203"/>
      <c r="G20" s="1203"/>
      <c r="H20" s="1203"/>
      <c r="I20" s="1204"/>
    </row>
    <row r="21" spans="2:9" ht="15">
      <c r="B21" s="1202"/>
      <c r="C21" s="1203"/>
      <c r="D21" s="1203"/>
      <c r="E21" s="1203"/>
      <c r="F21" s="1203"/>
      <c r="G21" s="1203"/>
      <c r="H21" s="1203"/>
      <c r="I21" s="1204"/>
    </row>
    <row r="22" spans="2:9" ht="15">
      <c r="B22" s="1202"/>
      <c r="C22" s="1203"/>
      <c r="D22" s="1203"/>
      <c r="E22" s="1203"/>
      <c r="F22" s="1203"/>
      <c r="G22" s="1203"/>
      <c r="H22" s="1203"/>
      <c r="I22" s="1204"/>
    </row>
    <row r="23" spans="2:9" ht="15">
      <c r="B23" s="1202"/>
      <c r="C23" s="1203"/>
      <c r="D23" s="1203"/>
      <c r="E23" s="1203"/>
      <c r="F23" s="1203"/>
      <c r="G23" s="1203"/>
      <c r="H23" s="1203"/>
      <c r="I23" s="1204"/>
    </row>
    <row r="24" spans="2:9" ht="15">
      <c r="B24" s="1202"/>
      <c r="C24" s="1203"/>
      <c r="D24" s="1203"/>
      <c r="E24" s="1203"/>
      <c r="F24" s="1203"/>
      <c r="G24" s="1203"/>
      <c r="H24" s="1203"/>
      <c r="I24" s="1204"/>
    </row>
    <row r="25" spans="2:9" ht="15">
      <c r="B25" s="1202"/>
      <c r="C25" s="1203"/>
      <c r="D25" s="1203"/>
      <c r="E25" s="1203"/>
      <c r="F25" s="1203"/>
      <c r="G25" s="1203"/>
      <c r="H25" s="1203"/>
      <c r="I25" s="1204"/>
    </row>
    <row r="26" spans="2:9" ht="15">
      <c r="B26" s="1202"/>
      <c r="C26" s="1203"/>
      <c r="D26" s="1203"/>
      <c r="E26" s="1203"/>
      <c r="F26" s="1203"/>
      <c r="G26" s="1203"/>
      <c r="H26" s="1203"/>
      <c r="I26" s="1204"/>
    </row>
    <row r="27" spans="2:9" ht="15">
      <c r="B27" s="1202"/>
      <c r="C27" s="1203"/>
      <c r="D27" s="1203"/>
      <c r="E27" s="1203"/>
      <c r="F27" s="1203"/>
      <c r="G27" s="1203"/>
      <c r="H27" s="1203"/>
      <c r="I27" s="1204"/>
    </row>
    <row r="28" spans="2:9" ht="15">
      <c r="B28" s="1202"/>
      <c r="C28" s="1203"/>
      <c r="D28" s="1203"/>
      <c r="E28" s="1203"/>
      <c r="F28" s="1203"/>
      <c r="G28" s="1203"/>
      <c r="H28" s="1203"/>
      <c r="I28" s="1204"/>
    </row>
    <row r="29" spans="2:9">
      <c r="B29" s="1196"/>
      <c r="I29" s="1198"/>
    </row>
    <row r="30" spans="2:9">
      <c r="B30" s="1196"/>
      <c r="I30" s="1198"/>
    </row>
    <row r="31" spans="2:9">
      <c r="B31" s="1199"/>
      <c r="C31" s="1200"/>
      <c r="D31" s="1200"/>
      <c r="E31" s="1200"/>
      <c r="F31" s="1200"/>
      <c r="G31" s="1200"/>
      <c r="H31" s="1200"/>
      <c r="I31" s="1201"/>
    </row>
  </sheetData>
  <mergeCells count="4">
    <mergeCell ref="B4:I4"/>
    <mergeCell ref="B9:I9"/>
    <mergeCell ref="B16:D16"/>
    <mergeCell ref="B7:I7"/>
  </mergeCells>
  <pageMargins left="0.7" right="0.7" top="0.99"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7"/>
  <sheetViews>
    <sheetView view="pageBreakPreview" zoomScaleSheetLayoutView="100" workbookViewId="0">
      <selection activeCell="D8" sqref="D8"/>
    </sheetView>
  </sheetViews>
  <sheetFormatPr defaultColWidth="9.15625" defaultRowHeight="16.2"/>
  <cols>
    <col min="1" max="1" width="7.578125" style="1296" customWidth="1"/>
    <col min="2" max="2" width="19.41796875" style="1296" customWidth="1"/>
    <col min="3" max="3" width="34.26171875" style="1296" customWidth="1"/>
    <col min="4" max="4" width="28.41796875" style="1296" customWidth="1"/>
    <col min="5" max="5" width="17.26171875" style="1295" customWidth="1"/>
    <col min="6" max="6" width="12.26171875" style="1296" customWidth="1"/>
    <col min="7" max="7" width="9.15625" style="1296" customWidth="1"/>
    <col min="8" max="8" width="24.41796875" style="1296" customWidth="1"/>
    <col min="9" max="13" width="9.15625" style="1296"/>
    <col min="14" max="14" width="10.41796875" style="1296" customWidth="1"/>
    <col min="15" max="16384" width="9.15625" style="1296"/>
  </cols>
  <sheetData>
    <row r="1" spans="1:8" ht="16.5">
      <c r="A1" s="1446" t="s">
        <v>2583</v>
      </c>
      <c r="B1" s="1447"/>
      <c r="C1" s="1447"/>
      <c r="D1" s="1448"/>
    </row>
    <row r="2" spans="1:8" ht="33" customHeight="1">
      <c r="A2" s="1449" t="str">
        <f>'kitchen shed'!B2</f>
        <v>Construction of Kitchen shed at ZPHS  Bijwar(V) of Utkoor(M)</v>
      </c>
      <c r="B2" s="1450"/>
      <c r="C2" s="1450"/>
      <c r="D2" s="1451"/>
    </row>
    <row r="3" spans="1:8" ht="33">
      <c r="A3" s="1297" t="s">
        <v>562</v>
      </c>
      <c r="B3" s="1452" t="s">
        <v>2576</v>
      </c>
      <c r="C3" s="1453"/>
      <c r="D3" s="1297" t="s">
        <v>2577</v>
      </c>
    </row>
    <row r="4" spans="1:8" ht="16.5">
      <c r="A4" s="1297"/>
      <c r="B4" s="1452"/>
      <c r="C4" s="1453"/>
      <c r="D4" s="1297"/>
    </row>
    <row r="5" spans="1:8" ht="34.5" customHeight="1">
      <c r="A5" s="1298">
        <v>1</v>
      </c>
      <c r="B5" s="1442" t="s">
        <v>2582</v>
      </c>
      <c r="C5" s="1443"/>
      <c r="D5" s="1312">
        <f>'kitchen shed'!K144</f>
        <v>319756</v>
      </c>
      <c r="E5" s="1299"/>
      <c r="F5" s="1300"/>
      <c r="H5" s="1301"/>
    </row>
    <row r="6" spans="1:8" ht="34.5" customHeight="1">
      <c r="A6" s="1298"/>
      <c r="B6" s="1440" t="s">
        <v>2578</v>
      </c>
      <c r="C6" s="1441"/>
      <c r="D6" s="1313">
        <f>SUM(D5:D5)</f>
        <v>319756</v>
      </c>
      <c r="E6" s="1302"/>
      <c r="F6" s="1301"/>
    </row>
    <row r="7" spans="1:8" ht="34.5" customHeight="1">
      <c r="A7" s="1298">
        <v>2</v>
      </c>
      <c r="B7" s="1442" t="s">
        <v>2595</v>
      </c>
      <c r="C7" s="1443"/>
      <c r="D7" s="1314">
        <v>20000</v>
      </c>
      <c r="E7" s="1299"/>
    </row>
    <row r="8" spans="1:8" ht="34.5" customHeight="1">
      <c r="A8" s="1298">
        <v>3</v>
      </c>
      <c r="B8" s="1442" t="s">
        <v>2579</v>
      </c>
      <c r="C8" s="1443"/>
      <c r="D8" s="1314">
        <v>6352</v>
      </c>
    </row>
    <row r="9" spans="1:8" ht="34.5" customHeight="1">
      <c r="A9" s="1298"/>
      <c r="B9" s="1440" t="s">
        <v>2580</v>
      </c>
      <c r="C9" s="1441"/>
      <c r="D9" s="1313">
        <f>SUM(D6:D8)</f>
        <v>346108</v>
      </c>
      <c r="E9" s="1303">
        <f>360000-D9</f>
        <v>13892</v>
      </c>
      <c r="F9" s="1300">
        <f>+E9+D8</f>
        <v>20244</v>
      </c>
    </row>
    <row r="10" spans="1:8" s="1306" customFormat="1" ht="34.5" customHeight="1">
      <c r="A10" s="1304"/>
      <c r="B10" s="1444" t="s">
        <v>2581</v>
      </c>
      <c r="C10" s="1445"/>
      <c r="D10" s="1315">
        <f>ROUND(D9/100000,2)</f>
        <v>3.46</v>
      </c>
      <c r="E10" s="1305"/>
    </row>
    <row r="11" spans="1:8" s="1309" customFormat="1" ht="16.5">
      <c r="A11" s="1438"/>
      <c r="B11" s="1438"/>
      <c r="C11" s="1307"/>
      <c r="D11" s="1307"/>
      <c r="E11" s="1308"/>
    </row>
    <row r="12" spans="1:8" s="1309" customFormat="1" ht="16.5">
      <c r="A12" s="1307"/>
      <c r="B12" s="1307"/>
      <c r="C12" s="1307"/>
      <c r="D12" s="1307"/>
      <c r="E12" s="1308"/>
    </row>
    <row r="16" spans="1:8" ht="16.5">
      <c r="C16" s="1439"/>
      <c r="D16" s="1439"/>
    </row>
    <row r="17" spans="3:4" ht="16.5">
      <c r="C17" s="1439"/>
      <c r="D17" s="1439"/>
    </row>
  </sheetData>
  <mergeCells count="13">
    <mergeCell ref="A1:D1"/>
    <mergeCell ref="A2:D2"/>
    <mergeCell ref="B3:C3"/>
    <mergeCell ref="B4:C4"/>
    <mergeCell ref="B5:C5"/>
    <mergeCell ref="A11:B11"/>
    <mergeCell ref="C16:D16"/>
    <mergeCell ref="C17:D17"/>
    <mergeCell ref="B6:C6"/>
    <mergeCell ref="B7:C7"/>
    <mergeCell ref="B8:C8"/>
    <mergeCell ref="B9:C9"/>
    <mergeCell ref="B10:C1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61"/>
  <sheetViews>
    <sheetView view="pageBreakPreview" topLeftCell="A59" zoomScaleSheetLayoutView="100" workbookViewId="0">
      <selection activeCell="G10" sqref="G10"/>
    </sheetView>
  </sheetViews>
  <sheetFormatPr defaultColWidth="9.15625" defaultRowHeight="15.3"/>
  <cols>
    <col min="1" max="1" width="5.41796875" style="1262" customWidth="1"/>
    <col min="2" max="2" width="25.578125" style="1233" customWidth="1"/>
    <col min="3" max="3" width="5.68359375" style="1233" customWidth="1"/>
    <col min="4" max="4" width="6.41796875" style="1233" customWidth="1"/>
    <col min="5" max="5" width="6.26171875" style="1233" customWidth="1"/>
    <col min="6" max="6" width="6.41796875" style="1233" customWidth="1"/>
    <col min="7" max="7" width="6.578125" style="1233" customWidth="1"/>
    <col min="8" max="8" width="7.15625" style="1237" customWidth="1"/>
    <col min="9" max="9" width="7.41796875" style="1268" customWidth="1"/>
    <col min="10" max="10" width="9.26171875" style="1264" customWidth="1"/>
    <col min="11" max="11" width="12.83984375" style="1269" customWidth="1"/>
    <col min="12" max="16384" width="9.15625" style="1233"/>
  </cols>
  <sheetData>
    <row r="1" spans="1:15" ht="21" customHeight="1">
      <c r="A1" s="1454" t="s">
        <v>2575</v>
      </c>
      <c r="B1" s="1454"/>
      <c r="C1" s="1454"/>
      <c r="D1" s="1454"/>
      <c r="E1" s="1454"/>
      <c r="F1" s="1454"/>
      <c r="G1" s="1454"/>
      <c r="H1" s="1454"/>
      <c r="I1" s="1454"/>
      <c r="J1" s="1454"/>
      <c r="K1" s="1454"/>
    </row>
    <row r="2" spans="1:15" ht="50.25" customHeight="1">
      <c r="A2" s="1231"/>
      <c r="B2" s="1464" t="str">
        <f>LEAD!A2</f>
        <v>Construction of Kitchen shed at ZPHS  Bijwar(V) of Utkoor(M)</v>
      </c>
      <c r="C2" s="1464"/>
      <c r="D2" s="1464"/>
      <c r="E2" s="1464"/>
      <c r="F2" s="1464"/>
      <c r="G2" s="1464"/>
      <c r="H2" s="1464"/>
      <c r="I2" s="1464"/>
      <c r="J2" s="1464"/>
      <c r="K2" s="1464"/>
    </row>
    <row r="3" spans="1:15" s="1237" customFormat="1" ht="15">
      <c r="A3" s="1234"/>
      <c r="B3" s="1235"/>
      <c r="C3" s="1465" t="s">
        <v>1278</v>
      </c>
      <c r="D3" s="1466"/>
      <c r="E3" s="1235"/>
      <c r="F3" s="1235"/>
      <c r="G3" s="1235"/>
      <c r="H3" s="1236"/>
      <c r="I3" s="1467"/>
      <c r="J3" s="1467"/>
      <c r="K3" s="1467"/>
    </row>
    <row r="4" spans="1:15" s="1237" customFormat="1" ht="15">
      <c r="A4" s="1234" t="s">
        <v>2437</v>
      </c>
      <c r="B4" s="1235" t="s">
        <v>2438</v>
      </c>
      <c r="C4" s="1235"/>
      <c r="E4" s="1238" t="s">
        <v>32</v>
      </c>
      <c r="F4" s="1238" t="s">
        <v>112</v>
      </c>
      <c r="G4" s="1239" t="s">
        <v>2439</v>
      </c>
      <c r="H4" s="1238" t="s">
        <v>150</v>
      </c>
      <c r="I4" s="1238" t="s">
        <v>212</v>
      </c>
      <c r="J4" s="1239" t="s">
        <v>92</v>
      </c>
      <c r="K4" s="1270" t="s">
        <v>2440</v>
      </c>
    </row>
    <row r="5" spans="1:15" ht="114.75" customHeight="1">
      <c r="A5" s="1240">
        <v>1</v>
      </c>
      <c r="B5" s="1457" t="s">
        <v>1667</v>
      </c>
      <c r="C5" s="1458"/>
      <c r="D5" s="1458"/>
      <c r="E5" s="1458"/>
      <c r="F5" s="1458"/>
      <c r="G5" s="1458"/>
      <c r="H5" s="1458"/>
      <c r="I5" s="1459"/>
      <c r="J5" s="1241"/>
      <c r="K5" s="1270"/>
    </row>
    <row r="6" spans="1:15">
      <c r="A6" s="1240"/>
      <c r="B6" s="1242" t="s">
        <v>2441</v>
      </c>
      <c r="C6" s="1243">
        <v>1</v>
      </c>
      <c r="D6" s="1243">
        <v>2</v>
      </c>
      <c r="E6" s="1244">
        <v>4.0999999999999996</v>
      </c>
      <c r="F6" s="1244">
        <v>0.6</v>
      </c>
      <c r="G6" s="1244">
        <v>0.6</v>
      </c>
      <c r="H6" s="1244">
        <f>PRODUCT(C6:G6)</f>
        <v>2.9519999999999995</v>
      </c>
      <c r="I6" s="1245"/>
      <c r="J6" s="1241"/>
      <c r="K6" s="1271"/>
      <c r="O6" s="1233">
        <f>4.35-0.6*2</f>
        <v>3.1499999999999995</v>
      </c>
    </row>
    <row r="7" spans="1:15">
      <c r="A7" s="1240"/>
      <c r="B7" s="1242" t="s">
        <v>2442</v>
      </c>
      <c r="C7" s="1243">
        <v>1</v>
      </c>
      <c r="D7" s="1243">
        <v>2</v>
      </c>
      <c r="E7" s="1244">
        <v>2.38</v>
      </c>
      <c r="F7" s="1244">
        <v>0.6</v>
      </c>
      <c r="G7" s="1244">
        <v>0.6</v>
      </c>
      <c r="H7" s="1244">
        <f t="shared" ref="H7:H9" si="0">PRODUCT(C7:G7)</f>
        <v>1.7135999999999998</v>
      </c>
      <c r="I7" s="1245"/>
      <c r="J7" s="1241"/>
      <c r="K7" s="1271"/>
    </row>
    <row r="8" spans="1:15">
      <c r="A8" s="1240"/>
      <c r="B8" s="1242" t="s">
        <v>2443</v>
      </c>
      <c r="C8" s="1243">
        <v>1</v>
      </c>
      <c r="D8" s="1243">
        <v>1</v>
      </c>
      <c r="E8" s="1244">
        <v>4.0999999999999996</v>
      </c>
      <c r="F8" s="1244">
        <v>0.6</v>
      </c>
      <c r="G8" s="1244">
        <v>0.6</v>
      </c>
      <c r="H8" s="1244">
        <f t="shared" si="0"/>
        <v>1.4759999999999998</v>
      </c>
      <c r="I8" s="1245"/>
      <c r="J8" s="1241"/>
      <c r="K8" s="1271"/>
    </row>
    <row r="9" spans="1:15">
      <c r="A9" s="1240"/>
      <c r="B9" s="1242" t="s">
        <v>2444</v>
      </c>
      <c r="C9" s="1243">
        <v>1</v>
      </c>
      <c r="D9" s="1243">
        <v>2</v>
      </c>
      <c r="E9" s="1244">
        <v>2</v>
      </c>
      <c r="F9" s="1244">
        <v>0.6</v>
      </c>
      <c r="G9" s="1244">
        <v>0.6</v>
      </c>
      <c r="H9" s="1244">
        <f t="shared" si="0"/>
        <v>1.44</v>
      </c>
      <c r="I9" s="1245"/>
      <c r="J9" s="1241"/>
      <c r="K9" s="1271"/>
    </row>
    <row r="10" spans="1:15">
      <c r="A10" s="1240"/>
      <c r="B10" s="1390" t="s">
        <v>2678</v>
      </c>
      <c r="C10" s="1391"/>
      <c r="D10" s="1391"/>
      <c r="E10" s="1391"/>
      <c r="F10" s="1392"/>
      <c r="G10" s="1246"/>
      <c r="H10" s="1247">
        <f>SUM(H6:H9)</f>
        <v>7.5815999999999999</v>
      </c>
      <c r="I10" s="1243" t="s">
        <v>465</v>
      </c>
      <c r="J10" s="1319">
        <v>257</v>
      </c>
      <c r="K10" s="1272">
        <f>ROUND(J10*H10,0)</f>
        <v>1948</v>
      </c>
    </row>
    <row r="11" spans="1:15" ht="148.5" customHeight="1">
      <c r="A11" s="1240">
        <v>2</v>
      </c>
      <c r="B11" s="1457" t="s">
        <v>1665</v>
      </c>
      <c r="C11" s="1458"/>
      <c r="D11" s="1458"/>
      <c r="E11" s="1458"/>
      <c r="F11" s="1458"/>
      <c r="G11" s="1458"/>
      <c r="H11" s="1458"/>
      <c r="I11" s="1459"/>
      <c r="J11" s="1241"/>
      <c r="K11" s="1272"/>
    </row>
    <row r="12" spans="1:15">
      <c r="A12" s="1240"/>
      <c r="B12" s="1242" t="s">
        <v>2445</v>
      </c>
      <c r="C12" s="1243">
        <v>1</v>
      </c>
      <c r="D12" s="1243">
        <v>2</v>
      </c>
      <c r="E12" s="1244">
        <v>4.0999999999999996</v>
      </c>
      <c r="F12" s="1244">
        <v>0.6</v>
      </c>
      <c r="G12" s="1244">
        <v>0.15</v>
      </c>
      <c r="H12" s="1244">
        <f>PRODUCT((C12:G12))</f>
        <v>0.73799999999999988</v>
      </c>
      <c r="I12" s="1245"/>
      <c r="J12" s="1241"/>
      <c r="K12" s="1272"/>
    </row>
    <row r="13" spans="1:15">
      <c r="A13" s="1240"/>
      <c r="B13" s="1242" t="s">
        <v>2442</v>
      </c>
      <c r="C13" s="1243">
        <v>1</v>
      </c>
      <c r="D13" s="1243">
        <v>2</v>
      </c>
      <c r="E13" s="1244">
        <v>2.38</v>
      </c>
      <c r="F13" s="1244">
        <v>0.6</v>
      </c>
      <c r="G13" s="1244">
        <v>0.15</v>
      </c>
      <c r="H13" s="1244">
        <f t="shared" ref="H13:H15" si="1">PRODUCT((C13:G13))</f>
        <v>0.42839999999999995</v>
      </c>
      <c r="I13" s="1245"/>
      <c r="J13" s="1241"/>
      <c r="K13" s="1272"/>
    </row>
    <row r="14" spans="1:15">
      <c r="A14" s="1240"/>
      <c r="B14" s="1242" t="s">
        <v>2443</v>
      </c>
      <c r="C14" s="1243">
        <v>1</v>
      </c>
      <c r="D14" s="1243">
        <v>2</v>
      </c>
      <c r="E14" s="1244">
        <v>4.0999999999999996</v>
      </c>
      <c r="F14" s="1244">
        <v>0.6</v>
      </c>
      <c r="G14" s="1244">
        <v>0.15</v>
      </c>
      <c r="H14" s="1244">
        <f t="shared" si="1"/>
        <v>0.73799999999999988</v>
      </c>
      <c r="I14" s="1245"/>
      <c r="J14" s="1241"/>
      <c r="K14" s="1272"/>
    </row>
    <row r="15" spans="1:15">
      <c r="A15" s="1240"/>
      <c r="B15" s="1242" t="s">
        <v>2444</v>
      </c>
      <c r="C15" s="1243">
        <v>1</v>
      </c>
      <c r="D15" s="1243">
        <v>2</v>
      </c>
      <c r="E15" s="1244">
        <v>2</v>
      </c>
      <c r="F15" s="1244">
        <v>0.6</v>
      </c>
      <c r="G15" s="1244">
        <v>0.15</v>
      </c>
      <c r="H15" s="1244">
        <f t="shared" si="1"/>
        <v>0.36</v>
      </c>
      <c r="I15" s="1245"/>
      <c r="J15" s="1241"/>
      <c r="K15" s="1272"/>
    </row>
    <row r="16" spans="1:15">
      <c r="A16" s="1240"/>
      <c r="B16" s="1242"/>
      <c r="C16" s="1243"/>
      <c r="D16" s="1243"/>
      <c r="E16" s="1244"/>
      <c r="F16" s="1244"/>
      <c r="G16" s="1244"/>
      <c r="H16" s="1249">
        <f>SUM(H12:H15)</f>
        <v>2.2643999999999997</v>
      </c>
      <c r="I16" s="1245"/>
      <c r="J16" s="1241"/>
      <c r="K16" s="1272"/>
    </row>
    <row r="17" spans="1:11">
      <c r="A17" s="1240"/>
      <c r="B17" s="1242" t="s">
        <v>2445</v>
      </c>
      <c r="C17" s="1243">
        <v>1</v>
      </c>
      <c r="D17" s="1243">
        <v>1</v>
      </c>
      <c r="E17" s="1244">
        <v>3.65</v>
      </c>
      <c r="F17" s="1244">
        <v>1.8</v>
      </c>
      <c r="G17" s="1244">
        <v>0.15</v>
      </c>
      <c r="H17" s="1244">
        <f t="shared" ref="H17:H18" si="2">PRODUCT((C17:G17))</f>
        <v>0.98550000000000004</v>
      </c>
      <c r="I17" s="1245"/>
      <c r="J17" s="1241"/>
      <c r="K17" s="1272"/>
    </row>
    <row r="18" spans="1:11">
      <c r="A18" s="1240"/>
      <c r="B18" s="1242" t="s">
        <v>2446</v>
      </c>
      <c r="C18" s="1243">
        <v>1</v>
      </c>
      <c r="D18" s="1243">
        <v>1</v>
      </c>
      <c r="E18" s="1244">
        <v>3.65</v>
      </c>
      <c r="F18" s="1244">
        <v>1.8</v>
      </c>
      <c r="G18" s="1244">
        <v>0.15</v>
      </c>
      <c r="H18" s="1244">
        <f t="shared" si="2"/>
        <v>0.98550000000000004</v>
      </c>
      <c r="I18" s="1245"/>
      <c r="J18" s="1241"/>
      <c r="K18" s="1272"/>
    </row>
    <row r="19" spans="1:11">
      <c r="A19" s="1240"/>
      <c r="B19" s="1242"/>
      <c r="C19" s="1243"/>
      <c r="D19" s="1243"/>
      <c r="E19" s="1244"/>
      <c r="F19" s="1244"/>
      <c r="G19" s="1244"/>
      <c r="H19" s="1248">
        <f>SUM(H17:H18)</f>
        <v>1.9710000000000001</v>
      </c>
      <c r="I19" s="1245"/>
      <c r="J19" s="1241"/>
      <c r="K19" s="1272"/>
    </row>
    <row r="20" spans="1:11">
      <c r="A20" s="1240"/>
      <c r="B20" s="1246"/>
      <c r="C20" s="1246"/>
      <c r="D20" s="1246"/>
      <c r="E20" s="1250"/>
      <c r="F20" s="1250"/>
      <c r="G20" s="1250"/>
      <c r="H20" s="1247">
        <f>H19+H16</f>
        <v>4.2354000000000003</v>
      </c>
      <c r="I20" s="1243" t="s">
        <v>465</v>
      </c>
      <c r="J20" s="1248">
        <f>'C-data'!I276</f>
        <v>3537.3</v>
      </c>
      <c r="K20" s="1272">
        <f>ROUND(J20*H20,0)</f>
        <v>14982</v>
      </c>
    </row>
    <row r="21" spans="1:11" ht="127.5" customHeight="1">
      <c r="A21" s="1240">
        <v>3</v>
      </c>
      <c r="B21" s="1457" t="s">
        <v>2428</v>
      </c>
      <c r="C21" s="1458"/>
      <c r="D21" s="1458"/>
      <c r="E21" s="1458"/>
      <c r="F21" s="1458"/>
      <c r="G21" s="1458"/>
      <c r="H21" s="1458"/>
      <c r="I21" s="1459"/>
      <c r="J21" s="1241"/>
      <c r="K21" s="1272"/>
    </row>
    <row r="22" spans="1:11">
      <c r="A22" s="1240"/>
      <c r="B22" s="1242" t="s">
        <v>2447</v>
      </c>
      <c r="C22" s="1243">
        <v>1</v>
      </c>
      <c r="D22" s="1243">
        <v>2</v>
      </c>
      <c r="E22" s="1244">
        <v>4.0999999999999996</v>
      </c>
      <c r="F22" s="1244">
        <v>0.45</v>
      </c>
      <c r="G22" s="1244">
        <v>1.2</v>
      </c>
      <c r="H22" s="1244">
        <f t="shared" ref="H22:H25" si="3">PRODUCT((C22:G22))</f>
        <v>4.4279999999999999</v>
      </c>
      <c r="I22" s="1245"/>
      <c r="J22" s="1241"/>
      <c r="K22" s="1272"/>
    </row>
    <row r="23" spans="1:11">
      <c r="A23" s="1240"/>
      <c r="B23" s="1242" t="s">
        <v>2442</v>
      </c>
      <c r="C23" s="1243">
        <v>1</v>
      </c>
      <c r="D23" s="1243">
        <v>2</v>
      </c>
      <c r="E23" s="1244">
        <v>1.8</v>
      </c>
      <c r="F23" s="1244">
        <v>0.45</v>
      </c>
      <c r="G23" s="1244">
        <v>1.2</v>
      </c>
      <c r="H23" s="1244">
        <f t="shared" si="3"/>
        <v>1.944</v>
      </c>
      <c r="I23" s="1245"/>
      <c r="J23" s="1241"/>
      <c r="K23" s="1272"/>
    </row>
    <row r="24" spans="1:11">
      <c r="A24" s="1240"/>
      <c r="B24" s="1242" t="s">
        <v>2443</v>
      </c>
      <c r="C24" s="1243">
        <v>1</v>
      </c>
      <c r="D24" s="1243">
        <v>2</v>
      </c>
      <c r="E24" s="1244">
        <v>4.0999999999999996</v>
      </c>
      <c r="F24" s="1244">
        <v>0.45</v>
      </c>
      <c r="G24" s="1244">
        <v>1.2</v>
      </c>
      <c r="H24" s="1244">
        <f t="shared" si="3"/>
        <v>4.4279999999999999</v>
      </c>
      <c r="I24" s="1245"/>
      <c r="J24" s="1241"/>
      <c r="K24" s="1272"/>
    </row>
    <row r="25" spans="1:11">
      <c r="A25" s="1240"/>
      <c r="B25" s="1242" t="s">
        <v>2444</v>
      </c>
      <c r="C25" s="1243">
        <v>1</v>
      </c>
      <c r="D25" s="1243">
        <v>2</v>
      </c>
      <c r="E25" s="1244">
        <v>1.8</v>
      </c>
      <c r="F25" s="1244">
        <v>0.45</v>
      </c>
      <c r="G25" s="1244">
        <v>1.2</v>
      </c>
      <c r="H25" s="1244">
        <f t="shared" si="3"/>
        <v>1.944</v>
      </c>
      <c r="I25" s="1245"/>
      <c r="J25" s="1241"/>
      <c r="K25" s="1272"/>
    </row>
    <row r="26" spans="1:11">
      <c r="A26" s="1240"/>
      <c r="B26" s="1246"/>
      <c r="C26" s="1246"/>
      <c r="D26" s="1246"/>
      <c r="E26" s="1251"/>
      <c r="F26" s="1251"/>
      <c r="G26" s="1251"/>
      <c r="H26" s="1247">
        <f>SUM(H22:H25)</f>
        <v>12.744</v>
      </c>
      <c r="I26" s="1243" t="s">
        <v>465</v>
      </c>
      <c r="J26" s="1248">
        <f>'C-data'!I395</f>
        <v>3227.5</v>
      </c>
      <c r="K26" s="1272">
        <f>ROUND(J26*H26,0)</f>
        <v>41131</v>
      </c>
    </row>
    <row r="27" spans="1:11" ht="77.25" customHeight="1">
      <c r="A27" s="1240">
        <v>4</v>
      </c>
      <c r="B27" s="1457" t="s">
        <v>2429</v>
      </c>
      <c r="C27" s="1458"/>
      <c r="D27" s="1458"/>
      <c r="E27" s="1458"/>
      <c r="F27" s="1458"/>
      <c r="G27" s="1458"/>
      <c r="H27" s="1458"/>
      <c r="I27" s="1459"/>
      <c r="J27" s="1241"/>
      <c r="K27" s="1272"/>
    </row>
    <row r="28" spans="1:11">
      <c r="A28" s="1240"/>
      <c r="B28" s="1242" t="s">
        <v>2445</v>
      </c>
      <c r="C28" s="1243">
        <v>1</v>
      </c>
      <c r="D28" s="1243">
        <v>1</v>
      </c>
      <c r="E28" s="1244">
        <v>3.65</v>
      </c>
      <c r="F28" s="1244">
        <v>1.8</v>
      </c>
      <c r="G28" s="1244">
        <v>0.6</v>
      </c>
      <c r="H28" s="1244">
        <f t="shared" ref="H28:H29" si="4">PRODUCT((C28:G28))</f>
        <v>3.9420000000000002</v>
      </c>
      <c r="I28" s="1245"/>
      <c r="J28" s="1241"/>
      <c r="K28" s="1272"/>
    </row>
    <row r="29" spans="1:11">
      <c r="A29" s="1240"/>
      <c r="B29" s="1242" t="s">
        <v>2446</v>
      </c>
      <c r="C29" s="1243">
        <v>1</v>
      </c>
      <c r="D29" s="1243">
        <v>1</v>
      </c>
      <c r="E29" s="1244">
        <v>3.65</v>
      </c>
      <c r="F29" s="1244">
        <v>1.8</v>
      </c>
      <c r="G29" s="1244">
        <v>0.6</v>
      </c>
      <c r="H29" s="1244">
        <f t="shared" si="4"/>
        <v>3.9420000000000002</v>
      </c>
      <c r="I29" s="1245"/>
      <c r="J29" s="1241"/>
      <c r="K29" s="1272"/>
    </row>
    <row r="30" spans="1:11">
      <c r="A30" s="1240"/>
      <c r="B30" s="1242"/>
      <c r="C30" s="1242"/>
      <c r="D30" s="1246"/>
      <c r="E30" s="1242"/>
      <c r="F30" s="1242"/>
      <c r="G30" s="1242"/>
      <c r="H30" s="1247">
        <f>SUM(H28:H29)</f>
        <v>7.8840000000000003</v>
      </c>
      <c r="I30" s="1243" t="s">
        <v>465</v>
      </c>
      <c r="J30" s="1252">
        <f>'C-data'!I255</f>
        <v>227.15</v>
      </c>
      <c r="K30" s="1272">
        <f>ROUND(J30*H30,0)</f>
        <v>1791</v>
      </c>
    </row>
    <row r="31" spans="1:11" ht="116.25" customHeight="1">
      <c r="A31" s="1240">
        <v>5</v>
      </c>
      <c r="B31" s="1457" t="s">
        <v>2431</v>
      </c>
      <c r="C31" s="1458"/>
      <c r="D31" s="1458"/>
      <c r="E31" s="1458"/>
      <c r="F31" s="1458"/>
      <c r="G31" s="1458"/>
      <c r="H31" s="1458"/>
      <c r="I31" s="1459"/>
      <c r="J31" s="1241"/>
      <c r="K31" s="1272"/>
    </row>
    <row r="32" spans="1:11">
      <c r="A32" s="1231"/>
      <c r="B32" s="1242" t="s">
        <v>2447</v>
      </c>
      <c r="C32" s="1243">
        <v>1</v>
      </c>
      <c r="D32" s="1243">
        <v>2</v>
      </c>
      <c r="E32" s="1244">
        <v>4.0999999999999996</v>
      </c>
      <c r="F32" s="1244">
        <v>0.23</v>
      </c>
      <c r="G32" s="1244">
        <v>2.8</v>
      </c>
      <c r="H32" s="1244">
        <f t="shared" ref="H32:H42" si="5">PRODUCT((C32:G32))</f>
        <v>5.2807999999999993</v>
      </c>
      <c r="I32" s="1245"/>
      <c r="J32" s="1241"/>
      <c r="K32" s="1272"/>
    </row>
    <row r="33" spans="1:11">
      <c r="A33" s="1231"/>
      <c r="B33" s="1242" t="s">
        <v>2448</v>
      </c>
      <c r="C33" s="1243">
        <v>1</v>
      </c>
      <c r="D33" s="1243">
        <v>2</v>
      </c>
      <c r="E33" s="1244">
        <v>2</v>
      </c>
      <c r="F33" s="1244">
        <v>0.23</v>
      </c>
      <c r="G33" s="1244">
        <v>2.8</v>
      </c>
      <c r="H33" s="1244">
        <f t="shared" si="5"/>
        <v>2.5760000000000001</v>
      </c>
      <c r="I33" s="1245"/>
      <c r="J33" s="1241"/>
      <c r="K33" s="1272"/>
    </row>
    <row r="34" spans="1:11">
      <c r="A34" s="1231"/>
      <c r="B34" s="1242" t="s">
        <v>2443</v>
      </c>
      <c r="C34" s="1243">
        <v>1</v>
      </c>
      <c r="D34" s="1243">
        <v>1</v>
      </c>
      <c r="E34" s="1244">
        <v>4.0999999999999996</v>
      </c>
      <c r="F34" s="1244">
        <v>0.23</v>
      </c>
      <c r="G34" s="1244">
        <v>1</v>
      </c>
      <c r="H34" s="1244">
        <f t="shared" si="5"/>
        <v>0.94299999999999995</v>
      </c>
      <c r="I34" s="1245"/>
      <c r="J34" s="1241"/>
      <c r="K34" s="1272"/>
    </row>
    <row r="35" spans="1:11">
      <c r="A35" s="1231"/>
      <c r="B35" s="1242" t="s">
        <v>2449</v>
      </c>
      <c r="C35" s="1243">
        <v>1</v>
      </c>
      <c r="D35" s="1243">
        <v>2</v>
      </c>
      <c r="E35" s="1244">
        <v>2</v>
      </c>
      <c r="F35" s="1244">
        <v>0.23</v>
      </c>
      <c r="G35" s="1244">
        <v>2.8</v>
      </c>
      <c r="H35" s="1244">
        <f t="shared" si="5"/>
        <v>2.5760000000000001</v>
      </c>
      <c r="I35" s="1245"/>
      <c r="J35" s="1241"/>
      <c r="K35" s="1272"/>
    </row>
    <row r="36" spans="1:11">
      <c r="A36" s="1231"/>
      <c r="B36" s="1242" t="s">
        <v>2449</v>
      </c>
      <c r="C36" s="1243">
        <v>1</v>
      </c>
      <c r="D36" s="1243">
        <v>1</v>
      </c>
      <c r="E36" s="1244">
        <v>2</v>
      </c>
      <c r="F36" s="1244">
        <v>0.23</v>
      </c>
      <c r="G36" s="1244">
        <v>1</v>
      </c>
      <c r="H36" s="1244">
        <f t="shared" si="5"/>
        <v>0.46</v>
      </c>
      <c r="I36" s="1245"/>
      <c r="J36" s="1241"/>
      <c r="K36" s="1272"/>
    </row>
    <row r="37" spans="1:11">
      <c r="A37" s="1231"/>
      <c r="B37" s="1246" t="s">
        <v>2249</v>
      </c>
      <c r="C37" s="1243">
        <v>1</v>
      </c>
      <c r="D37" s="1253">
        <v>1</v>
      </c>
      <c r="E37" s="1244">
        <v>1.7</v>
      </c>
      <c r="F37" s="1244">
        <v>0.9</v>
      </c>
      <c r="G37" s="1244">
        <v>0.23</v>
      </c>
      <c r="H37" s="1244">
        <f t="shared" si="5"/>
        <v>0.35190000000000005</v>
      </c>
      <c r="I37" s="1245"/>
      <c r="J37" s="1241"/>
      <c r="K37" s="1272"/>
    </row>
    <row r="38" spans="1:11">
      <c r="A38" s="1231"/>
      <c r="B38" s="1246" t="s">
        <v>2249</v>
      </c>
      <c r="C38" s="1243">
        <v>1</v>
      </c>
      <c r="D38" s="1253">
        <v>1</v>
      </c>
      <c r="E38" s="1244">
        <v>1.7</v>
      </c>
      <c r="F38" s="1244">
        <v>0.6</v>
      </c>
      <c r="G38" s="1244">
        <v>0.15</v>
      </c>
      <c r="H38" s="1244">
        <f t="shared" si="5"/>
        <v>0.153</v>
      </c>
      <c r="I38" s="1245"/>
      <c r="J38" s="1241"/>
      <c r="K38" s="1272"/>
    </row>
    <row r="39" spans="1:11">
      <c r="A39" s="1231"/>
      <c r="B39" s="1246" t="s">
        <v>2249</v>
      </c>
      <c r="C39" s="1243">
        <v>1</v>
      </c>
      <c r="D39" s="1253">
        <v>1</v>
      </c>
      <c r="E39" s="1244">
        <v>1.7</v>
      </c>
      <c r="F39" s="1244">
        <v>0.3</v>
      </c>
      <c r="G39" s="1244">
        <v>0.15</v>
      </c>
      <c r="H39" s="1244">
        <f t="shared" si="5"/>
        <v>7.6499999999999999E-2</v>
      </c>
      <c r="I39" s="1245"/>
      <c r="J39" s="1241"/>
      <c r="K39" s="1272"/>
    </row>
    <row r="40" spans="1:11">
      <c r="A40" s="1231"/>
      <c r="B40" s="1254" t="s">
        <v>2450</v>
      </c>
      <c r="C40" s="1243"/>
      <c r="D40" s="1243"/>
      <c r="E40" s="1244"/>
      <c r="F40" s="1244"/>
      <c r="G40" s="1244"/>
      <c r="H40" s="1244"/>
      <c r="I40" s="1245"/>
      <c r="J40" s="1241"/>
      <c r="K40" s="1272"/>
    </row>
    <row r="41" spans="1:11">
      <c r="A41" s="1231"/>
      <c r="B41" s="1255" t="s">
        <v>2451</v>
      </c>
      <c r="C41" s="1243">
        <v>-1</v>
      </c>
      <c r="D41" s="1243">
        <v>1</v>
      </c>
      <c r="E41" s="1244">
        <v>1.2</v>
      </c>
      <c r="F41" s="1244">
        <v>0.23</v>
      </c>
      <c r="G41" s="1244">
        <v>2.1</v>
      </c>
      <c r="H41" s="1244">
        <f t="shared" si="5"/>
        <v>-0.57960000000000012</v>
      </c>
      <c r="I41" s="1245"/>
      <c r="J41" s="1241"/>
      <c r="K41" s="1272"/>
    </row>
    <row r="42" spans="1:11">
      <c r="A42" s="1231"/>
      <c r="B42" s="1255" t="s">
        <v>2452</v>
      </c>
      <c r="C42" s="1243">
        <v>-1</v>
      </c>
      <c r="D42" s="1243">
        <v>1</v>
      </c>
      <c r="E42" s="1244">
        <v>1.5</v>
      </c>
      <c r="F42" s="1244">
        <v>0.23</v>
      </c>
      <c r="G42" s="1244">
        <v>1.35</v>
      </c>
      <c r="H42" s="1244">
        <f t="shared" si="5"/>
        <v>-0.46575000000000005</v>
      </c>
      <c r="I42" s="1245"/>
      <c r="J42" s="1241"/>
      <c r="K42" s="1272"/>
    </row>
    <row r="43" spans="1:11">
      <c r="A43" s="1231"/>
      <c r="B43" s="1242"/>
      <c r="C43" s="1243"/>
      <c r="D43" s="1243"/>
      <c r="E43" s="1244"/>
      <c r="F43" s="1244"/>
      <c r="G43" s="1256"/>
      <c r="H43" s="1249">
        <f>SUM(H32:H42)</f>
        <v>11.371850000000002</v>
      </c>
      <c r="I43" s="1243" t="s">
        <v>465</v>
      </c>
      <c r="J43" s="1248">
        <f>'C-data'!E797</f>
        <v>5652.3</v>
      </c>
      <c r="K43" s="1272">
        <f>ROUND(J43*H43,0)</f>
        <v>64277</v>
      </c>
    </row>
    <row r="44" spans="1:11" ht="162.75" customHeight="1">
      <c r="A44" s="1240">
        <v>6</v>
      </c>
      <c r="B44" s="1457" t="s">
        <v>2453</v>
      </c>
      <c r="C44" s="1458"/>
      <c r="D44" s="1458"/>
      <c r="E44" s="1458"/>
      <c r="F44" s="1458"/>
      <c r="G44" s="1458"/>
      <c r="H44" s="1458"/>
      <c r="I44" s="1459"/>
      <c r="J44" s="1241"/>
      <c r="K44" s="1272"/>
    </row>
    <row r="45" spans="1:11">
      <c r="A45" s="1231"/>
      <c r="B45" s="1242" t="s">
        <v>2454</v>
      </c>
      <c r="C45" s="1243">
        <v>1</v>
      </c>
      <c r="D45" s="1243">
        <v>2</v>
      </c>
      <c r="E45" s="1244">
        <v>0.45</v>
      </c>
      <c r="F45" s="1244"/>
      <c r="G45" s="1244">
        <v>0.6</v>
      </c>
      <c r="H45" s="1244">
        <f t="shared" ref="H45:H46" si="6">PRODUCT((C45:G45))</f>
        <v>0.54</v>
      </c>
      <c r="I45" s="1245"/>
      <c r="J45" s="1241"/>
      <c r="K45" s="1272"/>
    </row>
    <row r="46" spans="1:11">
      <c r="A46" s="1231"/>
      <c r="B46" s="1242" t="s">
        <v>2455</v>
      </c>
      <c r="C46" s="1243">
        <v>2</v>
      </c>
      <c r="D46" s="1243">
        <v>3</v>
      </c>
      <c r="E46" s="1244">
        <v>0.45</v>
      </c>
      <c r="F46" s="1244"/>
      <c r="G46" s="1244">
        <v>0.6</v>
      </c>
      <c r="H46" s="1244">
        <f t="shared" si="6"/>
        <v>1.62</v>
      </c>
      <c r="I46" s="1245"/>
      <c r="J46" s="1241"/>
      <c r="K46" s="1272"/>
    </row>
    <row r="47" spans="1:11">
      <c r="A47" s="1231"/>
      <c r="B47" s="1246"/>
      <c r="C47" s="1246"/>
      <c r="D47" s="1246"/>
      <c r="E47" s="1251"/>
      <c r="F47" s="1251"/>
      <c r="G47" s="1251"/>
      <c r="H47" s="1247">
        <f>SUM(H45:H46)</f>
        <v>2.16</v>
      </c>
      <c r="I47" s="1243" t="s">
        <v>461</v>
      </c>
      <c r="J47" s="1325">
        <f>'C-data'!E819</f>
        <v>758.30000000000007</v>
      </c>
      <c r="K47" s="1272">
        <f>ROUND(J47*H47,0)</f>
        <v>1638</v>
      </c>
    </row>
    <row r="48" spans="1:11" ht="174.75" customHeight="1">
      <c r="A48" s="1240">
        <v>7</v>
      </c>
      <c r="B48" s="1457" t="s">
        <v>1666</v>
      </c>
      <c r="C48" s="1458"/>
      <c r="D48" s="1458"/>
      <c r="E48" s="1458"/>
      <c r="F48" s="1458"/>
      <c r="G48" s="1458"/>
      <c r="H48" s="1458"/>
      <c r="I48" s="1459"/>
      <c r="J48" s="1241"/>
      <c r="K48" s="1272"/>
    </row>
    <row r="49" spans="1:11">
      <c r="A49" s="1231" t="s">
        <v>1621</v>
      </c>
      <c r="B49" s="1246" t="s">
        <v>2456</v>
      </c>
      <c r="C49" s="1243">
        <v>2</v>
      </c>
      <c r="D49" s="1243">
        <v>30</v>
      </c>
      <c r="E49" s="1251">
        <v>4.3499999999999996</v>
      </c>
      <c r="F49" s="1251">
        <v>0.39</v>
      </c>
      <c r="G49" s="1251"/>
      <c r="H49" s="1244">
        <f t="shared" ref="H49:H50" si="7">PRODUCT((C49:G49))</f>
        <v>101.79</v>
      </c>
      <c r="I49" s="1243"/>
      <c r="J49" s="1252"/>
      <c r="K49" s="1272"/>
    </row>
    <row r="50" spans="1:11">
      <c r="A50" s="1231" t="s">
        <v>1621</v>
      </c>
      <c r="B50" s="1246" t="s">
        <v>2457</v>
      </c>
      <c r="C50" s="1243">
        <v>2</v>
      </c>
      <c r="D50" s="1243">
        <v>50</v>
      </c>
      <c r="E50" s="1251">
        <v>2.95</v>
      </c>
      <c r="F50" s="1251">
        <v>0.39</v>
      </c>
      <c r="G50" s="1251"/>
      <c r="H50" s="1244">
        <f t="shared" si="7"/>
        <v>115.05</v>
      </c>
      <c r="I50" s="1243"/>
      <c r="J50" s="1252"/>
      <c r="K50" s="1272"/>
    </row>
    <row r="51" spans="1:11">
      <c r="A51" s="1231"/>
      <c r="B51" s="1246"/>
      <c r="C51" s="1246"/>
      <c r="D51" s="1246"/>
      <c r="E51" s="1251"/>
      <c r="F51" s="1251"/>
      <c r="G51" s="1251"/>
      <c r="H51" s="1247">
        <f>SUM(H49:H50)</f>
        <v>216.84</v>
      </c>
      <c r="I51" s="1243"/>
      <c r="J51" s="1252"/>
      <c r="K51" s="1272"/>
    </row>
    <row r="52" spans="1:11">
      <c r="A52" s="1231"/>
      <c r="B52" s="1246"/>
      <c r="C52" s="1246"/>
      <c r="D52" s="1246"/>
      <c r="E52" s="1251"/>
      <c r="F52" s="1251"/>
      <c r="G52" s="1251"/>
      <c r="H52" s="1257">
        <f>H51/1000</f>
        <v>0.21684</v>
      </c>
      <c r="I52" s="1243" t="s">
        <v>2458</v>
      </c>
      <c r="J52" s="1252">
        <f>'C-data'!E895</f>
        <v>98665</v>
      </c>
      <c r="K52" s="1272">
        <f>ROUND(J52*H52,0)</f>
        <v>21395</v>
      </c>
    </row>
    <row r="53" spans="1:11" ht="138" customHeight="1">
      <c r="A53" s="1240">
        <v>8</v>
      </c>
      <c r="B53" s="1457" t="s">
        <v>2593</v>
      </c>
      <c r="C53" s="1458"/>
      <c r="D53" s="1458"/>
      <c r="E53" s="1458"/>
      <c r="F53" s="1458"/>
      <c r="G53" s="1458"/>
      <c r="H53" s="1458"/>
      <c r="I53" s="1459"/>
      <c r="J53" s="1241"/>
      <c r="K53" s="1272"/>
    </row>
    <row r="54" spans="1:11">
      <c r="A54" s="1240"/>
      <c r="B54" s="1258" t="s">
        <v>2459</v>
      </c>
      <c r="C54" s="1259">
        <v>1</v>
      </c>
      <c r="D54" s="1243">
        <v>1</v>
      </c>
      <c r="E54" s="1244">
        <v>4.4000000000000004</v>
      </c>
      <c r="F54" s="1244">
        <v>3</v>
      </c>
      <c r="G54" s="1244"/>
      <c r="H54" s="1250">
        <f>PRODUCT(D54:G54)</f>
        <v>13.200000000000001</v>
      </c>
      <c r="I54" s="1245"/>
      <c r="J54" s="1241"/>
      <c r="K54" s="1272"/>
    </row>
    <row r="55" spans="1:11">
      <c r="A55" s="1240"/>
      <c r="B55" s="1242"/>
      <c r="C55" s="1242"/>
      <c r="D55" s="1246"/>
      <c r="E55" s="1246"/>
      <c r="F55" s="1246"/>
      <c r="G55" s="1246"/>
      <c r="H55" s="1249">
        <f>H54</f>
        <v>13.200000000000001</v>
      </c>
      <c r="I55" s="1243" t="s">
        <v>461</v>
      </c>
      <c r="J55" s="1252">
        <f>'C-data'!E546</f>
        <v>1036.9000000000001</v>
      </c>
      <c r="K55" s="1272">
        <f>ROUND(J55*H55,0)</f>
        <v>13687</v>
      </c>
    </row>
    <row r="56" spans="1:11" ht="156" customHeight="1">
      <c r="A56" s="1240">
        <v>9</v>
      </c>
      <c r="B56" s="1457" t="s">
        <v>2430</v>
      </c>
      <c r="C56" s="1458"/>
      <c r="D56" s="1458"/>
      <c r="E56" s="1458"/>
      <c r="F56" s="1458"/>
      <c r="G56" s="1458"/>
      <c r="H56" s="1458"/>
      <c r="I56" s="1459"/>
      <c r="J56" s="1241"/>
      <c r="K56" s="1272"/>
    </row>
    <row r="57" spans="1:11">
      <c r="A57" s="1240"/>
      <c r="B57" s="1242"/>
      <c r="C57" s="1243">
        <v>1</v>
      </c>
      <c r="D57" s="1253">
        <v>1</v>
      </c>
      <c r="E57" s="1244">
        <f>+E54</f>
        <v>4.4000000000000004</v>
      </c>
      <c r="F57" s="1244">
        <f>+F54</f>
        <v>3</v>
      </c>
      <c r="G57" s="1244"/>
      <c r="H57" s="1250">
        <f>PRODUCT(D57:G57)</f>
        <v>13.200000000000001</v>
      </c>
      <c r="I57" s="1243"/>
      <c r="J57" s="1252"/>
      <c r="K57" s="1272"/>
    </row>
    <row r="58" spans="1:11">
      <c r="A58" s="1240"/>
      <c r="B58" s="1242"/>
      <c r="C58" s="1242"/>
      <c r="D58" s="1246"/>
      <c r="E58" s="1246"/>
      <c r="F58" s="1246"/>
      <c r="G58" s="1246"/>
      <c r="H58" s="1249">
        <f>H55</f>
        <v>13.200000000000001</v>
      </c>
      <c r="I58" s="1243" t="s">
        <v>461</v>
      </c>
      <c r="J58" s="1252">
        <f>'C-data'!E1031</f>
        <v>397.40000000000003</v>
      </c>
      <c r="K58" s="1272">
        <f>ROUND(J58*H58,0)</f>
        <v>5246</v>
      </c>
    </row>
    <row r="59" spans="1:11" ht="123.75" customHeight="1">
      <c r="A59" s="1240">
        <v>10</v>
      </c>
      <c r="B59" s="1457" t="s">
        <v>1198</v>
      </c>
      <c r="C59" s="1458"/>
      <c r="D59" s="1458"/>
      <c r="E59" s="1458"/>
      <c r="F59" s="1458"/>
      <c r="G59" s="1458"/>
      <c r="H59" s="1458"/>
      <c r="I59" s="1459"/>
      <c r="J59" s="1241"/>
      <c r="K59" s="1272"/>
    </row>
    <row r="60" spans="1:11">
      <c r="A60" s="1240"/>
      <c r="B60" s="1258" t="s">
        <v>2460</v>
      </c>
      <c r="C60" s="1243">
        <v>1</v>
      </c>
      <c r="D60" s="1253">
        <v>1</v>
      </c>
      <c r="E60" s="1244">
        <v>3.65</v>
      </c>
      <c r="F60" s="1244">
        <v>1.8</v>
      </c>
      <c r="G60" s="1244"/>
      <c r="H60" s="1250">
        <f t="shared" ref="H60:H74" si="8">PRODUCT(B60:G60)</f>
        <v>6.57</v>
      </c>
      <c r="I60" s="1245"/>
      <c r="J60" s="1241"/>
      <c r="K60" s="1272"/>
    </row>
    <row r="61" spans="1:11">
      <c r="A61" s="1240"/>
      <c r="B61" s="1242" t="s">
        <v>2461</v>
      </c>
      <c r="C61" s="1243">
        <v>1</v>
      </c>
      <c r="D61" s="1253">
        <v>2</v>
      </c>
      <c r="E61" s="1244">
        <v>4.4000000000000004</v>
      </c>
      <c r="F61" s="1244">
        <v>0.3</v>
      </c>
      <c r="G61" s="1244"/>
      <c r="H61" s="1250">
        <f t="shared" si="8"/>
        <v>2.64</v>
      </c>
      <c r="I61" s="1245"/>
      <c r="J61" s="1241"/>
      <c r="K61" s="1272"/>
    </row>
    <row r="62" spans="1:11">
      <c r="A62" s="1240"/>
      <c r="B62" s="1242" t="s">
        <v>2461</v>
      </c>
      <c r="C62" s="1243">
        <v>1</v>
      </c>
      <c r="D62" s="1253">
        <v>1</v>
      </c>
      <c r="E62" s="1244">
        <v>3</v>
      </c>
      <c r="F62" s="1244">
        <v>0.3</v>
      </c>
      <c r="G62" s="1244"/>
      <c r="H62" s="1250">
        <f t="shared" si="8"/>
        <v>0.89999999999999991</v>
      </c>
      <c r="I62" s="1245"/>
      <c r="J62" s="1241"/>
      <c r="K62" s="1272"/>
    </row>
    <row r="63" spans="1:11">
      <c r="A63" s="1240"/>
      <c r="B63" s="1242" t="s">
        <v>2462</v>
      </c>
      <c r="C63" s="1243">
        <v>1</v>
      </c>
      <c r="D63" s="1253">
        <v>2</v>
      </c>
      <c r="E63" s="1244">
        <v>3.65</v>
      </c>
      <c r="F63" s="1244"/>
      <c r="G63" s="1244">
        <v>2.8</v>
      </c>
      <c r="H63" s="1250">
        <f t="shared" si="8"/>
        <v>20.439999999999998</v>
      </c>
      <c r="I63" s="1245"/>
      <c r="J63" s="1241"/>
      <c r="K63" s="1272"/>
    </row>
    <row r="64" spans="1:11">
      <c r="A64" s="1240"/>
      <c r="B64" s="1242" t="s">
        <v>2463</v>
      </c>
      <c r="C64" s="1243">
        <v>1</v>
      </c>
      <c r="D64" s="1253">
        <v>2</v>
      </c>
      <c r="E64" s="1244">
        <v>1.8</v>
      </c>
      <c r="F64" s="1244"/>
      <c r="G64" s="1244">
        <v>2.8</v>
      </c>
      <c r="H64" s="1250">
        <f t="shared" si="8"/>
        <v>10.08</v>
      </c>
      <c r="I64" s="1245"/>
      <c r="J64" s="1241"/>
      <c r="K64" s="1272"/>
    </row>
    <row r="65" spans="1:11">
      <c r="A65" s="1240"/>
      <c r="B65" s="1242" t="s">
        <v>2464</v>
      </c>
      <c r="C65" s="1243">
        <v>1</v>
      </c>
      <c r="D65" s="1253">
        <v>1</v>
      </c>
      <c r="E65" s="1244">
        <v>1.8</v>
      </c>
      <c r="F65" s="1244"/>
      <c r="G65" s="1244">
        <v>2.8</v>
      </c>
      <c r="H65" s="1250">
        <f t="shared" si="8"/>
        <v>5.04</v>
      </c>
      <c r="I65" s="1245"/>
      <c r="J65" s="1241"/>
      <c r="K65" s="1272"/>
    </row>
    <row r="66" spans="1:11">
      <c r="A66" s="1240"/>
      <c r="B66" s="1242" t="s">
        <v>2464</v>
      </c>
      <c r="C66" s="1243">
        <v>1</v>
      </c>
      <c r="D66" s="1253">
        <v>1</v>
      </c>
      <c r="E66" s="1244">
        <v>1.8</v>
      </c>
      <c r="F66" s="1244"/>
      <c r="G66" s="1244">
        <v>1</v>
      </c>
      <c r="H66" s="1250">
        <f t="shared" si="8"/>
        <v>1.8</v>
      </c>
      <c r="I66" s="1245"/>
      <c r="J66" s="1241"/>
      <c r="K66" s="1272"/>
    </row>
    <row r="67" spans="1:11">
      <c r="A67" s="1240"/>
      <c r="B67" s="1246" t="s">
        <v>2465</v>
      </c>
      <c r="C67" s="1243">
        <v>1</v>
      </c>
      <c r="D67" s="1253">
        <v>1</v>
      </c>
      <c r="E67" s="1244">
        <v>3.65</v>
      </c>
      <c r="F67" s="1244"/>
      <c r="G67" s="1244">
        <v>2.8</v>
      </c>
      <c r="H67" s="1250">
        <f t="shared" si="8"/>
        <v>10.219999999999999</v>
      </c>
      <c r="I67" s="1245"/>
      <c r="J67" s="1241"/>
      <c r="K67" s="1272"/>
    </row>
    <row r="68" spans="1:11">
      <c r="A68" s="1240"/>
      <c r="B68" s="1242" t="s">
        <v>2466</v>
      </c>
      <c r="C68" s="1243">
        <v>1</v>
      </c>
      <c r="D68" s="1253">
        <v>1</v>
      </c>
      <c r="E68" s="1244">
        <v>3.65</v>
      </c>
      <c r="F68" s="1244"/>
      <c r="G68" s="1244">
        <v>1</v>
      </c>
      <c r="H68" s="1250">
        <f t="shared" si="8"/>
        <v>3.65</v>
      </c>
      <c r="I68" s="1245"/>
      <c r="J68" s="1241"/>
      <c r="K68" s="1272"/>
    </row>
    <row r="69" spans="1:11">
      <c r="A69" s="1240"/>
      <c r="B69" s="1242" t="s">
        <v>2467</v>
      </c>
      <c r="C69" s="1243">
        <v>2</v>
      </c>
      <c r="D69" s="1253">
        <v>2</v>
      </c>
      <c r="E69" s="1244">
        <v>2</v>
      </c>
      <c r="F69" s="1244">
        <v>0.45</v>
      </c>
      <c r="G69" s="1244"/>
      <c r="H69" s="1250">
        <f t="shared" si="8"/>
        <v>3.6</v>
      </c>
      <c r="I69" s="1245"/>
      <c r="J69" s="1241"/>
      <c r="K69" s="1272"/>
    </row>
    <row r="70" spans="1:11">
      <c r="A70" s="1240"/>
      <c r="B70" s="1242" t="s">
        <v>2468</v>
      </c>
      <c r="C70" s="1243">
        <v>2</v>
      </c>
      <c r="D70" s="1253">
        <v>2</v>
      </c>
      <c r="E70" s="1244">
        <v>6</v>
      </c>
      <c r="F70" s="1244">
        <v>0.45</v>
      </c>
      <c r="G70" s="1244"/>
      <c r="H70" s="1250">
        <f t="shared" si="8"/>
        <v>10.8</v>
      </c>
      <c r="I70" s="1245"/>
      <c r="J70" s="1241"/>
      <c r="K70" s="1272"/>
    </row>
    <row r="71" spans="1:11">
      <c r="A71" s="1240"/>
      <c r="B71" s="1242" t="s">
        <v>1468</v>
      </c>
      <c r="C71" s="1242"/>
      <c r="D71" s="1242"/>
      <c r="E71" s="1250"/>
      <c r="F71" s="1250"/>
      <c r="G71" s="1250"/>
      <c r="H71" s="1250"/>
      <c r="I71" s="1245"/>
      <c r="J71" s="1241"/>
      <c r="K71" s="1272"/>
    </row>
    <row r="72" spans="1:11">
      <c r="A72" s="1240"/>
      <c r="B72" s="1259" t="s">
        <v>2451</v>
      </c>
      <c r="C72" s="1243">
        <v>-1</v>
      </c>
      <c r="D72" s="1253">
        <v>1</v>
      </c>
      <c r="E72" s="1244">
        <v>1.2</v>
      </c>
      <c r="F72" s="1244"/>
      <c r="G72" s="1244">
        <v>2.1</v>
      </c>
      <c r="H72" s="1250">
        <f t="shared" si="8"/>
        <v>-2.52</v>
      </c>
      <c r="I72" s="1245"/>
      <c r="J72" s="1241"/>
      <c r="K72" s="1272"/>
    </row>
    <row r="73" spans="1:11">
      <c r="A73" s="1240"/>
      <c r="B73" s="1259" t="s">
        <v>2451</v>
      </c>
      <c r="C73" s="1243">
        <v>-1</v>
      </c>
      <c r="D73" s="1253">
        <v>1</v>
      </c>
      <c r="E73" s="1244">
        <v>1.2</v>
      </c>
      <c r="F73" s="1244"/>
      <c r="G73" s="1244">
        <v>1.6</v>
      </c>
      <c r="H73" s="1250">
        <f t="shared" si="8"/>
        <v>-1.92</v>
      </c>
      <c r="I73" s="1245"/>
      <c r="J73" s="1241"/>
      <c r="K73" s="1272"/>
    </row>
    <row r="74" spans="1:11">
      <c r="A74" s="1240"/>
      <c r="B74" s="1243" t="s">
        <v>2452</v>
      </c>
      <c r="C74" s="1243">
        <v>-1</v>
      </c>
      <c r="D74" s="1253">
        <v>1</v>
      </c>
      <c r="E74" s="1244">
        <v>1.5</v>
      </c>
      <c r="F74" s="1244"/>
      <c r="G74" s="1244">
        <v>1.37</v>
      </c>
      <c r="H74" s="1250">
        <f t="shared" si="8"/>
        <v>-2.0550000000000002</v>
      </c>
      <c r="I74" s="1245"/>
      <c r="J74" s="1241"/>
      <c r="K74" s="1272"/>
    </row>
    <row r="75" spans="1:11">
      <c r="A75" s="1240"/>
      <c r="B75" s="1246"/>
      <c r="C75" s="1246"/>
      <c r="D75" s="1246"/>
      <c r="E75" s="1246"/>
      <c r="F75" s="1246"/>
      <c r="G75" s="1246"/>
      <c r="H75" s="1249">
        <f>SUM(H60:H74)</f>
        <v>69.244999999999976</v>
      </c>
      <c r="I75" s="1243" t="s">
        <v>461</v>
      </c>
      <c r="J75" s="1252">
        <f>'C-data'!E958</f>
        <v>351.85</v>
      </c>
      <c r="K75" s="1272">
        <f>ROUND(J75*H75,0)</f>
        <v>24364</v>
      </c>
    </row>
    <row r="76" spans="1:11" ht="128.25" customHeight="1">
      <c r="A76" s="1240">
        <v>11</v>
      </c>
      <c r="B76" s="1457" t="s">
        <v>2435</v>
      </c>
      <c r="C76" s="1458"/>
      <c r="D76" s="1458"/>
      <c r="E76" s="1458"/>
      <c r="F76" s="1458"/>
      <c r="G76" s="1458"/>
      <c r="H76" s="1458"/>
      <c r="I76" s="1459"/>
      <c r="J76" s="1241"/>
      <c r="K76" s="1272"/>
    </row>
    <row r="77" spans="1:11">
      <c r="A77" s="1240"/>
      <c r="B77" s="1246" t="s">
        <v>2469</v>
      </c>
      <c r="C77" s="1243">
        <v>1</v>
      </c>
      <c r="D77" s="1253">
        <v>2</v>
      </c>
      <c r="E77" s="1244">
        <v>2.33</v>
      </c>
      <c r="F77" s="1244"/>
      <c r="G77" s="1244">
        <v>3.35</v>
      </c>
      <c r="H77" s="1250">
        <f t="shared" ref="H77:H86" si="9">PRODUCT(C77:G77)</f>
        <v>15.611000000000001</v>
      </c>
      <c r="I77" s="1243"/>
      <c r="J77" s="1252"/>
      <c r="K77" s="1272"/>
    </row>
    <row r="78" spans="1:11">
      <c r="A78" s="1240"/>
      <c r="B78" s="1246" t="s">
        <v>2470</v>
      </c>
      <c r="C78" s="1243">
        <v>1</v>
      </c>
      <c r="D78" s="1253">
        <v>2</v>
      </c>
      <c r="E78" s="1244">
        <v>2</v>
      </c>
      <c r="F78" s="1244"/>
      <c r="G78" s="1244">
        <v>1.6</v>
      </c>
      <c r="H78" s="1250">
        <f t="shared" si="9"/>
        <v>6.4</v>
      </c>
      <c r="I78" s="1243"/>
      <c r="J78" s="1252"/>
      <c r="K78" s="1272"/>
    </row>
    <row r="79" spans="1:11">
      <c r="A79" s="1240"/>
      <c r="B79" s="1246" t="s">
        <v>2471</v>
      </c>
      <c r="C79" s="1243">
        <v>1</v>
      </c>
      <c r="D79" s="1253">
        <v>1</v>
      </c>
      <c r="E79" s="1244">
        <v>4.0999999999999996</v>
      </c>
      <c r="F79" s="1244"/>
      <c r="G79" s="1244">
        <v>1.6</v>
      </c>
      <c r="H79" s="1250">
        <f t="shared" si="9"/>
        <v>6.56</v>
      </c>
      <c r="I79" s="1243"/>
      <c r="J79" s="1252"/>
      <c r="K79" s="1272"/>
    </row>
    <row r="80" spans="1:11">
      <c r="A80" s="1240"/>
      <c r="B80" s="1246" t="s">
        <v>2472</v>
      </c>
      <c r="C80" s="1243">
        <v>1</v>
      </c>
      <c r="D80" s="1253">
        <v>1</v>
      </c>
      <c r="E80" s="1244">
        <v>4.0999999999999996</v>
      </c>
      <c r="F80" s="1244"/>
      <c r="G80" s="1244">
        <v>3.45</v>
      </c>
      <c r="H80" s="1250">
        <f t="shared" si="9"/>
        <v>14.145</v>
      </c>
      <c r="I80" s="1243"/>
      <c r="J80" s="1252"/>
      <c r="K80" s="1272"/>
    </row>
    <row r="81" spans="1:11">
      <c r="A81" s="1240"/>
      <c r="B81" s="1246" t="s">
        <v>2473</v>
      </c>
      <c r="C81" s="1243">
        <v>1</v>
      </c>
      <c r="D81" s="1253">
        <v>2</v>
      </c>
      <c r="E81" s="1244">
        <v>1.5</v>
      </c>
      <c r="F81" s="1244">
        <v>0.6</v>
      </c>
      <c r="G81" s="1244"/>
      <c r="H81" s="1250">
        <f t="shared" si="9"/>
        <v>1.7999999999999998</v>
      </c>
      <c r="I81" s="1245"/>
      <c r="J81" s="1241"/>
      <c r="K81" s="1272"/>
    </row>
    <row r="82" spans="1:11">
      <c r="A82" s="1240"/>
      <c r="B82" s="1246" t="s">
        <v>2249</v>
      </c>
      <c r="C82" s="1243">
        <v>1</v>
      </c>
      <c r="D82" s="1253">
        <v>3</v>
      </c>
      <c r="E82" s="1244">
        <v>1.5</v>
      </c>
      <c r="F82" s="1244">
        <v>0.3</v>
      </c>
      <c r="G82" s="1244"/>
      <c r="H82" s="1250">
        <f t="shared" si="9"/>
        <v>1.3499999999999999</v>
      </c>
      <c r="I82" s="1243"/>
      <c r="J82" s="1252"/>
      <c r="K82" s="1272"/>
    </row>
    <row r="83" spans="1:11">
      <c r="A83" s="1240"/>
      <c r="B83" s="1246" t="s">
        <v>2474</v>
      </c>
      <c r="C83" s="1243">
        <v>1</v>
      </c>
      <c r="D83" s="1253">
        <v>3</v>
      </c>
      <c r="E83" s="1244">
        <v>1.5</v>
      </c>
      <c r="F83" s="1244"/>
      <c r="G83" s="1244">
        <v>0.15</v>
      </c>
      <c r="H83" s="1250">
        <f t="shared" si="9"/>
        <v>0.67499999999999993</v>
      </c>
      <c r="I83" s="1243"/>
      <c r="J83" s="1252"/>
      <c r="K83" s="1272"/>
    </row>
    <row r="84" spans="1:11">
      <c r="A84" s="1240"/>
      <c r="B84" s="1246" t="s">
        <v>1468</v>
      </c>
      <c r="C84" s="1243"/>
      <c r="D84" s="1253"/>
      <c r="E84" s="1244"/>
      <c r="F84" s="1244"/>
      <c r="G84" s="1244"/>
      <c r="H84" s="1250"/>
      <c r="I84" s="1243"/>
      <c r="J84" s="1252"/>
      <c r="K84" s="1272"/>
    </row>
    <row r="85" spans="1:11">
      <c r="A85" s="1240"/>
      <c r="B85" s="1245" t="s">
        <v>2451</v>
      </c>
      <c r="C85" s="1243">
        <v>-1</v>
      </c>
      <c r="D85" s="1253">
        <v>1</v>
      </c>
      <c r="E85" s="1244">
        <v>1.2</v>
      </c>
      <c r="F85" s="1244"/>
      <c r="G85" s="1244">
        <v>1.6</v>
      </c>
      <c r="H85" s="1250">
        <f t="shared" si="9"/>
        <v>-1.92</v>
      </c>
      <c r="I85" s="1243"/>
      <c r="J85" s="1252"/>
      <c r="K85" s="1272"/>
    </row>
    <row r="86" spans="1:11">
      <c r="A86" s="1240"/>
      <c r="B86" s="1245" t="s">
        <v>2452</v>
      </c>
      <c r="C86" s="1243">
        <v>-1</v>
      </c>
      <c r="D86" s="1253">
        <v>1</v>
      </c>
      <c r="E86" s="1244">
        <v>1.5</v>
      </c>
      <c r="F86" s="1244"/>
      <c r="G86" s="1244">
        <v>1.37</v>
      </c>
      <c r="H86" s="1250">
        <f t="shared" si="9"/>
        <v>-2.0550000000000002</v>
      </c>
      <c r="I86" s="1243"/>
      <c r="J86" s="1252"/>
      <c r="K86" s="1272"/>
    </row>
    <row r="87" spans="1:11">
      <c r="A87" s="1240"/>
      <c r="B87" s="1246"/>
      <c r="C87" s="1243"/>
      <c r="D87" s="1253"/>
      <c r="E87" s="1244"/>
      <c r="F87" s="1244"/>
      <c r="G87" s="1244"/>
      <c r="H87" s="1249">
        <f>SUM(H77:H86)</f>
        <v>42.565999999999995</v>
      </c>
      <c r="I87" s="1243" t="s">
        <v>461</v>
      </c>
      <c r="J87" s="1252">
        <f>'C-data'!E981</f>
        <v>365.55</v>
      </c>
      <c r="K87" s="1272">
        <f>ROUND(J87*H87,0)</f>
        <v>15560</v>
      </c>
    </row>
    <row r="88" spans="1:11" ht="160.5" customHeight="1">
      <c r="A88" s="1240">
        <v>12</v>
      </c>
      <c r="B88" s="1457" t="s">
        <v>2487</v>
      </c>
      <c r="C88" s="1458"/>
      <c r="D88" s="1458"/>
      <c r="E88" s="1458"/>
      <c r="F88" s="1458"/>
      <c r="G88" s="1458"/>
      <c r="H88" s="1458"/>
      <c r="I88" s="1459"/>
      <c r="J88" s="1241"/>
      <c r="K88" s="1272"/>
    </row>
    <row r="89" spans="1:11">
      <c r="A89" s="1240"/>
      <c r="B89" s="1245" t="s">
        <v>2256</v>
      </c>
      <c r="C89" s="1243">
        <v>1</v>
      </c>
      <c r="D89" s="1253">
        <v>1</v>
      </c>
      <c r="E89" s="1244"/>
      <c r="F89" s="1244"/>
      <c r="G89" s="1244"/>
      <c r="H89" s="1249">
        <v>1</v>
      </c>
      <c r="I89" s="1243" t="s">
        <v>329</v>
      </c>
      <c r="J89" s="1252">
        <f>'D&amp;W DATA 1'!H142</f>
        <v>10337</v>
      </c>
      <c r="K89" s="1272">
        <f>ROUND(J89*H89,0)</f>
        <v>10337</v>
      </c>
    </row>
    <row r="90" spans="1:11">
      <c r="A90" s="1240"/>
      <c r="B90" s="1246"/>
      <c r="C90" s="1243"/>
      <c r="D90" s="1253"/>
      <c r="E90" s="1244"/>
      <c r="F90" s="1244"/>
      <c r="G90" s="1244"/>
      <c r="H90" s="1250"/>
      <c r="I90" s="1243"/>
      <c r="J90" s="1252"/>
      <c r="K90" s="1272"/>
    </row>
    <row r="91" spans="1:11" ht="186.75" customHeight="1">
      <c r="A91" s="1240">
        <v>13</v>
      </c>
      <c r="B91" s="1471" t="str">
        <f>'D&amp;W DATA 1'!D285</f>
        <v>Providing  &amp; Fixing  of  Open  able  Windows  with  Flymesh made of pre-painted steel as per IS 513 of 0.58 mm thick galvanized as per IS 277 finish painted with a polyester paint and the section for outer frame of 72 x  55mm,  centre  mullion  of  72  x  50mm,  section  for fixed glass beading section of 12 x 12 mm and section for shutters of 48 x 25 mm and outer frame &amp; mullion sections with rebate for glazed shutters, fly mesh and a 20 mm provision for guard bars/grills and fly mesh shutter section  of 20 x  40  mm, stay, handles, latch 2 Nos  of  heavy  duty  stainless  steel  pivot  hinges  per shutter and panelled with 0.5 mm thick Galvalume corrugated sheet and S.S. Mesh for fly mesh shutter (304 grade), fitted using rubber gaskets including fixing the windows in the  concrete/masonry  wall  by  means  of  self expanding  screws,  including  10mm  Square  guard bars  with  6”  (152.4mm)  pitch  ,  complete  for  Three shutter window</v>
      </c>
      <c r="C91" s="1458"/>
      <c r="D91" s="1458"/>
      <c r="E91" s="1458"/>
      <c r="F91" s="1458"/>
      <c r="G91" s="1458"/>
      <c r="H91" s="1458"/>
      <c r="I91" s="1459"/>
      <c r="J91" s="1241"/>
      <c r="K91" s="1272"/>
    </row>
    <row r="92" spans="1:11">
      <c r="A92" s="1240"/>
      <c r="B92" s="1245" t="s">
        <v>2475</v>
      </c>
      <c r="C92" s="1243">
        <v>1</v>
      </c>
      <c r="D92" s="1253">
        <v>1</v>
      </c>
      <c r="E92" s="1244">
        <v>1.5</v>
      </c>
      <c r="F92" s="1244"/>
      <c r="G92" s="1244">
        <v>1.35</v>
      </c>
      <c r="H92" s="1250">
        <f t="shared" ref="H92" si="10">PRODUCT(C92:G92)</f>
        <v>2.0250000000000004</v>
      </c>
      <c r="I92" s="1243" t="s">
        <v>461</v>
      </c>
      <c r="J92" s="1252">
        <f>'D&amp;W DATA 1'!H291</f>
        <v>8426</v>
      </c>
      <c r="K92" s="1272">
        <f>ROUND(J92*H92,0)</f>
        <v>17063</v>
      </c>
    </row>
    <row r="93" spans="1:11" ht="52.5" customHeight="1">
      <c r="A93" s="1240">
        <v>14</v>
      </c>
      <c r="B93" s="1457" t="s">
        <v>2476</v>
      </c>
      <c r="C93" s="1458"/>
      <c r="D93" s="1458"/>
      <c r="E93" s="1458"/>
      <c r="F93" s="1458"/>
      <c r="G93" s="1458"/>
      <c r="H93" s="1458"/>
      <c r="I93" s="1459"/>
      <c r="J93" s="1241"/>
      <c r="K93" s="1272"/>
    </row>
    <row r="94" spans="1:11">
      <c r="A94" s="1240"/>
      <c r="B94" s="1242"/>
      <c r="C94" s="1243">
        <v>1</v>
      </c>
      <c r="D94" s="1253">
        <v>3</v>
      </c>
      <c r="E94" s="1244">
        <v>4.0999999999999996</v>
      </c>
      <c r="F94" s="1244"/>
      <c r="G94" s="1244"/>
      <c r="H94" s="1250">
        <f>PRODUCT(B94:G94)</f>
        <v>12.299999999999999</v>
      </c>
      <c r="I94" s="1245"/>
      <c r="J94" s="1241"/>
      <c r="K94" s="1272"/>
    </row>
    <row r="95" spans="1:11">
      <c r="A95" s="1240"/>
      <c r="B95" s="1242"/>
      <c r="C95" s="1243">
        <v>1</v>
      </c>
      <c r="D95" s="1253">
        <v>2</v>
      </c>
      <c r="E95" s="1244">
        <v>2.4</v>
      </c>
      <c r="F95" s="1244"/>
      <c r="G95" s="1244"/>
      <c r="H95" s="1250">
        <f>PRODUCT(B95:G95)</f>
        <v>4.8</v>
      </c>
      <c r="I95" s="1245"/>
      <c r="J95" s="1241"/>
      <c r="K95" s="1272"/>
    </row>
    <row r="96" spans="1:11">
      <c r="A96" s="1240"/>
      <c r="B96" s="1246"/>
      <c r="C96" s="1246"/>
      <c r="D96" s="1246"/>
      <c r="E96" s="1246"/>
      <c r="F96" s="1246"/>
      <c r="G96" s="1246"/>
      <c r="H96" s="1247">
        <f>SUM(H94:H95)</f>
        <v>17.099999999999998</v>
      </c>
      <c r="I96" s="1243" t="s">
        <v>222</v>
      </c>
      <c r="J96" s="1252">
        <f>+'C-data'!I1275</f>
        <v>484.5</v>
      </c>
      <c r="K96" s="1272">
        <f>ROUND(J96*H96,0)</f>
        <v>8285</v>
      </c>
    </row>
    <row r="97" spans="1:11" ht="87" customHeight="1">
      <c r="A97" s="1240">
        <v>15</v>
      </c>
      <c r="B97" s="1457" t="s">
        <v>2477</v>
      </c>
      <c r="C97" s="1458"/>
      <c r="D97" s="1458"/>
      <c r="E97" s="1458"/>
      <c r="F97" s="1458"/>
      <c r="G97" s="1458"/>
      <c r="H97" s="1458"/>
      <c r="I97" s="1459"/>
      <c r="J97" s="1241"/>
      <c r="K97" s="1272"/>
    </row>
    <row r="98" spans="1:11">
      <c r="A98" s="1240"/>
      <c r="B98" s="1246"/>
      <c r="C98" s="1243">
        <v>1</v>
      </c>
      <c r="D98" s="1253">
        <v>1</v>
      </c>
      <c r="E98" s="1244">
        <v>4.7</v>
      </c>
      <c r="F98" s="1244">
        <v>2.6</v>
      </c>
      <c r="G98" s="1244"/>
      <c r="H98" s="1249">
        <f>F98*E98*D98*C98</f>
        <v>12.22</v>
      </c>
      <c r="I98" s="1243" t="s">
        <v>461</v>
      </c>
      <c r="J98" s="1252">
        <f>+'C-data'!I1550</f>
        <v>762</v>
      </c>
      <c r="K98" s="1272">
        <f>ROUND(J98*H98,0)</f>
        <v>9312</v>
      </c>
    </row>
    <row r="99" spans="1:11" ht="45" customHeight="1">
      <c r="A99" s="1260">
        <v>16</v>
      </c>
      <c r="B99" s="1457" t="str">
        <f>'[2]kitchen shed  p3 '!$B$565</f>
        <v>Supplying and fabrication and placing of MSGrills or Doors with of MS Flat including Cost and Convenance of all material and labour charges etc complete.</v>
      </c>
      <c r="C99" s="1458"/>
      <c r="D99" s="1458"/>
      <c r="E99" s="1458"/>
      <c r="F99" s="1458"/>
      <c r="G99" s="1458"/>
      <c r="H99" s="1458"/>
      <c r="I99" s="1459"/>
      <c r="J99" s="1252"/>
      <c r="K99" s="1272"/>
    </row>
    <row r="100" spans="1:11">
      <c r="A100" s="1240"/>
      <c r="B100" s="1246" t="s">
        <v>2478</v>
      </c>
      <c r="C100" s="1243">
        <v>1</v>
      </c>
      <c r="D100" s="1253">
        <v>1</v>
      </c>
      <c r="E100" s="1244">
        <v>43</v>
      </c>
      <c r="F100" s="1244"/>
      <c r="G100" s="1244"/>
      <c r="H100" s="1250">
        <f>E100*D100*C100*2</f>
        <v>86</v>
      </c>
      <c r="I100" s="1243"/>
      <c r="J100" s="1252"/>
      <c r="K100" s="1272"/>
    </row>
    <row r="101" spans="1:11">
      <c r="A101" s="1240"/>
      <c r="B101" s="1246" t="s">
        <v>2479</v>
      </c>
      <c r="C101" s="1243">
        <v>1</v>
      </c>
      <c r="D101" s="1253">
        <v>1</v>
      </c>
      <c r="E101" s="1244">
        <v>53</v>
      </c>
      <c r="F101" s="1244"/>
      <c r="G101" s="1244"/>
      <c r="H101" s="1250">
        <f>E101*D101*C101*2</f>
        <v>106</v>
      </c>
      <c r="I101" s="1243"/>
      <c r="J101" s="1252"/>
      <c r="K101" s="1272"/>
    </row>
    <row r="102" spans="1:11">
      <c r="A102" s="1240"/>
      <c r="B102" s="1246" t="s">
        <v>2480</v>
      </c>
      <c r="C102" s="1243">
        <v>1</v>
      </c>
      <c r="D102" s="1253">
        <v>2</v>
      </c>
      <c r="E102" s="1244">
        <v>22</v>
      </c>
      <c r="F102" s="1244"/>
      <c r="G102" s="1244"/>
      <c r="H102" s="1250">
        <f>E102*D102*C102*2</f>
        <v>88</v>
      </c>
      <c r="I102" s="1243"/>
      <c r="J102" s="1252"/>
      <c r="K102" s="1272"/>
    </row>
    <row r="103" spans="1:11">
      <c r="A103" s="1240"/>
      <c r="B103" s="1246" t="s">
        <v>2481</v>
      </c>
      <c r="C103" s="1243">
        <v>1</v>
      </c>
      <c r="D103" s="1253">
        <v>1</v>
      </c>
      <c r="E103" s="1244">
        <v>20</v>
      </c>
      <c r="F103" s="1244"/>
      <c r="G103" s="1244"/>
      <c r="H103" s="1250">
        <f>E103*D103*C103*2</f>
        <v>40</v>
      </c>
      <c r="I103" s="1243"/>
      <c r="J103" s="1252"/>
      <c r="K103" s="1272"/>
    </row>
    <row r="104" spans="1:11">
      <c r="A104" s="1240"/>
      <c r="B104" s="1246"/>
      <c r="C104" s="1243"/>
      <c r="D104" s="1253"/>
      <c r="E104" s="1244"/>
      <c r="F104" s="1244"/>
      <c r="G104" s="1244"/>
      <c r="H104" s="1249">
        <f>SUM(H100:H103)</f>
        <v>320</v>
      </c>
      <c r="I104" s="1243" t="s">
        <v>462</v>
      </c>
      <c r="J104" s="1252">
        <f>'C-data'!G1613</f>
        <v>112.34</v>
      </c>
      <c r="K104" s="1272">
        <f>ROUND(J104*H104,0)</f>
        <v>35949</v>
      </c>
    </row>
    <row r="105" spans="1:11" ht="172.5" customHeight="1">
      <c r="A105" s="1240">
        <v>17</v>
      </c>
      <c r="B105" s="1457" t="s">
        <v>1199</v>
      </c>
      <c r="C105" s="1458"/>
      <c r="D105" s="1458"/>
      <c r="E105" s="1458"/>
      <c r="F105" s="1458"/>
      <c r="G105" s="1458"/>
      <c r="H105" s="1458"/>
      <c r="I105" s="1459"/>
      <c r="J105" s="1241"/>
      <c r="K105" s="1272"/>
    </row>
    <row r="106" spans="1:11">
      <c r="A106" s="1240"/>
      <c r="B106" s="1242" t="s">
        <v>2482</v>
      </c>
      <c r="C106" s="1243">
        <v>1</v>
      </c>
      <c r="D106" s="1253">
        <v>1</v>
      </c>
      <c r="E106" s="1244">
        <v>3.65</v>
      </c>
      <c r="F106" s="1244">
        <v>1.6</v>
      </c>
      <c r="G106" s="1244"/>
      <c r="H106" s="1250">
        <f>F106*E106*D106*C106</f>
        <v>5.84</v>
      </c>
      <c r="I106" s="1245"/>
      <c r="J106" s="1241"/>
      <c r="K106" s="1272"/>
    </row>
    <row r="107" spans="1:11">
      <c r="A107" s="1240"/>
      <c r="B107" s="1242" t="s">
        <v>2483</v>
      </c>
      <c r="C107" s="1243">
        <v>1</v>
      </c>
      <c r="D107" s="1253">
        <v>1</v>
      </c>
      <c r="E107" s="1244">
        <v>3.65</v>
      </c>
      <c r="F107" s="1244">
        <v>1.6</v>
      </c>
      <c r="G107" s="1244"/>
      <c r="H107" s="1250">
        <f>F107*E107*D107*C107</f>
        <v>5.84</v>
      </c>
      <c r="I107" s="1245"/>
      <c r="J107" s="1241"/>
      <c r="K107" s="1272"/>
    </row>
    <row r="108" spans="1:11">
      <c r="A108" s="1231"/>
      <c r="B108" s="1246"/>
      <c r="C108" s="1246"/>
      <c r="D108" s="1246"/>
      <c r="E108" s="1242"/>
      <c r="F108" s="1242"/>
      <c r="G108" s="1250"/>
      <c r="H108" s="1249">
        <f>SUM(H106:H107)</f>
        <v>11.68</v>
      </c>
      <c r="I108" s="1245" t="s">
        <v>461</v>
      </c>
      <c r="J108" s="1252">
        <f>'C-data'!E1052</f>
        <v>550.5</v>
      </c>
      <c r="K108" s="1272">
        <f>ROUND(J108*H108,0)</f>
        <v>6430</v>
      </c>
    </row>
    <row r="109" spans="1:11" ht="142.5" customHeight="1">
      <c r="A109" s="1240">
        <v>18</v>
      </c>
      <c r="B109" s="1457" t="s">
        <v>2484</v>
      </c>
      <c r="C109" s="1458"/>
      <c r="D109" s="1458"/>
      <c r="E109" s="1458"/>
      <c r="F109" s="1458"/>
      <c r="G109" s="1458"/>
      <c r="H109" s="1458"/>
      <c r="I109" s="1459"/>
      <c r="J109" s="1241"/>
      <c r="K109" s="1272"/>
    </row>
    <row r="110" spans="1:11">
      <c r="A110" s="1231"/>
      <c r="B110" s="1258" t="s">
        <v>2460</v>
      </c>
      <c r="C110" s="1243">
        <v>1</v>
      </c>
      <c r="D110" s="1253">
        <v>1</v>
      </c>
      <c r="E110" s="1244">
        <v>3.65</v>
      </c>
      <c r="F110" s="1244">
        <v>1.8</v>
      </c>
      <c r="G110" s="1244"/>
      <c r="H110" s="1250">
        <f t="shared" ref="H110:H120" si="11">PRODUCT(B110:G110)</f>
        <v>6.57</v>
      </c>
      <c r="I110" s="1243"/>
      <c r="J110" s="1252"/>
      <c r="K110" s="1272"/>
    </row>
    <row r="111" spans="1:11">
      <c r="A111" s="1231"/>
      <c r="B111" s="1242" t="s">
        <v>2461</v>
      </c>
      <c r="C111" s="1243">
        <v>1</v>
      </c>
      <c r="D111" s="1253">
        <v>2</v>
      </c>
      <c r="E111" s="1244">
        <v>4.4000000000000004</v>
      </c>
      <c r="F111" s="1244">
        <v>0.3</v>
      </c>
      <c r="G111" s="1244"/>
      <c r="H111" s="1250">
        <f t="shared" si="11"/>
        <v>2.64</v>
      </c>
      <c r="I111" s="1243"/>
      <c r="J111" s="1252"/>
      <c r="K111" s="1272"/>
    </row>
    <row r="112" spans="1:11">
      <c r="A112" s="1231"/>
      <c r="B112" s="1242" t="s">
        <v>2461</v>
      </c>
      <c r="C112" s="1243">
        <v>1</v>
      </c>
      <c r="D112" s="1253">
        <v>1</v>
      </c>
      <c r="E112" s="1244">
        <v>3</v>
      </c>
      <c r="F112" s="1244">
        <v>0.3</v>
      </c>
      <c r="G112" s="1244"/>
      <c r="H112" s="1250">
        <f t="shared" si="11"/>
        <v>0.89999999999999991</v>
      </c>
      <c r="I112" s="1243"/>
      <c r="J112" s="1252"/>
      <c r="K112" s="1272"/>
    </row>
    <row r="113" spans="1:11">
      <c r="A113" s="1231"/>
      <c r="B113" s="1242" t="s">
        <v>2462</v>
      </c>
      <c r="C113" s="1243">
        <v>1</v>
      </c>
      <c r="D113" s="1253">
        <v>2</v>
      </c>
      <c r="E113" s="1244">
        <v>3.65</v>
      </c>
      <c r="F113" s="1244"/>
      <c r="G113" s="1244">
        <v>2.8</v>
      </c>
      <c r="H113" s="1250">
        <f t="shared" si="11"/>
        <v>20.439999999999998</v>
      </c>
      <c r="I113" s="1243"/>
      <c r="J113" s="1252"/>
      <c r="K113" s="1272"/>
    </row>
    <row r="114" spans="1:11">
      <c r="A114" s="1231"/>
      <c r="B114" s="1242" t="s">
        <v>2463</v>
      </c>
      <c r="C114" s="1243">
        <v>1</v>
      </c>
      <c r="D114" s="1253">
        <v>2</v>
      </c>
      <c r="E114" s="1244">
        <v>1.8</v>
      </c>
      <c r="F114" s="1244"/>
      <c r="G114" s="1244">
        <v>2.8</v>
      </c>
      <c r="H114" s="1250">
        <f t="shared" si="11"/>
        <v>10.08</v>
      </c>
      <c r="I114" s="1243"/>
      <c r="J114" s="1252"/>
      <c r="K114" s="1272"/>
    </row>
    <row r="115" spans="1:11">
      <c r="A115" s="1231"/>
      <c r="B115" s="1242" t="s">
        <v>2464</v>
      </c>
      <c r="C115" s="1243">
        <v>1</v>
      </c>
      <c r="D115" s="1253">
        <v>1</v>
      </c>
      <c r="E115" s="1244">
        <v>1.8</v>
      </c>
      <c r="F115" s="1244"/>
      <c r="G115" s="1244">
        <v>2.8</v>
      </c>
      <c r="H115" s="1250">
        <f t="shared" si="11"/>
        <v>5.04</v>
      </c>
      <c r="I115" s="1243"/>
      <c r="J115" s="1252"/>
      <c r="K115" s="1272"/>
    </row>
    <row r="116" spans="1:11">
      <c r="A116" s="1231"/>
      <c r="B116" s="1242" t="s">
        <v>2464</v>
      </c>
      <c r="C116" s="1243">
        <v>1</v>
      </c>
      <c r="D116" s="1253">
        <v>1</v>
      </c>
      <c r="E116" s="1244">
        <v>1.8</v>
      </c>
      <c r="F116" s="1244"/>
      <c r="G116" s="1244">
        <v>1</v>
      </c>
      <c r="H116" s="1250">
        <f t="shared" si="11"/>
        <v>1.8</v>
      </c>
      <c r="I116" s="1243"/>
      <c r="J116" s="1252"/>
      <c r="K116" s="1272"/>
    </row>
    <row r="117" spans="1:11">
      <c r="A117" s="1231"/>
      <c r="B117" s="1246" t="s">
        <v>2465</v>
      </c>
      <c r="C117" s="1243">
        <v>1</v>
      </c>
      <c r="D117" s="1253">
        <v>1</v>
      </c>
      <c r="E117" s="1244">
        <v>3.65</v>
      </c>
      <c r="F117" s="1244"/>
      <c r="G117" s="1244">
        <v>2.8</v>
      </c>
      <c r="H117" s="1250">
        <f t="shared" si="11"/>
        <v>10.219999999999999</v>
      </c>
      <c r="I117" s="1243"/>
      <c r="J117" s="1252"/>
      <c r="K117" s="1272"/>
    </row>
    <row r="118" spans="1:11">
      <c r="A118" s="1231"/>
      <c r="B118" s="1242" t="s">
        <v>2466</v>
      </c>
      <c r="C118" s="1243">
        <v>1</v>
      </c>
      <c r="D118" s="1253">
        <v>1</v>
      </c>
      <c r="E118" s="1244">
        <v>3.65</v>
      </c>
      <c r="F118" s="1244"/>
      <c r="G118" s="1244">
        <v>1</v>
      </c>
      <c r="H118" s="1250">
        <f t="shared" si="11"/>
        <v>3.65</v>
      </c>
      <c r="I118" s="1243"/>
      <c r="J118" s="1252"/>
      <c r="K118" s="1272"/>
    </row>
    <row r="119" spans="1:11">
      <c r="A119" s="1231"/>
      <c r="B119" s="1242" t="s">
        <v>2467</v>
      </c>
      <c r="C119" s="1243">
        <v>2</v>
      </c>
      <c r="D119" s="1253">
        <v>2</v>
      </c>
      <c r="E119" s="1244">
        <v>2</v>
      </c>
      <c r="F119" s="1244">
        <v>0.45</v>
      </c>
      <c r="G119" s="1244"/>
      <c r="H119" s="1250">
        <f t="shared" si="11"/>
        <v>3.6</v>
      </c>
      <c r="I119" s="1243"/>
      <c r="J119" s="1252"/>
      <c r="K119" s="1272"/>
    </row>
    <row r="120" spans="1:11">
      <c r="A120" s="1231"/>
      <c r="B120" s="1242" t="s">
        <v>2468</v>
      </c>
      <c r="C120" s="1243">
        <v>2</v>
      </c>
      <c r="D120" s="1253">
        <v>2</v>
      </c>
      <c r="E120" s="1244">
        <v>6</v>
      </c>
      <c r="F120" s="1244">
        <v>0.45</v>
      </c>
      <c r="G120" s="1244"/>
      <c r="H120" s="1250">
        <f t="shared" si="11"/>
        <v>10.8</v>
      </c>
      <c r="I120" s="1243"/>
      <c r="J120" s="1252"/>
      <c r="K120" s="1272"/>
    </row>
    <row r="121" spans="1:11">
      <c r="A121" s="1231"/>
      <c r="B121" s="1246" t="s">
        <v>2469</v>
      </c>
      <c r="C121" s="1243">
        <v>1</v>
      </c>
      <c r="D121" s="1253">
        <v>1</v>
      </c>
      <c r="E121" s="1244">
        <v>2.33</v>
      </c>
      <c r="F121" s="1244"/>
      <c r="G121" s="1244">
        <v>3.35</v>
      </c>
      <c r="H121" s="1250">
        <f t="shared" ref="H121:H127" si="12">PRODUCT(C121:G121)</f>
        <v>7.8055000000000003</v>
      </c>
      <c r="I121" s="1243"/>
      <c r="J121" s="1252"/>
      <c r="K121" s="1272"/>
    </row>
    <row r="122" spans="1:11">
      <c r="A122" s="1240"/>
      <c r="B122" s="1246" t="s">
        <v>2470</v>
      </c>
      <c r="C122" s="1243">
        <v>1</v>
      </c>
      <c r="D122" s="1253">
        <v>1</v>
      </c>
      <c r="E122" s="1244">
        <v>2</v>
      </c>
      <c r="F122" s="1244"/>
      <c r="G122" s="1244">
        <v>1.6</v>
      </c>
      <c r="H122" s="1250">
        <f t="shared" si="12"/>
        <v>3.2</v>
      </c>
      <c r="I122" s="1243"/>
      <c r="J122" s="1252"/>
      <c r="K122" s="1272"/>
    </row>
    <row r="123" spans="1:11">
      <c r="A123" s="1240"/>
      <c r="B123" s="1246" t="s">
        <v>2471</v>
      </c>
      <c r="C123" s="1243">
        <v>1</v>
      </c>
      <c r="D123" s="1253">
        <v>1</v>
      </c>
      <c r="E123" s="1244">
        <v>4.0999999999999996</v>
      </c>
      <c r="F123" s="1244"/>
      <c r="G123" s="1244">
        <v>1.6</v>
      </c>
      <c r="H123" s="1250">
        <f t="shared" si="12"/>
        <v>6.56</v>
      </c>
      <c r="I123" s="1243"/>
      <c r="J123" s="1252"/>
      <c r="K123" s="1272"/>
    </row>
    <row r="124" spans="1:11">
      <c r="A124" s="1240"/>
      <c r="B124" s="1246" t="s">
        <v>2472</v>
      </c>
      <c r="C124" s="1243">
        <v>1</v>
      </c>
      <c r="D124" s="1253">
        <v>1</v>
      </c>
      <c r="E124" s="1244">
        <v>4.0999999999999996</v>
      </c>
      <c r="F124" s="1244"/>
      <c r="G124" s="1244">
        <v>3.45</v>
      </c>
      <c r="H124" s="1250">
        <f t="shared" si="12"/>
        <v>14.145</v>
      </c>
      <c r="I124" s="1243"/>
      <c r="J124" s="1252"/>
      <c r="K124" s="1272"/>
    </row>
    <row r="125" spans="1:11">
      <c r="A125" s="1240"/>
      <c r="B125" s="1246" t="s">
        <v>2473</v>
      </c>
      <c r="C125" s="1243">
        <v>1</v>
      </c>
      <c r="D125" s="1253">
        <v>2</v>
      </c>
      <c r="E125" s="1244">
        <v>1.5</v>
      </c>
      <c r="F125" s="1244">
        <v>0.6</v>
      </c>
      <c r="G125" s="1244"/>
      <c r="H125" s="1250">
        <f t="shared" si="12"/>
        <v>1.7999999999999998</v>
      </c>
      <c r="I125" s="1243"/>
      <c r="J125" s="1252"/>
      <c r="K125" s="1272"/>
    </row>
    <row r="126" spans="1:11">
      <c r="A126" s="1240"/>
      <c r="B126" s="1246" t="s">
        <v>2249</v>
      </c>
      <c r="C126" s="1243">
        <v>1</v>
      </c>
      <c r="D126" s="1253">
        <v>3</v>
      </c>
      <c r="E126" s="1244">
        <v>1.5</v>
      </c>
      <c r="F126" s="1244">
        <v>0.3</v>
      </c>
      <c r="G126" s="1244"/>
      <c r="H126" s="1250">
        <f t="shared" si="12"/>
        <v>1.3499999999999999</v>
      </c>
      <c r="I126" s="1243"/>
      <c r="J126" s="1252"/>
      <c r="K126" s="1272"/>
    </row>
    <row r="127" spans="1:11">
      <c r="A127" s="1240"/>
      <c r="B127" s="1246" t="s">
        <v>2474</v>
      </c>
      <c r="C127" s="1243">
        <v>1</v>
      </c>
      <c r="D127" s="1253">
        <v>3</v>
      </c>
      <c r="E127" s="1244">
        <v>1.5</v>
      </c>
      <c r="F127" s="1244"/>
      <c r="G127" s="1244">
        <v>0.15</v>
      </c>
      <c r="H127" s="1250">
        <f t="shared" si="12"/>
        <v>0.67499999999999993</v>
      </c>
      <c r="I127" s="1243"/>
      <c r="J127" s="1252"/>
      <c r="K127" s="1272"/>
    </row>
    <row r="128" spans="1:11">
      <c r="A128" s="1240"/>
      <c r="B128" s="1246" t="s">
        <v>1468</v>
      </c>
      <c r="C128" s="1243"/>
      <c r="D128" s="1253"/>
      <c r="E128" s="1244"/>
      <c r="F128" s="1244"/>
      <c r="G128" s="1244"/>
      <c r="H128" s="1250"/>
      <c r="I128" s="1243"/>
      <c r="J128" s="1252"/>
      <c r="K128" s="1272"/>
    </row>
    <row r="129" spans="1:11">
      <c r="A129" s="1240"/>
      <c r="B129" s="1245" t="s">
        <v>2451</v>
      </c>
      <c r="C129" s="1243">
        <v>-1</v>
      </c>
      <c r="D129" s="1253">
        <v>2</v>
      </c>
      <c r="E129" s="1244">
        <v>1.2</v>
      </c>
      <c r="F129" s="1244"/>
      <c r="G129" s="1244">
        <v>1.6</v>
      </c>
      <c r="H129" s="1250">
        <f t="shared" ref="H129:H130" si="13">PRODUCT(C129:G129)</f>
        <v>-3.84</v>
      </c>
      <c r="I129" s="1243"/>
      <c r="J129" s="1252"/>
      <c r="K129" s="1272"/>
    </row>
    <row r="130" spans="1:11">
      <c r="A130" s="1240"/>
      <c r="B130" s="1245" t="s">
        <v>2452</v>
      </c>
      <c r="C130" s="1243">
        <v>-1</v>
      </c>
      <c r="D130" s="1253">
        <v>2</v>
      </c>
      <c r="E130" s="1244">
        <v>1.5</v>
      </c>
      <c r="F130" s="1244"/>
      <c r="G130" s="1244">
        <v>1.37</v>
      </c>
      <c r="H130" s="1250">
        <f t="shared" si="13"/>
        <v>-4.1100000000000003</v>
      </c>
      <c r="I130" s="1243"/>
      <c r="J130" s="1252"/>
      <c r="K130" s="1272"/>
    </row>
    <row r="131" spans="1:11">
      <c r="A131" s="1240"/>
      <c r="B131" s="1242"/>
      <c r="C131" s="1243"/>
      <c r="D131" s="1253"/>
      <c r="E131" s="1244"/>
      <c r="F131" s="1244"/>
      <c r="G131" s="1244"/>
      <c r="H131" s="1249">
        <f>SUM(H110:H130)</f>
        <v>103.32549999999996</v>
      </c>
      <c r="I131" s="1243" t="s">
        <v>461</v>
      </c>
      <c r="J131" s="1252">
        <f>+'C-data'!I1315</f>
        <v>187.55</v>
      </c>
      <c r="K131" s="1272">
        <f>ROUND(J131*H131,0)</f>
        <v>19379</v>
      </c>
    </row>
    <row r="132" spans="1:11" ht="96.75" customHeight="1">
      <c r="A132" s="1240">
        <v>19</v>
      </c>
      <c r="B132" s="1457" t="s">
        <v>2432</v>
      </c>
      <c r="C132" s="1458"/>
      <c r="D132" s="1458"/>
      <c r="E132" s="1458"/>
      <c r="F132" s="1458"/>
      <c r="G132" s="1458"/>
      <c r="H132" s="1458"/>
      <c r="I132" s="1459"/>
      <c r="J132" s="1241"/>
      <c r="K132" s="1272"/>
    </row>
    <row r="133" spans="1:11">
      <c r="A133" s="1240"/>
      <c r="B133" s="1242" t="s">
        <v>2256</v>
      </c>
      <c r="C133" s="1243">
        <v>1</v>
      </c>
      <c r="D133" s="1243">
        <v>2.25</v>
      </c>
      <c r="E133" s="1243">
        <v>1</v>
      </c>
      <c r="F133" s="1244">
        <v>1.2</v>
      </c>
      <c r="G133" s="1244">
        <v>2.1</v>
      </c>
      <c r="H133" s="1244">
        <f>PRODUCT(B133:G133)</f>
        <v>5.67</v>
      </c>
      <c r="I133" s="1245"/>
      <c r="J133" s="1241"/>
      <c r="K133" s="1272"/>
    </row>
    <row r="134" spans="1:11">
      <c r="A134" s="1240"/>
      <c r="B134" s="1242" t="s">
        <v>2475</v>
      </c>
      <c r="C134" s="1243">
        <v>1</v>
      </c>
      <c r="D134" s="1243">
        <v>2.75</v>
      </c>
      <c r="E134" s="1243">
        <v>1</v>
      </c>
      <c r="F134" s="1244">
        <v>1.52</v>
      </c>
      <c r="G134" s="1244">
        <v>1.35</v>
      </c>
      <c r="H134" s="1244">
        <f>PRODUCT(B134:G134)</f>
        <v>5.6429999999999998</v>
      </c>
      <c r="I134" s="1245"/>
      <c r="J134" s="1241"/>
      <c r="K134" s="1272"/>
    </row>
    <row r="135" spans="1:11">
      <c r="A135" s="1240"/>
      <c r="B135" s="1246"/>
      <c r="C135" s="1246"/>
      <c r="D135" s="1246"/>
      <c r="E135" s="1246"/>
      <c r="F135" s="1251"/>
      <c r="G135" s="1251"/>
      <c r="H135" s="1249">
        <f>SUM(H133:H134)</f>
        <v>11.312999999999999</v>
      </c>
      <c r="I135" s="1243" t="s">
        <v>461</v>
      </c>
      <c r="J135" s="1252">
        <f>+'C-data'!I1265</f>
        <v>161.65</v>
      </c>
      <c r="K135" s="1272">
        <f>ROUND(J135*H135,0)</f>
        <v>1829</v>
      </c>
    </row>
    <row r="136" spans="1:11" ht="78" customHeight="1">
      <c r="A136" s="1240">
        <v>20</v>
      </c>
      <c r="B136" s="1460" t="s">
        <v>1670</v>
      </c>
      <c r="C136" s="1461"/>
      <c r="D136" s="1461"/>
      <c r="E136" s="1461"/>
      <c r="F136" s="1461"/>
      <c r="G136" s="1461"/>
      <c r="H136" s="1461"/>
      <c r="I136" s="1462"/>
      <c r="J136" s="1241"/>
      <c r="K136" s="1272"/>
    </row>
    <row r="137" spans="1:11">
      <c r="A137" s="1240"/>
      <c r="B137" s="1246" t="s">
        <v>2478</v>
      </c>
      <c r="C137" s="1243">
        <v>1</v>
      </c>
      <c r="D137" s="1244">
        <v>1.5</v>
      </c>
      <c r="E137" s="1244">
        <v>1.2</v>
      </c>
      <c r="F137" s="1243"/>
      <c r="G137" s="1244">
        <v>1.8</v>
      </c>
      <c r="H137" s="1244">
        <f>PRODUCT(B137:G137)</f>
        <v>3.2399999999999998</v>
      </c>
      <c r="I137" s="1243"/>
      <c r="J137" s="1241"/>
      <c r="K137" s="1272"/>
    </row>
    <row r="138" spans="1:11">
      <c r="A138" s="1240"/>
      <c r="B138" s="1246" t="s">
        <v>2479</v>
      </c>
      <c r="C138" s="1243">
        <v>1</v>
      </c>
      <c r="D138" s="1244">
        <v>1.5</v>
      </c>
      <c r="E138" s="1244">
        <v>2.2000000000000002</v>
      </c>
      <c r="F138" s="1243"/>
      <c r="G138" s="1244">
        <v>1.5</v>
      </c>
      <c r="H138" s="1244">
        <f t="shared" ref="H138:H140" si="14">PRODUCT(B138:G138)</f>
        <v>4.95</v>
      </c>
      <c r="I138" s="1245"/>
      <c r="J138" s="1241"/>
      <c r="K138" s="1272"/>
    </row>
    <row r="139" spans="1:11">
      <c r="A139" s="1240"/>
      <c r="B139" s="1246" t="s">
        <v>2485</v>
      </c>
      <c r="C139" s="1243">
        <v>2</v>
      </c>
      <c r="D139" s="1244">
        <v>1.5</v>
      </c>
      <c r="E139" s="1244">
        <v>0.8</v>
      </c>
      <c r="F139" s="1243"/>
      <c r="G139" s="1244">
        <v>1.4</v>
      </c>
      <c r="H139" s="1244">
        <f t="shared" si="14"/>
        <v>3.3600000000000003</v>
      </c>
      <c r="I139" s="1245"/>
      <c r="J139" s="1241"/>
      <c r="K139" s="1272"/>
    </row>
    <row r="140" spans="1:11">
      <c r="A140" s="1240"/>
      <c r="B140" s="1246" t="s">
        <v>2481</v>
      </c>
      <c r="C140" s="1243">
        <v>1</v>
      </c>
      <c r="D140" s="1244">
        <v>1.5</v>
      </c>
      <c r="E140" s="1244">
        <v>1.2</v>
      </c>
      <c r="F140" s="1244"/>
      <c r="G140" s="1244">
        <v>0.75</v>
      </c>
      <c r="H140" s="1244">
        <f t="shared" si="14"/>
        <v>1.3499999999999999</v>
      </c>
      <c r="I140" s="1245"/>
      <c r="J140" s="1241"/>
      <c r="K140" s="1272"/>
    </row>
    <row r="141" spans="1:11">
      <c r="A141" s="1240"/>
      <c r="B141" s="1246"/>
      <c r="C141" s="1246"/>
      <c r="D141" s="1246"/>
      <c r="E141" s="1246"/>
      <c r="F141" s="1246"/>
      <c r="G141" s="1246"/>
      <c r="H141" s="1249">
        <f>SUM(H137:H140)</f>
        <v>12.9</v>
      </c>
      <c r="I141" s="1243" t="s">
        <v>461</v>
      </c>
      <c r="J141" s="1252">
        <f>+'C-data'!I1232</f>
        <v>89.350000000000009</v>
      </c>
      <c r="K141" s="1272">
        <f>ROUND(J141*H141,0)</f>
        <v>1153</v>
      </c>
    </row>
    <row r="142" spans="1:11">
      <c r="A142" s="1240">
        <v>21</v>
      </c>
      <c r="B142" s="1463" t="s">
        <v>2486</v>
      </c>
      <c r="C142" s="1463"/>
      <c r="D142" s="1463"/>
      <c r="E142" s="1463"/>
      <c r="F142" s="1463"/>
      <c r="G142" s="1463"/>
      <c r="H142" s="1463"/>
      <c r="I142" s="1463"/>
      <c r="J142" s="1252"/>
      <c r="K142" s="1272"/>
    </row>
    <row r="143" spans="1:11">
      <c r="A143" s="1240"/>
      <c r="B143" s="1261"/>
      <c r="C143" s="1261"/>
      <c r="D143" s="1261"/>
      <c r="E143" s="1242">
        <v>1</v>
      </c>
      <c r="F143" s="1242"/>
      <c r="G143" s="1242"/>
      <c r="H143" s="1249">
        <v>1</v>
      </c>
      <c r="I143" s="1245" t="s">
        <v>268</v>
      </c>
      <c r="J143" s="1252">
        <v>4000</v>
      </c>
      <c r="K143" s="1272">
        <f>ROUND(J143*H143,0)</f>
        <v>4000</v>
      </c>
    </row>
    <row r="144" spans="1:11" s="1237" customFormat="1" ht="15">
      <c r="A144" s="1260">
        <v>22</v>
      </c>
      <c r="B144" s="1362" t="s">
        <v>2433</v>
      </c>
      <c r="C144" s="1363"/>
      <c r="D144" s="1363"/>
      <c r="E144" s="1363"/>
      <c r="F144" s="1363"/>
      <c r="G144" s="1364"/>
      <c r="H144" s="1363"/>
      <c r="I144" s="1365"/>
      <c r="K144" s="1366">
        <f>SUM(K10:K143)</f>
        <v>319756</v>
      </c>
    </row>
    <row r="145" spans="1:11">
      <c r="A145" s="1231">
        <v>23</v>
      </c>
      <c r="B145" s="1326" t="s">
        <v>2668</v>
      </c>
      <c r="C145" s="1326"/>
      <c r="D145" s="1326"/>
      <c r="E145" s="1326"/>
      <c r="F145" s="1326"/>
      <c r="G145" s="1326"/>
      <c r="H145" s="1326"/>
      <c r="I145" s="1243"/>
      <c r="J145" s="1241"/>
      <c r="K145" s="1367">
        <f>ROUND(K144*0.5%,0)</f>
        <v>1599</v>
      </c>
    </row>
    <row r="146" spans="1:11">
      <c r="A146" s="1231">
        <v>24</v>
      </c>
      <c r="B146" s="1326" t="s">
        <v>2669</v>
      </c>
      <c r="C146" s="1326"/>
      <c r="D146" s="1326"/>
      <c r="E146" s="1326"/>
      <c r="F146" s="1326"/>
      <c r="G146" s="1326"/>
      <c r="H146" s="1326"/>
      <c r="I146" s="1243"/>
      <c r="J146" s="1248"/>
      <c r="K146" s="1367">
        <f>K147-K145-K144</f>
        <v>18645</v>
      </c>
    </row>
    <row r="147" spans="1:11">
      <c r="A147" s="1231">
        <v>25</v>
      </c>
      <c r="B147" s="1254" t="s">
        <v>466</v>
      </c>
      <c r="C147" s="1326"/>
      <c r="D147" s="1326"/>
      <c r="E147" s="1326"/>
      <c r="F147" s="1326"/>
      <c r="G147" s="1326"/>
      <c r="H147" s="1326"/>
      <c r="I147" s="1243"/>
      <c r="J147" s="1241"/>
      <c r="K147" s="1368">
        <v>340000</v>
      </c>
    </row>
    <row r="148" spans="1:11">
      <c r="B148" s="1232"/>
      <c r="C148" s="1232"/>
      <c r="D148" s="1232"/>
      <c r="E148" s="1232"/>
      <c r="F148" s="1232"/>
      <c r="G148" s="1232"/>
      <c r="H148" s="1232"/>
      <c r="I148" s="1263"/>
      <c r="K148" s="1265"/>
    </row>
    <row r="149" spans="1:11">
      <c r="B149" s="1232"/>
      <c r="C149" s="1232"/>
      <c r="D149" s="1232"/>
      <c r="E149" s="1232"/>
      <c r="F149" s="1232"/>
      <c r="G149" s="1232"/>
      <c r="H149" s="1232"/>
      <c r="I149" s="1263"/>
      <c r="K149" s="1265"/>
    </row>
    <row r="150" spans="1:11">
      <c r="B150" s="1232"/>
      <c r="C150" s="1232"/>
      <c r="D150" s="1232"/>
      <c r="E150" s="1232"/>
      <c r="F150" s="1232"/>
      <c r="G150" s="1232"/>
      <c r="H150" s="1232"/>
      <c r="I150" s="1263"/>
      <c r="K150" s="1265"/>
    </row>
    <row r="151" spans="1:11">
      <c r="B151" s="1232"/>
      <c r="C151" s="1232"/>
      <c r="D151" s="1232"/>
      <c r="E151" s="1232"/>
      <c r="F151" s="1232"/>
      <c r="G151" s="1232"/>
      <c r="H151" s="1232"/>
      <c r="I151" s="1263"/>
      <c r="K151" s="1265"/>
    </row>
    <row r="152" spans="1:11">
      <c r="B152" s="1455" t="str">
        <f>LEAD!B41</f>
        <v xml:space="preserve">Asst Engineer </v>
      </c>
      <c r="C152" s="1455"/>
      <c r="D152" s="1455"/>
      <c r="E152" s="1455"/>
      <c r="F152" s="1455"/>
      <c r="G152" s="1455"/>
      <c r="H152" s="1456"/>
      <c r="I152" s="1456"/>
      <c r="J152" s="1456"/>
      <c r="K152" s="1265"/>
    </row>
    <row r="153" spans="1:11" s="1237" customFormat="1" ht="15">
      <c r="A153" s="1266"/>
      <c r="B153" s="1455" t="str">
        <f>LEAD!B42</f>
        <v>PR  MP Utkoor</v>
      </c>
      <c r="C153" s="1455"/>
      <c r="D153" s="1455"/>
      <c r="E153" s="1455"/>
      <c r="F153" s="1455"/>
      <c r="G153" s="1455"/>
      <c r="H153" s="1456"/>
      <c r="I153" s="1456"/>
      <c r="J153" s="1456"/>
      <c r="K153" s="1267"/>
    </row>
    <row r="154" spans="1:11" s="1237" customFormat="1" ht="15">
      <c r="A154" s="1266"/>
      <c r="B154" s="1264"/>
      <c r="C154" s="1267"/>
      <c r="D154" s="1267"/>
      <c r="E154" s="1267"/>
      <c r="F154" s="1267"/>
      <c r="G154" s="1267"/>
      <c r="H154" s="1267"/>
      <c r="I154" s="1267"/>
      <c r="J154" s="1267"/>
      <c r="K154" s="1267"/>
    </row>
    <row r="155" spans="1:11">
      <c r="B155" s="1232"/>
      <c r="C155" s="1232"/>
      <c r="D155" s="1232"/>
      <c r="E155" s="1232"/>
      <c r="F155" s="1232"/>
      <c r="G155" s="1232"/>
      <c r="H155" s="1232"/>
      <c r="I155" s="1263"/>
      <c r="K155" s="1265"/>
    </row>
    <row r="156" spans="1:11" ht="91.5" customHeight="1">
      <c r="B156" s="1468" t="s">
        <v>2600</v>
      </c>
      <c r="C156" s="1468"/>
      <c r="D156" s="1468"/>
      <c r="E156" s="1468"/>
      <c r="G156" s="1469" t="s">
        <v>2670</v>
      </c>
      <c r="H156" s="1470"/>
      <c r="I156" s="1470"/>
      <c r="J156" s="1470"/>
    </row>
    <row r="160" spans="1:11">
      <c r="H160" s="1327" t="str">
        <f>LEAD!D41</f>
        <v>Dy. Executive Engineer</v>
      </c>
    </row>
    <row r="161" spans="8:8">
      <c r="H161" s="1327" t="str">
        <f>LEAD!D42</f>
        <v>PR SD Makthal</v>
      </c>
    </row>
  </sheetData>
  <mergeCells count="33">
    <mergeCell ref="B156:E156"/>
    <mergeCell ref="G156:J156"/>
    <mergeCell ref="B21:I21"/>
    <mergeCell ref="B59:I59"/>
    <mergeCell ref="B76:I76"/>
    <mergeCell ref="B88:I88"/>
    <mergeCell ref="B91:I91"/>
    <mergeCell ref="B27:I27"/>
    <mergeCell ref="B31:I31"/>
    <mergeCell ref="B44:I44"/>
    <mergeCell ref="B56:I56"/>
    <mergeCell ref="B53:I53"/>
    <mergeCell ref="I3:K3"/>
    <mergeCell ref="B5:I5"/>
    <mergeCell ref="B11:I11"/>
    <mergeCell ref="B48:I48"/>
    <mergeCell ref="B109:I109"/>
    <mergeCell ref="A1:K1"/>
    <mergeCell ref="B153:C153"/>
    <mergeCell ref="D153:G153"/>
    <mergeCell ref="H153:J153"/>
    <mergeCell ref="B132:I132"/>
    <mergeCell ref="B136:I136"/>
    <mergeCell ref="B142:I142"/>
    <mergeCell ref="B152:C152"/>
    <mergeCell ref="D152:G152"/>
    <mergeCell ref="H152:J152"/>
    <mergeCell ref="B93:I93"/>
    <mergeCell ref="B97:I97"/>
    <mergeCell ref="B99:I99"/>
    <mergeCell ref="B105:I105"/>
    <mergeCell ref="B2:K2"/>
    <mergeCell ref="C3:D3"/>
  </mergeCells>
  <printOptions gridLines="1"/>
  <pageMargins left="0.7" right="0.7" top="0.75" bottom="0.75" header="0.3" footer="0.3"/>
  <pageSetup paperSize="9" scale="9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00B0F0"/>
  </sheetPr>
  <dimension ref="A1:IV114"/>
  <sheetViews>
    <sheetView view="pageBreakPreview" topLeftCell="A3" zoomScale="90" zoomScaleNormal="80" zoomScaleSheetLayoutView="90" workbookViewId="0">
      <selection activeCell="E26" sqref="E26"/>
    </sheetView>
  </sheetViews>
  <sheetFormatPr defaultColWidth="9" defaultRowHeight="15.3"/>
  <cols>
    <col min="1" max="1" width="4" style="131" customWidth="1"/>
    <col min="2" max="2" width="27.68359375" style="502" customWidth="1"/>
    <col min="3" max="3" width="10.578125" style="502" customWidth="1"/>
    <col min="4" max="4" width="8.578125" style="502" customWidth="1"/>
    <col min="5" max="5" width="16.26171875" style="502" customWidth="1"/>
    <col min="6" max="7" width="9.68359375" style="131" hidden="1" customWidth="1"/>
    <col min="8" max="8" width="10.15625" style="502" customWidth="1"/>
    <col min="9" max="9" width="10.83984375" style="502" customWidth="1"/>
    <col min="10" max="10" width="19" style="502" customWidth="1"/>
    <col min="11" max="11" width="10.83984375" style="502" customWidth="1"/>
    <col min="12" max="12" width="10.68359375" style="502" customWidth="1"/>
    <col min="13" max="13" width="10" style="502" customWidth="1"/>
    <col min="14" max="14" width="11.15625" style="502" customWidth="1"/>
    <col min="15" max="15" width="11.578125" style="502" customWidth="1"/>
    <col min="16" max="16" width="14" style="502" customWidth="1"/>
    <col min="17" max="17" width="9.578125" style="502" customWidth="1"/>
    <col min="18" max="18" width="16" style="502" customWidth="1"/>
    <col min="19" max="19" width="9.15625" style="502" customWidth="1"/>
    <col min="20" max="20" width="10.15625" style="502" customWidth="1"/>
    <col min="21" max="22" width="9.15625" style="502" customWidth="1"/>
    <col min="23" max="23" width="14.83984375" style="502" customWidth="1"/>
    <col min="24" max="24" width="12.68359375" style="502" customWidth="1"/>
    <col min="25" max="256" width="9.15625" style="502" customWidth="1"/>
    <col min="257" max="16384" width="9" style="382"/>
  </cols>
  <sheetData>
    <row r="1" spans="1:256">
      <c r="A1" s="1487" t="s">
        <v>78</v>
      </c>
      <c r="B1" s="1487"/>
      <c r="C1" s="1487"/>
      <c r="D1" s="1487"/>
      <c r="E1" s="1487"/>
      <c r="F1" s="1487"/>
      <c r="G1" s="1487"/>
      <c r="H1" s="1487"/>
      <c r="I1" s="1487"/>
      <c r="J1" s="1487"/>
      <c r="K1" s="1487"/>
      <c r="L1" s="1487"/>
      <c r="M1" s="1487"/>
      <c r="N1" s="1487"/>
      <c r="O1" s="1487"/>
      <c r="P1" s="1487"/>
      <c r="Q1" s="1487"/>
    </row>
    <row r="2" spans="1:256" ht="17.399999999999999">
      <c r="A2" s="1488" t="str">
        <f>Inputsheet!E1</f>
        <v>Construction of Kitchen shed at ZPHS  Bijwar(V) of Utkoor(M)</v>
      </c>
      <c r="B2" s="1488"/>
      <c r="C2" s="1488"/>
      <c r="D2" s="1488"/>
      <c r="E2" s="1488"/>
      <c r="F2" s="1488"/>
      <c r="G2" s="1488"/>
      <c r="H2" s="1488"/>
      <c r="I2" s="1488"/>
      <c r="J2" s="1488"/>
      <c r="K2" s="1488"/>
      <c r="L2" s="1488"/>
      <c r="M2" s="1488"/>
      <c r="N2" s="1488"/>
      <c r="O2" s="1488"/>
      <c r="P2" s="1488"/>
      <c r="Q2" s="1488"/>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c r="CL2" s="139"/>
      <c r="CM2" s="139"/>
      <c r="CN2" s="139"/>
      <c r="CO2" s="139"/>
      <c r="CP2" s="139"/>
      <c r="CQ2" s="139"/>
      <c r="CR2" s="139"/>
      <c r="CS2" s="139"/>
      <c r="CT2" s="139"/>
      <c r="CU2" s="139"/>
      <c r="CV2" s="139"/>
      <c r="CW2" s="139"/>
      <c r="CX2" s="139"/>
      <c r="CY2" s="139"/>
      <c r="CZ2" s="139"/>
      <c r="DA2" s="139"/>
      <c r="DB2" s="139"/>
      <c r="DC2" s="139"/>
      <c r="DD2" s="139"/>
      <c r="DE2" s="139"/>
      <c r="DF2" s="139"/>
      <c r="DG2" s="139"/>
      <c r="DH2" s="139"/>
      <c r="DI2" s="139"/>
      <c r="DJ2" s="139"/>
      <c r="DK2" s="139"/>
      <c r="DL2" s="139"/>
      <c r="DM2" s="139"/>
      <c r="DN2" s="139"/>
      <c r="DO2" s="139"/>
      <c r="DP2" s="139"/>
      <c r="DQ2" s="139"/>
      <c r="DR2" s="139"/>
      <c r="DS2" s="139"/>
      <c r="DT2" s="139"/>
      <c r="DU2" s="139"/>
      <c r="DV2" s="139"/>
      <c r="DW2" s="139"/>
      <c r="DX2" s="139"/>
      <c r="DY2" s="139"/>
      <c r="DZ2" s="139"/>
      <c r="EA2" s="139"/>
      <c r="EB2" s="139"/>
      <c r="EC2" s="139"/>
      <c r="ED2" s="139"/>
      <c r="EE2" s="139"/>
      <c r="EF2" s="139"/>
      <c r="EG2" s="139"/>
      <c r="EH2" s="139"/>
      <c r="EI2" s="139"/>
      <c r="EJ2" s="139"/>
      <c r="EK2" s="139"/>
      <c r="EL2" s="139"/>
      <c r="EM2" s="139"/>
      <c r="EN2" s="139"/>
      <c r="EO2" s="139"/>
      <c r="EP2" s="139"/>
      <c r="EQ2" s="139"/>
      <c r="ER2" s="139"/>
      <c r="ES2" s="139"/>
      <c r="ET2" s="139"/>
      <c r="EU2" s="139"/>
      <c r="EV2" s="139"/>
      <c r="EW2" s="139"/>
      <c r="EX2" s="139"/>
      <c r="EY2" s="139"/>
      <c r="EZ2" s="139"/>
      <c r="FA2" s="139"/>
      <c r="FB2" s="139"/>
      <c r="FC2" s="139"/>
      <c r="FD2" s="139"/>
      <c r="FE2" s="139"/>
      <c r="FF2" s="139"/>
      <c r="FG2" s="139"/>
      <c r="FH2" s="139"/>
      <c r="FI2" s="139"/>
      <c r="FJ2" s="139"/>
      <c r="FK2" s="139"/>
      <c r="FL2" s="139"/>
      <c r="FM2" s="139"/>
      <c r="FN2" s="139"/>
      <c r="FO2" s="139"/>
      <c r="FP2" s="139"/>
      <c r="FQ2" s="139"/>
      <c r="FR2" s="139"/>
      <c r="FS2" s="139"/>
      <c r="FT2" s="139"/>
      <c r="FU2" s="139"/>
      <c r="FV2" s="139"/>
      <c r="FW2" s="139"/>
      <c r="FX2" s="139"/>
      <c r="FY2" s="139"/>
      <c r="FZ2" s="139"/>
      <c r="GA2" s="139"/>
      <c r="GB2" s="139"/>
      <c r="GC2" s="139"/>
      <c r="GD2" s="139"/>
      <c r="GE2" s="139"/>
      <c r="GF2" s="139"/>
      <c r="GG2" s="139"/>
      <c r="GH2" s="139"/>
      <c r="GI2" s="139"/>
      <c r="GJ2" s="139"/>
      <c r="GK2" s="139"/>
      <c r="GL2" s="139"/>
      <c r="GM2" s="139"/>
      <c r="GN2" s="139"/>
      <c r="GO2" s="139"/>
      <c r="GP2" s="139"/>
      <c r="GQ2" s="139"/>
      <c r="GR2" s="139"/>
      <c r="GS2" s="139"/>
      <c r="GT2" s="139"/>
      <c r="GU2" s="139"/>
      <c r="GV2" s="139"/>
      <c r="GW2" s="139"/>
      <c r="GX2" s="139"/>
      <c r="GY2" s="139"/>
      <c r="GZ2" s="139"/>
      <c r="HA2" s="139"/>
      <c r="HB2" s="139"/>
      <c r="HC2" s="139"/>
      <c r="HD2" s="139"/>
      <c r="HE2" s="139"/>
    </row>
    <row r="3" spans="1:256">
      <c r="A3" s="1489" t="s">
        <v>2588</v>
      </c>
      <c r="B3" s="1490"/>
      <c r="C3" s="1490"/>
      <c r="D3" s="1490"/>
      <c r="E3" s="1490"/>
      <c r="F3" s="1490"/>
      <c r="G3" s="1490"/>
      <c r="H3" s="1490"/>
      <c r="I3" s="1490"/>
      <c r="J3" s="1490"/>
      <c r="K3" s="1490"/>
      <c r="L3" s="1490"/>
      <c r="M3" s="1490"/>
      <c r="N3" s="1490"/>
      <c r="O3" s="1490"/>
      <c r="P3" s="1490"/>
      <c r="Q3" s="1491"/>
    </row>
    <row r="4" spans="1:256" ht="27" customHeight="1">
      <c r="A4" s="1486" t="s">
        <v>694</v>
      </c>
      <c r="B4" s="1486" t="s">
        <v>563</v>
      </c>
      <c r="C4" s="1486" t="s">
        <v>240</v>
      </c>
      <c r="D4" s="1486" t="s">
        <v>25</v>
      </c>
      <c r="E4" s="1486" t="s">
        <v>241</v>
      </c>
      <c r="F4" s="1486" t="s">
        <v>242</v>
      </c>
      <c r="G4" s="1486"/>
      <c r="H4" s="1486"/>
      <c r="I4" s="1486" t="s">
        <v>203</v>
      </c>
      <c r="J4" s="1486" t="s">
        <v>202</v>
      </c>
      <c r="K4" s="1486" t="s">
        <v>24</v>
      </c>
      <c r="L4" s="1486" t="s">
        <v>382</v>
      </c>
      <c r="M4" s="1486" t="s">
        <v>67</v>
      </c>
      <c r="N4" s="1486" t="s">
        <v>426</v>
      </c>
      <c r="O4" s="1486" t="str">
        <f>CONCATENATE("Area allowence on loading &amp; unloading charges   @ ",'C-data'!E5*100," %")</f>
        <v>Area allowence on loading &amp; unloading charges   @ 0 %</v>
      </c>
      <c r="P4" s="1486" t="s">
        <v>466</v>
      </c>
      <c r="Q4" s="1486" t="s">
        <v>383</v>
      </c>
    </row>
    <row r="5" spans="1:256" s="10" customFormat="1" ht="84.75" customHeight="1">
      <c r="A5" s="1486"/>
      <c r="B5" s="1486"/>
      <c r="C5" s="1486"/>
      <c r="D5" s="1486"/>
      <c r="E5" s="1486"/>
      <c r="F5" s="3" t="s">
        <v>384</v>
      </c>
      <c r="G5" s="3" t="s">
        <v>385</v>
      </c>
      <c r="H5" s="3" t="s">
        <v>466</v>
      </c>
      <c r="I5" s="1486"/>
      <c r="J5" s="1486"/>
      <c r="K5" s="1486"/>
      <c r="L5" s="1486"/>
      <c r="M5" s="1486"/>
      <c r="N5" s="1486"/>
      <c r="O5" s="1486"/>
      <c r="P5" s="1486"/>
      <c r="Q5" s="1486" t="s">
        <v>455</v>
      </c>
    </row>
    <row r="6" spans="1:256" s="10" customFormat="1">
      <c r="A6" s="11">
        <v>1</v>
      </c>
      <c r="B6" s="11">
        <f t="shared" ref="B6:Q6" si="0">A6+1</f>
        <v>2</v>
      </c>
      <c r="C6" s="11">
        <f t="shared" si="0"/>
        <v>3</v>
      </c>
      <c r="D6" s="11">
        <f t="shared" si="0"/>
        <v>4</v>
      </c>
      <c r="E6" s="11">
        <f t="shared" si="0"/>
        <v>5</v>
      </c>
      <c r="F6" s="11">
        <f t="shared" si="0"/>
        <v>6</v>
      </c>
      <c r="G6" s="11">
        <f t="shared" si="0"/>
        <v>7</v>
      </c>
      <c r="H6" s="11">
        <f t="shared" si="0"/>
        <v>8</v>
      </c>
      <c r="I6" s="11">
        <f t="shared" si="0"/>
        <v>9</v>
      </c>
      <c r="J6" s="11">
        <f t="shared" si="0"/>
        <v>10</v>
      </c>
      <c r="K6" s="11">
        <f t="shared" si="0"/>
        <v>11</v>
      </c>
      <c r="L6" s="11">
        <f t="shared" si="0"/>
        <v>12</v>
      </c>
      <c r="M6" s="11">
        <f t="shared" si="0"/>
        <v>13</v>
      </c>
      <c r="N6" s="11">
        <f t="shared" si="0"/>
        <v>14</v>
      </c>
      <c r="O6" s="11">
        <f t="shared" si="0"/>
        <v>15</v>
      </c>
      <c r="P6" s="11">
        <f t="shared" si="0"/>
        <v>16</v>
      </c>
      <c r="Q6" s="11">
        <f t="shared" si="0"/>
        <v>17</v>
      </c>
    </row>
    <row r="7" spans="1:256">
      <c r="A7" s="138">
        <v>1</v>
      </c>
      <c r="B7" s="1393" t="s">
        <v>710</v>
      </c>
      <c r="C7" s="134" t="s">
        <v>1322</v>
      </c>
      <c r="D7" s="1394"/>
      <c r="E7" s="1395" t="str">
        <f>Inputsheet!B13</f>
        <v>Sangambanda</v>
      </c>
      <c r="F7" s="1395">
        <f>Inputsheet!C13</f>
        <v>29</v>
      </c>
      <c r="G7" s="1396">
        <v>0</v>
      </c>
      <c r="H7" s="1397">
        <f>CEILING((F7+G7*1.1),1)</f>
        <v>29</v>
      </c>
      <c r="I7" s="1398">
        <f>VLOOKUP(H7,Conv!$C$3:$P$852,2)</f>
        <v>437.11999999999983</v>
      </c>
      <c r="J7" s="1399">
        <v>0</v>
      </c>
      <c r="K7" s="1400">
        <v>0</v>
      </c>
      <c r="L7" s="1401">
        <v>0</v>
      </c>
      <c r="M7" s="1402">
        <v>0</v>
      </c>
      <c r="N7" s="1402">
        <v>0</v>
      </c>
      <c r="O7" s="1402">
        <v>0</v>
      </c>
      <c r="P7" s="1403">
        <f>I7+J7+K7+L7+M7+N7+O7</f>
        <v>437.11999999999983</v>
      </c>
      <c r="Q7" s="1404" t="s">
        <v>386</v>
      </c>
      <c r="R7" s="1482"/>
      <c r="S7" s="1482"/>
      <c r="T7" s="1482"/>
      <c r="U7" s="1482"/>
    </row>
    <row r="8" spans="1:256">
      <c r="A8" s="138">
        <v>2</v>
      </c>
      <c r="B8" s="1393" t="s">
        <v>387</v>
      </c>
      <c r="C8" s="134" t="s">
        <v>1323</v>
      </c>
      <c r="D8" s="1394"/>
      <c r="E8" s="1395" t="s">
        <v>388</v>
      </c>
      <c r="F8" s="1395">
        <v>5</v>
      </c>
      <c r="G8" s="1405">
        <v>0</v>
      </c>
      <c r="H8" s="1397">
        <f>CEILING((F8+G8*1.1),1)</f>
        <v>5</v>
      </c>
      <c r="I8" s="1398">
        <f>VLOOKUP(H8,Conv!$C$3:$P$852,2)</f>
        <v>94.88</v>
      </c>
      <c r="J8" s="1399">
        <v>0</v>
      </c>
      <c r="K8" s="1400">
        <v>0</v>
      </c>
      <c r="L8" s="1401">
        <v>0</v>
      </c>
      <c r="M8" s="1402">
        <v>0</v>
      </c>
      <c r="N8" s="1402">
        <v>0</v>
      </c>
      <c r="O8" s="1402">
        <v>0</v>
      </c>
      <c r="P8" s="1403">
        <f>I8+J8+K8+L8+M8+N8+O8</f>
        <v>94.88</v>
      </c>
      <c r="Q8" s="1404" t="s">
        <v>386</v>
      </c>
      <c r="R8" s="1482"/>
      <c r="S8" s="1482"/>
      <c r="T8" s="1482"/>
      <c r="U8" s="1482"/>
    </row>
    <row r="9" spans="1:256">
      <c r="A9" s="138">
        <f>A8+1</f>
        <v>3</v>
      </c>
      <c r="B9" s="1393" t="s">
        <v>601</v>
      </c>
      <c r="C9" s="134" t="s">
        <v>1324</v>
      </c>
      <c r="D9" s="1394"/>
      <c r="E9" s="1395" t="str">
        <f>E7</f>
        <v>Sangambanda</v>
      </c>
      <c r="F9" s="1395">
        <f>F7</f>
        <v>29</v>
      </c>
      <c r="G9" s="1396">
        <v>0</v>
      </c>
      <c r="H9" s="1401">
        <f>CEILING((F9+G9*1.1),1)</f>
        <v>29</v>
      </c>
      <c r="I9" s="1398">
        <f>VLOOKUP(H9,Conv!$C$3:$P$852,2)</f>
        <v>437.11999999999983</v>
      </c>
      <c r="J9" s="1399">
        <v>0</v>
      </c>
      <c r="K9" s="1400">
        <v>0</v>
      </c>
      <c r="L9" s="1401">
        <v>0</v>
      </c>
      <c r="M9" s="1402">
        <v>0</v>
      </c>
      <c r="N9" s="1402">
        <v>0</v>
      </c>
      <c r="O9" s="1402">
        <v>0</v>
      </c>
      <c r="P9" s="1403">
        <f>I9+J9+K9+L9+M9+N9+O9</f>
        <v>437.11999999999983</v>
      </c>
      <c r="Q9" s="1404" t="s">
        <v>386</v>
      </c>
      <c r="R9" s="1482"/>
      <c r="S9" s="1482"/>
      <c r="T9" s="1482"/>
      <c r="U9" s="1482"/>
    </row>
    <row r="10" spans="1:256">
      <c r="A10" s="138">
        <f t="shared" ref="A10:A32" si="1">A9+1</f>
        <v>4</v>
      </c>
      <c r="B10" s="1393" t="s">
        <v>389</v>
      </c>
      <c r="C10" s="134" t="s">
        <v>1179</v>
      </c>
      <c r="D10" s="134"/>
      <c r="E10" s="1395" t="s">
        <v>388</v>
      </c>
      <c r="F10" s="1395">
        <v>5</v>
      </c>
      <c r="G10" s="1405">
        <v>0</v>
      </c>
      <c r="H10" s="1397">
        <f>CEILING((F10+G10*1.1),1)</f>
        <v>5</v>
      </c>
      <c r="I10" s="1398">
        <f>VLOOKUP(H10,Conv!$C$3:$P$852,2)</f>
        <v>94.88</v>
      </c>
      <c r="J10" s="1399">
        <v>98</v>
      </c>
      <c r="K10" s="1400">
        <v>0</v>
      </c>
      <c r="L10" s="1401">
        <v>0</v>
      </c>
      <c r="M10" s="1402">
        <v>0</v>
      </c>
      <c r="N10" s="1402">
        <v>0</v>
      </c>
      <c r="O10" s="1402">
        <v>0</v>
      </c>
      <c r="P10" s="1403">
        <f t="shared" ref="P10:P27" si="2">I10+J10+K10+L10+M10+N10+O10</f>
        <v>192.88</v>
      </c>
      <c r="Q10" s="1404" t="s">
        <v>386</v>
      </c>
      <c r="R10" s="1482"/>
      <c r="S10" s="1482"/>
      <c r="T10" s="1482"/>
      <c r="U10" s="1482"/>
    </row>
    <row r="11" spans="1:256" ht="30.6">
      <c r="A11" s="138">
        <f>A10+1</f>
        <v>5</v>
      </c>
      <c r="B11" s="137" t="s">
        <v>1180</v>
      </c>
      <c r="C11" s="134" t="s">
        <v>1325</v>
      </c>
      <c r="D11" s="1394"/>
      <c r="E11" s="1395" t="str">
        <f>Inputsheet!B14</f>
        <v>Gudeballur</v>
      </c>
      <c r="F11" s="1395">
        <f>Inputsheet!C14</f>
        <v>38</v>
      </c>
      <c r="G11" s="1405">
        <v>0</v>
      </c>
      <c r="H11" s="1397">
        <f t="shared" ref="H11:H21" si="3">CEILING((F11+G11*1.1),1)</f>
        <v>38</v>
      </c>
      <c r="I11" s="1398">
        <f>VLOOKUP(H11,Conv!$C$3:$P$852,3)</f>
        <v>546.41999999999985</v>
      </c>
      <c r="J11" s="1399">
        <v>239</v>
      </c>
      <c r="K11" s="1400">
        <v>0</v>
      </c>
      <c r="L11" s="1401">
        <v>0</v>
      </c>
      <c r="M11" s="1402">
        <v>0</v>
      </c>
      <c r="N11" s="1402">
        <v>0</v>
      </c>
      <c r="O11" s="1402">
        <v>0</v>
      </c>
      <c r="P11" s="1403">
        <f t="shared" si="2"/>
        <v>785.41999999999985</v>
      </c>
      <c r="Q11" s="1404" t="s">
        <v>386</v>
      </c>
      <c r="R11" s="1482"/>
      <c r="S11" s="1482"/>
      <c r="T11" s="1482"/>
    </row>
    <row r="12" spans="1:256" ht="30.6">
      <c r="A12" s="138">
        <f t="shared" si="1"/>
        <v>6</v>
      </c>
      <c r="B12" s="137" t="s">
        <v>390</v>
      </c>
      <c r="C12" s="1394" t="s">
        <v>1326</v>
      </c>
      <c r="D12" s="1394"/>
      <c r="E12" s="1395" t="str">
        <f t="shared" ref="E12:E19" si="4">E11</f>
        <v>Gudeballur</v>
      </c>
      <c r="F12" s="1395">
        <f t="shared" ref="F12:F19" si="5">F11</f>
        <v>38</v>
      </c>
      <c r="G12" s="1405">
        <v>0</v>
      </c>
      <c r="H12" s="1397">
        <f t="shared" si="3"/>
        <v>38</v>
      </c>
      <c r="I12" s="1398">
        <f>VLOOKUP(H12,Conv!$C$3:$P$852,3)</f>
        <v>546.41999999999985</v>
      </c>
      <c r="J12" s="1399">
        <v>249</v>
      </c>
      <c r="K12" s="1400">
        <v>0</v>
      </c>
      <c r="L12" s="1401">
        <v>0</v>
      </c>
      <c r="M12" s="1402">
        <v>0</v>
      </c>
      <c r="N12" s="1402">
        <v>0</v>
      </c>
      <c r="O12" s="1402">
        <v>0</v>
      </c>
      <c r="P12" s="1403">
        <f t="shared" si="2"/>
        <v>795.41999999999985</v>
      </c>
      <c r="Q12" s="1404" t="s">
        <v>386</v>
      </c>
      <c r="R12" s="1482"/>
      <c r="S12" s="1482"/>
      <c r="T12" s="1482"/>
    </row>
    <row r="13" spans="1:256" ht="29.1" customHeight="1">
      <c r="A13" s="138">
        <f t="shared" si="1"/>
        <v>7</v>
      </c>
      <c r="B13" s="137" t="s">
        <v>521</v>
      </c>
      <c r="C13" s="1394" t="s">
        <v>1327</v>
      </c>
      <c r="D13" s="1394"/>
      <c r="E13" s="1395" t="str">
        <f t="shared" si="4"/>
        <v>Gudeballur</v>
      </c>
      <c r="F13" s="1395">
        <f t="shared" si="5"/>
        <v>38</v>
      </c>
      <c r="G13" s="1405">
        <v>0</v>
      </c>
      <c r="H13" s="1397">
        <f>CEILING((F13+G13*1.1),1)</f>
        <v>38</v>
      </c>
      <c r="I13" s="1398">
        <f>VLOOKUP(H13,Conv!$C$3:$P$852,3)</f>
        <v>546.41999999999985</v>
      </c>
      <c r="J13" s="1399">
        <f>V13</f>
        <v>1523.8095238095239</v>
      </c>
      <c r="K13" s="1400">
        <v>0</v>
      </c>
      <c r="L13" s="1401">
        <v>0</v>
      </c>
      <c r="M13" s="1402">
        <v>0</v>
      </c>
      <c r="N13" s="1402">
        <v>0</v>
      </c>
      <c r="O13" s="1402">
        <v>0</v>
      </c>
      <c r="P13" s="1403">
        <f>I13+J13+K13+L13+M13+N13+O13</f>
        <v>2070.2295238095239</v>
      </c>
      <c r="Q13" s="1404" t="s">
        <v>386</v>
      </c>
      <c r="R13" s="136" t="s">
        <v>1028</v>
      </c>
      <c r="S13" s="502">
        <f>0.25*0.25*0.45</f>
        <v>2.8125000000000001E-2</v>
      </c>
      <c r="T13" s="502">
        <f>0.25*0.25*0.6</f>
        <v>3.7499999999999999E-2</v>
      </c>
      <c r="U13" s="502">
        <f>(S13+T13)/2</f>
        <v>3.2812500000000001E-2</v>
      </c>
      <c r="V13" s="502">
        <f>50/U13</f>
        <v>1523.8095238095239</v>
      </c>
    </row>
    <row r="14" spans="1:256" ht="27.6" customHeight="1">
      <c r="A14" s="138">
        <f t="shared" si="1"/>
        <v>8</v>
      </c>
      <c r="B14" s="137" t="s">
        <v>2591</v>
      </c>
      <c r="C14" s="1394" t="s">
        <v>1327</v>
      </c>
      <c r="D14" s="1394"/>
      <c r="E14" s="1395" t="str">
        <f t="shared" si="4"/>
        <v>Gudeballur</v>
      </c>
      <c r="F14" s="1395">
        <f t="shared" si="5"/>
        <v>38</v>
      </c>
      <c r="G14" s="1405">
        <v>0</v>
      </c>
      <c r="H14" s="1397">
        <f>CEILING((F14+G14*1.1),1)</f>
        <v>38</v>
      </c>
      <c r="I14" s="1398">
        <f>VLOOKUP(H14,Conv!$C$3:$P$852,3)</f>
        <v>546.41999999999985</v>
      </c>
      <c r="J14" s="1399">
        <f>V14</f>
        <v>1208.333333333333</v>
      </c>
      <c r="K14" s="1400">
        <v>0</v>
      </c>
      <c r="L14" s="1401">
        <v>0</v>
      </c>
      <c r="M14" s="1402">
        <v>0</v>
      </c>
      <c r="N14" s="1402">
        <v>0</v>
      </c>
      <c r="O14" s="1402">
        <v>0</v>
      </c>
      <c r="P14" s="1403">
        <f>I14+J14+K14+L14+M14+N14+O14</f>
        <v>1754.7533333333329</v>
      </c>
      <c r="Q14" s="1404" t="s">
        <v>386</v>
      </c>
      <c r="R14" s="136" t="s">
        <v>1028</v>
      </c>
      <c r="S14" s="1316">
        <f>0.2*0.2*0.6</f>
        <v>2.4000000000000004E-2</v>
      </c>
      <c r="T14" s="1316">
        <v>0</v>
      </c>
      <c r="U14" s="1316">
        <f>(S14+T14)</f>
        <v>2.4000000000000004E-2</v>
      </c>
      <c r="V14" s="1316">
        <f>29/U14</f>
        <v>1208.333333333333</v>
      </c>
      <c r="W14" s="1316"/>
      <c r="X14" s="1316"/>
      <c r="Y14" s="1316"/>
      <c r="Z14" s="1316"/>
      <c r="AA14" s="1316"/>
      <c r="AB14" s="1316"/>
      <c r="AC14" s="1316"/>
      <c r="AD14" s="1316"/>
      <c r="AE14" s="1316"/>
      <c r="AF14" s="1316"/>
      <c r="AG14" s="1316"/>
      <c r="AH14" s="1316"/>
      <c r="AI14" s="1316"/>
      <c r="AJ14" s="1316"/>
      <c r="AK14" s="1316"/>
      <c r="AL14" s="1316"/>
      <c r="AM14" s="1316"/>
      <c r="AN14" s="1316"/>
      <c r="AO14" s="1316"/>
      <c r="AP14" s="1316"/>
      <c r="AQ14" s="1316"/>
      <c r="AR14" s="1316"/>
      <c r="AS14" s="1316"/>
      <c r="AT14" s="1316"/>
      <c r="AU14" s="1316"/>
      <c r="AV14" s="1316"/>
      <c r="AW14" s="1316"/>
      <c r="AX14" s="1316"/>
      <c r="AY14" s="1316"/>
      <c r="AZ14" s="1316"/>
      <c r="BA14" s="1316"/>
      <c r="BB14" s="1316"/>
      <c r="BC14" s="1316"/>
      <c r="BD14" s="1316"/>
      <c r="BE14" s="1316"/>
      <c r="BF14" s="1316"/>
      <c r="BG14" s="1316"/>
      <c r="BH14" s="1316"/>
      <c r="BI14" s="1316"/>
      <c r="BJ14" s="1316"/>
      <c r="BK14" s="1316"/>
      <c r="BL14" s="1316"/>
      <c r="BM14" s="1316"/>
      <c r="BN14" s="1316"/>
      <c r="BO14" s="1316"/>
      <c r="BP14" s="1316"/>
      <c r="BQ14" s="1316"/>
      <c r="BR14" s="1316"/>
      <c r="BS14" s="1316"/>
      <c r="BT14" s="1316"/>
      <c r="BU14" s="1316"/>
      <c r="BV14" s="1316"/>
      <c r="BW14" s="1316"/>
      <c r="BX14" s="1316"/>
      <c r="BY14" s="1316"/>
      <c r="BZ14" s="1316"/>
      <c r="CA14" s="1316"/>
      <c r="CB14" s="1316"/>
      <c r="CC14" s="1316"/>
      <c r="CD14" s="1316"/>
      <c r="CE14" s="1316"/>
      <c r="CF14" s="1316"/>
      <c r="CG14" s="1316"/>
      <c r="CH14" s="1316"/>
      <c r="CI14" s="1316"/>
      <c r="CJ14" s="1316"/>
      <c r="CK14" s="1316"/>
      <c r="CL14" s="1316"/>
      <c r="CM14" s="1316"/>
      <c r="CN14" s="1316"/>
      <c r="CO14" s="1316"/>
      <c r="CP14" s="1316"/>
      <c r="CQ14" s="1316"/>
      <c r="CR14" s="1316"/>
      <c r="CS14" s="1316"/>
      <c r="CT14" s="1316"/>
      <c r="CU14" s="1316"/>
      <c r="CV14" s="1316"/>
      <c r="CW14" s="1316"/>
      <c r="CX14" s="1316"/>
      <c r="CY14" s="1316"/>
      <c r="CZ14" s="1316"/>
      <c r="DA14" s="1316"/>
      <c r="DB14" s="1316"/>
      <c r="DC14" s="1316"/>
      <c r="DD14" s="1316"/>
      <c r="DE14" s="1316"/>
      <c r="DF14" s="1316"/>
      <c r="DG14" s="1316"/>
      <c r="DH14" s="1316"/>
      <c r="DI14" s="1316"/>
      <c r="DJ14" s="1316"/>
      <c r="DK14" s="1316"/>
      <c r="DL14" s="1316"/>
      <c r="DM14" s="1316"/>
      <c r="DN14" s="1316"/>
      <c r="DO14" s="1316"/>
      <c r="DP14" s="1316"/>
      <c r="DQ14" s="1316"/>
      <c r="DR14" s="1316"/>
      <c r="DS14" s="1316"/>
      <c r="DT14" s="1316"/>
      <c r="DU14" s="1316"/>
      <c r="DV14" s="1316"/>
      <c r="DW14" s="1316"/>
      <c r="DX14" s="1316"/>
      <c r="DY14" s="1316"/>
      <c r="DZ14" s="1316"/>
      <c r="EA14" s="1316"/>
      <c r="EB14" s="1316"/>
      <c r="EC14" s="1316"/>
      <c r="ED14" s="1316"/>
      <c r="EE14" s="1316"/>
      <c r="EF14" s="1316"/>
      <c r="EG14" s="1316"/>
      <c r="EH14" s="1316"/>
      <c r="EI14" s="1316"/>
      <c r="EJ14" s="1316"/>
      <c r="EK14" s="1316"/>
      <c r="EL14" s="1316"/>
      <c r="EM14" s="1316"/>
      <c r="EN14" s="1316"/>
      <c r="EO14" s="1316"/>
      <c r="EP14" s="1316"/>
      <c r="EQ14" s="1316"/>
      <c r="ER14" s="1316"/>
      <c r="ES14" s="1316"/>
      <c r="ET14" s="1316"/>
      <c r="EU14" s="1316"/>
      <c r="EV14" s="1316"/>
      <c r="EW14" s="1316"/>
      <c r="EX14" s="1316"/>
      <c r="EY14" s="1316"/>
      <c r="EZ14" s="1316"/>
      <c r="FA14" s="1316"/>
      <c r="FB14" s="1316"/>
      <c r="FC14" s="1316"/>
      <c r="FD14" s="1316"/>
      <c r="FE14" s="1316"/>
      <c r="FF14" s="1316"/>
      <c r="FG14" s="1316"/>
      <c r="FH14" s="1316"/>
      <c r="FI14" s="1316"/>
      <c r="FJ14" s="1316"/>
      <c r="FK14" s="1316"/>
      <c r="FL14" s="1316"/>
      <c r="FM14" s="1316"/>
      <c r="FN14" s="1316"/>
      <c r="FO14" s="1316"/>
      <c r="FP14" s="1316"/>
      <c r="FQ14" s="1316"/>
      <c r="FR14" s="1316"/>
      <c r="FS14" s="1316"/>
      <c r="FT14" s="1316"/>
      <c r="FU14" s="1316"/>
      <c r="FV14" s="1316"/>
      <c r="FW14" s="1316"/>
      <c r="FX14" s="1316"/>
      <c r="FY14" s="1316"/>
      <c r="FZ14" s="1316"/>
      <c r="GA14" s="1316"/>
      <c r="GB14" s="1316"/>
      <c r="GC14" s="1316"/>
      <c r="GD14" s="1316"/>
      <c r="GE14" s="1316"/>
      <c r="GF14" s="1316"/>
      <c r="GG14" s="1316"/>
      <c r="GH14" s="1316"/>
      <c r="GI14" s="1316"/>
      <c r="GJ14" s="1316"/>
      <c r="GK14" s="1316"/>
      <c r="GL14" s="1316"/>
      <c r="GM14" s="1316"/>
      <c r="GN14" s="1316"/>
      <c r="GO14" s="1316"/>
      <c r="GP14" s="1316"/>
      <c r="GQ14" s="1316"/>
      <c r="GR14" s="1316"/>
      <c r="GS14" s="1316"/>
      <c r="GT14" s="1316"/>
      <c r="GU14" s="1316"/>
      <c r="GV14" s="1316"/>
      <c r="GW14" s="1316"/>
      <c r="GX14" s="1316"/>
      <c r="GY14" s="1316"/>
      <c r="GZ14" s="1316"/>
      <c r="HA14" s="1316"/>
      <c r="HB14" s="1316"/>
      <c r="HC14" s="1316"/>
      <c r="HD14" s="1316"/>
      <c r="HE14" s="1316"/>
      <c r="HF14" s="1316"/>
      <c r="HG14" s="1316"/>
      <c r="HH14" s="1316"/>
      <c r="HI14" s="1316"/>
      <c r="HJ14" s="1316"/>
      <c r="HK14" s="1316"/>
      <c r="HL14" s="1316"/>
      <c r="HM14" s="1316"/>
      <c r="HN14" s="1316"/>
      <c r="HO14" s="1316"/>
      <c r="HP14" s="1316"/>
      <c r="HQ14" s="1316"/>
      <c r="HR14" s="1316"/>
      <c r="HS14" s="1316"/>
      <c r="HT14" s="1316"/>
      <c r="HU14" s="1316"/>
      <c r="HV14" s="1316"/>
      <c r="HW14" s="1316"/>
      <c r="HX14" s="1316"/>
      <c r="HY14" s="1316"/>
      <c r="HZ14" s="1316"/>
      <c r="IA14" s="1316"/>
      <c r="IB14" s="1316"/>
      <c r="IC14" s="1316"/>
      <c r="ID14" s="1316"/>
      <c r="IE14" s="1316"/>
      <c r="IF14" s="1316"/>
      <c r="IG14" s="1316"/>
      <c r="IH14" s="1316"/>
      <c r="II14" s="1316"/>
      <c r="IJ14" s="1316"/>
      <c r="IK14" s="1316"/>
      <c r="IL14" s="1316"/>
      <c r="IM14" s="1316"/>
      <c r="IN14" s="1316"/>
      <c r="IO14" s="1316"/>
      <c r="IP14" s="1316"/>
      <c r="IQ14" s="1316"/>
      <c r="IR14" s="1316"/>
      <c r="IS14" s="1316"/>
      <c r="IT14" s="1316"/>
      <c r="IU14" s="1316"/>
      <c r="IV14" s="1316"/>
    </row>
    <row r="15" spans="1:256" ht="30.6">
      <c r="A15" s="138">
        <f>+A14+1</f>
        <v>9</v>
      </c>
      <c r="B15" s="134" t="s">
        <v>391</v>
      </c>
      <c r="C15" s="134" t="s">
        <v>1328</v>
      </c>
      <c r="D15" s="1394"/>
      <c r="E15" s="1395" t="str">
        <f>E13</f>
        <v>Gudeballur</v>
      </c>
      <c r="F15" s="1395">
        <f>F13</f>
        <v>38</v>
      </c>
      <c r="G15" s="1405">
        <v>0</v>
      </c>
      <c r="H15" s="1397">
        <f t="shared" si="3"/>
        <v>38</v>
      </c>
      <c r="I15" s="1398">
        <f>VLOOKUP(H15,Conv!$C$3:$P$852,3)</f>
        <v>546.41999999999985</v>
      </c>
      <c r="J15" s="1399">
        <f>(505*1.25)+70</f>
        <v>701.25</v>
      </c>
      <c r="K15" s="1400">
        <v>0</v>
      </c>
      <c r="L15" s="1401">
        <v>0</v>
      </c>
      <c r="M15" s="1402">
        <v>0</v>
      </c>
      <c r="N15" s="1402">
        <v>0</v>
      </c>
      <c r="O15" s="1402">
        <v>0</v>
      </c>
      <c r="P15" s="1403">
        <f t="shared" si="2"/>
        <v>1247.6699999999998</v>
      </c>
      <c r="Q15" s="1404" t="s">
        <v>386</v>
      </c>
      <c r="R15" s="1482"/>
      <c r="S15" s="1482"/>
      <c r="T15" s="1482"/>
    </row>
    <row r="16" spans="1:256" s="135" customFormat="1" ht="30.6">
      <c r="A16" s="138">
        <f t="shared" si="1"/>
        <v>10</v>
      </c>
      <c r="B16" s="134" t="s">
        <v>1181</v>
      </c>
      <c r="C16" s="134" t="s">
        <v>1334</v>
      </c>
      <c r="D16" s="1393"/>
      <c r="E16" s="1395" t="str">
        <f t="shared" si="4"/>
        <v>Gudeballur</v>
      </c>
      <c r="F16" s="1395">
        <f t="shared" si="5"/>
        <v>38</v>
      </c>
      <c r="G16" s="1405">
        <v>0</v>
      </c>
      <c r="H16" s="1397">
        <f t="shared" si="3"/>
        <v>38</v>
      </c>
      <c r="I16" s="1398">
        <f>VLOOKUP(H16,Conv!$C$3:$P$852,3)</f>
        <v>546.41999999999985</v>
      </c>
      <c r="J16" s="1399">
        <f>(870*1.25)+70</f>
        <v>1157.5</v>
      </c>
      <c r="K16" s="1400">
        <v>0</v>
      </c>
      <c r="L16" s="1401">
        <v>0</v>
      </c>
      <c r="M16" s="1402">
        <v>0</v>
      </c>
      <c r="N16" s="1402">
        <v>0</v>
      </c>
      <c r="O16" s="1402">
        <v>0</v>
      </c>
      <c r="P16" s="1403">
        <f t="shared" si="2"/>
        <v>1703.9199999999998</v>
      </c>
      <c r="Q16" s="1404" t="s">
        <v>386</v>
      </c>
      <c r="R16" s="1482"/>
      <c r="S16" s="1482"/>
      <c r="T16" s="1482"/>
      <c r="W16" s="903"/>
      <c r="X16" s="502"/>
    </row>
    <row r="17" spans="1:24" s="135" customFormat="1" ht="30.6">
      <c r="A17" s="138">
        <f t="shared" si="1"/>
        <v>11</v>
      </c>
      <c r="B17" s="134" t="s">
        <v>1329</v>
      </c>
      <c r="C17" s="134" t="s">
        <v>1330</v>
      </c>
      <c r="D17" s="1393"/>
      <c r="E17" s="1395" t="str">
        <f t="shared" si="4"/>
        <v>Gudeballur</v>
      </c>
      <c r="F17" s="1395">
        <f t="shared" si="5"/>
        <v>38</v>
      </c>
      <c r="G17" s="1405">
        <v>0</v>
      </c>
      <c r="H17" s="1397">
        <f t="shared" si="3"/>
        <v>38</v>
      </c>
      <c r="I17" s="1398">
        <f>VLOOKUP(H17,Conv!$C$3:$P$852,3)</f>
        <v>546.41999999999985</v>
      </c>
      <c r="J17" s="1399">
        <f>(781*1.25)+70</f>
        <v>1046.25</v>
      </c>
      <c r="K17" s="1400">
        <v>0</v>
      </c>
      <c r="L17" s="1401">
        <v>0</v>
      </c>
      <c r="M17" s="1402">
        <v>0</v>
      </c>
      <c r="N17" s="1402">
        <v>0</v>
      </c>
      <c r="O17" s="1402">
        <v>0</v>
      </c>
      <c r="P17" s="1403">
        <f t="shared" si="2"/>
        <v>1592.6699999999998</v>
      </c>
      <c r="Q17" s="1404" t="s">
        <v>386</v>
      </c>
      <c r="R17" s="1482"/>
      <c r="S17" s="1482"/>
      <c r="T17" s="1482"/>
      <c r="W17" s="903"/>
      <c r="X17" s="502"/>
    </row>
    <row r="18" spans="1:24" s="135" customFormat="1" ht="30.6">
      <c r="A18" s="138">
        <f t="shared" si="1"/>
        <v>12</v>
      </c>
      <c r="B18" s="134" t="s">
        <v>2077</v>
      </c>
      <c r="C18" s="134" t="s">
        <v>1331</v>
      </c>
      <c r="D18" s="1393"/>
      <c r="E18" s="1395" t="str">
        <f t="shared" si="4"/>
        <v>Gudeballur</v>
      </c>
      <c r="F18" s="1395">
        <f t="shared" si="5"/>
        <v>38</v>
      </c>
      <c r="G18" s="1405">
        <v>0</v>
      </c>
      <c r="H18" s="1397">
        <f t="shared" si="3"/>
        <v>38</v>
      </c>
      <c r="I18" s="1398">
        <f>VLOOKUP(H18,Conv!$C$3:$P$852,3)</f>
        <v>546.41999999999985</v>
      </c>
      <c r="J18" s="1399">
        <f>(657*1.25)+70</f>
        <v>891.25</v>
      </c>
      <c r="K18" s="1400">
        <v>0</v>
      </c>
      <c r="L18" s="1401">
        <v>0</v>
      </c>
      <c r="M18" s="1402">
        <v>0</v>
      </c>
      <c r="N18" s="1402">
        <v>0</v>
      </c>
      <c r="O18" s="1402">
        <v>0</v>
      </c>
      <c r="P18" s="1403">
        <f t="shared" si="2"/>
        <v>1437.6699999999998</v>
      </c>
      <c r="Q18" s="1404" t="s">
        <v>386</v>
      </c>
      <c r="R18" s="1482"/>
      <c r="S18" s="1482"/>
      <c r="T18" s="1482"/>
      <c r="W18" s="903"/>
      <c r="X18" s="502"/>
    </row>
    <row r="19" spans="1:24" s="135" customFormat="1" ht="30.6">
      <c r="A19" s="138">
        <f t="shared" si="1"/>
        <v>13</v>
      </c>
      <c r="B19" s="134" t="s">
        <v>1182</v>
      </c>
      <c r="C19" s="134" t="s">
        <v>1332</v>
      </c>
      <c r="D19" s="1393"/>
      <c r="E19" s="1395" t="str">
        <f t="shared" si="4"/>
        <v>Gudeballur</v>
      </c>
      <c r="F19" s="1395">
        <f t="shared" si="5"/>
        <v>38</v>
      </c>
      <c r="G19" s="1405">
        <v>0</v>
      </c>
      <c r="H19" s="1397">
        <f t="shared" si="3"/>
        <v>38</v>
      </c>
      <c r="I19" s="1398">
        <f>VLOOKUP(H19,Conv!$C$3:$P$852,3)</f>
        <v>546.41999999999985</v>
      </c>
      <c r="J19" s="1399">
        <f>(505*1.25)+70</f>
        <v>701.25</v>
      </c>
      <c r="K19" s="1400">
        <v>0</v>
      </c>
      <c r="L19" s="1401">
        <v>0</v>
      </c>
      <c r="M19" s="1402">
        <v>0</v>
      </c>
      <c r="N19" s="1402">
        <v>0</v>
      </c>
      <c r="O19" s="1402">
        <v>0</v>
      </c>
      <c r="P19" s="1403">
        <f t="shared" si="2"/>
        <v>1247.6699999999998</v>
      </c>
      <c r="Q19" s="1404" t="s">
        <v>386</v>
      </c>
      <c r="R19" s="1482"/>
      <c r="S19" s="1482"/>
      <c r="T19" s="1482"/>
      <c r="W19" s="903"/>
      <c r="X19" s="502"/>
    </row>
    <row r="20" spans="1:24" ht="30.6">
      <c r="A20" s="138">
        <f t="shared" si="1"/>
        <v>14</v>
      </c>
      <c r="B20" s="134" t="s">
        <v>243</v>
      </c>
      <c r="C20" s="134" t="s">
        <v>1025</v>
      </c>
      <c r="D20" s="134"/>
      <c r="E20" s="1395" t="str">
        <f>Inputsheet!B15</f>
        <v>Makthal</v>
      </c>
      <c r="F20" s="1395">
        <v>5</v>
      </c>
      <c r="G20" s="1405">
        <v>0</v>
      </c>
      <c r="H20" s="1397">
        <f>Inputsheet!C15</f>
        <v>23</v>
      </c>
      <c r="I20" s="1398">
        <f>VLOOKUP(H20,Conv!$C$3:$P$852,7)</f>
        <v>564.19999999999993</v>
      </c>
      <c r="J20" s="1399">
        <v>7000</v>
      </c>
      <c r="K20" s="1400">
        <v>0</v>
      </c>
      <c r="L20" s="1401">
        <v>0</v>
      </c>
      <c r="M20" s="1402">
        <v>0</v>
      </c>
      <c r="N20" s="1402">
        <f>'Basic Data'!AG31</f>
        <v>63.81</v>
      </c>
      <c r="O20" s="1402">
        <f>N20*'C-data'!E5</f>
        <v>0</v>
      </c>
      <c r="P20" s="1403">
        <f t="shared" si="2"/>
        <v>7628.01</v>
      </c>
      <c r="Q20" s="1404" t="s">
        <v>448</v>
      </c>
    </row>
    <row r="21" spans="1:24" ht="61.2">
      <c r="A21" s="138">
        <f t="shared" si="1"/>
        <v>15</v>
      </c>
      <c r="B21" s="134" t="s">
        <v>341</v>
      </c>
      <c r="C21" s="134" t="s">
        <v>871</v>
      </c>
      <c r="D21" s="1406"/>
      <c r="E21" s="1395" t="str">
        <f>Inputsheet!B15</f>
        <v>Makthal</v>
      </c>
      <c r="F21" s="1395">
        <f>Inputsheet!C15</f>
        <v>23</v>
      </c>
      <c r="G21" s="1405">
        <v>0</v>
      </c>
      <c r="H21" s="1397">
        <f t="shared" si="3"/>
        <v>23</v>
      </c>
      <c r="I21" s="1398">
        <f>VLOOKUP(H21,Conv!$C$3:$P$852,7)*D21</f>
        <v>0</v>
      </c>
      <c r="J21" s="1399">
        <v>12000</v>
      </c>
      <c r="K21" s="1400">
        <v>0</v>
      </c>
      <c r="L21" s="1401">
        <v>0</v>
      </c>
      <c r="M21" s="1402">
        <v>0</v>
      </c>
      <c r="N21" s="1402">
        <f>'Basic Data'!AG32*D21</f>
        <v>0</v>
      </c>
      <c r="O21" s="1402">
        <f>N21*'C-data'!E5</f>
        <v>0</v>
      </c>
      <c r="P21" s="1403">
        <f t="shared" si="2"/>
        <v>12000</v>
      </c>
      <c r="Q21" s="1404" t="s">
        <v>448</v>
      </c>
    </row>
    <row r="22" spans="1:24" ht="61.2">
      <c r="A22" s="138">
        <f t="shared" si="1"/>
        <v>16</v>
      </c>
      <c r="B22" s="134" t="s">
        <v>339</v>
      </c>
      <c r="C22" s="134" t="s">
        <v>872</v>
      </c>
      <c r="D22" s="1406"/>
      <c r="E22" s="1395" t="str">
        <f>E21</f>
        <v>Makthal</v>
      </c>
      <c r="F22" s="1395">
        <v>20</v>
      </c>
      <c r="G22" s="1405">
        <v>0</v>
      </c>
      <c r="H22" s="1397">
        <f>H20</f>
        <v>23</v>
      </c>
      <c r="I22" s="1398">
        <f>VLOOKUP(H22,Conv!$C$3:$P$852,7)*D22</f>
        <v>0</v>
      </c>
      <c r="J22" s="1399">
        <v>27000</v>
      </c>
      <c r="K22" s="1400">
        <v>0</v>
      </c>
      <c r="L22" s="1401">
        <v>0</v>
      </c>
      <c r="M22" s="1402">
        <v>0</v>
      </c>
      <c r="N22" s="1402">
        <f>'Basic Data'!AG31*D22</f>
        <v>0</v>
      </c>
      <c r="O22" s="1402">
        <f>N22*'C-data'!E5</f>
        <v>0</v>
      </c>
      <c r="P22" s="1403">
        <f>I22+J22+K22+L22+M22+N22+O22</f>
        <v>27000</v>
      </c>
      <c r="Q22" s="1404" t="s">
        <v>448</v>
      </c>
    </row>
    <row r="23" spans="1:24" ht="45.9">
      <c r="A23" s="138">
        <f t="shared" si="1"/>
        <v>17</v>
      </c>
      <c r="B23" s="1407" t="s">
        <v>267</v>
      </c>
      <c r="C23" s="134" t="s">
        <v>873</v>
      </c>
      <c r="D23" s="1406">
        <f>VLOOKUP($B23,$B$59:$P$60,3,0)</f>
        <v>16.5</v>
      </c>
      <c r="E23" s="1395" t="str">
        <f>Inputsheet!B16</f>
        <v>MBNR</v>
      </c>
      <c r="F23" s="1395">
        <v>80</v>
      </c>
      <c r="G23" s="1405">
        <v>0</v>
      </c>
      <c r="H23" s="1397">
        <f>Inputsheet!C16</f>
        <v>80</v>
      </c>
      <c r="I23" s="1398">
        <f>VLOOKUP(H23,Conv!$C$3:$P$852,5)*D23/1000</f>
        <v>25.323540000000015</v>
      </c>
      <c r="J23" s="1399">
        <v>173</v>
      </c>
      <c r="K23" s="1400">
        <f>VLOOKUP($B23,$B$59:$P$60,10,0)</f>
        <v>0</v>
      </c>
      <c r="L23" s="1401">
        <v>0</v>
      </c>
      <c r="M23" s="1402">
        <v>0</v>
      </c>
      <c r="N23" s="1402">
        <f>'Basic Data'!AD32*LEAD!D23/1000</f>
        <v>0.38263500000000006</v>
      </c>
      <c r="O23" s="1402">
        <f>N23*'C-data'!E5</f>
        <v>0</v>
      </c>
      <c r="P23" s="1403">
        <f t="shared" si="2"/>
        <v>198.706175</v>
      </c>
      <c r="Q23" s="1404" t="s">
        <v>66</v>
      </c>
    </row>
    <row r="24" spans="1:24" ht="45.9">
      <c r="A24" s="138">
        <f t="shared" si="1"/>
        <v>18</v>
      </c>
      <c r="B24" s="1407" t="s">
        <v>967</v>
      </c>
      <c r="C24" s="134" t="s">
        <v>874</v>
      </c>
      <c r="D24" s="1406">
        <f>VLOOKUP($B24,$B$64:$P$65,3,0)</f>
        <v>32.5</v>
      </c>
      <c r="E24" s="1395" t="str">
        <f>E23</f>
        <v>MBNR</v>
      </c>
      <c r="F24" s="1395">
        <v>80</v>
      </c>
      <c r="G24" s="1405">
        <v>0</v>
      </c>
      <c r="H24" s="1397">
        <f>H23</f>
        <v>80</v>
      </c>
      <c r="I24" s="1398">
        <f>VLOOKUP(H24,Conv!$C$3:$P$852,5)*D24/1000</f>
        <v>49.879700000000028</v>
      </c>
      <c r="J24" s="1399">
        <v>130</v>
      </c>
      <c r="K24" s="1400">
        <f>VLOOKUP($B24,$B$64:$P$65,10,0)</f>
        <v>0</v>
      </c>
      <c r="L24" s="1401">
        <v>0</v>
      </c>
      <c r="M24" s="1402">
        <v>0</v>
      </c>
      <c r="N24" s="1402">
        <f>'Basic Data'!AD32*LEAD!D24/1000</f>
        <v>0.75367500000000009</v>
      </c>
      <c r="O24" s="1402">
        <f>N24*'C-data'!E5</f>
        <v>0</v>
      </c>
      <c r="P24" s="1403">
        <f t="shared" si="2"/>
        <v>180.633375</v>
      </c>
      <c r="Q24" s="1404" t="s">
        <v>66</v>
      </c>
    </row>
    <row r="25" spans="1:24" ht="45.9">
      <c r="A25" s="138">
        <f t="shared" si="1"/>
        <v>19</v>
      </c>
      <c r="B25" s="134" t="str">
        <f>'C-data'!C142</f>
        <v>Polished Marble Slabs of any variety 16 to 20 mm thick (size 0.457 x 0.457 M / 0.6 x 0.6 M)</v>
      </c>
      <c r="C25" s="134" t="s">
        <v>875</v>
      </c>
      <c r="D25" s="1406">
        <v>18</v>
      </c>
      <c r="E25" s="1408" t="str">
        <f>E24</f>
        <v>MBNR</v>
      </c>
      <c r="F25" s="1409">
        <f>F24</f>
        <v>80</v>
      </c>
      <c r="G25" s="1405">
        <v>0</v>
      </c>
      <c r="H25" s="1397">
        <f>H23</f>
        <v>80</v>
      </c>
      <c r="I25" s="1402">
        <v>0</v>
      </c>
      <c r="J25" s="1399">
        <v>953</v>
      </c>
      <c r="K25" s="1400">
        <v>0</v>
      </c>
      <c r="L25" s="1401">
        <v>0</v>
      </c>
      <c r="M25" s="1402">
        <v>0</v>
      </c>
      <c r="N25" s="1402">
        <f>'Basic Data'!AD32*LEAD!D25/1000</f>
        <v>0.41742000000000001</v>
      </c>
      <c r="O25" s="1402">
        <f>N25*'C-data'!E5</f>
        <v>0</v>
      </c>
      <c r="P25" s="1403">
        <f>I25+J25+K25+L25+M25+N25+O25</f>
        <v>953.41741999999999</v>
      </c>
      <c r="Q25" s="1404" t="s">
        <v>66</v>
      </c>
    </row>
    <row r="26" spans="1:24" ht="45.9">
      <c r="A26" s="138">
        <f t="shared" si="1"/>
        <v>20</v>
      </c>
      <c r="B26" s="134" t="str">
        <f>'C-data'!C144</f>
        <v xml:space="preserve">High polished Granite 16 to 18 mm thick up to 8' 00" (2.43M)  black </v>
      </c>
      <c r="C26" s="1410" t="s">
        <v>892</v>
      </c>
      <c r="D26" s="1406">
        <v>17</v>
      </c>
      <c r="E26" s="1408" t="str">
        <f>E25</f>
        <v>MBNR</v>
      </c>
      <c r="F26" s="1409">
        <f>F25</f>
        <v>80</v>
      </c>
      <c r="G26" s="1405">
        <v>0</v>
      </c>
      <c r="H26" s="1397">
        <f>H24</f>
        <v>80</v>
      </c>
      <c r="I26" s="1398">
        <f>VLOOKUP(H26,Conv!$C$3:$P$852,5)*D26/1000</f>
        <v>26.090920000000015</v>
      </c>
      <c r="J26" s="1399">
        <v>2419</v>
      </c>
      <c r="K26" s="1400">
        <v>0</v>
      </c>
      <c r="L26" s="1401"/>
      <c r="M26" s="1402">
        <v>0</v>
      </c>
      <c r="N26" s="1402">
        <f>'Basic Data'!AD32*LEAD!D26/1000</f>
        <v>0.39423000000000002</v>
      </c>
      <c r="O26" s="1402">
        <f>N26*'C-data'!E5</f>
        <v>0</v>
      </c>
      <c r="P26" s="1403">
        <f>I26+J26+K26+L26+M26+N26+O26</f>
        <v>2445.48515</v>
      </c>
      <c r="Q26" s="1404" t="s">
        <v>66</v>
      </c>
    </row>
    <row r="27" spans="1:24">
      <c r="A27" s="138">
        <f t="shared" si="1"/>
        <v>21</v>
      </c>
      <c r="B27" s="134" t="s">
        <v>422</v>
      </c>
      <c r="C27" s="134" t="s">
        <v>1333</v>
      </c>
      <c r="D27" s="134"/>
      <c r="E27" s="1407" t="s">
        <v>388</v>
      </c>
      <c r="F27" s="1411">
        <v>0.5</v>
      </c>
      <c r="G27" s="1412">
        <v>0</v>
      </c>
      <c r="H27" s="1397">
        <v>0.5</v>
      </c>
      <c r="I27" s="1402">
        <v>0</v>
      </c>
      <c r="J27" s="1402">
        <v>73</v>
      </c>
      <c r="K27" s="1400"/>
      <c r="L27" s="1401"/>
      <c r="M27" s="1402"/>
      <c r="N27" s="1402"/>
      <c r="O27" s="1402"/>
      <c r="P27" s="1403">
        <f t="shared" si="2"/>
        <v>73</v>
      </c>
      <c r="Q27" s="1404" t="s">
        <v>421</v>
      </c>
    </row>
    <row r="28" spans="1:24">
      <c r="A28" s="138">
        <f t="shared" si="1"/>
        <v>22</v>
      </c>
      <c r="B28" s="1393" t="s">
        <v>235</v>
      </c>
      <c r="C28" s="1394" t="s">
        <v>26</v>
      </c>
      <c r="D28" s="1394"/>
      <c r="E28" s="1407" t="s">
        <v>388</v>
      </c>
      <c r="F28" s="1411">
        <v>0</v>
      </c>
      <c r="G28" s="1412">
        <v>0</v>
      </c>
      <c r="H28" s="1397">
        <f>CEILING((F28+G28*1.1),1)</f>
        <v>0</v>
      </c>
      <c r="I28" s="1402">
        <v>0</v>
      </c>
      <c r="J28" s="1413">
        <v>5600</v>
      </c>
      <c r="K28" s="1400">
        <v>0</v>
      </c>
      <c r="L28" s="1401">
        <f>J28*0%</f>
        <v>0</v>
      </c>
      <c r="M28" s="1402">
        <v>0</v>
      </c>
      <c r="N28" s="1402">
        <v>0</v>
      </c>
      <c r="O28" s="1402">
        <v>0</v>
      </c>
      <c r="P28" s="1403">
        <f>(I28+J28+K28+L28+M28+N28+O28)*1.28</f>
        <v>7168</v>
      </c>
      <c r="Q28" s="1404" t="s">
        <v>215</v>
      </c>
      <c r="R28" s="1484" t="s">
        <v>2596</v>
      </c>
    </row>
    <row r="29" spans="1:24" ht="30.3">
      <c r="A29" s="138">
        <f t="shared" si="1"/>
        <v>23</v>
      </c>
      <c r="B29" s="134" t="s">
        <v>2078</v>
      </c>
      <c r="C29" s="1394"/>
      <c r="D29" s="134"/>
      <c r="E29" s="1414" t="s">
        <v>214</v>
      </c>
      <c r="F29" s="1411">
        <v>0</v>
      </c>
      <c r="G29" s="1412">
        <v>0</v>
      </c>
      <c r="H29" s="1397">
        <f>CEILING((F29+G29*1.1),1)</f>
        <v>0</v>
      </c>
      <c r="I29" s="1402">
        <v>0</v>
      </c>
      <c r="J29" s="1413">
        <v>65000</v>
      </c>
      <c r="K29" s="1400">
        <v>0</v>
      </c>
      <c r="L29" s="1401">
        <v>0</v>
      </c>
      <c r="M29" s="1402">
        <v>0</v>
      </c>
      <c r="N29" s="1402">
        <v>0</v>
      </c>
      <c r="O29" s="1402">
        <v>0</v>
      </c>
      <c r="P29" s="1403">
        <f>(I29+J29+K29+L29+M29+N29+O29)*1.18</f>
        <v>76700</v>
      </c>
      <c r="Q29" s="1404" t="s">
        <v>215</v>
      </c>
      <c r="R29" s="1484"/>
    </row>
    <row r="30" spans="1:24" ht="60.6">
      <c r="A30" s="138">
        <f t="shared" si="1"/>
        <v>24</v>
      </c>
      <c r="B30" s="134" t="s">
        <v>2079</v>
      </c>
      <c r="C30" s="1394"/>
      <c r="D30" s="1394"/>
      <c r="E30" s="1414" t="s">
        <v>214</v>
      </c>
      <c r="F30" s="1411">
        <v>0</v>
      </c>
      <c r="G30" s="1412">
        <v>0</v>
      </c>
      <c r="H30" s="1397">
        <f>CEILING((F30+G30*1.1),1)</f>
        <v>0</v>
      </c>
      <c r="I30" s="1402">
        <v>0</v>
      </c>
      <c r="J30" s="1413">
        <v>71000</v>
      </c>
      <c r="K30" s="1400">
        <v>0</v>
      </c>
      <c r="L30" s="1401">
        <v>0</v>
      </c>
      <c r="M30" s="1402">
        <v>0</v>
      </c>
      <c r="N30" s="1402">
        <v>0</v>
      </c>
      <c r="O30" s="1402">
        <v>0</v>
      </c>
      <c r="P30" s="1403">
        <f>(I30+J30+K30+L30+M30+N30+O30)*1.18</f>
        <v>83780</v>
      </c>
      <c r="Q30" s="1404" t="s">
        <v>215</v>
      </c>
      <c r="R30" s="1484"/>
    </row>
    <row r="31" spans="1:24" ht="30.6">
      <c r="A31" s="138">
        <f t="shared" si="1"/>
        <v>25</v>
      </c>
      <c r="B31" s="134" t="s">
        <v>216</v>
      </c>
      <c r="C31" s="1394"/>
      <c r="D31" s="1394"/>
      <c r="E31" s="1414" t="s">
        <v>214</v>
      </c>
      <c r="F31" s="1411">
        <v>0</v>
      </c>
      <c r="G31" s="1412">
        <v>0</v>
      </c>
      <c r="H31" s="1397">
        <f>CEILING((F31+G31*1.1),1)</f>
        <v>0</v>
      </c>
      <c r="I31" s="1402">
        <v>0</v>
      </c>
      <c r="J31" s="1413">
        <v>63000</v>
      </c>
      <c r="K31" s="1400">
        <v>0</v>
      </c>
      <c r="L31" s="1401">
        <v>0</v>
      </c>
      <c r="M31" s="1402">
        <v>0</v>
      </c>
      <c r="N31" s="1402">
        <v>0</v>
      </c>
      <c r="O31" s="1402">
        <v>0</v>
      </c>
      <c r="P31" s="1403">
        <f>(I31+J31+K31+L31+M31+N31+O31)*1.18</f>
        <v>74340</v>
      </c>
      <c r="Q31" s="1404" t="s">
        <v>215</v>
      </c>
      <c r="R31" s="1484"/>
    </row>
    <row r="32" spans="1:24">
      <c r="A32" s="132">
        <f t="shared" si="1"/>
        <v>26</v>
      </c>
      <c r="B32" s="1415" t="s">
        <v>217</v>
      </c>
      <c r="C32" s="1416"/>
      <c r="D32" s="1416"/>
      <c r="E32" s="1417" t="s">
        <v>214</v>
      </c>
      <c r="F32" s="1418">
        <v>0</v>
      </c>
      <c r="G32" s="1419">
        <v>0</v>
      </c>
      <c r="H32" s="1420">
        <f>CEILING((F32+G32*1.1),1)</f>
        <v>0</v>
      </c>
      <c r="I32" s="1421">
        <v>0</v>
      </c>
      <c r="J32" s="1413">
        <v>77000</v>
      </c>
      <c r="K32" s="1422">
        <v>0</v>
      </c>
      <c r="L32" s="1423">
        <v>0</v>
      </c>
      <c r="M32" s="1424">
        <v>0</v>
      </c>
      <c r="N32" s="1424">
        <v>0</v>
      </c>
      <c r="O32" s="1424">
        <v>0</v>
      </c>
      <c r="P32" s="1425">
        <f>(I32+J32+K32+L32+M32+N32+O32)*1.18</f>
        <v>90860</v>
      </c>
      <c r="Q32" s="1426" t="s">
        <v>215</v>
      </c>
      <c r="R32" s="1485"/>
    </row>
    <row r="33" spans="1:18" ht="29.25" customHeight="1">
      <c r="B33" s="130" t="s">
        <v>218</v>
      </c>
      <c r="E33" s="129"/>
      <c r="F33" s="128"/>
      <c r="G33" s="127"/>
      <c r="J33" s="130"/>
      <c r="R33" s="133"/>
    </row>
    <row r="34" spans="1:18" ht="24" customHeight="1">
      <c r="A34" s="502">
        <v>1</v>
      </c>
      <c r="B34" s="1483" t="s">
        <v>219</v>
      </c>
      <c r="C34" s="1483"/>
      <c r="D34" s="1483"/>
      <c r="E34" s="1483"/>
      <c r="F34" s="1483"/>
      <c r="G34" s="1483"/>
      <c r="H34" s="1483"/>
      <c r="I34" s="1483"/>
      <c r="J34" s="1483"/>
      <c r="K34" s="1483"/>
      <c r="L34" s="1483"/>
      <c r="M34" s="1483"/>
      <c r="N34" s="1483"/>
      <c r="O34" s="1483"/>
      <c r="P34" s="1483"/>
      <c r="Q34" s="1483"/>
    </row>
    <row r="35" spans="1:18" ht="24" customHeight="1">
      <c r="A35" s="126">
        <v>2</v>
      </c>
      <c r="B35" s="1483" t="s">
        <v>582</v>
      </c>
      <c r="C35" s="1483"/>
      <c r="D35" s="1483"/>
      <c r="E35" s="1483"/>
      <c r="F35" s="1483"/>
      <c r="G35" s="1483"/>
      <c r="H35" s="1483"/>
      <c r="I35" s="1483"/>
      <c r="J35" s="1483"/>
      <c r="K35" s="1483"/>
      <c r="L35" s="1483"/>
      <c r="M35" s="1483"/>
      <c r="N35" s="1483"/>
      <c r="O35" s="1483"/>
      <c r="P35" s="1483"/>
      <c r="Q35" s="1483"/>
    </row>
    <row r="36" spans="1:18" ht="24" customHeight="1">
      <c r="A36" s="502">
        <v>3</v>
      </c>
      <c r="B36" s="1483" t="s">
        <v>583</v>
      </c>
      <c r="C36" s="1483"/>
      <c r="D36" s="1483"/>
      <c r="E36" s="1483"/>
      <c r="F36" s="1483"/>
      <c r="G36" s="1483"/>
      <c r="H36" s="1483"/>
      <c r="I36" s="1483"/>
      <c r="J36" s="1483"/>
      <c r="K36" s="1483"/>
      <c r="L36" s="1483"/>
      <c r="M36" s="1483"/>
      <c r="N36" s="1483"/>
      <c r="O36" s="1483"/>
      <c r="P36" s="1483"/>
      <c r="Q36" s="1483"/>
    </row>
    <row r="37" spans="1:18">
      <c r="O37" s="503"/>
    </row>
    <row r="38" spans="1:18" hidden="1">
      <c r="O38" s="503"/>
    </row>
    <row r="39" spans="1:18">
      <c r="O39" s="503"/>
    </row>
    <row r="40" spans="1:18">
      <c r="O40" s="503"/>
    </row>
    <row r="41" spans="1:18" ht="18.75" customHeight="1">
      <c r="B41" s="125" t="s">
        <v>1183</v>
      </c>
      <c r="C41" s="124"/>
      <c r="D41" s="1481" t="s">
        <v>716</v>
      </c>
      <c r="E41" s="1481"/>
      <c r="F41" s="1481"/>
      <c r="G41" s="1481"/>
      <c r="H41" s="123"/>
      <c r="I41" s="123"/>
      <c r="J41" s="1481"/>
      <c r="K41" s="1481"/>
      <c r="L41" s="1481"/>
      <c r="N41" s="1477"/>
      <c r="O41" s="1477"/>
      <c r="P41" s="1477"/>
      <c r="Q41" s="1477"/>
    </row>
    <row r="42" spans="1:18" ht="20.25" customHeight="1">
      <c r="B42" s="122" t="s">
        <v>2599</v>
      </c>
      <c r="C42" s="123"/>
      <c r="D42" s="1478" t="s">
        <v>2598</v>
      </c>
      <c r="E42" s="1478"/>
      <c r="F42" s="1478"/>
      <c r="G42" s="1478"/>
      <c r="H42" s="1478"/>
      <c r="I42" s="1478"/>
      <c r="J42" s="1478"/>
      <c r="K42" s="1478"/>
      <c r="L42" s="1478"/>
      <c r="N42" s="1477"/>
      <c r="O42" s="1477"/>
      <c r="P42" s="1477"/>
      <c r="Q42" s="1477"/>
    </row>
    <row r="43" spans="1:18">
      <c r="B43" s="131"/>
      <c r="E43" s="131"/>
      <c r="H43" s="131"/>
      <c r="I43" s="131"/>
      <c r="K43" s="131"/>
      <c r="L43" s="131"/>
      <c r="N43" s="131"/>
    </row>
    <row r="44" spans="1:18">
      <c r="G44" s="131" t="s">
        <v>701</v>
      </c>
    </row>
    <row r="45" spans="1:18">
      <c r="G45" s="121" t="s">
        <v>702</v>
      </c>
      <c r="H45" s="1479" t="s">
        <v>1184</v>
      </c>
      <c r="I45" s="1479"/>
      <c r="J45" s="1479"/>
      <c r="K45" s="1479"/>
      <c r="O45" s="120" t="s">
        <v>450</v>
      </c>
      <c r="P45" s="120" t="s">
        <v>175</v>
      </c>
      <c r="Q45" s="120" t="s">
        <v>449</v>
      </c>
    </row>
    <row r="46" spans="1:18">
      <c r="G46" s="121" t="s">
        <v>703</v>
      </c>
      <c r="H46" s="1479" t="s">
        <v>1184</v>
      </c>
      <c r="I46" s="1479"/>
      <c r="J46" s="1479"/>
      <c r="K46" s="1479"/>
      <c r="O46" s="120" t="s">
        <v>451</v>
      </c>
      <c r="P46" s="119">
        <v>1</v>
      </c>
      <c r="Q46" s="119">
        <v>1</v>
      </c>
    </row>
    <row r="47" spans="1:18">
      <c r="G47" s="121" t="s">
        <v>704</v>
      </c>
      <c r="H47" s="1479" t="s">
        <v>1178</v>
      </c>
      <c r="I47" s="1479"/>
      <c r="J47" s="1479"/>
      <c r="K47" s="1479"/>
      <c r="O47" s="120" t="s">
        <v>452</v>
      </c>
      <c r="P47" s="119">
        <v>1</v>
      </c>
      <c r="Q47" s="119">
        <v>1</v>
      </c>
    </row>
    <row r="48" spans="1:18" ht="63.75" customHeight="1">
      <c r="C48" s="1480" t="str">
        <f>CONCATENATE(" CONSTRUCTION OF OF MINORITY RESIDENTIAL SCHOOL COMPLEX  FOR GIRLS AT "&amp;H45&amp;" (V) , "&amp;H46&amp;" (M) ,  IN  "&amp;H47&amp;" DISTRICT.")</f>
        <v xml:space="preserve"> CONSTRUCTION OF OF MINORITY RESIDENTIAL SCHOOL COMPLEX  FOR GIRLS AT ZAHEERABAD (V) , ZAHEERABAD (M) ,  IN  SANGAREDDY DISTRICT.</v>
      </c>
      <c r="D48" s="1480"/>
      <c r="E48" s="1480"/>
      <c r="F48" s="1480"/>
      <c r="G48" s="1480"/>
      <c r="H48" s="1480"/>
      <c r="I48" s="1480"/>
      <c r="J48" s="1480"/>
      <c r="K48" s="1480"/>
      <c r="L48" s="1480"/>
      <c r="M48" s="502" t="s">
        <v>763</v>
      </c>
      <c r="N48" s="118" t="e">
        <f>#REF!</f>
        <v>#REF!</v>
      </c>
      <c r="O48" s="120" t="s">
        <v>453</v>
      </c>
      <c r="P48" s="119">
        <v>1</v>
      </c>
      <c r="Q48" s="119">
        <v>1</v>
      </c>
    </row>
    <row r="49" spans="1:17">
      <c r="C49" s="1473" t="s">
        <v>525</v>
      </c>
      <c r="D49" s="1473"/>
      <c r="E49" s="1473"/>
      <c r="F49" s="1473"/>
      <c r="G49" s="117">
        <v>1000</v>
      </c>
      <c r="I49" s="502" t="s">
        <v>248</v>
      </c>
      <c r="J49" s="116">
        <v>1</v>
      </c>
      <c r="K49" s="502" t="s">
        <v>249</v>
      </c>
      <c r="L49" s="116">
        <v>250</v>
      </c>
      <c r="M49" s="502" t="s">
        <v>706</v>
      </c>
      <c r="O49" s="120" t="s">
        <v>454</v>
      </c>
      <c r="P49" s="119">
        <v>1</v>
      </c>
      <c r="Q49" s="119">
        <v>1</v>
      </c>
    </row>
    <row r="50" spans="1:17" ht="30.6">
      <c r="C50" s="1473" t="s">
        <v>526</v>
      </c>
      <c r="D50" s="1473"/>
      <c r="E50" s="1473"/>
      <c r="F50" s="1473"/>
      <c r="G50" s="117">
        <v>1.6</v>
      </c>
      <c r="I50" s="502" t="s">
        <v>250</v>
      </c>
      <c r="J50" s="116">
        <v>19597</v>
      </c>
      <c r="K50" s="126" t="s">
        <v>252</v>
      </c>
      <c r="L50" s="115">
        <v>0</v>
      </c>
      <c r="M50" s="114">
        <f>L50*100</f>
        <v>0</v>
      </c>
    </row>
    <row r="51" spans="1:17" ht="45.9">
      <c r="C51" s="1473" t="s">
        <v>527</v>
      </c>
      <c r="D51" s="1473"/>
      <c r="E51" s="1473"/>
      <c r="F51" s="1473"/>
      <c r="G51" s="117">
        <v>0.75</v>
      </c>
      <c r="I51" s="502" t="s">
        <v>251</v>
      </c>
      <c r="J51" s="116" t="s">
        <v>1128</v>
      </c>
      <c r="K51" s="113" t="s">
        <v>605</v>
      </c>
      <c r="L51" s="112">
        <v>0.2</v>
      </c>
      <c r="M51" s="111">
        <f>L51*100</f>
        <v>20</v>
      </c>
      <c r="N51" s="110"/>
      <c r="O51" s="109" t="s">
        <v>1006</v>
      </c>
      <c r="P51" s="120" t="e">
        <f>ROUND((#REF!*100000)/LEAD!J50,2)</f>
        <v>#REF!</v>
      </c>
    </row>
    <row r="52" spans="1:17" ht="45">
      <c r="C52" s="1473" t="s">
        <v>1005</v>
      </c>
      <c r="D52" s="1473"/>
      <c r="E52" s="1473"/>
      <c r="F52" s="1473"/>
      <c r="G52" s="117">
        <v>0.75</v>
      </c>
      <c r="I52" s="502" t="s">
        <v>46</v>
      </c>
      <c r="J52" s="116" t="s">
        <v>1185</v>
      </c>
      <c r="K52" s="108" t="s">
        <v>99</v>
      </c>
      <c r="L52" s="107">
        <v>1E-3</v>
      </c>
      <c r="M52" s="111"/>
      <c r="N52" s="110" t="s">
        <v>98</v>
      </c>
      <c r="O52" s="119">
        <v>18</v>
      </c>
      <c r="P52" s="120" t="s">
        <v>97</v>
      </c>
    </row>
    <row r="53" spans="1:17" ht="57" customHeight="1">
      <c r="C53" s="121"/>
      <c r="D53" s="8" t="s">
        <v>800</v>
      </c>
      <c r="E53" s="106" t="s">
        <v>802</v>
      </c>
      <c r="F53" s="105" t="s">
        <v>765</v>
      </c>
      <c r="G53" s="106" t="s">
        <v>766</v>
      </c>
      <c r="I53" s="502" t="s">
        <v>47</v>
      </c>
      <c r="J53" s="116" t="s">
        <v>1186</v>
      </c>
      <c r="K53" s="108" t="s">
        <v>713</v>
      </c>
      <c r="L53" s="104" t="s">
        <v>711</v>
      </c>
      <c r="M53" s="111"/>
      <c r="O53" s="109" t="s">
        <v>1007</v>
      </c>
      <c r="P53" s="120" t="e">
        <f>ROUND((#REF!+#REF!+#REF!+#REF!)*1000/LEAD!J50,2)</f>
        <v>#REF!</v>
      </c>
    </row>
    <row r="54" spans="1:17" ht="45">
      <c r="C54" s="121"/>
      <c r="D54" s="106" t="s">
        <v>801</v>
      </c>
      <c r="E54" s="106" t="s">
        <v>803</v>
      </c>
      <c r="F54" s="121"/>
      <c r="G54" s="121"/>
      <c r="I54" s="502" t="s">
        <v>48</v>
      </c>
      <c r="J54" s="116" t="s">
        <v>1187</v>
      </c>
      <c r="M54" s="111"/>
      <c r="O54" s="103"/>
      <c r="P54" s="103"/>
    </row>
    <row r="55" spans="1:17">
      <c r="C55" s="1473" t="s">
        <v>1009</v>
      </c>
      <c r="D55" s="1473"/>
      <c r="E55" s="1473"/>
      <c r="F55" s="1473"/>
      <c r="G55" s="121">
        <v>0.75</v>
      </c>
      <c r="J55" s="116"/>
      <c r="M55" s="111"/>
      <c r="O55" s="103"/>
      <c r="P55" s="103"/>
    </row>
    <row r="56" spans="1:17" ht="48.75" customHeight="1">
      <c r="B56" s="120" t="s">
        <v>766</v>
      </c>
      <c r="C56" s="120" t="str">
        <f>'C-data'!C820</f>
        <v>Brick Masonry in superstructure with CM (1:8) prop: using Fly ASH Bricks of size 290x225x140mm with compressive of 50 Kgs / Sqcm from approved source including cost and conveyance of all materials like cement, sand, fly ash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(APSS No. 501 &amp; 504).</v>
      </c>
      <c r="D56" s="102">
        <f>'C-data'!E842</f>
        <v>5411.75</v>
      </c>
      <c r="E56" s="102">
        <f>'C-data'!F842</f>
        <v>5791.9500000000007</v>
      </c>
      <c r="F56" s="101">
        <f>'C-data'!G842</f>
        <v>6172.1500000000005</v>
      </c>
      <c r="G56" s="100" t="str">
        <f>'C-data'!C861</f>
        <v>Reinforced Fly Ash Brick Masonry 10cm thick for partition walls in CM (1:4) prop: Fly Bricks of size 290x100x140mm with compressive of 50 Kgs / Sqcm from approved source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&amp; seignerage charges complete for finished item of work. (APSS No. 501 &amp; 509).</v>
      </c>
      <c r="H56" s="102">
        <f>'C-data'!E881</f>
        <v>627.45000000000005</v>
      </c>
      <c r="I56" s="102">
        <f>'C-data'!F881</f>
        <v>686.15000000000009</v>
      </c>
      <c r="J56" s="102">
        <f>'C-data'!G881</f>
        <v>744.85</v>
      </c>
      <c r="K56" s="126" t="s">
        <v>705</v>
      </c>
      <c r="L56" s="99">
        <f>J3</f>
        <v>0</v>
      </c>
      <c r="M56" s="98"/>
      <c r="N56" s="120" t="str">
        <f>'C-data'!C935</f>
        <v xml:space="preserve">Plastering 12mm thick in two coats with base coat of 8mm thick in CM (1:6) and top coat of 4mm thick in CM (1:4)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but excluding seigniorage charges for  Even Surfaces of  Wall for finished item of work. (APSS 901,903 &amp; 904) </v>
      </c>
      <c r="O56" s="102">
        <f>'C-data'!E958</f>
        <v>351.85</v>
      </c>
      <c r="P56" s="102">
        <f>'C-data'!F958</f>
        <v>385.85</v>
      </c>
      <c r="Q56" s="102">
        <f>'C-data'!G958</f>
        <v>419.85</v>
      </c>
    </row>
    <row r="57" spans="1:17" ht="48.75" customHeight="1">
      <c r="B57" s="120" t="s">
        <v>767</v>
      </c>
      <c r="C57" s="120" t="str">
        <f>'C-data'!C776</f>
        <v>Brick Masonry in superstructure with CM (1:8) prop: using second class bricks from approved source having minimum crushing strength of 40 Kg/Sqcm. including cost and conveyance of all materials like cement, sand,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(APSS No. 501 &amp; 504).</v>
      </c>
      <c r="D57" s="102">
        <f>'C-data'!E797</f>
        <v>5652.3</v>
      </c>
      <c r="E57" s="102">
        <f>'C-data'!F797</f>
        <v>6401.6</v>
      </c>
      <c r="F57" s="101">
        <f>'C-data'!G797</f>
        <v>6708.85</v>
      </c>
      <c r="G57" s="100" t="str">
        <f>'C-data'!C798</f>
        <v>Reinforced Brick Masonry 11.5cm (4 1/2") thick for partition walls in CM (1:4) prop: using second class bricks from approved source having minimum crushing strength of 40 Kg/Sqcm.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complete but excluding seigniorage charges for finished item of work. (APSS No. 501 &amp; 504).</v>
      </c>
      <c r="H57" s="102">
        <f>'C-data'!E819</f>
        <v>758.30000000000007</v>
      </c>
      <c r="I57" s="102">
        <f>'C-data'!F819</f>
        <v>817</v>
      </c>
      <c r="J57" s="102">
        <f>'C-data'!G819</f>
        <v>875.7</v>
      </c>
      <c r="K57" s="126"/>
      <c r="L57" s="97"/>
      <c r="M57" s="96"/>
      <c r="N57" s="120" t="str">
        <f>'C-data'!C959</f>
        <v xml:space="preserve">Plastering 20mm thick in two coats with base coat of 16mm thick in CM (1:6) and top coat of 4mm thick in CM (1:4) dubara sponge finish including cost and conveyance of all materials like cement, sand, water etc., to site,   sales &amp; other taxes on all materials, all operational, incidental and  labour charges such as mixing mortar,scaffolding charges, lift charges, finishing,including cutting of Grooves wherever necessary as directed by Engineer - in - charge,  curing,  etc., complete but excluding seigniorage charges for  Uneven Surfaces of Brick Wall for finished item of work. (APSS 901,903 &amp; 904) </v>
      </c>
      <c r="O57" s="102">
        <f>'C-data'!E981</f>
        <v>365.55</v>
      </c>
      <c r="P57" s="102">
        <f>'C-data'!F981</f>
        <v>399.55</v>
      </c>
      <c r="Q57" s="102">
        <f>'C-data'!G981</f>
        <v>433.55</v>
      </c>
    </row>
    <row r="58" spans="1:17" ht="48.75" customHeight="1">
      <c r="K58" s="126"/>
      <c r="L58" s="95"/>
      <c r="M58" s="94"/>
    </row>
    <row r="59" spans="1:17" ht="44.25" customHeight="1">
      <c r="A59" s="93">
        <v>15</v>
      </c>
      <c r="B59" s="109" t="s">
        <v>267</v>
      </c>
      <c r="C59" s="92" t="s">
        <v>227</v>
      </c>
      <c r="D59" s="92">
        <v>16.5</v>
      </c>
      <c r="E59" s="92" t="s">
        <v>224</v>
      </c>
      <c r="F59" s="91"/>
      <c r="G59" s="101"/>
      <c r="H59" s="90"/>
      <c r="I59" s="89"/>
      <c r="J59" s="89">
        <v>165.4</v>
      </c>
      <c r="K59" s="89">
        <v>0</v>
      </c>
      <c r="L59" s="90"/>
      <c r="M59" s="89">
        <v>0.66445500000000002</v>
      </c>
      <c r="N59" s="89">
        <v>0.33230999999999999</v>
      </c>
      <c r="O59" s="89">
        <f>'C-data'!$E$5*(N59)</f>
        <v>0</v>
      </c>
      <c r="P59" s="88">
        <f>I59+J59+K59+L59+M59+N59+O59</f>
        <v>166.39676500000002</v>
      </c>
      <c r="Q59" s="106" t="s">
        <v>66</v>
      </c>
    </row>
    <row r="60" spans="1:17" ht="44.25" customHeight="1">
      <c r="A60" s="93">
        <v>15</v>
      </c>
      <c r="B60" s="109" t="s">
        <v>145</v>
      </c>
      <c r="C60" s="92" t="s">
        <v>146</v>
      </c>
      <c r="D60" s="92">
        <v>15</v>
      </c>
      <c r="E60" s="92" t="s">
        <v>147</v>
      </c>
      <c r="F60" s="91"/>
      <c r="G60" s="101"/>
      <c r="H60" s="90"/>
      <c r="I60" s="89"/>
      <c r="J60" s="89">
        <v>137.9</v>
      </c>
      <c r="K60" s="89">
        <v>0</v>
      </c>
      <c r="L60" s="90"/>
      <c r="M60" s="89">
        <v>0.60405000000000009</v>
      </c>
      <c r="N60" s="89">
        <v>0.30210000000000004</v>
      </c>
      <c r="O60" s="89">
        <f>'C-data'!$E$5*(N60)</f>
        <v>0</v>
      </c>
      <c r="P60" s="88">
        <f>I60+J60+K60+L60+M60+N60+O60</f>
        <v>138.80615</v>
      </c>
      <c r="Q60" s="106" t="s">
        <v>66</v>
      </c>
    </row>
    <row r="64" spans="1:17" ht="48" customHeight="1">
      <c r="A64" s="93">
        <v>16</v>
      </c>
      <c r="B64" s="109" t="s">
        <v>967</v>
      </c>
      <c r="C64" s="92" t="s">
        <v>228</v>
      </c>
      <c r="D64" s="92">
        <f>(25+40)/2</f>
        <v>32.5</v>
      </c>
      <c r="E64" s="92" t="s">
        <v>224</v>
      </c>
      <c r="F64" s="91">
        <v>353</v>
      </c>
      <c r="G64" s="101"/>
      <c r="H64" s="90"/>
      <c r="I64" s="89"/>
      <c r="J64" s="89">
        <v>123.9</v>
      </c>
      <c r="K64" s="89">
        <v>0</v>
      </c>
      <c r="L64" s="90"/>
      <c r="M64" s="89">
        <v>1.308775</v>
      </c>
      <c r="N64" s="89">
        <v>0.65455000000000008</v>
      </c>
      <c r="O64" s="89">
        <f>'C-data'!$E$5*(N64)</f>
        <v>0</v>
      </c>
      <c r="P64" s="88">
        <f>I64+J64+K64+L64+M64+N64+O64</f>
        <v>125.863325</v>
      </c>
      <c r="Q64" s="106" t="s">
        <v>66</v>
      </c>
    </row>
    <row r="65" spans="1:25" ht="48" customHeight="1">
      <c r="A65" s="93">
        <v>16</v>
      </c>
      <c r="B65" s="109" t="s">
        <v>968</v>
      </c>
      <c r="C65" s="92" t="s">
        <v>148</v>
      </c>
      <c r="D65" s="92">
        <f>(25+40)/2</f>
        <v>32.5</v>
      </c>
      <c r="E65" s="92" t="s">
        <v>147</v>
      </c>
      <c r="F65" s="91">
        <v>353</v>
      </c>
      <c r="G65" s="101"/>
      <c r="H65" s="90"/>
      <c r="I65" s="89"/>
      <c r="J65" s="89">
        <v>96</v>
      </c>
      <c r="K65" s="89">
        <v>0</v>
      </c>
      <c r="L65" s="90"/>
      <c r="M65" s="89">
        <v>1.308775</v>
      </c>
      <c r="N65" s="89">
        <v>0.65455000000000008</v>
      </c>
      <c r="O65" s="89">
        <f>'C-data'!$E$5*(N65)</f>
        <v>0</v>
      </c>
      <c r="P65" s="88">
        <f>I65+J65+K65+L65+M65+N65+O65</f>
        <v>97.963324999999998</v>
      </c>
      <c r="Q65" s="106" t="s">
        <v>66</v>
      </c>
    </row>
    <row r="67" spans="1:25">
      <c r="C67" s="1474" t="s">
        <v>94</v>
      </c>
      <c r="D67" s="1475"/>
      <c r="E67" s="1475"/>
      <c r="F67" s="1475"/>
      <c r="G67" s="1475"/>
      <c r="H67" s="1475"/>
      <c r="I67" s="1475"/>
      <c r="J67" s="1475"/>
      <c r="K67" s="1475"/>
      <c r="L67" s="1475"/>
      <c r="O67" s="1476">
        <v>200</v>
      </c>
      <c r="P67" s="1477"/>
      <c r="Q67" s="1477"/>
      <c r="R67" s="87">
        <v>250</v>
      </c>
      <c r="S67" s="131"/>
      <c r="T67" s="131"/>
    </row>
    <row r="68" spans="1:25">
      <c r="B68" s="502" t="s">
        <v>802</v>
      </c>
      <c r="C68" s="93" t="s">
        <v>249</v>
      </c>
      <c r="D68" s="93" t="s">
        <v>1112</v>
      </c>
      <c r="E68" s="93" t="s">
        <v>1113</v>
      </c>
      <c r="F68" s="93" t="s">
        <v>1114</v>
      </c>
      <c r="G68" s="93" t="s">
        <v>1115</v>
      </c>
      <c r="H68" s="93" t="s">
        <v>1116</v>
      </c>
      <c r="I68" s="93" t="s">
        <v>1117</v>
      </c>
      <c r="J68" s="93" t="s">
        <v>1118</v>
      </c>
      <c r="K68" s="93" t="s">
        <v>1119</v>
      </c>
      <c r="L68" s="93" t="s">
        <v>1120</v>
      </c>
      <c r="M68" s="93" t="s">
        <v>1121</v>
      </c>
      <c r="N68" s="93" t="s">
        <v>1122</v>
      </c>
      <c r="O68" s="93" t="s">
        <v>1123</v>
      </c>
      <c r="P68" s="93" t="s">
        <v>1124</v>
      </c>
      <c r="Q68" s="93" t="s">
        <v>1125</v>
      </c>
      <c r="R68" s="93" t="s">
        <v>1126</v>
      </c>
      <c r="S68" s="93" t="s">
        <v>1127</v>
      </c>
      <c r="T68" s="93"/>
      <c r="U68" s="93"/>
      <c r="V68" s="93"/>
      <c r="W68" s="93"/>
      <c r="X68" s="93"/>
    </row>
    <row r="69" spans="1:25">
      <c r="B69" s="502" t="s">
        <v>804</v>
      </c>
      <c r="C69" s="86">
        <v>100</v>
      </c>
      <c r="D69" s="101">
        <v>2.25</v>
      </c>
      <c r="E69" s="101">
        <v>2.5</v>
      </c>
      <c r="F69" s="101">
        <v>2.85</v>
      </c>
      <c r="G69" s="101">
        <v>3.05</v>
      </c>
      <c r="H69" s="101">
        <v>3.35</v>
      </c>
      <c r="I69" s="101">
        <v>3.7</v>
      </c>
      <c r="J69" s="101">
        <v>3.95</v>
      </c>
      <c r="K69" s="101">
        <v>4.25</v>
      </c>
      <c r="L69" s="101">
        <v>2.9</v>
      </c>
      <c r="M69" s="101">
        <v>2.2000000000000002</v>
      </c>
      <c r="N69" s="102">
        <v>8</v>
      </c>
      <c r="O69" s="85">
        <v>5</v>
      </c>
      <c r="P69" s="85">
        <v>6.2</v>
      </c>
      <c r="Q69" s="4">
        <v>6.3</v>
      </c>
      <c r="R69" s="85">
        <v>6.6</v>
      </c>
      <c r="S69" s="85">
        <v>6.5</v>
      </c>
      <c r="T69" s="4">
        <v>4.7</v>
      </c>
      <c r="U69" s="102">
        <v>7.5</v>
      </c>
      <c r="V69" s="102">
        <v>5.8</v>
      </c>
      <c r="W69" s="102">
        <v>6</v>
      </c>
      <c r="X69" s="102"/>
      <c r="Y69" s="503"/>
    </row>
    <row r="70" spans="1:25">
      <c r="B70" s="502" t="s">
        <v>803</v>
      </c>
      <c r="C70" s="93">
        <v>150</v>
      </c>
      <c r="D70" s="84">
        <v>2.8</v>
      </c>
      <c r="E70" s="93">
        <v>2.5</v>
      </c>
      <c r="F70" s="93">
        <v>2.2000000000000002</v>
      </c>
      <c r="G70" s="84">
        <v>2</v>
      </c>
      <c r="H70" s="93">
        <v>1.4</v>
      </c>
      <c r="I70" s="93">
        <v>1.25</v>
      </c>
      <c r="J70" s="93">
        <v>1.1499999999999999</v>
      </c>
      <c r="K70" s="93">
        <v>1</v>
      </c>
      <c r="L70" s="93"/>
      <c r="M70" s="93"/>
      <c r="N70" s="120"/>
      <c r="O70" s="83"/>
      <c r="P70" s="83"/>
      <c r="Q70" s="82"/>
      <c r="R70" s="83"/>
      <c r="S70" s="83"/>
      <c r="T70" s="82"/>
      <c r="U70" s="120"/>
      <c r="V70" s="120"/>
      <c r="W70" s="120"/>
      <c r="X70" s="120"/>
    </row>
    <row r="71" spans="1:25">
      <c r="B71" s="502" t="s">
        <v>804</v>
      </c>
      <c r="C71" s="93">
        <v>200</v>
      </c>
      <c r="D71" s="93">
        <v>0.8</v>
      </c>
      <c r="E71" s="93">
        <v>1.5</v>
      </c>
      <c r="F71" s="93">
        <v>1.7</v>
      </c>
      <c r="G71" s="93">
        <v>2.06</v>
      </c>
      <c r="H71" s="93">
        <v>1.85</v>
      </c>
      <c r="I71" s="93">
        <v>1.2</v>
      </c>
      <c r="J71" s="93">
        <v>1.55</v>
      </c>
      <c r="K71" s="93">
        <v>1</v>
      </c>
      <c r="L71" s="93"/>
      <c r="O71" s="81"/>
      <c r="P71" s="81"/>
      <c r="Q71" s="80"/>
      <c r="R71" s="81"/>
      <c r="S71" s="81"/>
      <c r="T71" s="82"/>
      <c r="U71" s="120"/>
      <c r="V71" s="120"/>
      <c r="W71" s="120"/>
      <c r="X71" s="120"/>
    </row>
    <row r="72" spans="1:25">
      <c r="C72" s="93">
        <v>250</v>
      </c>
      <c r="D72" s="84">
        <v>2.5</v>
      </c>
      <c r="E72" s="93">
        <v>2.2999999999999998</v>
      </c>
      <c r="F72" s="93">
        <v>2</v>
      </c>
      <c r="G72" s="84">
        <v>1.8</v>
      </c>
      <c r="H72" s="93">
        <v>1.6</v>
      </c>
      <c r="I72" s="93">
        <v>1.4</v>
      </c>
      <c r="J72" s="93">
        <v>1.1499999999999999</v>
      </c>
      <c r="K72" s="93">
        <v>1</v>
      </c>
      <c r="L72" s="93"/>
      <c r="M72" s="93"/>
      <c r="N72" s="120"/>
      <c r="O72" s="8"/>
      <c r="P72" s="8"/>
      <c r="Q72" s="82"/>
      <c r="R72" s="8"/>
      <c r="S72" s="8"/>
      <c r="T72" s="82"/>
      <c r="U72" s="120"/>
      <c r="V72" s="120"/>
      <c r="W72" s="120"/>
      <c r="X72" s="120"/>
    </row>
    <row r="73" spans="1:25">
      <c r="O73" s="121"/>
      <c r="P73" s="121"/>
      <c r="Q73" s="80"/>
      <c r="R73" s="121"/>
      <c r="S73" s="121"/>
      <c r="T73" s="80"/>
    </row>
    <row r="74" spans="1:25">
      <c r="C74" s="1474" t="s">
        <v>95</v>
      </c>
      <c r="D74" s="1475"/>
      <c r="E74" s="1475"/>
      <c r="F74" s="1475"/>
      <c r="G74" s="1475"/>
      <c r="H74" s="1475"/>
      <c r="I74" s="1475"/>
      <c r="J74" s="1475"/>
      <c r="K74" s="1475"/>
      <c r="L74" s="1475"/>
      <c r="O74" s="121"/>
      <c r="P74" s="121"/>
      <c r="Q74" s="80"/>
      <c r="R74" s="121"/>
      <c r="S74" s="121"/>
      <c r="T74" s="80"/>
    </row>
    <row r="75" spans="1:25">
      <c r="C75" s="93" t="s">
        <v>249</v>
      </c>
      <c r="D75" s="93" t="s">
        <v>1112</v>
      </c>
      <c r="E75" s="93" t="s">
        <v>1113</v>
      </c>
      <c r="F75" s="93" t="s">
        <v>1114</v>
      </c>
      <c r="G75" s="93" t="s">
        <v>1115</v>
      </c>
      <c r="H75" s="93" t="s">
        <v>1116</v>
      </c>
      <c r="I75" s="93" t="s">
        <v>1117</v>
      </c>
      <c r="J75" s="93" t="s">
        <v>1118</v>
      </c>
      <c r="K75" s="93" t="s">
        <v>1119</v>
      </c>
      <c r="L75" s="93" t="s">
        <v>1120</v>
      </c>
      <c r="M75" s="93" t="s">
        <v>1121</v>
      </c>
      <c r="N75" s="93" t="s">
        <v>1122</v>
      </c>
      <c r="O75" s="93" t="s">
        <v>1123</v>
      </c>
      <c r="P75" s="93" t="s">
        <v>1124</v>
      </c>
      <c r="Q75" s="93" t="s">
        <v>1125</v>
      </c>
      <c r="R75" s="93" t="s">
        <v>1126</v>
      </c>
      <c r="S75" s="93" t="s">
        <v>1127</v>
      </c>
      <c r="T75" s="93" t="s">
        <v>1036</v>
      </c>
      <c r="U75" s="93" t="s">
        <v>1037</v>
      </c>
      <c r="V75" s="93" t="s">
        <v>1038</v>
      </c>
      <c r="W75" s="93" t="s">
        <v>1039</v>
      </c>
      <c r="X75" s="93"/>
    </row>
    <row r="76" spans="1:25">
      <c r="C76" s="93">
        <f>C69</f>
        <v>100</v>
      </c>
      <c r="D76" s="93">
        <f t="shared" ref="D76:K77" si="6">D69</f>
        <v>2.25</v>
      </c>
      <c r="E76" s="93">
        <f t="shared" si="6"/>
        <v>2.5</v>
      </c>
      <c r="F76" s="93">
        <f t="shared" si="6"/>
        <v>2.85</v>
      </c>
      <c r="G76" s="93">
        <f t="shared" si="6"/>
        <v>3.05</v>
      </c>
      <c r="H76" s="93">
        <f t="shared" si="6"/>
        <v>3.35</v>
      </c>
      <c r="I76" s="93">
        <f t="shared" si="6"/>
        <v>3.7</v>
      </c>
      <c r="J76" s="93">
        <f t="shared" si="6"/>
        <v>3.95</v>
      </c>
      <c r="K76" s="93">
        <f t="shared" si="6"/>
        <v>4.25</v>
      </c>
      <c r="L76" s="93">
        <v>3.55</v>
      </c>
      <c r="M76" s="93">
        <v>3</v>
      </c>
      <c r="N76" s="120">
        <v>4.5</v>
      </c>
      <c r="O76" s="120">
        <v>3</v>
      </c>
      <c r="P76" s="120">
        <v>3.4</v>
      </c>
      <c r="Q76" s="120">
        <v>3.4</v>
      </c>
      <c r="R76" s="120">
        <v>3.4</v>
      </c>
      <c r="S76" s="120">
        <v>3.05</v>
      </c>
      <c r="T76" s="120">
        <v>2.8</v>
      </c>
      <c r="U76" s="120">
        <v>3.8</v>
      </c>
      <c r="V76" s="120">
        <v>3.8</v>
      </c>
      <c r="W76" s="120">
        <v>4.4000000000000004</v>
      </c>
      <c r="X76" s="120"/>
    </row>
    <row r="77" spans="1:25">
      <c r="C77" s="93">
        <f>C70</f>
        <v>150</v>
      </c>
      <c r="D77" s="93">
        <f t="shared" si="6"/>
        <v>2.8</v>
      </c>
      <c r="E77" s="93">
        <f t="shared" si="6"/>
        <v>2.5</v>
      </c>
      <c r="F77" s="93">
        <f t="shared" si="6"/>
        <v>2.2000000000000002</v>
      </c>
      <c r="G77" s="84">
        <f t="shared" si="6"/>
        <v>2</v>
      </c>
      <c r="H77" s="93">
        <f t="shared" si="6"/>
        <v>1.4</v>
      </c>
      <c r="I77" s="93">
        <f t="shared" si="6"/>
        <v>1.25</v>
      </c>
      <c r="J77" s="93">
        <f t="shared" si="6"/>
        <v>1.1499999999999999</v>
      </c>
      <c r="K77" s="93">
        <f t="shared" si="6"/>
        <v>1</v>
      </c>
      <c r="L77" s="93"/>
      <c r="M77" s="93"/>
      <c r="N77" s="120"/>
      <c r="O77" s="120"/>
      <c r="P77" s="120"/>
      <c r="Q77" s="120"/>
      <c r="R77" s="120"/>
      <c r="S77" s="120"/>
      <c r="T77" s="120"/>
      <c r="U77" s="120"/>
      <c r="V77" s="120"/>
      <c r="W77" s="120"/>
      <c r="X77" s="120"/>
    </row>
    <row r="78" spans="1:25">
      <c r="C78" s="93">
        <f>C71</f>
        <v>200</v>
      </c>
      <c r="D78" s="93">
        <v>0.8</v>
      </c>
      <c r="E78" s="93">
        <v>1.4</v>
      </c>
      <c r="F78" s="93">
        <v>1.6</v>
      </c>
      <c r="G78" s="93">
        <v>1.95</v>
      </c>
      <c r="H78" s="93">
        <v>1.75</v>
      </c>
      <c r="I78" s="93">
        <v>1.1000000000000001</v>
      </c>
      <c r="J78" s="93">
        <v>1.5</v>
      </c>
      <c r="K78" s="93">
        <v>0.95</v>
      </c>
      <c r="L78" s="93">
        <v>1.7</v>
      </c>
      <c r="M78" s="502">
        <v>1.2</v>
      </c>
      <c r="N78" s="502">
        <v>1.55</v>
      </c>
      <c r="O78" s="502">
        <v>1.4</v>
      </c>
      <c r="P78" s="502">
        <v>1.25</v>
      </c>
      <c r="Q78" s="502">
        <v>1.6</v>
      </c>
      <c r="R78" s="502">
        <v>0.9</v>
      </c>
      <c r="S78" s="502">
        <v>1.6</v>
      </c>
      <c r="T78" s="120"/>
      <c r="U78" s="120"/>
      <c r="V78" s="120"/>
      <c r="W78" s="120"/>
      <c r="X78" s="120"/>
    </row>
    <row r="79" spans="1:25">
      <c r="C79" s="93">
        <f>C72</f>
        <v>250</v>
      </c>
      <c r="D79" s="93">
        <f t="shared" ref="D79:K79" si="7">D72</f>
        <v>2.5</v>
      </c>
      <c r="E79" s="93">
        <f t="shared" si="7"/>
        <v>2.2999999999999998</v>
      </c>
      <c r="F79" s="93">
        <f t="shared" si="7"/>
        <v>2</v>
      </c>
      <c r="G79" s="93">
        <f t="shared" si="7"/>
        <v>1.8</v>
      </c>
      <c r="H79" s="93">
        <f t="shared" si="7"/>
        <v>1.6</v>
      </c>
      <c r="I79" s="93">
        <f t="shared" si="7"/>
        <v>1.4</v>
      </c>
      <c r="J79" s="93">
        <f t="shared" si="7"/>
        <v>1.1499999999999999</v>
      </c>
      <c r="K79" s="93">
        <f t="shared" si="7"/>
        <v>1</v>
      </c>
      <c r="L79" s="93">
        <v>1.8</v>
      </c>
      <c r="M79" s="93">
        <v>1.8</v>
      </c>
      <c r="N79" s="120">
        <v>1.8</v>
      </c>
      <c r="O79" s="120">
        <v>1.35</v>
      </c>
      <c r="P79" s="120"/>
      <c r="Q79" s="120"/>
      <c r="R79" s="120"/>
      <c r="S79" s="120"/>
      <c r="T79" s="120"/>
      <c r="U79" s="120"/>
      <c r="V79" s="120"/>
      <c r="W79" s="120"/>
      <c r="X79" s="120"/>
    </row>
    <row r="80" spans="1:25">
      <c r="M80" s="131"/>
    </row>
    <row r="81" spans="3:24">
      <c r="M81" s="131"/>
    </row>
    <row r="82" spans="3:24">
      <c r="C82" s="1474" t="s">
        <v>96</v>
      </c>
      <c r="D82" s="1475"/>
      <c r="E82" s="1475"/>
      <c r="F82" s="1475"/>
      <c r="G82" s="1475"/>
      <c r="H82" s="1475"/>
      <c r="I82" s="1475"/>
      <c r="J82" s="1475"/>
      <c r="K82" s="1475"/>
      <c r="L82" s="1475"/>
      <c r="M82" s="131"/>
      <c r="P82" s="131"/>
      <c r="Q82" s="131"/>
      <c r="R82" s="131"/>
    </row>
    <row r="83" spans="3:24">
      <c r="C83" s="93" t="s">
        <v>249</v>
      </c>
      <c r="D83" s="93" t="s">
        <v>1112</v>
      </c>
      <c r="E83" s="93" t="s">
        <v>1113</v>
      </c>
      <c r="F83" s="93" t="s">
        <v>1114</v>
      </c>
      <c r="G83" s="93" t="s">
        <v>1115</v>
      </c>
      <c r="H83" s="93" t="s">
        <v>1116</v>
      </c>
      <c r="I83" s="93" t="s">
        <v>1117</v>
      </c>
      <c r="J83" s="93" t="s">
        <v>1118</v>
      </c>
      <c r="K83" s="93" t="s">
        <v>1119</v>
      </c>
      <c r="L83" s="93" t="s">
        <v>1120</v>
      </c>
      <c r="M83" s="93" t="s">
        <v>1121</v>
      </c>
      <c r="N83" s="93" t="s">
        <v>1122</v>
      </c>
      <c r="O83" s="93" t="s">
        <v>1123</v>
      </c>
      <c r="P83" s="93" t="s">
        <v>1124</v>
      </c>
      <c r="Q83" s="93" t="s">
        <v>1125</v>
      </c>
      <c r="R83" s="93" t="s">
        <v>1126</v>
      </c>
      <c r="S83" s="93" t="s">
        <v>1127</v>
      </c>
      <c r="T83" s="93" t="s">
        <v>1036</v>
      </c>
      <c r="U83" s="93" t="s">
        <v>1037</v>
      </c>
      <c r="V83" s="93" t="s">
        <v>1038</v>
      </c>
      <c r="W83" s="93" t="s">
        <v>1039</v>
      </c>
      <c r="X83" s="93"/>
    </row>
    <row r="84" spans="3:24">
      <c r="C84" s="93">
        <f>C76</f>
        <v>100</v>
      </c>
      <c r="D84" s="93">
        <v>0.375</v>
      </c>
      <c r="E84" s="93">
        <v>0.4</v>
      </c>
      <c r="F84" s="93">
        <v>0.45</v>
      </c>
      <c r="G84" s="93">
        <v>0.47499999999999998</v>
      </c>
      <c r="H84" s="93">
        <v>0.52500000000000002</v>
      </c>
      <c r="I84" s="93">
        <v>0.6</v>
      </c>
      <c r="J84" s="93">
        <v>0.6</v>
      </c>
      <c r="K84" s="93">
        <v>0.67500000000000004</v>
      </c>
      <c r="L84" s="93">
        <v>0.52500000000000002</v>
      </c>
      <c r="M84" s="93">
        <v>0.42499999999999999</v>
      </c>
      <c r="N84" s="120">
        <v>0.65</v>
      </c>
      <c r="O84" s="120">
        <v>0.57499999999999996</v>
      </c>
      <c r="P84" s="93">
        <v>0.52500000000000002</v>
      </c>
      <c r="Q84" s="93">
        <v>0.57499999999999996</v>
      </c>
      <c r="R84" s="93">
        <v>0.57499999999999996</v>
      </c>
      <c r="S84" s="120">
        <v>0.52500000000000002</v>
      </c>
      <c r="T84" s="120">
        <v>0.45</v>
      </c>
      <c r="U84" s="120">
        <v>0.67500000000000004</v>
      </c>
      <c r="V84" s="120">
        <v>0.57499999999999996</v>
      </c>
      <c r="W84" s="120">
        <v>0.8</v>
      </c>
      <c r="X84" s="120"/>
    </row>
    <row r="85" spans="3:24">
      <c r="C85" s="93">
        <f>C77</f>
        <v>150</v>
      </c>
      <c r="D85" s="93">
        <v>0.52500000000000002</v>
      </c>
      <c r="E85" s="93">
        <v>0.5</v>
      </c>
      <c r="F85" s="93">
        <v>0.4</v>
      </c>
      <c r="G85" s="93">
        <v>0.375</v>
      </c>
      <c r="H85" s="93">
        <v>0.32500000000000001</v>
      </c>
      <c r="I85" s="93">
        <v>0.27500000000000002</v>
      </c>
      <c r="J85" s="93">
        <v>0.25</v>
      </c>
      <c r="K85" s="93">
        <v>0.25</v>
      </c>
      <c r="L85" s="93"/>
      <c r="M85" s="93"/>
      <c r="N85" s="120"/>
      <c r="O85" s="120"/>
      <c r="P85" s="93"/>
      <c r="Q85" s="93"/>
      <c r="R85" s="93"/>
      <c r="S85" s="120"/>
      <c r="T85" s="120"/>
      <c r="U85" s="120"/>
      <c r="V85" s="120"/>
      <c r="W85" s="120"/>
      <c r="X85" s="120"/>
    </row>
    <row r="86" spans="3:24">
      <c r="C86" s="93">
        <f>C78</f>
        <v>200</v>
      </c>
      <c r="D86" s="93">
        <v>0.22500000000000001</v>
      </c>
      <c r="E86" s="93">
        <v>0.25</v>
      </c>
      <c r="F86" s="93">
        <v>0.3</v>
      </c>
      <c r="G86" s="93">
        <v>0.375</v>
      </c>
      <c r="H86" s="93">
        <v>0.35</v>
      </c>
      <c r="I86" s="93">
        <v>0.22500000000000001</v>
      </c>
      <c r="J86" s="93">
        <v>0.27500000000000002</v>
      </c>
      <c r="K86" s="93">
        <v>0.22500000000000001</v>
      </c>
      <c r="L86" s="93">
        <v>0.32500000000000001</v>
      </c>
      <c r="M86" s="502">
        <v>0.22500000000000001</v>
      </c>
      <c r="N86" s="502">
        <v>0.27500000000000002</v>
      </c>
      <c r="O86" s="502">
        <v>0.25</v>
      </c>
      <c r="P86" s="131">
        <v>0.22500000000000001</v>
      </c>
      <c r="Q86" s="131">
        <v>0.45</v>
      </c>
      <c r="R86" s="502">
        <v>0.3</v>
      </c>
      <c r="S86" s="502">
        <v>0.45</v>
      </c>
      <c r="T86" s="120"/>
      <c r="U86" s="120"/>
      <c r="V86" s="120"/>
      <c r="W86" s="120"/>
      <c r="X86" s="120"/>
    </row>
    <row r="87" spans="3:24">
      <c r="C87" s="93">
        <f>C79</f>
        <v>250</v>
      </c>
      <c r="D87" s="93">
        <v>0.47499999999999998</v>
      </c>
      <c r="E87" s="93">
        <v>0.45</v>
      </c>
      <c r="F87" s="93">
        <v>0.4</v>
      </c>
      <c r="G87" s="93">
        <v>0.35</v>
      </c>
      <c r="H87" s="93">
        <v>0.3</v>
      </c>
      <c r="I87" s="93">
        <v>0.27500000000000002</v>
      </c>
      <c r="J87" s="93">
        <v>0.25</v>
      </c>
      <c r="K87" s="93">
        <v>0.25</v>
      </c>
      <c r="L87" s="93"/>
      <c r="M87" s="93"/>
      <c r="N87" s="120"/>
      <c r="O87" s="120"/>
      <c r="P87" s="93"/>
      <c r="Q87" s="93"/>
      <c r="R87" s="93"/>
      <c r="S87" s="120"/>
      <c r="T87" s="120"/>
      <c r="U87" s="120"/>
      <c r="V87" s="120"/>
      <c r="W87" s="120"/>
      <c r="X87" s="120"/>
    </row>
    <row r="88" spans="3:24">
      <c r="C88" s="131"/>
      <c r="D88" s="131"/>
      <c r="E88" s="131"/>
      <c r="H88" s="131"/>
      <c r="I88" s="131"/>
      <c r="J88" s="131"/>
      <c r="K88" s="131"/>
      <c r="L88" s="131"/>
      <c r="M88" s="131"/>
      <c r="P88" s="131"/>
      <c r="Q88" s="131"/>
      <c r="R88" s="131"/>
    </row>
    <row r="89" spans="3:24">
      <c r="C89" s="1476" t="s">
        <v>746</v>
      </c>
      <c r="D89" s="1477"/>
      <c r="E89" s="1477"/>
      <c r="F89" s="1477"/>
      <c r="G89" s="1477"/>
      <c r="H89" s="1477"/>
      <c r="I89" s="1477"/>
      <c r="J89" s="1477"/>
      <c r="K89" s="1477"/>
      <c r="L89" s="1477"/>
      <c r="M89" s="131"/>
      <c r="P89" s="131"/>
      <c r="Q89" s="131"/>
      <c r="R89" s="131"/>
    </row>
    <row r="90" spans="3:24">
      <c r="C90" s="93" t="s">
        <v>249</v>
      </c>
      <c r="D90" s="93" t="s">
        <v>1112</v>
      </c>
      <c r="E90" s="93" t="s">
        <v>1113</v>
      </c>
      <c r="F90" s="93" t="s">
        <v>1114</v>
      </c>
      <c r="G90" s="93" t="s">
        <v>1115</v>
      </c>
      <c r="H90" s="93" t="s">
        <v>1116</v>
      </c>
      <c r="I90" s="93" t="s">
        <v>1117</v>
      </c>
      <c r="J90" s="93" t="s">
        <v>1118</v>
      </c>
      <c r="K90" s="93" t="s">
        <v>1119</v>
      </c>
      <c r="L90" s="93" t="s">
        <v>1120</v>
      </c>
      <c r="M90" s="93" t="s">
        <v>1121</v>
      </c>
      <c r="N90" s="93" t="s">
        <v>1122</v>
      </c>
      <c r="O90" s="93" t="s">
        <v>1123</v>
      </c>
      <c r="P90" s="93" t="s">
        <v>1124</v>
      </c>
      <c r="Q90" s="93" t="s">
        <v>1125</v>
      </c>
      <c r="R90" s="93" t="s">
        <v>1126</v>
      </c>
      <c r="S90" s="93" t="s">
        <v>1127</v>
      </c>
      <c r="T90" s="93" t="s">
        <v>1036</v>
      </c>
      <c r="U90" s="93" t="s">
        <v>1037</v>
      </c>
      <c r="V90" s="93" t="s">
        <v>1038</v>
      </c>
      <c r="W90" s="93" t="s">
        <v>1039</v>
      </c>
      <c r="X90" s="93"/>
    </row>
    <row r="91" spans="3:24">
      <c r="C91" s="93">
        <f>C84</f>
        <v>100</v>
      </c>
      <c r="D91" s="93">
        <v>2</v>
      </c>
      <c r="E91" s="93">
        <v>3</v>
      </c>
      <c r="F91" s="93">
        <v>3</v>
      </c>
      <c r="G91" s="93">
        <v>5</v>
      </c>
      <c r="H91" s="93">
        <v>2</v>
      </c>
      <c r="I91" s="93">
        <v>0</v>
      </c>
      <c r="J91" s="93">
        <v>3</v>
      </c>
      <c r="K91" s="93">
        <v>1</v>
      </c>
      <c r="L91" s="93">
        <v>1</v>
      </c>
      <c r="M91" s="93">
        <v>2</v>
      </c>
      <c r="N91" s="93">
        <v>2</v>
      </c>
      <c r="O91" s="93">
        <v>2</v>
      </c>
      <c r="P91" s="93">
        <v>4</v>
      </c>
      <c r="Q91" s="93">
        <v>1</v>
      </c>
      <c r="R91" s="93">
        <v>1</v>
      </c>
      <c r="S91" s="93">
        <v>1</v>
      </c>
      <c r="T91" s="93">
        <v>1</v>
      </c>
      <c r="U91" s="93">
        <v>1</v>
      </c>
      <c r="V91" s="93">
        <v>1</v>
      </c>
      <c r="W91" s="93">
        <v>2</v>
      </c>
      <c r="X91" s="93"/>
    </row>
    <row r="92" spans="3:24">
      <c r="C92" s="93">
        <f>C85</f>
        <v>150</v>
      </c>
      <c r="D92" s="93">
        <v>4</v>
      </c>
      <c r="E92" s="93">
        <v>8</v>
      </c>
      <c r="F92" s="93">
        <v>16</v>
      </c>
      <c r="G92" s="93">
        <v>16</v>
      </c>
      <c r="H92" s="93">
        <v>14</v>
      </c>
      <c r="I92" s="93">
        <v>8</v>
      </c>
      <c r="J92" s="93">
        <v>5</v>
      </c>
      <c r="K92" s="93">
        <v>2</v>
      </c>
      <c r="L92" s="93"/>
      <c r="M92" s="93"/>
      <c r="N92" s="93"/>
      <c r="O92" s="93"/>
      <c r="P92" s="93"/>
      <c r="Q92" s="93"/>
      <c r="R92" s="93"/>
      <c r="S92" s="93"/>
      <c r="T92" s="93"/>
      <c r="U92" s="93"/>
      <c r="V92" s="93"/>
      <c r="W92" s="93"/>
      <c r="X92" s="93"/>
    </row>
    <row r="93" spans="3:24">
      <c r="C93" s="93">
        <f>C86</f>
        <v>200</v>
      </c>
      <c r="D93" s="93">
        <v>2</v>
      </c>
      <c r="E93" s="93">
        <v>18</v>
      </c>
      <c r="F93" s="93">
        <v>6</v>
      </c>
      <c r="G93" s="93">
        <v>4</v>
      </c>
      <c r="H93" s="93">
        <v>4</v>
      </c>
      <c r="I93" s="93">
        <v>8</v>
      </c>
      <c r="J93" s="93">
        <v>12</v>
      </c>
      <c r="K93" s="93">
        <v>4</v>
      </c>
      <c r="L93" s="93">
        <v>4</v>
      </c>
      <c r="M93" s="93">
        <v>4</v>
      </c>
      <c r="N93" s="93">
        <v>2</v>
      </c>
      <c r="O93" s="93">
        <v>2</v>
      </c>
      <c r="P93" s="93">
        <v>4</v>
      </c>
      <c r="Q93" s="93">
        <v>2</v>
      </c>
      <c r="R93" s="93">
        <v>2</v>
      </c>
      <c r="S93" s="93">
        <v>2</v>
      </c>
      <c r="T93" s="93"/>
      <c r="U93" s="93"/>
      <c r="V93" s="93"/>
      <c r="W93" s="93"/>
      <c r="X93" s="93"/>
    </row>
    <row r="94" spans="3:24">
      <c r="C94" s="93">
        <f>C87</f>
        <v>250</v>
      </c>
      <c r="D94" s="93">
        <v>4</v>
      </c>
      <c r="E94" s="93">
        <v>8</v>
      </c>
      <c r="F94" s="93">
        <v>16</v>
      </c>
      <c r="G94" s="93">
        <v>16</v>
      </c>
      <c r="H94" s="93">
        <v>14</v>
      </c>
      <c r="I94" s="93">
        <v>8</v>
      </c>
      <c r="J94" s="93">
        <v>5</v>
      </c>
      <c r="K94" s="93">
        <v>2</v>
      </c>
      <c r="L94" s="93"/>
      <c r="M94" s="93"/>
      <c r="N94" s="93"/>
      <c r="O94" s="93"/>
      <c r="P94" s="93"/>
      <c r="Q94" s="93"/>
      <c r="R94" s="93"/>
      <c r="S94" s="93"/>
      <c r="T94" s="93"/>
      <c r="U94" s="93"/>
      <c r="V94" s="93"/>
      <c r="W94" s="93"/>
      <c r="X94" s="93"/>
    </row>
    <row r="95" spans="3:24">
      <c r="P95" s="131"/>
      <c r="Q95" s="131"/>
      <c r="R95" s="131"/>
    </row>
    <row r="96" spans="3:24">
      <c r="D96" s="131">
        <f t="shared" ref="D96:K96" si="8">ROUND(SQRT(D70*D77*150/100),2)</f>
        <v>3.43</v>
      </c>
      <c r="E96" s="131">
        <f t="shared" si="8"/>
        <v>3.06</v>
      </c>
      <c r="F96" s="131">
        <f t="shared" si="8"/>
        <v>2.69</v>
      </c>
      <c r="G96" s="131">
        <f t="shared" si="8"/>
        <v>2.4500000000000002</v>
      </c>
      <c r="H96" s="131">
        <f t="shared" si="8"/>
        <v>1.71</v>
      </c>
      <c r="I96" s="131">
        <f t="shared" si="8"/>
        <v>1.53</v>
      </c>
      <c r="J96" s="131">
        <f t="shared" si="8"/>
        <v>1.41</v>
      </c>
      <c r="K96" s="131">
        <f t="shared" si="8"/>
        <v>1.22</v>
      </c>
      <c r="P96" s="131"/>
      <c r="Q96" s="131"/>
      <c r="R96" s="131"/>
    </row>
    <row r="98" spans="2:26">
      <c r="B98" s="79" t="s">
        <v>606</v>
      </c>
      <c r="C98" s="79" t="s">
        <v>739</v>
      </c>
      <c r="P98" s="120"/>
      <c r="Q98" s="1472" t="s">
        <v>235</v>
      </c>
      <c r="R98" s="1472"/>
      <c r="S98" s="1472"/>
      <c r="T98" s="120" t="s">
        <v>366</v>
      </c>
      <c r="U98" s="120"/>
      <c r="V98" s="120"/>
      <c r="W98" s="120" t="s">
        <v>797</v>
      </c>
      <c r="X98" s="120"/>
      <c r="Y98" s="120"/>
      <c r="Z98" s="120"/>
    </row>
    <row r="99" spans="2:26" ht="45.9">
      <c r="B99" s="78" t="s">
        <v>603</v>
      </c>
      <c r="C99" s="77">
        <v>0</v>
      </c>
      <c r="E99" s="110" t="s">
        <v>711</v>
      </c>
      <c r="F99" s="76">
        <v>98</v>
      </c>
      <c r="P99" s="109" t="s">
        <v>790</v>
      </c>
      <c r="Q99" s="109" t="s">
        <v>791</v>
      </c>
      <c r="R99" s="109" t="s">
        <v>792</v>
      </c>
      <c r="S99" s="109" t="s">
        <v>793</v>
      </c>
      <c r="T99" s="109" t="s">
        <v>794</v>
      </c>
      <c r="U99" s="109" t="s">
        <v>795</v>
      </c>
      <c r="V99" s="109" t="s">
        <v>796</v>
      </c>
      <c r="W99" s="109" t="s">
        <v>798</v>
      </c>
      <c r="X99" s="109"/>
      <c r="Y99" s="109"/>
      <c r="Z99" s="109" t="s">
        <v>799</v>
      </c>
    </row>
    <row r="100" spans="2:26">
      <c r="B100" s="78" t="s">
        <v>602</v>
      </c>
      <c r="C100" s="7">
        <v>0.2</v>
      </c>
      <c r="E100" s="110" t="s">
        <v>712</v>
      </c>
      <c r="F100" s="76">
        <v>73</v>
      </c>
      <c r="P100" s="75">
        <v>41791</v>
      </c>
      <c r="Q100" s="120">
        <v>5400</v>
      </c>
      <c r="R100" s="120">
        <v>5300</v>
      </c>
      <c r="S100" s="120">
        <v>5200</v>
      </c>
      <c r="T100" s="120">
        <v>41000</v>
      </c>
      <c r="U100" s="120">
        <v>43600</v>
      </c>
      <c r="V100" s="120">
        <v>45000</v>
      </c>
      <c r="W100" s="120">
        <v>46500</v>
      </c>
      <c r="X100" s="120"/>
      <c r="Y100" s="120"/>
      <c r="Z100" s="120">
        <v>48500</v>
      </c>
    </row>
    <row r="101" spans="2:26">
      <c r="B101" s="78" t="s">
        <v>604</v>
      </c>
      <c r="C101" s="7">
        <v>0.2</v>
      </c>
      <c r="P101" s="75">
        <v>41821</v>
      </c>
      <c r="Q101" s="120">
        <v>5600</v>
      </c>
      <c r="R101" s="120">
        <v>5400</v>
      </c>
      <c r="S101" s="120">
        <v>5200</v>
      </c>
      <c r="T101" s="120">
        <v>43000</v>
      </c>
      <c r="U101" s="120">
        <v>43500</v>
      </c>
      <c r="V101" s="120">
        <v>45000</v>
      </c>
      <c r="W101" s="120">
        <v>46500</v>
      </c>
      <c r="X101" s="120"/>
      <c r="Y101" s="120"/>
      <c r="Z101" s="120">
        <v>48500</v>
      </c>
    </row>
    <row r="102" spans="2:26">
      <c r="B102" s="74" t="s">
        <v>605</v>
      </c>
      <c r="C102" s="73">
        <v>0.25</v>
      </c>
      <c r="P102" s="75">
        <v>41852</v>
      </c>
      <c r="Q102" s="120">
        <v>5800</v>
      </c>
      <c r="R102" s="120">
        <v>5400</v>
      </c>
      <c r="S102" s="120">
        <v>5200</v>
      </c>
      <c r="T102" s="120">
        <v>45000</v>
      </c>
      <c r="U102" s="120">
        <v>45000</v>
      </c>
      <c r="V102" s="120">
        <v>46000</v>
      </c>
      <c r="W102" s="120">
        <v>47500</v>
      </c>
      <c r="X102" s="120"/>
      <c r="Y102" s="120"/>
      <c r="Z102" s="120">
        <v>48500</v>
      </c>
    </row>
    <row r="103" spans="2:26">
      <c r="B103" s="74" t="s">
        <v>740</v>
      </c>
      <c r="C103" s="73">
        <v>0.25</v>
      </c>
      <c r="P103" s="75">
        <v>42614</v>
      </c>
      <c r="Q103" s="120">
        <v>5800</v>
      </c>
      <c r="R103" s="120">
        <v>5500</v>
      </c>
      <c r="S103" s="120">
        <v>5300</v>
      </c>
      <c r="T103" s="120">
        <v>45000</v>
      </c>
      <c r="U103" s="120">
        <v>45000</v>
      </c>
      <c r="V103" s="120">
        <v>46000</v>
      </c>
      <c r="W103" s="120">
        <v>47500</v>
      </c>
      <c r="X103" s="120"/>
      <c r="Y103" s="120"/>
      <c r="Z103" s="120">
        <v>48500</v>
      </c>
    </row>
    <row r="104" spans="2:26">
      <c r="B104" s="74" t="s">
        <v>741</v>
      </c>
      <c r="C104" s="73">
        <v>0.4</v>
      </c>
      <c r="P104" s="75">
        <v>42644</v>
      </c>
      <c r="Q104" s="120">
        <v>5900</v>
      </c>
      <c r="R104" s="120">
        <v>5500</v>
      </c>
      <c r="S104" s="120">
        <v>5300</v>
      </c>
      <c r="T104" s="120">
        <v>45000</v>
      </c>
      <c r="U104" s="120">
        <v>45000</v>
      </c>
      <c r="V104" s="120">
        <v>46000</v>
      </c>
      <c r="W104" s="120">
        <v>46500</v>
      </c>
      <c r="X104" s="120"/>
      <c r="Y104" s="120"/>
      <c r="Z104" s="120">
        <v>48500</v>
      </c>
    </row>
    <row r="105" spans="2:26">
      <c r="P105" s="75">
        <v>42675</v>
      </c>
      <c r="Q105" s="120">
        <v>5700</v>
      </c>
      <c r="R105" s="120">
        <v>5400</v>
      </c>
      <c r="S105" s="120">
        <v>5200</v>
      </c>
      <c r="T105" s="120">
        <v>46000</v>
      </c>
      <c r="U105" s="120">
        <v>45000</v>
      </c>
      <c r="V105" s="120">
        <v>46000</v>
      </c>
      <c r="W105" s="120">
        <v>46500</v>
      </c>
      <c r="X105" s="120"/>
      <c r="Y105" s="120"/>
      <c r="Z105" s="120">
        <v>48500</v>
      </c>
    </row>
    <row r="106" spans="2:26">
      <c r="P106" s="75">
        <v>42705</v>
      </c>
      <c r="Q106" s="120">
        <v>6000</v>
      </c>
      <c r="R106" s="120">
        <v>5700</v>
      </c>
      <c r="S106" s="120">
        <v>5500</v>
      </c>
      <c r="T106" s="120">
        <v>46000</v>
      </c>
      <c r="U106" s="120">
        <v>45000</v>
      </c>
      <c r="V106" s="120">
        <v>46000</v>
      </c>
      <c r="W106" s="120">
        <v>46500</v>
      </c>
      <c r="X106" s="120"/>
      <c r="Y106" s="120"/>
      <c r="Z106" s="120">
        <v>48000</v>
      </c>
    </row>
    <row r="107" spans="2:26">
      <c r="B107" s="120" t="s">
        <v>805</v>
      </c>
      <c r="C107" s="120"/>
      <c r="D107" s="120" t="s">
        <v>806</v>
      </c>
      <c r="E107" s="120" t="s">
        <v>92</v>
      </c>
      <c r="F107" s="120" t="s">
        <v>53</v>
      </c>
      <c r="G107" s="93"/>
      <c r="H107" s="120" t="s">
        <v>806</v>
      </c>
      <c r="I107" s="120" t="s">
        <v>92</v>
      </c>
      <c r="J107" s="120" t="s">
        <v>53</v>
      </c>
      <c r="P107" s="75">
        <v>42736</v>
      </c>
      <c r="Q107" s="120">
        <v>6100</v>
      </c>
      <c r="R107" s="120">
        <v>5800</v>
      </c>
      <c r="S107" s="120">
        <v>5600</v>
      </c>
      <c r="T107" s="120">
        <v>46000</v>
      </c>
      <c r="U107" s="120">
        <v>45000</v>
      </c>
      <c r="V107" s="120">
        <v>46000</v>
      </c>
      <c r="W107" s="120">
        <v>44000</v>
      </c>
      <c r="X107" s="120"/>
      <c r="Y107" s="120"/>
      <c r="Z107" s="120">
        <v>47000</v>
      </c>
    </row>
    <row r="108" spans="2:26">
      <c r="B108" s="120" t="s">
        <v>802</v>
      </c>
      <c r="C108" s="120"/>
      <c r="D108" s="120" t="e">
        <f>#REF!</f>
        <v>#REF!</v>
      </c>
      <c r="E108" s="120" t="e">
        <f>#REF!</f>
        <v>#REF!</v>
      </c>
      <c r="F108" s="93" t="s">
        <v>268</v>
      </c>
      <c r="G108" s="93"/>
      <c r="H108" s="120" t="e">
        <f>#REF!</f>
        <v>#REF!</v>
      </c>
      <c r="I108" s="120" t="e">
        <f>#REF!</f>
        <v>#REF!</v>
      </c>
      <c r="J108" s="120" t="s">
        <v>268</v>
      </c>
      <c r="P108" s="75">
        <v>42767</v>
      </c>
      <c r="Q108" s="120">
        <v>6300</v>
      </c>
      <c r="R108" s="120">
        <v>6000</v>
      </c>
      <c r="S108" s="120">
        <v>5800</v>
      </c>
      <c r="T108" s="120">
        <v>46000</v>
      </c>
      <c r="U108" s="120">
        <v>45000</v>
      </c>
      <c r="V108" s="120">
        <v>46000</v>
      </c>
      <c r="W108" s="120">
        <v>44000</v>
      </c>
      <c r="X108" s="120"/>
      <c r="Y108" s="120"/>
      <c r="Z108" s="120">
        <v>47000</v>
      </c>
    </row>
    <row r="109" spans="2:26">
      <c r="B109" s="120" t="s">
        <v>804</v>
      </c>
      <c r="C109" s="120"/>
      <c r="D109" s="120" t="s">
        <v>1317</v>
      </c>
      <c r="E109" s="102">
        <v>13560</v>
      </c>
      <c r="F109" s="93" t="s">
        <v>268</v>
      </c>
      <c r="G109" s="93"/>
      <c r="H109" s="120" t="s">
        <v>1318</v>
      </c>
      <c r="I109" s="102">
        <v>12702</v>
      </c>
      <c r="J109" s="120" t="s">
        <v>268</v>
      </c>
      <c r="P109" s="75">
        <v>42795</v>
      </c>
      <c r="Q109" s="120">
        <v>6200</v>
      </c>
      <c r="R109" s="120">
        <v>5900</v>
      </c>
      <c r="S109" s="120">
        <v>5700</v>
      </c>
      <c r="T109" s="120">
        <v>45000</v>
      </c>
      <c r="U109" s="120">
        <v>44000</v>
      </c>
      <c r="V109" s="120">
        <v>45000</v>
      </c>
      <c r="W109" s="120">
        <v>43000</v>
      </c>
      <c r="X109" s="120"/>
      <c r="Y109" s="120"/>
      <c r="Z109" s="120">
        <v>46000</v>
      </c>
    </row>
    <row r="110" spans="2:26">
      <c r="B110" s="120"/>
      <c r="C110" s="120"/>
      <c r="D110" s="120"/>
      <c r="E110" s="120"/>
      <c r="F110" s="93"/>
      <c r="G110" s="93"/>
      <c r="H110" s="120"/>
      <c r="I110" s="120"/>
      <c r="J110" s="120"/>
      <c r="P110" s="75">
        <v>42826</v>
      </c>
      <c r="Q110" s="120">
        <v>6400</v>
      </c>
      <c r="R110" s="120">
        <v>6200</v>
      </c>
      <c r="S110" s="120">
        <v>6000</v>
      </c>
      <c r="T110" s="120">
        <v>44000</v>
      </c>
      <c r="U110" s="120">
        <v>43000</v>
      </c>
      <c r="V110" s="120">
        <v>43000</v>
      </c>
      <c r="W110" s="120">
        <v>41500</v>
      </c>
      <c r="X110" s="120"/>
      <c r="Y110" s="120"/>
      <c r="Z110" s="120">
        <v>43000</v>
      </c>
    </row>
    <row r="111" spans="2:26">
      <c r="P111" s="75">
        <v>42856</v>
      </c>
      <c r="Q111" s="120">
        <v>6300</v>
      </c>
      <c r="R111" s="120">
        <v>6100</v>
      </c>
      <c r="S111" s="120">
        <v>5900</v>
      </c>
      <c r="T111" s="120">
        <v>42000</v>
      </c>
      <c r="U111" s="120">
        <v>40000</v>
      </c>
      <c r="V111" s="120">
        <v>40000</v>
      </c>
      <c r="W111" s="120">
        <v>40000</v>
      </c>
      <c r="X111" s="120"/>
      <c r="Y111" s="120"/>
      <c r="Z111" s="120">
        <v>40000</v>
      </c>
    </row>
    <row r="112" spans="2:26">
      <c r="B112" s="120" t="s">
        <v>803</v>
      </c>
      <c r="C112" s="120"/>
      <c r="D112" s="120" t="e">
        <f>#REF!</f>
        <v>#REF!</v>
      </c>
      <c r="E112" s="102" t="e">
        <f>#REF!</f>
        <v>#REF!</v>
      </c>
      <c r="F112" s="93" t="s">
        <v>5</v>
      </c>
      <c r="G112" s="93"/>
      <c r="H112" s="120"/>
      <c r="I112" s="120"/>
      <c r="J112" s="120"/>
      <c r="P112" s="75">
        <v>42887</v>
      </c>
      <c r="Q112" s="120">
        <v>6000</v>
      </c>
      <c r="R112" s="120">
        <v>5900</v>
      </c>
      <c r="S112" s="120">
        <v>5700</v>
      </c>
      <c r="T112" s="120">
        <v>39000</v>
      </c>
      <c r="U112" s="120">
        <v>40000</v>
      </c>
      <c r="V112" s="120">
        <v>40000</v>
      </c>
      <c r="W112" s="120">
        <v>0</v>
      </c>
      <c r="X112" s="120"/>
      <c r="Y112" s="120"/>
      <c r="Z112" s="120">
        <v>0</v>
      </c>
    </row>
    <row r="113" spans="2:26">
      <c r="B113" s="120" t="s">
        <v>804</v>
      </c>
      <c r="C113" s="120"/>
      <c r="D113" s="120" t="s">
        <v>1319</v>
      </c>
      <c r="E113" s="102">
        <v>7749</v>
      </c>
      <c r="F113" s="93" t="s">
        <v>5</v>
      </c>
      <c r="G113" s="93"/>
      <c r="H113" s="120"/>
      <c r="I113" s="120"/>
      <c r="J113" s="120"/>
      <c r="P113" s="75">
        <v>42552</v>
      </c>
      <c r="Q113" s="120">
        <v>4700</v>
      </c>
      <c r="R113" s="120">
        <v>4600</v>
      </c>
      <c r="S113" s="120">
        <v>4400</v>
      </c>
      <c r="T113" s="120">
        <v>33000</v>
      </c>
      <c r="U113" s="120">
        <v>34000</v>
      </c>
      <c r="V113" s="120">
        <v>34000</v>
      </c>
      <c r="W113" s="120">
        <v>0</v>
      </c>
      <c r="X113" s="120"/>
      <c r="Y113" s="120"/>
      <c r="Z113" s="120">
        <v>0</v>
      </c>
    </row>
    <row r="114" spans="2:26">
      <c r="P114" s="75">
        <v>43281</v>
      </c>
      <c r="Q114" s="120">
        <v>4750</v>
      </c>
      <c r="R114" s="120">
        <v>4650</v>
      </c>
      <c r="S114" s="120">
        <v>4500</v>
      </c>
      <c r="T114" s="120">
        <v>44000</v>
      </c>
      <c r="U114" s="120">
        <v>43000</v>
      </c>
      <c r="V114" s="120">
        <v>43000</v>
      </c>
      <c r="W114" s="120">
        <v>0</v>
      </c>
      <c r="X114" s="120"/>
      <c r="Y114" s="120"/>
      <c r="Z114" s="120">
        <v>47000</v>
      </c>
    </row>
  </sheetData>
  <sheetProtection selectLockedCells="1"/>
  <protectedRanges>
    <protectedRange sqref="B28:B32 D28:D32 L28:L32 Y28:IV32 Q28:Q32 S28:W32" name="Range3"/>
    <protectedRange sqref="E59:G60 E64:G65" name="Range1_2"/>
    <protectedRange sqref="I59:I60 I64:I65" name="Range1_1"/>
    <protectedRange sqref="H28" name="Range3_3"/>
    <protectedRange sqref="H29:H31" name="Range3_4"/>
    <protectedRange sqref="H32" name="Range3_5"/>
    <protectedRange sqref="G33" name="Range1_1_5"/>
    <protectedRange sqref="E33:F33" name="Range3_1_1_1_1"/>
    <protectedRange sqref="G27:G32" name="Range1_1_5_1_1_4_1"/>
    <protectedRange sqref="G7:G9" name="Range1_2_1_2"/>
    <protectedRange sqref="G10" name="Range1_2_1_2_1"/>
    <protectedRange sqref="G11:G15" name="Range1_2_1_2_1_1"/>
    <protectedRange sqref="G16:G19" name="Range1_2_1_2_1_2"/>
    <protectedRange sqref="G20 G23:G24" name="Range1_2_1_2_1_3"/>
    <protectedRange sqref="G21:G22" name="Range1_1_2_1_1"/>
    <protectedRange sqref="G25:G26" name="Range1_2_1_2_1_4"/>
    <protectedRange sqref="E28 F32" name="Range3_1_1_1_1_1_1_1_1"/>
    <protectedRange sqref="E27" name="Range1_2_9_1_1_1_1_1_1"/>
    <protectedRange sqref="E29:E32" name="Range1_2_1_2_1_1_1_1"/>
    <protectedRange sqref="I28:I31" name="Range3_2_1"/>
    <protectedRange sqref="I25 I27" name="Range1_1_3"/>
    <protectedRange sqref="I32" name="Range3_5_1"/>
    <protectedRange sqref="M29:N32 N28" name="Range3_1"/>
    <protectedRange sqref="I11:I19" name="Range1_1_1_1"/>
    <protectedRange sqref="I20" name="Range1_1_3_1"/>
    <protectedRange sqref="I21:I22" name="Range1_1_4_1"/>
    <protectedRange sqref="I23:I24 I26" name="Range1_1_8"/>
    <protectedRange sqref="E7:F7 E9" name="Range1_2_2_1_1"/>
    <protectedRange sqref="F9" name="Range1_2_2_1_1_1"/>
    <protectedRange sqref="E8:F8" name="Range1_2_2_1_5"/>
    <protectedRange sqref="E10:F10" name="Range1_2_2_1_6"/>
    <protectedRange sqref="E11:F19" name="Range1_2_2_1_7"/>
    <protectedRange sqref="E20:F20" name="Range1_2_2_1_8"/>
    <protectedRange sqref="E21:E22" name="Range1_2_2_1_9"/>
    <protectedRange sqref="F21:F22" name="Range1_1_2_2_1_1"/>
    <protectedRange sqref="E23:F24" name="Range1_2_2_1_10"/>
    <protectedRange sqref="E25:F26" name="Range1_2_1_1_1_3"/>
  </protectedRanges>
  <mergeCells count="55">
    <mergeCell ref="A1:Q1"/>
    <mergeCell ref="A2:Q2"/>
    <mergeCell ref="A3:Q3"/>
    <mergeCell ref="A4:A5"/>
    <mergeCell ref="B4:B5"/>
    <mergeCell ref="C4:C5"/>
    <mergeCell ref="D4:D5"/>
    <mergeCell ref="E4:E5"/>
    <mergeCell ref="F4:H4"/>
    <mergeCell ref="I4:I5"/>
    <mergeCell ref="R10:U10"/>
    <mergeCell ref="J4:J5"/>
    <mergeCell ref="K4:K5"/>
    <mergeCell ref="L4:L5"/>
    <mergeCell ref="M4:M5"/>
    <mergeCell ref="N4:N5"/>
    <mergeCell ref="O4:O5"/>
    <mergeCell ref="P4:P5"/>
    <mergeCell ref="Q4:Q5"/>
    <mergeCell ref="R7:U7"/>
    <mergeCell ref="R8:U8"/>
    <mergeCell ref="R9:U9"/>
    <mergeCell ref="D41:G41"/>
    <mergeCell ref="J41:L41"/>
    <mergeCell ref="N41:Q41"/>
    <mergeCell ref="R11:T11"/>
    <mergeCell ref="R12:T12"/>
    <mergeCell ref="R15:T15"/>
    <mergeCell ref="R16:T16"/>
    <mergeCell ref="R17:T17"/>
    <mergeCell ref="R18:T18"/>
    <mergeCell ref="R19:T19"/>
    <mergeCell ref="B34:Q34"/>
    <mergeCell ref="B35:Q35"/>
    <mergeCell ref="B36:Q36"/>
    <mergeCell ref="R28:R32"/>
    <mergeCell ref="C52:F52"/>
    <mergeCell ref="D42:G42"/>
    <mergeCell ref="H42:I42"/>
    <mergeCell ref="J42:L42"/>
    <mergeCell ref="N42:Q42"/>
    <mergeCell ref="H45:K45"/>
    <mergeCell ref="H46:K46"/>
    <mergeCell ref="H47:K47"/>
    <mergeCell ref="C48:L48"/>
    <mergeCell ref="C49:F49"/>
    <mergeCell ref="C50:F50"/>
    <mergeCell ref="C51:F51"/>
    <mergeCell ref="Q98:S98"/>
    <mergeCell ref="C55:F55"/>
    <mergeCell ref="C67:L67"/>
    <mergeCell ref="O67:Q67"/>
    <mergeCell ref="C74:L74"/>
    <mergeCell ref="C82:L82"/>
    <mergeCell ref="C89:L89"/>
  </mergeCells>
  <dataValidations count="8">
    <dataValidation type="list" allowBlank="1" showInputMessage="1" showErrorMessage="1" sqref="L53" xr:uid="{00000000-0002-0000-0300-000000000000}">
      <formula1>E99:E100</formula1>
    </dataValidation>
    <dataValidation type="list" allowBlank="1" showInputMessage="1" showErrorMessage="1" sqref="B24" xr:uid="{00000000-0002-0000-0300-000001000000}">
      <formula1>$B$64:$B$65</formula1>
    </dataValidation>
    <dataValidation type="list" allowBlank="1" showInputMessage="1" showErrorMessage="1" sqref="B23" xr:uid="{00000000-0002-0000-0300-000002000000}">
      <formula1>$B$59:$B$60</formula1>
    </dataValidation>
    <dataValidation type="list" allowBlank="1" showInputMessage="1" showErrorMessage="1" sqref="E54" xr:uid="{00000000-0002-0000-0300-000003000000}">
      <formula1>$B$70:$B$71</formula1>
    </dataValidation>
    <dataValidation type="list" allowBlank="1" showInputMessage="1" showErrorMessage="1" sqref="E53" xr:uid="{00000000-0002-0000-0300-000004000000}">
      <formula1>$B$68:$B$69</formula1>
    </dataValidation>
    <dataValidation type="list" allowBlank="1" showInputMessage="1" showErrorMessage="1" sqref="G53" xr:uid="{00000000-0002-0000-0300-000005000000}">
      <formula1>$B$56:$B$57</formula1>
    </dataValidation>
    <dataValidation type="list" allowBlank="1" showInputMessage="1" showErrorMessage="1" sqref="L49" xr:uid="{00000000-0002-0000-0300-000006000000}">
      <formula1>$C$69:$C$72</formula1>
    </dataValidation>
    <dataValidation type="list" allowBlank="1" showInputMessage="1" showErrorMessage="1" sqref="K51" xr:uid="{00000000-0002-0000-0300-000007000000}">
      <formula1>$B$99:$B$104</formula1>
    </dataValidation>
  </dataValidations>
  <printOptions horizontalCentered="1" gridLines="1"/>
  <pageMargins left="0.5" right="0.5" top="0.5" bottom="0.5" header="0.2" footer="0.2"/>
  <pageSetup paperSize="9" scale="63" orientation="landscape" r:id="rId1"/>
  <headerFooter alignWithMargins="0">
    <oddFooter>Page &amp;P of &amp;N</oddFooter>
  </headerFooter>
  <rowBreaks count="1" manualBreakCount="1">
    <brk id="42" max="16383" man="1"/>
  </rowBreaks>
  <colBreaks count="1" manualBreakCount="1">
    <brk id="1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IV1609"/>
  <sheetViews>
    <sheetView topLeftCell="A133" workbookViewId="0">
      <selection activeCell="C137" sqref="C137"/>
    </sheetView>
  </sheetViews>
  <sheetFormatPr defaultColWidth="9" defaultRowHeight="12.3"/>
  <cols>
    <col min="1" max="1" width="4.41796875" style="979" customWidth="1"/>
    <col min="2" max="2" width="5" style="979" customWidth="1"/>
    <col min="3" max="3" width="38.15625" style="792" customWidth="1"/>
    <col min="4" max="4" width="14.68359375" style="979" customWidth="1"/>
    <col min="5" max="5" width="12.578125" style="979" customWidth="1"/>
    <col min="6" max="6" width="12.26171875" style="979" customWidth="1"/>
    <col min="7" max="7" width="9.68359375" style="979" customWidth="1"/>
    <col min="8" max="8" width="11.578125" style="979" customWidth="1"/>
    <col min="9" max="9" width="14.15625" style="979" customWidth="1"/>
    <col min="10" max="10" width="13.578125" style="979" customWidth="1"/>
    <col min="11" max="11" width="14.83984375" style="979" customWidth="1"/>
    <col min="12" max="12" width="9.578125" style="1224" bestFit="1" customWidth="1"/>
    <col min="13" max="13" width="14.578125" style="979" customWidth="1"/>
    <col min="14" max="14" width="9.578125" style="1224" customWidth="1"/>
    <col min="15" max="15" width="9.578125" style="979" bestFit="1" customWidth="1"/>
    <col min="16" max="16" width="9.578125" style="1224" bestFit="1" customWidth="1"/>
    <col min="17" max="17" width="9.578125" style="979" bestFit="1" customWidth="1"/>
    <col min="18" max="18" width="10.578125" style="979" customWidth="1"/>
    <col min="19" max="19" width="9.68359375" style="979" customWidth="1"/>
    <col min="20" max="20" width="10.578125" style="979" customWidth="1"/>
    <col min="21" max="256" width="9.15625" style="979" customWidth="1"/>
    <col min="257" max="16384" width="9" style="794"/>
  </cols>
  <sheetData>
    <row r="1" spans="1:9">
      <c r="A1" s="1507" t="s">
        <v>685</v>
      </c>
      <c r="B1" s="1507"/>
      <c r="C1" s="1507"/>
      <c r="D1" s="1507"/>
      <c r="E1" s="1507"/>
      <c r="F1" s="1507"/>
      <c r="G1" s="1507"/>
      <c r="H1" s="1507"/>
      <c r="I1" s="1507"/>
    </row>
    <row r="2" spans="1:9" ht="32.25" customHeight="1">
      <c r="A2" s="1511" t="str">
        <f>+LEAD!A2:Q2</f>
        <v>Construction of Kitchen shed at ZPHS  Bijwar(V) of Utkoor(M)</v>
      </c>
      <c r="B2" s="1512"/>
      <c r="C2" s="1512"/>
      <c r="D2" s="1512"/>
      <c r="E2" s="1512"/>
      <c r="F2" s="1512"/>
      <c r="G2" s="1512"/>
      <c r="H2" s="1512"/>
      <c r="I2" s="1512"/>
    </row>
    <row r="3" spans="1:9">
      <c r="A3" s="296"/>
      <c r="B3" s="1222"/>
      <c r="C3" s="980" t="s">
        <v>352</v>
      </c>
      <c r="D3" s="981">
        <v>0</v>
      </c>
      <c r="E3" s="982"/>
      <c r="F3" s="982"/>
      <c r="G3" s="982"/>
      <c r="H3" s="982"/>
      <c r="I3" s="982"/>
    </row>
    <row r="4" spans="1:9" ht="15.6" customHeight="1">
      <c r="A4" s="1502" t="s">
        <v>1338</v>
      </c>
      <c r="B4" s="1502"/>
      <c r="C4" s="1502"/>
      <c r="D4" s="1502"/>
      <c r="E4" s="1502"/>
      <c r="F4" s="1502"/>
      <c r="G4" s="1502"/>
      <c r="H4" s="1502"/>
      <c r="I4" s="1502"/>
    </row>
    <row r="5" spans="1:9">
      <c r="A5" s="1222"/>
      <c r="B5" s="1222"/>
      <c r="C5" s="1222"/>
      <c r="D5" s="1222"/>
      <c r="E5" s="983">
        <v>0.2</v>
      </c>
      <c r="F5" s="1502" t="s">
        <v>624</v>
      </c>
      <c r="G5" s="1502"/>
      <c r="H5" s="1502"/>
      <c r="I5" s="1502"/>
    </row>
    <row r="6" spans="1:9">
      <c r="A6" s="1224"/>
      <c r="B6" s="1224"/>
      <c r="C6" s="1224"/>
      <c r="D6" s="1224"/>
      <c r="E6" s="1224"/>
      <c r="F6" s="1224"/>
      <c r="G6" s="1224"/>
      <c r="H6" s="1224"/>
      <c r="I6" s="1224"/>
    </row>
    <row r="7" spans="1:9">
      <c r="A7" s="1507" t="s">
        <v>625</v>
      </c>
      <c r="B7" s="1507"/>
      <c r="C7" s="1507"/>
      <c r="D7" s="1507"/>
      <c r="E7" s="1507"/>
      <c r="F7" s="1507"/>
      <c r="G7" s="1507"/>
      <c r="H7" s="1507"/>
      <c r="I7" s="1507"/>
    </row>
    <row r="8" spans="1:9">
      <c r="A8" s="1507" t="s">
        <v>149</v>
      </c>
      <c r="B8" s="1507"/>
      <c r="C8" s="1214" t="s">
        <v>563</v>
      </c>
      <c r="D8" s="1222" t="s">
        <v>240</v>
      </c>
      <c r="E8" s="1222" t="s">
        <v>626</v>
      </c>
      <c r="F8" s="1222" t="s">
        <v>627</v>
      </c>
      <c r="G8" s="1507" t="s">
        <v>53</v>
      </c>
      <c r="H8" s="1507"/>
    </row>
    <row r="9" spans="1:9">
      <c r="A9" s="979">
        <v>1</v>
      </c>
      <c r="B9" s="984"/>
      <c r="C9" s="792" t="s">
        <v>628</v>
      </c>
      <c r="D9" s="1217" t="s">
        <v>578</v>
      </c>
      <c r="E9" s="985">
        <v>520</v>
      </c>
      <c r="F9" s="986">
        <f t="shared" ref="F9:F23" si="0">E9+(E9*$E$5)</f>
        <v>624</v>
      </c>
      <c r="G9" s="984" t="s">
        <v>629</v>
      </c>
      <c r="H9" s="1213" t="s">
        <v>594</v>
      </c>
    </row>
    <row r="10" spans="1:9">
      <c r="A10" s="979">
        <f>A9+1</f>
        <v>2</v>
      </c>
      <c r="B10" s="984"/>
      <c r="C10" s="792" t="s">
        <v>630</v>
      </c>
      <c r="D10" s="1217" t="s">
        <v>776</v>
      </c>
      <c r="E10" s="987">
        <v>490</v>
      </c>
      <c r="F10" s="986">
        <f t="shared" si="0"/>
        <v>588</v>
      </c>
      <c r="G10" s="984" t="s">
        <v>629</v>
      </c>
      <c r="H10" s="1213" t="s">
        <v>594</v>
      </c>
    </row>
    <row r="11" spans="1:9">
      <c r="A11" s="979">
        <v>3</v>
      </c>
      <c r="B11" s="984"/>
      <c r="C11" s="792" t="s">
        <v>631</v>
      </c>
      <c r="D11" s="988" t="s">
        <v>578</v>
      </c>
      <c r="E11" s="987">
        <v>520</v>
      </c>
      <c r="F11" s="986">
        <f t="shared" si="0"/>
        <v>624</v>
      </c>
      <c r="G11" s="984" t="s">
        <v>629</v>
      </c>
      <c r="H11" s="1213" t="s">
        <v>594</v>
      </c>
    </row>
    <row r="12" spans="1:9">
      <c r="A12" s="979">
        <v>4</v>
      </c>
      <c r="B12" s="984"/>
      <c r="C12" s="792" t="s">
        <v>632</v>
      </c>
      <c r="D12" s="1217" t="s">
        <v>776</v>
      </c>
      <c r="E12" s="987">
        <v>490</v>
      </c>
      <c r="F12" s="986">
        <f t="shared" si="0"/>
        <v>588</v>
      </c>
      <c r="G12" s="984" t="s">
        <v>629</v>
      </c>
      <c r="H12" s="1213" t="s">
        <v>594</v>
      </c>
    </row>
    <row r="13" spans="1:9">
      <c r="A13" s="979">
        <v>5</v>
      </c>
      <c r="B13" s="984"/>
      <c r="C13" s="792" t="s">
        <v>213</v>
      </c>
      <c r="D13" s="1217" t="s">
        <v>775</v>
      </c>
      <c r="E13" s="987">
        <v>515</v>
      </c>
      <c r="F13" s="986">
        <f t="shared" si="0"/>
        <v>618</v>
      </c>
      <c r="G13" s="984" t="s">
        <v>629</v>
      </c>
      <c r="H13" s="1213" t="s">
        <v>594</v>
      </c>
    </row>
    <row r="14" spans="1:9" ht="15.75" customHeight="1">
      <c r="A14" s="989">
        <v>6</v>
      </c>
      <c r="B14" s="984"/>
      <c r="C14" s="792" t="s">
        <v>1016</v>
      </c>
      <c r="D14" s="990" t="s">
        <v>1335</v>
      </c>
      <c r="E14" s="985">
        <v>605</v>
      </c>
      <c r="F14" s="986">
        <f t="shared" si="0"/>
        <v>726</v>
      </c>
      <c r="G14" s="984" t="s">
        <v>629</v>
      </c>
      <c r="H14" s="991" t="s">
        <v>268</v>
      </c>
      <c r="I14" s="986"/>
    </row>
    <row r="15" spans="1:9">
      <c r="A15" s="989">
        <v>7</v>
      </c>
      <c r="B15" s="984"/>
      <c r="C15" s="792" t="s">
        <v>1017</v>
      </c>
      <c r="D15" s="990" t="s">
        <v>1336</v>
      </c>
      <c r="E15" s="987">
        <v>490</v>
      </c>
      <c r="F15" s="986">
        <f t="shared" si="0"/>
        <v>588</v>
      </c>
      <c r="G15" s="984" t="s">
        <v>629</v>
      </c>
      <c r="H15" s="991" t="s">
        <v>268</v>
      </c>
      <c r="I15" s="986"/>
    </row>
    <row r="16" spans="1:9">
      <c r="A16" s="992">
        <v>8</v>
      </c>
      <c r="B16" s="984"/>
      <c r="C16" s="792" t="s">
        <v>738</v>
      </c>
      <c r="D16" s="1217" t="s">
        <v>774</v>
      </c>
      <c r="E16" s="987">
        <v>615</v>
      </c>
      <c r="F16" s="986">
        <f t="shared" si="0"/>
        <v>738</v>
      </c>
      <c r="G16" s="984" t="s">
        <v>629</v>
      </c>
      <c r="H16" s="1213" t="s">
        <v>594</v>
      </c>
    </row>
    <row r="17" spans="1:20">
      <c r="A17" s="992">
        <v>9</v>
      </c>
      <c r="B17" s="984"/>
      <c r="C17" s="792" t="s">
        <v>870</v>
      </c>
      <c r="D17" s="1217" t="s">
        <v>876</v>
      </c>
      <c r="E17" s="987">
        <v>465</v>
      </c>
      <c r="F17" s="986">
        <f>E17+(E17*$E$5)</f>
        <v>558</v>
      </c>
      <c r="G17" s="984" t="s">
        <v>629</v>
      </c>
      <c r="H17" s="1213" t="s">
        <v>594</v>
      </c>
    </row>
    <row r="18" spans="1:20">
      <c r="A18" s="979">
        <v>10</v>
      </c>
      <c r="B18" s="984"/>
      <c r="C18" s="792" t="s">
        <v>773</v>
      </c>
      <c r="D18" s="1217" t="s">
        <v>877</v>
      </c>
      <c r="E18" s="987">
        <v>490</v>
      </c>
      <c r="F18" s="986">
        <f>E18+(E18*$E$5)</f>
        <v>588</v>
      </c>
      <c r="G18" s="984" t="s">
        <v>629</v>
      </c>
      <c r="H18" s="1213" t="s">
        <v>594</v>
      </c>
    </row>
    <row r="19" spans="1:20">
      <c r="A19" s="979">
        <v>11</v>
      </c>
      <c r="B19" s="984"/>
      <c r="C19" s="792" t="s">
        <v>633</v>
      </c>
      <c r="D19" s="1217" t="s">
        <v>579</v>
      </c>
      <c r="E19" s="987">
        <v>595</v>
      </c>
      <c r="F19" s="986">
        <f t="shared" si="0"/>
        <v>714</v>
      </c>
      <c r="G19" s="984" t="s">
        <v>629</v>
      </c>
      <c r="H19" s="1213" t="s">
        <v>594</v>
      </c>
    </row>
    <row r="20" spans="1:20">
      <c r="A20" s="979">
        <v>12</v>
      </c>
      <c r="B20" s="984"/>
      <c r="C20" s="792" t="s">
        <v>634</v>
      </c>
      <c r="D20" s="1217" t="s">
        <v>777</v>
      </c>
      <c r="E20" s="987">
        <v>490</v>
      </c>
      <c r="F20" s="986">
        <f t="shared" si="0"/>
        <v>588</v>
      </c>
      <c r="G20" s="984" t="s">
        <v>629</v>
      </c>
      <c r="H20" s="1213" t="s">
        <v>594</v>
      </c>
    </row>
    <row r="21" spans="1:20">
      <c r="A21" s="979">
        <v>13</v>
      </c>
      <c r="B21" s="984"/>
      <c r="C21" s="792" t="s">
        <v>27</v>
      </c>
      <c r="D21" s="1217" t="s">
        <v>28</v>
      </c>
      <c r="E21" s="987">
        <v>490</v>
      </c>
      <c r="F21" s="986">
        <f t="shared" si="0"/>
        <v>588</v>
      </c>
      <c r="G21" s="984" t="s">
        <v>629</v>
      </c>
      <c r="H21" s="1213" t="s">
        <v>594</v>
      </c>
    </row>
    <row r="22" spans="1:20">
      <c r="A22" s="979">
        <v>14</v>
      </c>
      <c r="B22" s="984"/>
      <c r="C22" s="792" t="s">
        <v>621</v>
      </c>
      <c r="D22" s="1217" t="s">
        <v>577</v>
      </c>
      <c r="E22" s="987">
        <v>465</v>
      </c>
      <c r="F22" s="986">
        <f t="shared" si="0"/>
        <v>558</v>
      </c>
      <c r="G22" s="984" t="s">
        <v>629</v>
      </c>
      <c r="H22" s="1213" t="s">
        <v>594</v>
      </c>
    </row>
    <row r="23" spans="1:20">
      <c r="A23" s="979">
        <v>15</v>
      </c>
      <c r="B23" s="984"/>
      <c r="C23" s="792" t="s">
        <v>622</v>
      </c>
      <c r="D23" s="1217" t="s">
        <v>576</v>
      </c>
      <c r="E23" s="987">
        <v>465</v>
      </c>
      <c r="F23" s="986">
        <f t="shared" si="0"/>
        <v>558</v>
      </c>
      <c r="G23" s="984" t="s">
        <v>629</v>
      </c>
      <c r="H23" s="1213" t="s">
        <v>594</v>
      </c>
    </row>
    <row r="24" spans="1:20">
      <c r="A24" s="979">
        <v>16</v>
      </c>
      <c r="B24" s="984"/>
      <c r="C24" s="792" t="s">
        <v>344</v>
      </c>
      <c r="D24" s="1217" t="s">
        <v>1188</v>
      </c>
      <c r="E24" s="987">
        <v>60</v>
      </c>
      <c r="F24" s="986">
        <f>E24</f>
        <v>60</v>
      </c>
      <c r="G24" s="984" t="s">
        <v>629</v>
      </c>
      <c r="H24" s="1213" t="s">
        <v>328</v>
      </c>
    </row>
    <row r="25" spans="1:20" ht="12.75" customHeight="1">
      <c r="A25" s="1510" t="s">
        <v>2285</v>
      </c>
      <c r="B25" s="1510"/>
      <c r="C25" s="1510"/>
      <c r="D25" s="1510"/>
      <c r="E25" s="1510"/>
      <c r="F25" s="1510"/>
      <c r="G25" s="1510"/>
      <c r="H25" s="1510"/>
      <c r="I25" s="1510"/>
    </row>
    <row r="26" spans="1:20" ht="24.6">
      <c r="B26" s="1224" t="s">
        <v>669</v>
      </c>
      <c r="C26" s="1224" t="s">
        <v>670</v>
      </c>
      <c r="D26" s="1224" t="s">
        <v>671</v>
      </c>
      <c r="E26" s="1507" t="s">
        <v>672</v>
      </c>
      <c r="F26" s="1507"/>
      <c r="G26" s="1507" t="s">
        <v>270</v>
      </c>
      <c r="H26" s="1507"/>
      <c r="I26" s="1507" t="s">
        <v>1337</v>
      </c>
      <c r="J26" s="1507"/>
    </row>
    <row r="27" spans="1:20">
      <c r="B27" s="1222">
        <v>1</v>
      </c>
      <c r="C27" s="1222">
        <v>2</v>
      </c>
      <c r="D27" s="1222">
        <v>6</v>
      </c>
      <c r="E27" s="1507">
        <v>3</v>
      </c>
      <c r="F27" s="1507"/>
      <c r="G27" s="1507">
        <v>4</v>
      </c>
      <c r="H27" s="1507"/>
      <c r="I27" s="1507">
        <v>5</v>
      </c>
      <c r="J27" s="1507"/>
    </row>
    <row r="28" spans="1:20" s="1213" customFormat="1" ht="12.75" customHeight="1">
      <c r="A28" s="1217"/>
      <c r="B28" s="1499" t="s">
        <v>895</v>
      </c>
      <c r="C28" s="1499"/>
      <c r="D28" s="1499"/>
      <c r="E28" s="1499"/>
      <c r="F28" s="1499"/>
      <c r="G28" s="1499"/>
      <c r="H28" s="1499"/>
      <c r="I28" s="1499"/>
      <c r="J28" s="984"/>
      <c r="K28" s="1499" t="s">
        <v>610</v>
      </c>
      <c r="L28" s="1499"/>
      <c r="M28" s="1499" t="s">
        <v>611</v>
      </c>
      <c r="N28" s="1499"/>
      <c r="O28" s="1499" t="s">
        <v>612</v>
      </c>
      <c r="P28" s="1499"/>
      <c r="Q28" s="1499" t="s">
        <v>1043</v>
      </c>
      <c r="R28" s="1499"/>
    </row>
    <row r="29" spans="1:20" s="1213" customFormat="1" ht="12.75" customHeight="1">
      <c r="A29" s="1217"/>
      <c r="E29" s="984"/>
      <c r="F29" s="984"/>
      <c r="G29" s="984"/>
      <c r="H29" s="984"/>
      <c r="I29" s="984"/>
      <c r="J29" s="984"/>
      <c r="K29" s="1213" t="s">
        <v>237</v>
      </c>
      <c r="L29" s="1215" t="s">
        <v>513</v>
      </c>
      <c r="M29" s="1213" t="s">
        <v>237</v>
      </c>
      <c r="N29" s="1215" t="s">
        <v>513</v>
      </c>
      <c r="O29" s="1213" t="s">
        <v>237</v>
      </c>
      <c r="P29" s="1215" t="s">
        <v>513</v>
      </c>
      <c r="Q29" s="1213" t="s">
        <v>237</v>
      </c>
      <c r="R29" s="1215" t="s">
        <v>513</v>
      </c>
      <c r="S29" s="1213" t="s">
        <v>237</v>
      </c>
      <c r="T29" s="1215" t="s">
        <v>513</v>
      </c>
    </row>
    <row r="30" spans="1:20" s="1213" customFormat="1" ht="12.75" customHeight="1">
      <c r="A30" s="1217"/>
      <c r="B30" s="1213" t="s">
        <v>68</v>
      </c>
      <c r="C30" s="1213" t="s">
        <v>69</v>
      </c>
      <c r="D30" s="1213" t="s">
        <v>70</v>
      </c>
      <c r="E30" s="984" t="s">
        <v>71</v>
      </c>
      <c r="F30" s="987">
        <v>288</v>
      </c>
      <c r="G30" s="984" t="s">
        <v>71</v>
      </c>
      <c r="H30" s="987">
        <v>693</v>
      </c>
      <c r="I30" s="984" t="s">
        <v>71</v>
      </c>
      <c r="J30" s="987">
        <f>F30+H30</f>
        <v>981</v>
      </c>
      <c r="K30" s="993">
        <f>ROUND(H30*1.1,2)</f>
        <v>762.3</v>
      </c>
      <c r="L30" s="994">
        <f>F30+K30</f>
        <v>1050.3</v>
      </c>
      <c r="M30" s="993">
        <f>ROUND(H30*1.2,2)</f>
        <v>831.6</v>
      </c>
      <c r="N30" s="994">
        <f>F30+M30</f>
        <v>1119.5999999999999</v>
      </c>
      <c r="O30" s="993" t="e">
        <f>ROUND(#REF!*1.3,2)</f>
        <v>#REF!</v>
      </c>
      <c r="P30" s="994" t="e">
        <f>F30+O30</f>
        <v>#REF!</v>
      </c>
      <c r="Q30" s="993">
        <f>ROUND(H30*1.4,2)</f>
        <v>970.2</v>
      </c>
      <c r="R30" s="994">
        <f>F30+Q30</f>
        <v>1258.2</v>
      </c>
      <c r="S30" s="993">
        <f>ROUND(H30*1.5,2)</f>
        <v>1039.5</v>
      </c>
      <c r="T30" s="994">
        <f>H30+S30</f>
        <v>1732.5</v>
      </c>
    </row>
    <row r="31" spans="1:20" s="1213" customFormat="1" ht="12.75" customHeight="1">
      <c r="A31" s="1217"/>
      <c r="C31" s="1213" t="s">
        <v>714</v>
      </c>
      <c r="D31" s="1213" t="s">
        <v>70</v>
      </c>
      <c r="E31" s="984" t="s">
        <v>71</v>
      </c>
      <c r="F31" s="987">
        <v>64</v>
      </c>
      <c r="G31" s="984" t="s">
        <v>71</v>
      </c>
      <c r="H31" s="987">
        <v>356</v>
      </c>
      <c r="I31" s="984" t="s">
        <v>71</v>
      </c>
      <c r="J31" s="987">
        <f>F31+H31</f>
        <v>420</v>
      </c>
      <c r="K31" s="993">
        <f>ROUND(H31*1.1,2)</f>
        <v>391.6</v>
      </c>
      <c r="L31" s="994">
        <f>F31+K31</f>
        <v>455.6</v>
      </c>
      <c r="M31" s="993">
        <f>ROUND(H31*1.2,2)</f>
        <v>427.2</v>
      </c>
      <c r="N31" s="994">
        <f>F31+M31</f>
        <v>491.2</v>
      </c>
      <c r="O31" s="993">
        <f>ROUND(H31*1.3,2)</f>
        <v>462.8</v>
      </c>
      <c r="P31" s="994">
        <f>F31+O31</f>
        <v>526.79999999999995</v>
      </c>
      <c r="Q31" s="993">
        <f t="shared" ref="Q31:Q47" si="1">ROUND(H31*1.4,2)</f>
        <v>498.4</v>
      </c>
      <c r="R31" s="994">
        <f t="shared" ref="R31:R47" si="2">F31+Q31</f>
        <v>562.4</v>
      </c>
      <c r="S31" s="993">
        <f t="shared" ref="S31:S46" si="3">ROUND(H31*1.5,2)</f>
        <v>534</v>
      </c>
      <c r="T31" s="994">
        <f t="shared" ref="T31:T47" si="4">H31+S31</f>
        <v>890</v>
      </c>
    </row>
    <row r="32" spans="1:20" s="1213" customFormat="1" ht="12.75" customHeight="1">
      <c r="A32" s="1217"/>
      <c r="B32" s="1213" t="s">
        <v>72</v>
      </c>
      <c r="C32" s="1213" t="s">
        <v>73</v>
      </c>
      <c r="D32" s="1213" t="s">
        <v>70</v>
      </c>
      <c r="E32" s="984" t="s">
        <v>71</v>
      </c>
      <c r="F32" s="987">
        <v>328</v>
      </c>
      <c r="G32" s="984" t="s">
        <v>71</v>
      </c>
      <c r="H32" s="987">
        <v>1101</v>
      </c>
      <c r="I32" s="984" t="s">
        <v>71</v>
      </c>
      <c r="J32" s="987">
        <f t="shared" ref="J32:J46" si="5">F32+H32</f>
        <v>1429</v>
      </c>
      <c r="K32" s="993">
        <f>ROUND(H32*1.1,2)</f>
        <v>1211.0999999999999</v>
      </c>
      <c r="L32" s="994">
        <f>F32+K32</f>
        <v>1539.1</v>
      </c>
      <c r="M32" s="993">
        <f>ROUND(H32*1.2,2)</f>
        <v>1321.2</v>
      </c>
      <c r="N32" s="994">
        <f>F32+M32</f>
        <v>1649.2</v>
      </c>
      <c r="O32" s="993">
        <f>ROUND(H32*1.3,2)</f>
        <v>1431.3</v>
      </c>
      <c r="P32" s="994">
        <f>F32+O32</f>
        <v>1759.3</v>
      </c>
      <c r="Q32" s="993">
        <f t="shared" si="1"/>
        <v>1541.4</v>
      </c>
      <c r="R32" s="994">
        <f t="shared" si="2"/>
        <v>1869.4</v>
      </c>
      <c r="S32" s="993">
        <f t="shared" si="3"/>
        <v>1651.5</v>
      </c>
      <c r="T32" s="994">
        <f t="shared" si="4"/>
        <v>2752.5</v>
      </c>
    </row>
    <row r="33" spans="1:20" s="1213" customFormat="1" ht="12.75" customHeight="1">
      <c r="A33" s="1217"/>
      <c r="B33" s="1213" t="s">
        <v>74</v>
      </c>
      <c r="C33" s="1213" t="s">
        <v>75</v>
      </c>
      <c r="D33" s="1213" t="s">
        <v>70</v>
      </c>
      <c r="E33" s="984" t="s">
        <v>71</v>
      </c>
      <c r="F33" s="987">
        <v>1390</v>
      </c>
      <c r="G33" s="984" t="s">
        <v>71</v>
      </c>
      <c r="H33" s="987">
        <v>1669</v>
      </c>
      <c r="I33" s="984" t="s">
        <v>71</v>
      </c>
      <c r="J33" s="987">
        <f t="shared" si="5"/>
        <v>3059</v>
      </c>
      <c r="K33" s="993">
        <f>ROUND(H33*1.1,2)</f>
        <v>1835.9</v>
      </c>
      <c r="L33" s="994">
        <f>F33+K33</f>
        <v>3225.9</v>
      </c>
      <c r="M33" s="993">
        <f>ROUND(H33*1.2,2)</f>
        <v>2002.8</v>
      </c>
      <c r="N33" s="994">
        <f>F33+M33</f>
        <v>3392.8</v>
      </c>
      <c r="O33" s="993">
        <f>ROUND(H33*1.3,2)</f>
        <v>2169.6999999999998</v>
      </c>
      <c r="P33" s="994">
        <f>F33+O33</f>
        <v>3559.7</v>
      </c>
      <c r="Q33" s="993">
        <f t="shared" si="1"/>
        <v>2336.6</v>
      </c>
      <c r="R33" s="994">
        <f t="shared" si="2"/>
        <v>3726.6</v>
      </c>
      <c r="S33" s="993">
        <f t="shared" si="3"/>
        <v>2503.5</v>
      </c>
      <c r="T33" s="994">
        <f t="shared" si="4"/>
        <v>4172.5</v>
      </c>
    </row>
    <row r="34" spans="1:20" s="1213" customFormat="1" ht="12.75" customHeight="1">
      <c r="A34" s="1217"/>
      <c r="B34" s="1213" t="s">
        <v>76</v>
      </c>
      <c r="C34" s="1213" t="s">
        <v>244</v>
      </c>
      <c r="D34" s="1213" t="s">
        <v>70</v>
      </c>
      <c r="E34" s="984" t="s">
        <v>71</v>
      </c>
      <c r="F34" s="987">
        <v>790</v>
      </c>
      <c r="G34" s="984" t="s">
        <v>71</v>
      </c>
      <c r="H34" s="987">
        <v>1373</v>
      </c>
      <c r="I34" s="984" t="s">
        <v>71</v>
      </c>
      <c r="J34" s="987">
        <f t="shared" si="5"/>
        <v>2163</v>
      </c>
      <c r="K34" s="993">
        <f>ROUND(H34*1.1,2)</f>
        <v>1510.3</v>
      </c>
      <c r="L34" s="994">
        <f>F34+K34</f>
        <v>2300.3000000000002</v>
      </c>
      <c r="M34" s="993">
        <f>ROUND(H34*1.2,2)</f>
        <v>1647.6</v>
      </c>
      <c r="N34" s="994">
        <f>F34+M34</f>
        <v>2437.6</v>
      </c>
      <c r="O34" s="993">
        <f>ROUND(H34*1.3,2)</f>
        <v>1784.9</v>
      </c>
      <c r="P34" s="994">
        <f>F34+O34</f>
        <v>2574.9</v>
      </c>
      <c r="Q34" s="993">
        <f t="shared" si="1"/>
        <v>1922.2</v>
      </c>
      <c r="R34" s="994">
        <f t="shared" si="2"/>
        <v>2712.2</v>
      </c>
      <c r="S34" s="993">
        <f t="shared" si="3"/>
        <v>2059.5</v>
      </c>
      <c r="T34" s="994">
        <f t="shared" si="4"/>
        <v>3432.5</v>
      </c>
    </row>
    <row r="35" spans="1:20" s="1213" customFormat="1" ht="12.75" customHeight="1">
      <c r="A35" s="1217"/>
      <c r="B35" s="1213" t="s">
        <v>77</v>
      </c>
      <c r="C35" s="1213" t="s">
        <v>12</v>
      </c>
      <c r="D35" s="1213" t="s">
        <v>30</v>
      </c>
      <c r="E35" s="984" t="s">
        <v>71</v>
      </c>
      <c r="F35" s="987">
        <v>156</v>
      </c>
      <c r="G35" s="984" t="s">
        <v>71</v>
      </c>
      <c r="H35" s="987">
        <v>211</v>
      </c>
      <c r="I35" s="984" t="s">
        <v>71</v>
      </c>
      <c r="J35" s="987">
        <f t="shared" si="5"/>
        <v>367</v>
      </c>
      <c r="K35" s="993">
        <f t="shared" ref="K35:K46" si="6">ROUND(H35*1.1,2)</f>
        <v>232.1</v>
      </c>
      <c r="L35" s="994">
        <f t="shared" ref="L35:L46" si="7">F35+K35</f>
        <v>388.1</v>
      </c>
      <c r="M35" s="993">
        <f t="shared" ref="M35:M46" si="8">ROUND(H35*1.2,2)</f>
        <v>253.2</v>
      </c>
      <c r="N35" s="994">
        <f t="shared" ref="N35:N46" si="9">F35+M35</f>
        <v>409.2</v>
      </c>
      <c r="O35" s="993">
        <f t="shared" ref="O35:O46" si="10">ROUND(H35*1.3,2)</f>
        <v>274.3</v>
      </c>
      <c r="P35" s="994">
        <f t="shared" ref="P35:P46" si="11">F35+O35</f>
        <v>430.3</v>
      </c>
      <c r="Q35" s="993">
        <f t="shared" si="1"/>
        <v>295.39999999999998</v>
      </c>
      <c r="R35" s="994">
        <f t="shared" si="2"/>
        <v>451.4</v>
      </c>
      <c r="S35" s="993">
        <f t="shared" si="3"/>
        <v>316.5</v>
      </c>
      <c r="T35" s="994">
        <f t="shared" si="4"/>
        <v>527.5</v>
      </c>
    </row>
    <row r="36" spans="1:20" s="1213" customFormat="1" ht="12.75" customHeight="1">
      <c r="A36" s="1217"/>
      <c r="B36" s="1213" t="s">
        <v>31</v>
      </c>
      <c r="C36" s="1213" t="s">
        <v>297</v>
      </c>
      <c r="D36" s="1213" t="s">
        <v>70</v>
      </c>
      <c r="E36" s="984" t="s">
        <v>71</v>
      </c>
      <c r="F36" s="987">
        <v>238</v>
      </c>
      <c r="G36" s="984" t="s">
        <v>71</v>
      </c>
      <c r="H36" s="987">
        <v>1928</v>
      </c>
      <c r="I36" s="984" t="s">
        <v>71</v>
      </c>
      <c r="J36" s="987">
        <f t="shared" si="5"/>
        <v>2166</v>
      </c>
      <c r="K36" s="993">
        <f>ROUND(H36*1.1,2)</f>
        <v>2120.8000000000002</v>
      </c>
      <c r="L36" s="994">
        <f t="shared" si="7"/>
        <v>2358.8000000000002</v>
      </c>
      <c r="M36" s="993">
        <f t="shared" si="8"/>
        <v>2313.6</v>
      </c>
      <c r="N36" s="994">
        <f t="shared" si="9"/>
        <v>2551.6</v>
      </c>
      <c r="O36" s="995">
        <f t="shared" si="10"/>
        <v>2506.4</v>
      </c>
      <c r="P36" s="996">
        <f t="shared" si="11"/>
        <v>2744.4</v>
      </c>
      <c r="Q36" s="995">
        <f t="shared" si="1"/>
        <v>2699.2</v>
      </c>
      <c r="R36" s="994">
        <f t="shared" si="2"/>
        <v>2937.2</v>
      </c>
      <c r="S36" s="993">
        <f t="shared" si="3"/>
        <v>2892</v>
      </c>
      <c r="T36" s="994">
        <f t="shared" si="4"/>
        <v>4820</v>
      </c>
    </row>
    <row r="37" spans="1:20" s="1213" customFormat="1" ht="12.75" customHeight="1">
      <c r="A37" s="1217"/>
      <c r="B37" s="1213" t="s">
        <v>298</v>
      </c>
      <c r="C37" s="1213" t="s">
        <v>1154</v>
      </c>
      <c r="D37" s="1213" t="s">
        <v>70</v>
      </c>
      <c r="E37" s="984" t="s">
        <v>71</v>
      </c>
      <c r="F37" s="987">
        <v>1395</v>
      </c>
      <c r="G37" s="984" t="s">
        <v>71</v>
      </c>
      <c r="H37" s="987">
        <v>1617</v>
      </c>
      <c r="I37" s="984" t="s">
        <v>71</v>
      </c>
      <c r="J37" s="987">
        <f t="shared" si="5"/>
        <v>3012</v>
      </c>
      <c r="K37" s="993">
        <f t="shared" si="6"/>
        <v>1778.7</v>
      </c>
      <c r="L37" s="994">
        <f t="shared" si="7"/>
        <v>3173.7</v>
      </c>
      <c r="M37" s="993">
        <f t="shared" si="8"/>
        <v>1940.4</v>
      </c>
      <c r="N37" s="994">
        <f t="shared" si="9"/>
        <v>3335.4</v>
      </c>
      <c r="O37" s="993">
        <f t="shared" si="10"/>
        <v>2102.1</v>
      </c>
      <c r="P37" s="994">
        <f t="shared" si="11"/>
        <v>3497.1</v>
      </c>
      <c r="Q37" s="993">
        <f t="shared" si="1"/>
        <v>2263.8000000000002</v>
      </c>
      <c r="R37" s="994">
        <f t="shared" si="2"/>
        <v>3658.8</v>
      </c>
      <c r="S37" s="993">
        <f t="shared" si="3"/>
        <v>2425.5</v>
      </c>
      <c r="T37" s="994">
        <f t="shared" si="4"/>
        <v>4042.5</v>
      </c>
    </row>
    <row r="38" spans="1:20" s="1213" customFormat="1" ht="12.75" customHeight="1">
      <c r="A38" s="1217"/>
      <c r="B38" s="1213" t="s">
        <v>299</v>
      </c>
      <c r="C38" s="1213" t="s">
        <v>1155</v>
      </c>
      <c r="D38" s="1213" t="s">
        <v>30</v>
      </c>
      <c r="E38" s="984" t="s">
        <v>71</v>
      </c>
      <c r="F38" s="987">
        <v>158</v>
      </c>
      <c r="G38" s="984" t="s">
        <v>71</v>
      </c>
      <c r="H38" s="987">
        <v>183</v>
      </c>
      <c r="I38" s="984" t="s">
        <v>71</v>
      </c>
      <c r="J38" s="987">
        <f t="shared" si="5"/>
        <v>341</v>
      </c>
      <c r="K38" s="993">
        <f t="shared" si="6"/>
        <v>201.3</v>
      </c>
      <c r="L38" s="994">
        <f t="shared" si="7"/>
        <v>359.3</v>
      </c>
      <c r="M38" s="993">
        <f t="shared" si="8"/>
        <v>219.6</v>
      </c>
      <c r="N38" s="994">
        <f t="shared" si="9"/>
        <v>377.6</v>
      </c>
      <c r="O38" s="993">
        <f t="shared" si="10"/>
        <v>237.9</v>
      </c>
      <c r="P38" s="994">
        <f t="shared" si="11"/>
        <v>395.9</v>
      </c>
      <c r="Q38" s="993">
        <f t="shared" si="1"/>
        <v>256.2</v>
      </c>
      <c r="R38" s="994">
        <f t="shared" si="2"/>
        <v>414.2</v>
      </c>
      <c r="S38" s="993">
        <f t="shared" si="3"/>
        <v>274.5</v>
      </c>
      <c r="T38" s="994">
        <f t="shared" si="4"/>
        <v>457.5</v>
      </c>
    </row>
    <row r="39" spans="1:20" s="1213" customFormat="1" ht="25.5" customHeight="1">
      <c r="A39" s="1217"/>
      <c r="B39" s="1213" t="s">
        <v>300</v>
      </c>
      <c r="C39" s="1213" t="s">
        <v>1189</v>
      </c>
      <c r="D39" s="1213" t="s">
        <v>30</v>
      </c>
      <c r="E39" s="984" t="s">
        <v>71</v>
      </c>
      <c r="F39" s="987">
        <v>163</v>
      </c>
      <c r="G39" s="984" t="s">
        <v>71</v>
      </c>
      <c r="H39" s="987">
        <v>189</v>
      </c>
      <c r="I39" s="984" t="s">
        <v>71</v>
      </c>
      <c r="J39" s="987">
        <f t="shared" si="5"/>
        <v>352</v>
      </c>
      <c r="K39" s="993">
        <f t="shared" si="6"/>
        <v>207.9</v>
      </c>
      <c r="L39" s="994">
        <f t="shared" si="7"/>
        <v>370.9</v>
      </c>
      <c r="M39" s="993">
        <f t="shared" si="8"/>
        <v>226.8</v>
      </c>
      <c r="N39" s="994">
        <f t="shared" si="9"/>
        <v>389.8</v>
      </c>
      <c r="O39" s="993">
        <f t="shared" si="10"/>
        <v>245.7</v>
      </c>
      <c r="P39" s="994">
        <f t="shared" si="11"/>
        <v>408.7</v>
      </c>
      <c r="Q39" s="993">
        <f t="shared" si="1"/>
        <v>264.60000000000002</v>
      </c>
      <c r="R39" s="994">
        <f t="shared" si="2"/>
        <v>427.6</v>
      </c>
      <c r="S39" s="993">
        <f t="shared" si="3"/>
        <v>283.5</v>
      </c>
      <c r="T39" s="994">
        <f t="shared" si="4"/>
        <v>472.5</v>
      </c>
    </row>
    <row r="40" spans="1:20" s="1213" customFormat="1" ht="12.75" customHeight="1">
      <c r="A40" s="1217"/>
      <c r="B40" s="1213" t="s">
        <v>301</v>
      </c>
      <c r="C40" s="1213" t="s">
        <v>1190</v>
      </c>
      <c r="D40" s="1213" t="s">
        <v>30</v>
      </c>
      <c r="E40" s="984" t="s">
        <v>71</v>
      </c>
      <c r="F40" s="987">
        <v>170</v>
      </c>
      <c r="G40" s="984" t="s">
        <v>71</v>
      </c>
      <c r="H40" s="987">
        <v>198</v>
      </c>
      <c r="I40" s="984" t="s">
        <v>71</v>
      </c>
      <c r="J40" s="987">
        <f t="shared" si="5"/>
        <v>368</v>
      </c>
      <c r="K40" s="993">
        <f t="shared" si="6"/>
        <v>217.8</v>
      </c>
      <c r="L40" s="994">
        <f t="shared" si="7"/>
        <v>387.8</v>
      </c>
      <c r="M40" s="993">
        <f t="shared" si="8"/>
        <v>237.6</v>
      </c>
      <c r="N40" s="994">
        <f t="shared" si="9"/>
        <v>407.6</v>
      </c>
      <c r="O40" s="993">
        <f t="shared" si="10"/>
        <v>257.39999999999998</v>
      </c>
      <c r="P40" s="994">
        <f t="shared" si="11"/>
        <v>427.4</v>
      </c>
      <c r="Q40" s="993">
        <f t="shared" si="1"/>
        <v>277.2</v>
      </c>
      <c r="R40" s="994">
        <f t="shared" si="2"/>
        <v>447.2</v>
      </c>
      <c r="S40" s="993">
        <f t="shared" si="3"/>
        <v>297</v>
      </c>
      <c r="T40" s="994">
        <f t="shared" si="4"/>
        <v>495</v>
      </c>
    </row>
    <row r="41" spans="1:20" s="1213" customFormat="1" ht="25.5" customHeight="1">
      <c r="A41" s="1217"/>
      <c r="B41" s="1213" t="s">
        <v>584</v>
      </c>
      <c r="C41" s="1213" t="s">
        <v>585</v>
      </c>
      <c r="D41" s="1213" t="s">
        <v>30</v>
      </c>
      <c r="E41" s="984" t="s">
        <v>71</v>
      </c>
      <c r="F41" s="987">
        <v>575</v>
      </c>
      <c r="G41" s="984" t="s">
        <v>71</v>
      </c>
      <c r="H41" s="987">
        <v>666</v>
      </c>
      <c r="I41" s="984" t="s">
        <v>71</v>
      </c>
      <c r="J41" s="987">
        <f t="shared" si="5"/>
        <v>1241</v>
      </c>
      <c r="K41" s="993">
        <f t="shared" si="6"/>
        <v>732.6</v>
      </c>
      <c r="L41" s="994">
        <f t="shared" si="7"/>
        <v>1307.5999999999999</v>
      </c>
      <c r="M41" s="993">
        <f t="shared" si="8"/>
        <v>799.2</v>
      </c>
      <c r="N41" s="994">
        <f t="shared" si="9"/>
        <v>1374.2</v>
      </c>
      <c r="O41" s="993">
        <f t="shared" si="10"/>
        <v>865.8</v>
      </c>
      <c r="P41" s="994">
        <f t="shared" si="11"/>
        <v>1440.8</v>
      </c>
      <c r="Q41" s="993">
        <f t="shared" si="1"/>
        <v>932.4</v>
      </c>
      <c r="R41" s="994">
        <f t="shared" si="2"/>
        <v>1507.4</v>
      </c>
      <c r="S41" s="993">
        <f t="shared" si="3"/>
        <v>999</v>
      </c>
      <c r="T41" s="994">
        <f t="shared" si="4"/>
        <v>1665</v>
      </c>
    </row>
    <row r="42" spans="1:20" s="1213" customFormat="1" ht="12.75" customHeight="1">
      <c r="A42" s="1217"/>
      <c r="B42" s="1213" t="s">
        <v>586</v>
      </c>
      <c r="C42" s="1213" t="s">
        <v>587</v>
      </c>
      <c r="D42" s="1213" t="s">
        <v>30</v>
      </c>
      <c r="E42" s="984" t="s">
        <v>71</v>
      </c>
      <c r="F42" s="987">
        <v>403</v>
      </c>
      <c r="G42" s="984" t="s">
        <v>71</v>
      </c>
      <c r="H42" s="987">
        <v>466</v>
      </c>
      <c r="I42" s="984" t="s">
        <v>71</v>
      </c>
      <c r="J42" s="987">
        <f t="shared" si="5"/>
        <v>869</v>
      </c>
      <c r="K42" s="993">
        <f t="shared" si="6"/>
        <v>512.6</v>
      </c>
      <c r="L42" s="994">
        <f t="shared" si="7"/>
        <v>915.6</v>
      </c>
      <c r="M42" s="993">
        <f t="shared" si="8"/>
        <v>559.20000000000005</v>
      </c>
      <c r="N42" s="994">
        <f t="shared" si="9"/>
        <v>962.2</v>
      </c>
      <c r="O42" s="993">
        <f t="shared" si="10"/>
        <v>605.79999999999995</v>
      </c>
      <c r="P42" s="994">
        <f t="shared" si="11"/>
        <v>1008.8</v>
      </c>
      <c r="Q42" s="993">
        <f t="shared" si="1"/>
        <v>652.4</v>
      </c>
      <c r="R42" s="994">
        <f t="shared" si="2"/>
        <v>1055.4000000000001</v>
      </c>
      <c r="S42" s="993">
        <f t="shared" si="3"/>
        <v>699</v>
      </c>
      <c r="T42" s="994">
        <f t="shared" si="4"/>
        <v>1165</v>
      </c>
    </row>
    <row r="43" spans="1:20" s="1213" customFormat="1" ht="12.75" customHeight="1">
      <c r="A43" s="1217"/>
      <c r="B43" s="1213" t="s">
        <v>588</v>
      </c>
      <c r="C43" s="1213" t="s">
        <v>135</v>
      </c>
      <c r="D43" s="1213" t="s">
        <v>70</v>
      </c>
      <c r="E43" s="984" t="s">
        <v>71</v>
      </c>
      <c r="F43" s="987">
        <v>1586</v>
      </c>
      <c r="G43" s="984" t="s">
        <v>71</v>
      </c>
      <c r="H43" s="987">
        <v>1838</v>
      </c>
      <c r="I43" s="984" t="s">
        <v>71</v>
      </c>
      <c r="J43" s="987">
        <f t="shared" si="5"/>
        <v>3424</v>
      </c>
      <c r="K43" s="993">
        <f t="shared" si="6"/>
        <v>2021.8</v>
      </c>
      <c r="L43" s="994">
        <f t="shared" si="7"/>
        <v>3607.8</v>
      </c>
      <c r="M43" s="993">
        <f t="shared" si="8"/>
        <v>2205.6</v>
      </c>
      <c r="N43" s="994">
        <f t="shared" si="9"/>
        <v>3791.6</v>
      </c>
      <c r="O43" s="993">
        <f t="shared" si="10"/>
        <v>2389.4</v>
      </c>
      <c r="P43" s="994">
        <f t="shared" si="11"/>
        <v>3975.4</v>
      </c>
      <c r="Q43" s="993">
        <f t="shared" si="1"/>
        <v>2573.1999999999998</v>
      </c>
      <c r="R43" s="994">
        <f t="shared" si="2"/>
        <v>4159.2</v>
      </c>
      <c r="S43" s="993">
        <f t="shared" si="3"/>
        <v>2757</v>
      </c>
      <c r="T43" s="994">
        <f t="shared" si="4"/>
        <v>4595</v>
      </c>
    </row>
    <row r="44" spans="1:20" s="1213" customFormat="1" ht="12.75" customHeight="1">
      <c r="A44" s="1217"/>
      <c r="B44" s="1213" t="s">
        <v>136</v>
      </c>
      <c r="C44" s="1213" t="s">
        <v>137</v>
      </c>
      <c r="D44" s="1213" t="s">
        <v>70</v>
      </c>
      <c r="E44" s="984" t="s">
        <v>71</v>
      </c>
      <c r="F44" s="987">
        <v>1609</v>
      </c>
      <c r="G44" s="984" t="s">
        <v>71</v>
      </c>
      <c r="H44" s="987">
        <v>1863</v>
      </c>
      <c r="I44" s="984" t="s">
        <v>71</v>
      </c>
      <c r="J44" s="987">
        <f t="shared" si="5"/>
        <v>3472</v>
      </c>
      <c r="K44" s="993">
        <f t="shared" si="6"/>
        <v>2049.3000000000002</v>
      </c>
      <c r="L44" s="994">
        <f t="shared" si="7"/>
        <v>3658.3</v>
      </c>
      <c r="M44" s="993">
        <f t="shared" si="8"/>
        <v>2235.6</v>
      </c>
      <c r="N44" s="994">
        <f t="shared" si="9"/>
        <v>3844.6</v>
      </c>
      <c r="O44" s="993">
        <f t="shared" si="10"/>
        <v>2421.9</v>
      </c>
      <c r="P44" s="994">
        <f t="shared" si="11"/>
        <v>4030.9</v>
      </c>
      <c r="Q44" s="993">
        <f t="shared" si="1"/>
        <v>2608.1999999999998</v>
      </c>
      <c r="R44" s="994">
        <f t="shared" si="2"/>
        <v>4217.2</v>
      </c>
      <c r="S44" s="993">
        <f t="shared" si="3"/>
        <v>2794.5</v>
      </c>
      <c r="T44" s="994">
        <f t="shared" si="4"/>
        <v>4657.5</v>
      </c>
    </row>
    <row r="45" spans="1:20" s="1213" customFormat="1" ht="12.75" customHeight="1">
      <c r="A45" s="1217"/>
      <c r="B45" s="1213" t="s">
        <v>138</v>
      </c>
      <c r="C45" s="1213" t="s">
        <v>139</v>
      </c>
      <c r="D45" s="1213" t="s">
        <v>70</v>
      </c>
      <c r="E45" s="984" t="s">
        <v>71</v>
      </c>
      <c r="F45" s="987">
        <v>2566</v>
      </c>
      <c r="G45" s="984" t="s">
        <v>71</v>
      </c>
      <c r="H45" s="987">
        <v>2971</v>
      </c>
      <c r="I45" s="984" t="s">
        <v>71</v>
      </c>
      <c r="J45" s="987">
        <f t="shared" si="5"/>
        <v>5537</v>
      </c>
      <c r="K45" s="993">
        <f t="shared" si="6"/>
        <v>3268.1</v>
      </c>
      <c r="L45" s="994">
        <f t="shared" si="7"/>
        <v>5834.1</v>
      </c>
      <c r="M45" s="993">
        <f t="shared" si="8"/>
        <v>3565.2</v>
      </c>
      <c r="N45" s="994">
        <f t="shared" si="9"/>
        <v>6131.2</v>
      </c>
      <c r="O45" s="993">
        <f t="shared" si="10"/>
        <v>3862.3</v>
      </c>
      <c r="P45" s="994">
        <f t="shared" si="11"/>
        <v>6428.3</v>
      </c>
      <c r="Q45" s="993">
        <f t="shared" si="1"/>
        <v>4159.3999999999996</v>
      </c>
      <c r="R45" s="994">
        <f t="shared" si="2"/>
        <v>6725.4</v>
      </c>
      <c r="S45" s="993">
        <f t="shared" si="3"/>
        <v>4456.5</v>
      </c>
      <c r="T45" s="994">
        <f t="shared" si="4"/>
        <v>7427.5</v>
      </c>
    </row>
    <row r="46" spans="1:20" s="1213" customFormat="1" ht="12.75" customHeight="1">
      <c r="A46" s="1217"/>
      <c r="B46" s="1213" t="s">
        <v>140</v>
      </c>
      <c r="C46" s="1213" t="s">
        <v>141</v>
      </c>
      <c r="D46" s="1213" t="s">
        <v>30</v>
      </c>
      <c r="E46" s="984" t="s">
        <v>71</v>
      </c>
      <c r="F46" s="987">
        <v>196</v>
      </c>
      <c r="G46" s="984" t="s">
        <v>71</v>
      </c>
      <c r="H46" s="987">
        <v>227</v>
      </c>
      <c r="I46" s="984" t="s">
        <v>71</v>
      </c>
      <c r="J46" s="987">
        <f t="shared" si="5"/>
        <v>423</v>
      </c>
      <c r="K46" s="993">
        <f t="shared" si="6"/>
        <v>249.7</v>
      </c>
      <c r="L46" s="994">
        <f t="shared" si="7"/>
        <v>445.7</v>
      </c>
      <c r="M46" s="993">
        <f t="shared" si="8"/>
        <v>272.39999999999998</v>
      </c>
      <c r="N46" s="994">
        <f t="shared" si="9"/>
        <v>468.4</v>
      </c>
      <c r="O46" s="993">
        <f t="shared" si="10"/>
        <v>295.10000000000002</v>
      </c>
      <c r="P46" s="994">
        <f t="shared" si="11"/>
        <v>491.1</v>
      </c>
      <c r="Q46" s="993">
        <f t="shared" si="1"/>
        <v>317.8</v>
      </c>
      <c r="R46" s="994">
        <f t="shared" si="2"/>
        <v>513.79999999999995</v>
      </c>
      <c r="S46" s="993">
        <f t="shared" si="3"/>
        <v>340.5</v>
      </c>
      <c r="T46" s="994">
        <f t="shared" si="4"/>
        <v>567.5</v>
      </c>
    </row>
    <row r="47" spans="1:20" s="1213" customFormat="1" ht="12.75" customHeight="1">
      <c r="A47" s="1217"/>
      <c r="B47" s="1213" t="s">
        <v>204</v>
      </c>
      <c r="C47" s="1213" t="s">
        <v>205</v>
      </c>
      <c r="E47" s="984"/>
      <c r="F47" s="987"/>
      <c r="G47" s="984"/>
      <c r="H47" s="987"/>
      <c r="I47" s="984"/>
      <c r="J47" s="987"/>
      <c r="K47" s="993">
        <f>ROUND(H47*1.1,2)</f>
        <v>0</v>
      </c>
      <c r="L47" s="994">
        <f>F47+K47</f>
        <v>0</v>
      </c>
      <c r="M47" s="993">
        <f>ROUND(H47*1.2,2)</f>
        <v>0</v>
      </c>
      <c r="N47" s="994">
        <f>F47+M47</f>
        <v>0</v>
      </c>
      <c r="O47" s="993">
        <f>ROUND(H47*1.3,2)</f>
        <v>0</v>
      </c>
      <c r="P47" s="994">
        <f>F47+O47</f>
        <v>0</v>
      </c>
      <c r="Q47" s="993">
        <f t="shared" si="1"/>
        <v>0</v>
      </c>
      <c r="R47" s="994">
        <f t="shared" si="2"/>
        <v>0</v>
      </c>
      <c r="S47" s="993">
        <f>ROUND(J47*1.4,2)</f>
        <v>0</v>
      </c>
      <c r="T47" s="994">
        <f t="shared" si="4"/>
        <v>0</v>
      </c>
    </row>
    <row r="48" spans="1:20" ht="12.75" customHeight="1">
      <c r="B48" s="1499" t="s">
        <v>1283</v>
      </c>
      <c r="C48" s="1499"/>
      <c r="D48" s="1499"/>
      <c r="E48" s="1499"/>
      <c r="F48" s="1499"/>
      <c r="G48" s="1499"/>
      <c r="H48" s="1499"/>
      <c r="I48" s="1499"/>
      <c r="K48" s="1492" t="s">
        <v>610</v>
      </c>
      <c r="L48" s="1492"/>
      <c r="M48" s="1492" t="s">
        <v>611</v>
      </c>
      <c r="N48" s="1492"/>
      <c r="O48" s="1492" t="s">
        <v>612</v>
      </c>
      <c r="P48" s="1492"/>
      <c r="Q48" s="1492" t="s">
        <v>1043</v>
      </c>
      <c r="R48" s="1492"/>
    </row>
    <row r="49" spans="2:20" ht="12.75" customHeight="1">
      <c r="B49" s="1213"/>
      <c r="C49" s="1213"/>
      <c r="D49" s="1213"/>
      <c r="E49" s="1213"/>
      <c r="F49" s="1213"/>
      <c r="G49" s="1213"/>
      <c r="H49" s="1213"/>
      <c r="I49" s="1213"/>
      <c r="J49" s="1213"/>
      <c r="K49" s="979" t="s">
        <v>237</v>
      </c>
      <c r="L49" s="1224" t="s">
        <v>513</v>
      </c>
      <c r="M49" s="979" t="s">
        <v>237</v>
      </c>
      <c r="N49" s="1224" t="s">
        <v>513</v>
      </c>
      <c r="O49" s="979" t="s">
        <v>237</v>
      </c>
      <c r="P49" s="1224" t="s">
        <v>513</v>
      </c>
      <c r="Q49" s="979" t="s">
        <v>237</v>
      </c>
      <c r="R49" s="1224" t="s">
        <v>513</v>
      </c>
      <c r="S49" s="979" t="s">
        <v>237</v>
      </c>
      <c r="T49" s="1224" t="s">
        <v>513</v>
      </c>
    </row>
    <row r="50" spans="2:20" ht="12.75" customHeight="1">
      <c r="B50" s="979" t="s">
        <v>68</v>
      </c>
      <c r="C50" s="979" t="s">
        <v>69</v>
      </c>
      <c r="D50" s="1217" t="s">
        <v>70</v>
      </c>
      <c r="E50" s="1217" t="s">
        <v>71</v>
      </c>
      <c r="F50" s="987">
        <v>288</v>
      </c>
      <c r="G50" s="1217" t="s">
        <v>71</v>
      </c>
      <c r="H50" s="987">
        <v>693</v>
      </c>
      <c r="I50" s="1217" t="s">
        <v>71</v>
      </c>
      <c r="J50" s="997">
        <f>F50+H50</f>
        <v>981</v>
      </c>
      <c r="K50" s="997">
        <f>ROUND(H50*1.1,2)</f>
        <v>762.3</v>
      </c>
      <c r="L50" s="998">
        <f>F50+K50</f>
        <v>1050.3</v>
      </c>
      <c r="M50" s="997">
        <f>ROUND(H50*1.2,2)</f>
        <v>831.6</v>
      </c>
      <c r="N50" s="998">
        <f>F50+M50</f>
        <v>1119.5999999999999</v>
      </c>
      <c r="O50" s="997">
        <f>ROUND($H$50*1.3,2)</f>
        <v>900.9</v>
      </c>
      <c r="P50" s="998">
        <f>F50+O50</f>
        <v>1188.9000000000001</v>
      </c>
      <c r="Q50" s="997">
        <f>ROUND(H50*1.4,2)</f>
        <v>970.2</v>
      </c>
      <c r="R50" s="998">
        <f>F50+Q50</f>
        <v>1258.2</v>
      </c>
      <c r="S50" s="997">
        <f>ROUND(H50*1.5,2)</f>
        <v>1039.5</v>
      </c>
      <c r="T50" s="998">
        <f>H50+S50</f>
        <v>1732.5</v>
      </c>
    </row>
    <row r="51" spans="2:20" ht="12.75" customHeight="1">
      <c r="C51" s="979" t="s">
        <v>714</v>
      </c>
      <c r="D51" s="1217" t="s">
        <v>70</v>
      </c>
      <c r="E51" s="1217" t="s">
        <v>71</v>
      </c>
      <c r="F51" s="987">
        <v>64</v>
      </c>
      <c r="G51" s="1217" t="s">
        <v>71</v>
      </c>
      <c r="H51" s="987">
        <v>356</v>
      </c>
      <c r="I51" s="1217" t="s">
        <v>71</v>
      </c>
      <c r="J51" s="997">
        <f>F51+H51</f>
        <v>420</v>
      </c>
      <c r="K51" s="997">
        <f>ROUND(H51*1.1,2)</f>
        <v>391.6</v>
      </c>
      <c r="L51" s="998">
        <f>F51+K51</f>
        <v>455.6</v>
      </c>
      <c r="M51" s="997">
        <f>ROUND(H51*1.2,2)</f>
        <v>427.2</v>
      </c>
      <c r="N51" s="998">
        <f>F51+M51</f>
        <v>491.2</v>
      </c>
      <c r="O51" s="997">
        <f>ROUND(H51*1.3,2)</f>
        <v>462.8</v>
      </c>
      <c r="P51" s="998">
        <f>F51+O51</f>
        <v>526.79999999999995</v>
      </c>
      <c r="Q51" s="997">
        <f t="shared" ref="Q51:Q67" si="12">ROUND(H51*1.4,2)</f>
        <v>498.4</v>
      </c>
      <c r="R51" s="998">
        <f t="shared" ref="R51:R67" si="13">F51+Q51</f>
        <v>562.4</v>
      </c>
      <c r="S51" s="997">
        <f t="shared" ref="S51:S66" si="14">ROUND(H51*1.5,2)</f>
        <v>534</v>
      </c>
      <c r="T51" s="998">
        <f t="shared" ref="T51:T67" si="15">H51+S51</f>
        <v>890</v>
      </c>
    </row>
    <row r="52" spans="2:20" ht="12.75" customHeight="1">
      <c r="B52" s="979" t="s">
        <v>72</v>
      </c>
      <c r="C52" s="979" t="s">
        <v>73</v>
      </c>
      <c r="D52" s="1217" t="s">
        <v>70</v>
      </c>
      <c r="E52" s="1217" t="s">
        <v>71</v>
      </c>
      <c r="F52" s="987">
        <v>328</v>
      </c>
      <c r="G52" s="1217" t="s">
        <v>71</v>
      </c>
      <c r="H52" s="987">
        <v>1101</v>
      </c>
      <c r="I52" s="1217" t="s">
        <v>71</v>
      </c>
      <c r="J52" s="997">
        <f t="shared" ref="J52:J67" si="16">F52+H52</f>
        <v>1429</v>
      </c>
      <c r="K52" s="997">
        <f>ROUND(H52*1.1,2)</f>
        <v>1211.0999999999999</v>
      </c>
      <c r="L52" s="998">
        <f>F52+K52</f>
        <v>1539.1</v>
      </c>
      <c r="M52" s="997">
        <f>ROUND(H52*1.2,2)</f>
        <v>1321.2</v>
      </c>
      <c r="N52" s="998">
        <f>F52+M52</f>
        <v>1649.2</v>
      </c>
      <c r="O52" s="997">
        <f>ROUND(H52*1.3,2)</f>
        <v>1431.3</v>
      </c>
      <c r="P52" s="998">
        <f>F52+O52</f>
        <v>1759.3</v>
      </c>
      <c r="Q52" s="997">
        <f t="shared" si="12"/>
        <v>1541.4</v>
      </c>
      <c r="R52" s="998">
        <f t="shared" si="13"/>
        <v>1869.4</v>
      </c>
      <c r="S52" s="997">
        <f t="shared" si="14"/>
        <v>1651.5</v>
      </c>
      <c r="T52" s="998">
        <f t="shared" si="15"/>
        <v>2752.5</v>
      </c>
    </row>
    <row r="53" spans="2:20" ht="12.75" customHeight="1">
      <c r="B53" s="979" t="s">
        <v>74</v>
      </c>
      <c r="C53" s="979" t="s">
        <v>75</v>
      </c>
      <c r="D53" s="1217" t="s">
        <v>70</v>
      </c>
      <c r="E53" s="1217" t="s">
        <v>71</v>
      </c>
      <c r="F53" s="987">
        <v>1390</v>
      </c>
      <c r="G53" s="1217" t="s">
        <v>71</v>
      </c>
      <c r="H53" s="987">
        <v>1669</v>
      </c>
      <c r="I53" s="1217" t="s">
        <v>71</v>
      </c>
      <c r="J53" s="997">
        <f t="shared" si="16"/>
        <v>3059</v>
      </c>
      <c r="K53" s="997">
        <f>ROUND(H53*1.1,2)</f>
        <v>1835.9</v>
      </c>
      <c r="L53" s="998">
        <f>F53+K53</f>
        <v>3225.9</v>
      </c>
      <c r="M53" s="997">
        <f>ROUND(H53*1.2,2)</f>
        <v>2002.8</v>
      </c>
      <c r="N53" s="998">
        <f>F53+M53</f>
        <v>3392.8</v>
      </c>
      <c r="O53" s="997">
        <f>ROUND(H53*1.3,2)</f>
        <v>2169.6999999999998</v>
      </c>
      <c r="P53" s="998">
        <f>F53+O53</f>
        <v>3559.7</v>
      </c>
      <c r="Q53" s="997">
        <f t="shared" si="12"/>
        <v>2336.6</v>
      </c>
      <c r="R53" s="998">
        <f t="shared" si="13"/>
        <v>3726.6</v>
      </c>
      <c r="S53" s="997">
        <f t="shared" si="14"/>
        <v>2503.5</v>
      </c>
      <c r="T53" s="998">
        <f t="shared" si="15"/>
        <v>4172.5</v>
      </c>
    </row>
    <row r="54" spans="2:20" ht="12.75" customHeight="1">
      <c r="B54" s="979" t="s">
        <v>76</v>
      </c>
      <c r="C54" s="979" t="s">
        <v>244</v>
      </c>
      <c r="D54" s="1217" t="s">
        <v>70</v>
      </c>
      <c r="E54" s="1217" t="s">
        <v>71</v>
      </c>
      <c r="F54" s="987">
        <v>1180</v>
      </c>
      <c r="G54" s="1217" t="s">
        <v>71</v>
      </c>
      <c r="H54" s="987">
        <v>1772</v>
      </c>
      <c r="I54" s="1217" t="s">
        <v>71</v>
      </c>
      <c r="J54" s="997">
        <f t="shared" si="16"/>
        <v>2952</v>
      </c>
      <c r="K54" s="997">
        <f>ROUND(H54*1.1,2)</f>
        <v>1949.2</v>
      </c>
      <c r="L54" s="998">
        <f>F54+K54</f>
        <v>3129.2</v>
      </c>
      <c r="M54" s="997">
        <f>ROUND(H54*1.2,2)</f>
        <v>2126.4</v>
      </c>
      <c r="N54" s="998">
        <f>F54+M54</f>
        <v>3306.4</v>
      </c>
      <c r="O54" s="997">
        <f>ROUND(H54*1.3,2)</f>
        <v>2303.6</v>
      </c>
      <c r="P54" s="998">
        <f>F54+O54</f>
        <v>3483.6</v>
      </c>
      <c r="Q54" s="997">
        <f t="shared" si="12"/>
        <v>2480.8000000000002</v>
      </c>
      <c r="R54" s="998">
        <f t="shared" si="13"/>
        <v>3660.8</v>
      </c>
      <c r="S54" s="997">
        <f t="shared" si="14"/>
        <v>2658</v>
      </c>
      <c r="T54" s="998">
        <f t="shared" si="15"/>
        <v>4430</v>
      </c>
    </row>
    <row r="55" spans="2:20" ht="12.75" customHeight="1">
      <c r="B55" s="979" t="s">
        <v>77</v>
      </c>
      <c r="C55" s="979" t="s">
        <v>12</v>
      </c>
      <c r="D55" s="1217" t="s">
        <v>30</v>
      </c>
      <c r="E55" s="1217" t="s">
        <v>71</v>
      </c>
      <c r="F55" s="987">
        <v>233</v>
      </c>
      <c r="G55" s="1217" t="s">
        <v>71</v>
      </c>
      <c r="H55" s="987">
        <v>272</v>
      </c>
      <c r="I55" s="1217" t="s">
        <v>71</v>
      </c>
      <c r="J55" s="997">
        <f t="shared" si="16"/>
        <v>505</v>
      </c>
      <c r="K55" s="997">
        <f t="shared" ref="K55:K66" si="17">ROUND(H55*1.1,2)</f>
        <v>299.2</v>
      </c>
      <c r="L55" s="998">
        <f t="shared" ref="L55:L66" si="18">F55+K55</f>
        <v>532.20000000000005</v>
      </c>
      <c r="M55" s="997">
        <f t="shared" ref="M55:M66" si="19">ROUND(H55*1.2,2)</f>
        <v>326.39999999999998</v>
      </c>
      <c r="N55" s="998">
        <f t="shared" ref="N55:N66" si="20">F55+M55</f>
        <v>559.4</v>
      </c>
      <c r="O55" s="997">
        <f t="shared" ref="O55:O66" si="21">ROUND(H55*1.3,2)</f>
        <v>353.6</v>
      </c>
      <c r="P55" s="998">
        <f t="shared" ref="P55:P66" si="22">F55+O55</f>
        <v>586.6</v>
      </c>
      <c r="Q55" s="997">
        <f t="shared" si="12"/>
        <v>380.8</v>
      </c>
      <c r="R55" s="998">
        <f t="shared" si="13"/>
        <v>613.79999999999995</v>
      </c>
      <c r="S55" s="997">
        <f t="shared" si="14"/>
        <v>408</v>
      </c>
      <c r="T55" s="998">
        <f t="shared" si="15"/>
        <v>680</v>
      </c>
    </row>
    <row r="56" spans="2:20" ht="12.75" customHeight="1">
      <c r="B56" s="979" t="s">
        <v>31</v>
      </c>
      <c r="C56" s="979" t="s">
        <v>297</v>
      </c>
      <c r="D56" s="1217" t="s">
        <v>70</v>
      </c>
      <c r="E56" s="1217" t="s">
        <v>71</v>
      </c>
      <c r="F56" s="987">
        <v>355</v>
      </c>
      <c r="G56" s="1217" t="s">
        <v>71</v>
      </c>
      <c r="H56" s="987">
        <v>2488</v>
      </c>
      <c r="I56" s="1217" t="s">
        <v>71</v>
      </c>
      <c r="J56" s="997">
        <f t="shared" si="16"/>
        <v>2843</v>
      </c>
      <c r="K56" s="997">
        <f>ROUND(H56*1.1,2)</f>
        <v>2736.8</v>
      </c>
      <c r="L56" s="998">
        <f t="shared" si="18"/>
        <v>3091.8</v>
      </c>
      <c r="M56" s="997">
        <f t="shared" si="19"/>
        <v>2985.6</v>
      </c>
      <c r="N56" s="998">
        <f t="shared" si="20"/>
        <v>3340.6</v>
      </c>
      <c r="O56" s="999">
        <f t="shared" si="21"/>
        <v>3234.4</v>
      </c>
      <c r="P56" s="1000">
        <f t="shared" si="22"/>
        <v>3589.4</v>
      </c>
      <c r="Q56" s="999">
        <f t="shared" si="12"/>
        <v>3483.2</v>
      </c>
      <c r="R56" s="998">
        <f t="shared" si="13"/>
        <v>3838.2</v>
      </c>
      <c r="S56" s="997">
        <f t="shared" si="14"/>
        <v>3732</v>
      </c>
      <c r="T56" s="998">
        <f t="shared" si="15"/>
        <v>6220</v>
      </c>
    </row>
    <row r="57" spans="2:20" ht="12.75" customHeight="1">
      <c r="B57" s="979" t="s">
        <v>298</v>
      </c>
      <c r="C57" s="979" t="s">
        <v>1154</v>
      </c>
      <c r="D57" s="1217" t="s">
        <v>70</v>
      </c>
      <c r="E57" s="1217" t="s">
        <v>71</v>
      </c>
      <c r="F57" s="987">
        <v>2085</v>
      </c>
      <c r="G57" s="1217" t="s">
        <v>71</v>
      </c>
      <c r="H57" s="987">
        <v>2088</v>
      </c>
      <c r="I57" s="1217" t="s">
        <v>71</v>
      </c>
      <c r="J57" s="997">
        <f t="shared" si="16"/>
        <v>4173</v>
      </c>
      <c r="K57" s="997">
        <f t="shared" si="17"/>
        <v>2296.8000000000002</v>
      </c>
      <c r="L57" s="998">
        <f t="shared" si="18"/>
        <v>4381.8</v>
      </c>
      <c r="M57" s="997">
        <f t="shared" si="19"/>
        <v>2505.6</v>
      </c>
      <c r="N57" s="998">
        <f t="shared" si="20"/>
        <v>4590.6000000000004</v>
      </c>
      <c r="O57" s="997">
        <f t="shared" si="21"/>
        <v>2714.4</v>
      </c>
      <c r="P57" s="998">
        <f t="shared" si="22"/>
        <v>4799.3999999999996</v>
      </c>
      <c r="Q57" s="997">
        <f t="shared" si="12"/>
        <v>2923.2</v>
      </c>
      <c r="R57" s="998">
        <f t="shared" si="13"/>
        <v>5008.2</v>
      </c>
      <c r="S57" s="997">
        <f t="shared" si="14"/>
        <v>3132</v>
      </c>
      <c r="T57" s="998">
        <f t="shared" si="15"/>
        <v>5220</v>
      </c>
    </row>
    <row r="58" spans="2:20" ht="12.75" customHeight="1">
      <c r="B58" s="979" t="s">
        <v>299</v>
      </c>
      <c r="C58" s="979" t="s">
        <v>1155</v>
      </c>
      <c r="D58" s="1217" t="s">
        <v>30</v>
      </c>
      <c r="E58" s="1217" t="s">
        <v>71</v>
      </c>
      <c r="F58" s="987">
        <v>236</v>
      </c>
      <c r="G58" s="1217" t="s">
        <v>71</v>
      </c>
      <c r="H58" s="987">
        <v>236</v>
      </c>
      <c r="I58" s="1217" t="s">
        <v>71</v>
      </c>
      <c r="J58" s="997">
        <f t="shared" si="16"/>
        <v>472</v>
      </c>
      <c r="K58" s="997">
        <f t="shared" si="17"/>
        <v>259.60000000000002</v>
      </c>
      <c r="L58" s="998">
        <f t="shared" si="18"/>
        <v>495.6</v>
      </c>
      <c r="M58" s="997">
        <f t="shared" si="19"/>
        <v>283.2</v>
      </c>
      <c r="N58" s="998">
        <f t="shared" si="20"/>
        <v>519.20000000000005</v>
      </c>
      <c r="O58" s="997">
        <f t="shared" si="21"/>
        <v>306.8</v>
      </c>
      <c r="P58" s="998">
        <f t="shared" si="22"/>
        <v>542.79999999999995</v>
      </c>
      <c r="Q58" s="997">
        <f t="shared" si="12"/>
        <v>330.4</v>
      </c>
      <c r="R58" s="998">
        <f t="shared" si="13"/>
        <v>566.4</v>
      </c>
      <c r="S58" s="997">
        <f t="shared" si="14"/>
        <v>354</v>
      </c>
      <c r="T58" s="998">
        <f t="shared" si="15"/>
        <v>590</v>
      </c>
    </row>
    <row r="59" spans="2:20" ht="25.5" customHeight="1">
      <c r="B59" s="979" t="s">
        <v>300</v>
      </c>
      <c r="C59" s="979" t="s">
        <v>1189</v>
      </c>
      <c r="D59" s="1217" t="s">
        <v>30</v>
      </c>
      <c r="E59" s="1217" t="s">
        <v>71</v>
      </c>
      <c r="F59" s="987">
        <v>243</v>
      </c>
      <c r="G59" s="1217" t="s">
        <v>71</v>
      </c>
      <c r="H59" s="987">
        <v>243</v>
      </c>
      <c r="I59" s="1217" t="s">
        <v>71</v>
      </c>
      <c r="J59" s="997">
        <f t="shared" si="16"/>
        <v>486</v>
      </c>
      <c r="K59" s="997">
        <f t="shared" si="17"/>
        <v>267.3</v>
      </c>
      <c r="L59" s="998">
        <f t="shared" si="18"/>
        <v>510.3</v>
      </c>
      <c r="M59" s="997">
        <f t="shared" si="19"/>
        <v>291.60000000000002</v>
      </c>
      <c r="N59" s="998">
        <f t="shared" si="20"/>
        <v>534.6</v>
      </c>
      <c r="O59" s="997">
        <f t="shared" si="21"/>
        <v>315.89999999999998</v>
      </c>
      <c r="P59" s="998">
        <f t="shared" si="22"/>
        <v>558.9</v>
      </c>
      <c r="Q59" s="997">
        <f t="shared" si="12"/>
        <v>340.2</v>
      </c>
      <c r="R59" s="998">
        <f t="shared" si="13"/>
        <v>583.20000000000005</v>
      </c>
      <c r="S59" s="997">
        <f t="shared" si="14"/>
        <v>364.5</v>
      </c>
      <c r="T59" s="998">
        <f t="shared" si="15"/>
        <v>607.5</v>
      </c>
    </row>
    <row r="60" spans="2:20" ht="12.75" customHeight="1">
      <c r="B60" s="979" t="s">
        <v>301</v>
      </c>
      <c r="C60" s="979" t="s">
        <v>1190</v>
      </c>
      <c r="D60" s="1217" t="s">
        <v>30</v>
      </c>
      <c r="E60" s="1217" t="s">
        <v>71</v>
      </c>
      <c r="F60" s="987">
        <v>254</v>
      </c>
      <c r="G60" s="1217" t="s">
        <v>71</v>
      </c>
      <c r="H60" s="987">
        <v>255</v>
      </c>
      <c r="I60" s="1217" t="s">
        <v>71</v>
      </c>
      <c r="J60" s="997">
        <f t="shared" si="16"/>
        <v>509</v>
      </c>
      <c r="K60" s="997">
        <f t="shared" si="17"/>
        <v>280.5</v>
      </c>
      <c r="L60" s="998">
        <f t="shared" si="18"/>
        <v>534.5</v>
      </c>
      <c r="M60" s="997">
        <f t="shared" si="19"/>
        <v>306</v>
      </c>
      <c r="N60" s="998">
        <f t="shared" si="20"/>
        <v>560</v>
      </c>
      <c r="O60" s="997">
        <f t="shared" si="21"/>
        <v>331.5</v>
      </c>
      <c r="P60" s="998">
        <f t="shared" si="22"/>
        <v>585.5</v>
      </c>
      <c r="Q60" s="997">
        <f t="shared" si="12"/>
        <v>357</v>
      </c>
      <c r="R60" s="998">
        <f t="shared" si="13"/>
        <v>611</v>
      </c>
      <c r="S60" s="997">
        <f t="shared" si="14"/>
        <v>382.5</v>
      </c>
      <c r="T60" s="998">
        <f t="shared" si="15"/>
        <v>637.5</v>
      </c>
    </row>
    <row r="61" spans="2:20" ht="25.5" customHeight="1">
      <c r="B61" s="979" t="s">
        <v>584</v>
      </c>
      <c r="C61" s="979" t="s">
        <v>585</v>
      </c>
      <c r="D61" s="1217" t="s">
        <v>30</v>
      </c>
      <c r="E61" s="1217" t="s">
        <v>71</v>
      </c>
      <c r="F61" s="987">
        <v>858</v>
      </c>
      <c r="G61" s="1217" t="s">
        <v>71</v>
      </c>
      <c r="H61" s="987">
        <v>859</v>
      </c>
      <c r="I61" s="1217" t="s">
        <v>71</v>
      </c>
      <c r="J61" s="997">
        <f t="shared" si="16"/>
        <v>1717</v>
      </c>
      <c r="K61" s="997">
        <f t="shared" si="17"/>
        <v>944.9</v>
      </c>
      <c r="L61" s="998">
        <f t="shared" si="18"/>
        <v>1802.9</v>
      </c>
      <c r="M61" s="997">
        <f t="shared" si="19"/>
        <v>1030.8</v>
      </c>
      <c r="N61" s="998">
        <f t="shared" si="20"/>
        <v>1888.8</v>
      </c>
      <c r="O61" s="997">
        <f t="shared" si="21"/>
        <v>1116.7</v>
      </c>
      <c r="P61" s="998">
        <f t="shared" si="22"/>
        <v>1974.7</v>
      </c>
      <c r="Q61" s="997">
        <f t="shared" si="12"/>
        <v>1202.5999999999999</v>
      </c>
      <c r="R61" s="998">
        <f t="shared" si="13"/>
        <v>2060.6</v>
      </c>
      <c r="S61" s="997">
        <f t="shared" si="14"/>
        <v>1288.5</v>
      </c>
      <c r="T61" s="998">
        <f t="shared" si="15"/>
        <v>2147.5</v>
      </c>
    </row>
    <row r="62" spans="2:20" ht="12.75" customHeight="1">
      <c r="B62" s="979" t="s">
        <v>586</v>
      </c>
      <c r="C62" s="979" t="s">
        <v>587</v>
      </c>
      <c r="D62" s="1217" t="s">
        <v>30</v>
      </c>
      <c r="E62" s="1217" t="s">
        <v>71</v>
      </c>
      <c r="F62" s="987">
        <v>602</v>
      </c>
      <c r="G62" s="1217" t="s">
        <v>71</v>
      </c>
      <c r="H62" s="987">
        <v>602</v>
      </c>
      <c r="I62" s="1217" t="s">
        <v>71</v>
      </c>
      <c r="J62" s="997">
        <f t="shared" si="16"/>
        <v>1204</v>
      </c>
      <c r="K62" s="997">
        <f t="shared" si="17"/>
        <v>662.2</v>
      </c>
      <c r="L62" s="998">
        <f t="shared" si="18"/>
        <v>1264.2</v>
      </c>
      <c r="M62" s="997">
        <f t="shared" si="19"/>
        <v>722.4</v>
      </c>
      <c r="N62" s="998">
        <f t="shared" si="20"/>
        <v>1324.4</v>
      </c>
      <c r="O62" s="997">
        <f t="shared" si="21"/>
        <v>782.6</v>
      </c>
      <c r="P62" s="998">
        <f t="shared" si="22"/>
        <v>1384.6</v>
      </c>
      <c r="Q62" s="997">
        <f t="shared" si="12"/>
        <v>842.8</v>
      </c>
      <c r="R62" s="998">
        <f t="shared" si="13"/>
        <v>1444.8</v>
      </c>
      <c r="S62" s="997">
        <f t="shared" si="14"/>
        <v>903</v>
      </c>
      <c r="T62" s="998">
        <f t="shared" si="15"/>
        <v>1505</v>
      </c>
    </row>
    <row r="63" spans="2:20" ht="12.75" customHeight="1">
      <c r="B63" s="979" t="s">
        <v>588</v>
      </c>
      <c r="C63" s="979" t="s">
        <v>135</v>
      </c>
      <c r="D63" s="1217" t="s">
        <v>70</v>
      </c>
      <c r="E63" s="1217" t="s">
        <v>71</v>
      </c>
      <c r="F63" s="987">
        <v>2370</v>
      </c>
      <c r="G63" s="1217" t="s">
        <v>71</v>
      </c>
      <c r="H63" s="987">
        <v>2373</v>
      </c>
      <c r="I63" s="1217" t="s">
        <v>71</v>
      </c>
      <c r="J63" s="997">
        <f t="shared" si="16"/>
        <v>4743</v>
      </c>
      <c r="K63" s="997">
        <f t="shared" si="17"/>
        <v>2610.3000000000002</v>
      </c>
      <c r="L63" s="998">
        <f t="shared" si="18"/>
        <v>4980.3</v>
      </c>
      <c r="M63" s="997">
        <f t="shared" si="19"/>
        <v>2847.6</v>
      </c>
      <c r="N63" s="998">
        <f t="shared" si="20"/>
        <v>5217.6000000000004</v>
      </c>
      <c r="O63" s="997">
        <f t="shared" si="21"/>
        <v>3084.9</v>
      </c>
      <c r="P63" s="998">
        <f t="shared" si="22"/>
        <v>5454.9</v>
      </c>
      <c r="Q63" s="997">
        <f t="shared" si="12"/>
        <v>3322.2</v>
      </c>
      <c r="R63" s="998">
        <f t="shared" si="13"/>
        <v>5692.2</v>
      </c>
      <c r="S63" s="997">
        <f t="shared" si="14"/>
        <v>3559.5</v>
      </c>
      <c r="T63" s="998">
        <f t="shared" si="15"/>
        <v>5932.5</v>
      </c>
    </row>
    <row r="64" spans="2:20" ht="12.75" customHeight="1">
      <c r="B64" s="979" t="s">
        <v>136</v>
      </c>
      <c r="C64" s="979" t="s">
        <v>137</v>
      </c>
      <c r="D64" s="1217" t="s">
        <v>70</v>
      </c>
      <c r="E64" s="1217" t="s">
        <v>71</v>
      </c>
      <c r="F64" s="987">
        <v>2404</v>
      </c>
      <c r="G64" s="1217" t="s">
        <v>71</v>
      </c>
      <c r="H64" s="987">
        <v>2407</v>
      </c>
      <c r="I64" s="1217" t="s">
        <v>71</v>
      </c>
      <c r="J64" s="997">
        <f t="shared" si="16"/>
        <v>4811</v>
      </c>
      <c r="K64" s="997">
        <f t="shared" si="17"/>
        <v>2647.7</v>
      </c>
      <c r="L64" s="998">
        <f t="shared" si="18"/>
        <v>5051.7</v>
      </c>
      <c r="M64" s="997">
        <f t="shared" si="19"/>
        <v>2888.4</v>
      </c>
      <c r="N64" s="998">
        <f t="shared" si="20"/>
        <v>5292.4</v>
      </c>
      <c r="O64" s="997">
        <f t="shared" si="21"/>
        <v>3129.1</v>
      </c>
      <c r="P64" s="998">
        <f t="shared" si="22"/>
        <v>5533.1</v>
      </c>
      <c r="Q64" s="997">
        <f t="shared" si="12"/>
        <v>3369.8</v>
      </c>
      <c r="R64" s="998">
        <f t="shared" si="13"/>
        <v>5773.8</v>
      </c>
      <c r="S64" s="997">
        <f t="shared" si="14"/>
        <v>3610.5</v>
      </c>
      <c r="T64" s="998">
        <f t="shared" si="15"/>
        <v>6017.5</v>
      </c>
    </row>
    <row r="65" spans="2:20" ht="12.75" customHeight="1">
      <c r="B65" s="979" t="s">
        <v>138</v>
      </c>
      <c r="C65" s="979" t="s">
        <v>139</v>
      </c>
      <c r="D65" s="1217" t="s">
        <v>70</v>
      </c>
      <c r="E65" s="1217" t="s">
        <v>71</v>
      </c>
      <c r="F65" s="987">
        <v>3833</v>
      </c>
      <c r="G65" s="1217" t="s">
        <v>71</v>
      </c>
      <c r="H65" s="987">
        <v>3836</v>
      </c>
      <c r="I65" s="1217" t="s">
        <v>71</v>
      </c>
      <c r="J65" s="997">
        <f t="shared" si="16"/>
        <v>7669</v>
      </c>
      <c r="K65" s="997">
        <f t="shared" si="17"/>
        <v>4219.6000000000004</v>
      </c>
      <c r="L65" s="998">
        <f t="shared" si="18"/>
        <v>8052.6</v>
      </c>
      <c r="M65" s="997">
        <f t="shared" si="19"/>
        <v>4603.2</v>
      </c>
      <c r="N65" s="998">
        <f t="shared" si="20"/>
        <v>8436.2000000000007</v>
      </c>
      <c r="O65" s="997">
        <f t="shared" si="21"/>
        <v>4986.8</v>
      </c>
      <c r="P65" s="998">
        <f t="shared" si="22"/>
        <v>8819.7999999999993</v>
      </c>
      <c r="Q65" s="997">
        <f t="shared" si="12"/>
        <v>5370.4</v>
      </c>
      <c r="R65" s="998">
        <f t="shared" si="13"/>
        <v>9203.4</v>
      </c>
      <c r="S65" s="997">
        <f t="shared" si="14"/>
        <v>5754</v>
      </c>
      <c r="T65" s="998">
        <f t="shared" si="15"/>
        <v>9590</v>
      </c>
    </row>
    <row r="66" spans="2:20" ht="12.75" customHeight="1">
      <c r="B66" s="979" t="s">
        <v>140</v>
      </c>
      <c r="C66" s="979" t="s">
        <v>141</v>
      </c>
      <c r="D66" s="1217" t="s">
        <v>30</v>
      </c>
      <c r="E66" s="1217" t="s">
        <v>71</v>
      </c>
      <c r="F66" s="987">
        <v>292</v>
      </c>
      <c r="G66" s="1217" t="s">
        <v>71</v>
      </c>
      <c r="H66" s="987">
        <v>293</v>
      </c>
      <c r="I66" s="1217" t="s">
        <v>71</v>
      </c>
      <c r="J66" s="997">
        <f t="shared" si="16"/>
        <v>585</v>
      </c>
      <c r="K66" s="997">
        <f t="shared" si="17"/>
        <v>322.3</v>
      </c>
      <c r="L66" s="998">
        <f t="shared" si="18"/>
        <v>614.29999999999995</v>
      </c>
      <c r="M66" s="997">
        <f t="shared" si="19"/>
        <v>351.6</v>
      </c>
      <c r="N66" s="998">
        <f t="shared" si="20"/>
        <v>643.6</v>
      </c>
      <c r="O66" s="997">
        <f t="shared" si="21"/>
        <v>380.9</v>
      </c>
      <c r="P66" s="998">
        <f t="shared" si="22"/>
        <v>672.9</v>
      </c>
      <c r="Q66" s="997">
        <f t="shared" si="12"/>
        <v>410.2</v>
      </c>
      <c r="R66" s="998">
        <f t="shared" si="13"/>
        <v>702.2</v>
      </c>
      <c r="S66" s="997">
        <f t="shared" si="14"/>
        <v>439.5</v>
      </c>
      <c r="T66" s="998">
        <f t="shared" si="15"/>
        <v>732.5</v>
      </c>
    </row>
    <row r="67" spans="2:20" ht="12.75" customHeight="1">
      <c r="B67" s="979" t="s">
        <v>204</v>
      </c>
      <c r="C67" s="979" t="s">
        <v>205</v>
      </c>
      <c r="D67" s="1217" t="s">
        <v>30</v>
      </c>
      <c r="E67" s="1217" t="s">
        <v>71</v>
      </c>
      <c r="F67" s="987">
        <v>1206</v>
      </c>
      <c r="G67" s="1217" t="s">
        <v>71</v>
      </c>
      <c r="H67" s="987">
        <v>1814</v>
      </c>
      <c r="I67" s="1217" t="s">
        <v>71</v>
      </c>
      <c r="J67" s="997">
        <f t="shared" si="16"/>
        <v>3020</v>
      </c>
      <c r="K67" s="997">
        <f>ROUND(H67*1.1,2)</f>
        <v>1995.4</v>
      </c>
      <c r="L67" s="998">
        <f>F67+K67</f>
        <v>3201.4</v>
      </c>
      <c r="M67" s="997">
        <f>ROUND(H67*1.2,2)</f>
        <v>2176.8000000000002</v>
      </c>
      <c r="N67" s="998">
        <f>F67+M67</f>
        <v>3382.8</v>
      </c>
      <c r="O67" s="997">
        <f>ROUND(H67*1.3,2)</f>
        <v>2358.1999999999998</v>
      </c>
      <c r="P67" s="998">
        <f>F67+O67</f>
        <v>3564.2</v>
      </c>
      <c r="Q67" s="997">
        <f t="shared" si="12"/>
        <v>2539.6</v>
      </c>
      <c r="R67" s="998">
        <f t="shared" si="13"/>
        <v>3745.6</v>
      </c>
      <c r="S67" s="997">
        <f>ROUND(J67*1.4,2)</f>
        <v>4228</v>
      </c>
      <c r="T67" s="998">
        <f t="shared" si="15"/>
        <v>6042</v>
      </c>
    </row>
    <row r="68" spans="2:20" ht="12.75" customHeight="1">
      <c r="B68" s="1499" t="s">
        <v>1010</v>
      </c>
      <c r="C68" s="1499"/>
      <c r="D68" s="1499"/>
      <c r="E68" s="1499"/>
      <c r="F68" s="1499"/>
      <c r="G68" s="1499"/>
      <c r="H68" s="1499"/>
      <c r="I68" s="1499"/>
      <c r="J68" s="1499"/>
    </row>
    <row r="69" spans="2:20" ht="12.75" customHeight="1">
      <c r="B69" s="979" t="s">
        <v>68</v>
      </c>
      <c r="C69" s="979" t="s">
        <v>17</v>
      </c>
      <c r="D69" s="1217" t="s">
        <v>245</v>
      </c>
      <c r="E69" s="1217" t="s">
        <v>71</v>
      </c>
      <c r="F69" s="987">
        <v>10.32</v>
      </c>
      <c r="G69" s="1217" t="s">
        <v>71</v>
      </c>
      <c r="H69" s="987">
        <v>87.18</v>
      </c>
      <c r="I69" s="1217" t="s">
        <v>71</v>
      </c>
      <c r="J69" s="997">
        <f t="shared" ref="J69:J73" si="23">H69+F69</f>
        <v>97.5</v>
      </c>
    </row>
    <row r="70" spans="2:20" ht="12.75" customHeight="1">
      <c r="B70" s="979" t="s">
        <v>72</v>
      </c>
      <c r="C70" s="979" t="s">
        <v>18</v>
      </c>
      <c r="D70" s="1217" t="s">
        <v>245</v>
      </c>
      <c r="E70" s="1217" t="s">
        <v>71</v>
      </c>
      <c r="F70" s="987">
        <f>F69</f>
        <v>10.32</v>
      </c>
      <c r="G70" s="1217" t="s">
        <v>71</v>
      </c>
      <c r="H70" s="987">
        <v>124.85</v>
      </c>
      <c r="I70" s="1217" t="s">
        <v>71</v>
      </c>
      <c r="J70" s="997">
        <f t="shared" si="23"/>
        <v>135.16999999999999</v>
      </c>
    </row>
    <row r="71" spans="2:20" ht="12.75" customHeight="1">
      <c r="B71" s="979" t="s">
        <v>74</v>
      </c>
      <c r="C71" s="979" t="s">
        <v>350</v>
      </c>
      <c r="D71" s="1217" t="s">
        <v>245</v>
      </c>
      <c r="E71" s="1217" t="s">
        <v>71</v>
      </c>
      <c r="F71" s="987">
        <f>F70</f>
        <v>10.32</v>
      </c>
      <c r="G71" s="1217" t="s">
        <v>71</v>
      </c>
      <c r="H71" s="987">
        <v>162.49</v>
      </c>
      <c r="I71" s="1217" t="s">
        <v>71</v>
      </c>
      <c r="J71" s="997">
        <f t="shared" si="23"/>
        <v>172.81</v>
      </c>
    </row>
    <row r="72" spans="2:20" ht="12.75" customHeight="1">
      <c r="B72" s="979" t="s">
        <v>76</v>
      </c>
      <c r="C72" s="979" t="s">
        <v>351</v>
      </c>
      <c r="D72" s="1217" t="s">
        <v>245</v>
      </c>
      <c r="E72" s="1217" t="s">
        <v>71</v>
      </c>
      <c r="F72" s="987">
        <f>F71</f>
        <v>10.32</v>
      </c>
      <c r="G72" s="1217" t="s">
        <v>71</v>
      </c>
      <c r="H72" s="987">
        <v>200.15</v>
      </c>
      <c r="I72" s="1217" t="s">
        <v>71</v>
      </c>
      <c r="J72" s="997">
        <f t="shared" si="23"/>
        <v>210.47</v>
      </c>
    </row>
    <row r="73" spans="2:20" ht="12.75" customHeight="1">
      <c r="B73" s="979" t="s">
        <v>77</v>
      </c>
      <c r="C73" s="979" t="s">
        <v>458</v>
      </c>
      <c r="D73" s="1217" t="s">
        <v>245</v>
      </c>
      <c r="E73" s="1217" t="s">
        <v>71</v>
      </c>
      <c r="F73" s="987">
        <f>F72</f>
        <v>10.32</v>
      </c>
      <c r="G73" s="1217" t="s">
        <v>71</v>
      </c>
      <c r="H73" s="987">
        <v>237.8</v>
      </c>
      <c r="I73" s="1217" t="s">
        <v>71</v>
      </c>
      <c r="J73" s="997">
        <f t="shared" si="23"/>
        <v>248.12</v>
      </c>
    </row>
    <row r="74" spans="2:20" ht="12.75" customHeight="1">
      <c r="B74" s="979" t="s">
        <v>31</v>
      </c>
      <c r="C74" s="979" t="s">
        <v>1063</v>
      </c>
      <c r="D74" s="1217" t="s">
        <v>245</v>
      </c>
      <c r="E74" s="1217" t="s">
        <v>71</v>
      </c>
      <c r="F74" s="987">
        <f>F73</f>
        <v>10.32</v>
      </c>
      <c r="G74" s="1217" t="s">
        <v>71</v>
      </c>
      <c r="H74" s="987">
        <v>275.44</v>
      </c>
      <c r="I74" s="1217" t="s">
        <v>71</v>
      </c>
      <c r="J74" s="997">
        <f>H74+F74</f>
        <v>285.76</v>
      </c>
    </row>
    <row r="75" spans="2:20" ht="38.25" customHeight="1">
      <c r="B75" s="1224" t="s">
        <v>669</v>
      </c>
      <c r="C75" s="1224" t="s">
        <v>670</v>
      </c>
      <c r="D75" s="1224" t="s">
        <v>671</v>
      </c>
      <c r="E75" s="1507" t="s">
        <v>672</v>
      </c>
      <c r="F75" s="1507"/>
      <c r="G75" s="1507" t="s">
        <v>270</v>
      </c>
      <c r="H75" s="1507"/>
      <c r="I75" s="1224" t="s">
        <v>1337</v>
      </c>
      <c r="J75" s="300"/>
    </row>
    <row r="76" spans="2:20" ht="12.75" customHeight="1">
      <c r="B76" s="1222">
        <v>1</v>
      </c>
      <c r="C76" s="1222">
        <v>2</v>
      </c>
      <c r="D76" s="1222">
        <v>6</v>
      </c>
      <c r="E76" s="1507">
        <v>3</v>
      </c>
      <c r="F76" s="1507"/>
      <c r="G76" s="1507">
        <v>4</v>
      </c>
      <c r="H76" s="1507"/>
      <c r="I76" s="1507">
        <v>5</v>
      </c>
      <c r="J76" s="1507"/>
    </row>
    <row r="77" spans="2:20" ht="12.75" customHeight="1">
      <c r="B77" s="1499" t="s">
        <v>608</v>
      </c>
      <c r="C77" s="1499"/>
      <c r="D77" s="1499"/>
      <c r="E77" s="1499"/>
      <c r="F77" s="1499"/>
      <c r="G77" s="1499"/>
      <c r="H77" s="1499"/>
      <c r="I77" s="1499"/>
      <c r="J77" s="1499"/>
    </row>
    <row r="78" spans="2:20" ht="12.75" customHeight="1">
      <c r="B78" s="979" t="s">
        <v>68</v>
      </c>
      <c r="C78" s="979" t="s">
        <v>17</v>
      </c>
      <c r="D78" s="1217" t="s">
        <v>245</v>
      </c>
      <c r="E78" s="1217" t="s">
        <v>71</v>
      </c>
      <c r="F78" s="987">
        <v>1.03</v>
      </c>
      <c r="G78" s="1217" t="s">
        <v>71</v>
      </c>
      <c r="H78" s="987">
        <v>8.73</v>
      </c>
      <c r="I78" s="1217" t="s">
        <v>71</v>
      </c>
      <c r="J78" s="997">
        <f t="shared" ref="J78:J89" si="24">H78+F78</f>
        <v>9.76</v>
      </c>
    </row>
    <row r="79" spans="2:20" ht="12.75" customHeight="1">
      <c r="B79" s="979" t="s">
        <v>72</v>
      </c>
      <c r="C79" s="979" t="s">
        <v>18</v>
      </c>
      <c r="D79" s="1217" t="s">
        <v>245</v>
      </c>
      <c r="E79" s="1217" t="s">
        <v>71</v>
      </c>
      <c r="F79" s="987">
        <f>F78</f>
        <v>1.03</v>
      </c>
      <c r="G79" s="1217" t="s">
        <v>71</v>
      </c>
      <c r="H79" s="987">
        <v>12.49</v>
      </c>
      <c r="I79" s="1217" t="s">
        <v>71</v>
      </c>
      <c r="J79" s="997">
        <f t="shared" si="24"/>
        <v>13.52</v>
      </c>
    </row>
    <row r="80" spans="2:20" ht="12.75" customHeight="1">
      <c r="B80" s="979" t="s">
        <v>74</v>
      </c>
      <c r="C80" s="979" t="s">
        <v>350</v>
      </c>
      <c r="D80" s="1217" t="s">
        <v>245</v>
      </c>
      <c r="E80" s="1217" t="s">
        <v>71</v>
      </c>
      <c r="F80" s="987">
        <f>F79</f>
        <v>1.03</v>
      </c>
      <c r="G80" s="1217" t="s">
        <v>71</v>
      </c>
      <c r="H80" s="987">
        <v>16.239999999999998</v>
      </c>
      <c r="I80" s="1217" t="s">
        <v>71</v>
      </c>
      <c r="J80" s="997">
        <f t="shared" si="24"/>
        <v>17.27</v>
      </c>
    </row>
    <row r="81" spans="1:18" ht="12.75" customHeight="1">
      <c r="B81" s="979" t="s">
        <v>76</v>
      </c>
      <c r="C81" s="979" t="s">
        <v>351</v>
      </c>
      <c r="D81" s="1217" t="s">
        <v>245</v>
      </c>
      <c r="E81" s="1217" t="s">
        <v>71</v>
      </c>
      <c r="F81" s="987">
        <f>F80</f>
        <v>1.03</v>
      </c>
      <c r="G81" s="1217" t="s">
        <v>71</v>
      </c>
      <c r="H81" s="987">
        <v>20.010000000000002</v>
      </c>
      <c r="I81" s="1217" t="s">
        <v>71</v>
      </c>
      <c r="J81" s="997">
        <f t="shared" si="24"/>
        <v>21.040000000000003</v>
      </c>
    </row>
    <row r="82" spans="1:18" ht="12.75" customHeight="1">
      <c r="B82" s="979" t="s">
        <v>77</v>
      </c>
      <c r="C82" s="979" t="s">
        <v>458</v>
      </c>
      <c r="D82" s="1217" t="s">
        <v>245</v>
      </c>
      <c r="E82" s="1217" t="s">
        <v>71</v>
      </c>
      <c r="F82" s="987">
        <f>F81</f>
        <v>1.03</v>
      </c>
      <c r="G82" s="1217" t="s">
        <v>71</v>
      </c>
      <c r="H82" s="987">
        <v>23.77</v>
      </c>
      <c r="I82" s="1217" t="s">
        <v>71</v>
      </c>
      <c r="J82" s="997">
        <f t="shared" si="24"/>
        <v>24.8</v>
      </c>
      <c r="P82" s="998">
        <f>'C-data'!E609</f>
        <v>1245</v>
      </c>
    </row>
    <row r="83" spans="1:18" ht="12.75" customHeight="1">
      <c r="B83" s="979" t="s">
        <v>31</v>
      </c>
      <c r="C83" s="979" t="s">
        <v>1063</v>
      </c>
      <c r="D83" s="1217" t="s">
        <v>245</v>
      </c>
      <c r="E83" s="1217" t="s">
        <v>71</v>
      </c>
      <c r="F83" s="987">
        <f>F82</f>
        <v>1.03</v>
      </c>
      <c r="G83" s="1217" t="s">
        <v>71</v>
      </c>
      <c r="H83" s="987">
        <v>27.56</v>
      </c>
      <c r="I83" s="1217" t="s">
        <v>71</v>
      </c>
      <c r="J83" s="997">
        <f t="shared" si="24"/>
        <v>28.59</v>
      </c>
    </row>
    <row r="84" spans="1:18" ht="12.75" customHeight="1">
      <c r="B84" s="1499" t="s">
        <v>131</v>
      </c>
      <c r="C84" s="1499"/>
      <c r="D84" s="1499"/>
      <c r="E84" s="1499"/>
      <c r="F84" s="1499"/>
      <c r="G84" s="1499"/>
      <c r="H84" s="1499"/>
      <c r="I84" s="1499"/>
      <c r="J84" s="1499"/>
    </row>
    <row r="85" spans="1:18" ht="12.75" customHeight="1">
      <c r="B85" s="979" t="s">
        <v>68</v>
      </c>
      <c r="C85" s="979" t="s">
        <v>17</v>
      </c>
      <c r="D85" s="1217" t="s">
        <v>245</v>
      </c>
      <c r="E85" s="1217" t="s">
        <v>71</v>
      </c>
      <c r="F85" s="987">
        <v>2.46</v>
      </c>
      <c r="G85" s="1217" t="s">
        <v>71</v>
      </c>
      <c r="H85" s="987">
        <v>17.46</v>
      </c>
      <c r="I85" s="1217" t="s">
        <v>71</v>
      </c>
      <c r="J85" s="997">
        <f t="shared" si="24"/>
        <v>19.920000000000002</v>
      </c>
      <c r="P85" s="998">
        <f>'C-data'!E609</f>
        <v>1245</v>
      </c>
    </row>
    <row r="86" spans="1:18" ht="12.75" customHeight="1">
      <c r="B86" s="979" t="s">
        <v>72</v>
      </c>
      <c r="C86" s="979" t="s">
        <v>18</v>
      </c>
      <c r="D86" s="1217" t="s">
        <v>245</v>
      </c>
      <c r="E86" s="1217" t="s">
        <v>71</v>
      </c>
      <c r="F86" s="987">
        <f>F85</f>
        <v>2.46</v>
      </c>
      <c r="G86" s="1217" t="s">
        <v>71</v>
      </c>
      <c r="H86" s="987">
        <v>24.77</v>
      </c>
      <c r="I86" s="1217" t="s">
        <v>71</v>
      </c>
      <c r="J86" s="997">
        <f t="shared" si="24"/>
        <v>27.23</v>
      </c>
    </row>
    <row r="87" spans="1:18" ht="12.75" customHeight="1">
      <c r="B87" s="979" t="s">
        <v>74</v>
      </c>
      <c r="C87" s="979" t="s">
        <v>350</v>
      </c>
      <c r="D87" s="1217" t="s">
        <v>245</v>
      </c>
      <c r="E87" s="1217" t="s">
        <v>71</v>
      </c>
      <c r="F87" s="987">
        <f>F86</f>
        <v>2.46</v>
      </c>
      <c r="G87" s="1217" t="s">
        <v>71</v>
      </c>
      <c r="H87" s="987">
        <v>32.07</v>
      </c>
      <c r="I87" s="1217" t="s">
        <v>71</v>
      </c>
      <c r="J87" s="997">
        <f t="shared" si="24"/>
        <v>34.53</v>
      </c>
    </row>
    <row r="88" spans="1:18" ht="12.75" customHeight="1">
      <c r="B88" s="979" t="s">
        <v>76</v>
      </c>
      <c r="C88" s="979" t="s">
        <v>351</v>
      </c>
      <c r="D88" s="1217" t="s">
        <v>245</v>
      </c>
      <c r="E88" s="1217" t="s">
        <v>71</v>
      </c>
      <c r="F88" s="987">
        <f>F87</f>
        <v>2.46</v>
      </c>
      <c r="G88" s="1217" t="s">
        <v>71</v>
      </c>
      <c r="H88" s="987">
        <v>39.4</v>
      </c>
      <c r="I88" s="1217" t="s">
        <v>71</v>
      </c>
      <c r="J88" s="997">
        <f t="shared" si="24"/>
        <v>41.86</v>
      </c>
      <c r="P88" s="998">
        <f>'C-data'!F609</f>
        <v>1287.9000000000001</v>
      </c>
    </row>
    <row r="89" spans="1:18" ht="12.75" customHeight="1">
      <c r="B89" s="979" t="s">
        <v>77</v>
      </c>
      <c r="C89" s="979" t="s">
        <v>458</v>
      </c>
      <c r="D89" s="1217" t="s">
        <v>245</v>
      </c>
      <c r="E89" s="1217" t="s">
        <v>71</v>
      </c>
      <c r="F89" s="987">
        <f>F88</f>
        <v>2.46</v>
      </c>
      <c r="G89" s="1217" t="s">
        <v>71</v>
      </c>
      <c r="H89" s="987">
        <v>46.7</v>
      </c>
      <c r="I89" s="1217" t="s">
        <v>71</v>
      </c>
      <c r="J89" s="997">
        <f t="shared" si="24"/>
        <v>49.160000000000004</v>
      </c>
    </row>
    <row r="90" spans="1:18" ht="12.75" customHeight="1">
      <c r="B90" s="979" t="s">
        <v>31</v>
      </c>
      <c r="C90" s="979" t="s">
        <v>1063</v>
      </c>
      <c r="D90" s="1217" t="s">
        <v>245</v>
      </c>
      <c r="E90" s="1217" t="s">
        <v>71</v>
      </c>
      <c r="F90" s="987">
        <f>F89</f>
        <v>2.46</v>
      </c>
      <c r="G90" s="1217" t="s">
        <v>71</v>
      </c>
      <c r="H90" s="987">
        <v>54.01</v>
      </c>
      <c r="I90" s="1217" t="s">
        <v>71</v>
      </c>
      <c r="J90" s="997">
        <f>H90+F90</f>
        <v>56.47</v>
      </c>
    </row>
    <row r="91" spans="1:18" ht="12.75" customHeight="1">
      <c r="A91" s="1225"/>
      <c r="B91" s="1214"/>
      <c r="C91" s="1214"/>
      <c r="D91" s="1214"/>
      <c r="E91" s="1214"/>
      <c r="F91" s="1214"/>
      <c r="G91" s="1214"/>
      <c r="H91" s="1214"/>
      <c r="I91" s="1214"/>
      <c r="P91" s="998">
        <f>'C-data'!G609</f>
        <v>1330.8000000000002</v>
      </c>
    </row>
    <row r="92" spans="1:18" s="1001" customFormat="1" ht="12.75" customHeight="1">
      <c r="A92" s="979"/>
      <c r="B92" s="979"/>
      <c r="C92" s="1502" t="s">
        <v>1339</v>
      </c>
      <c r="D92" s="1502"/>
      <c r="E92" s="1502"/>
      <c r="F92" s="1502"/>
      <c r="G92" s="1502"/>
      <c r="H92" s="1502"/>
      <c r="I92" s="1502"/>
      <c r="J92" s="1502"/>
      <c r="K92" s="1224"/>
      <c r="L92" s="1224"/>
      <c r="M92" s="1224"/>
      <c r="N92" s="1224"/>
      <c r="O92" s="1224"/>
      <c r="P92" s="1224"/>
      <c r="Q92" s="1224"/>
      <c r="R92" s="979"/>
    </row>
    <row r="93" spans="1:18" s="1001" customFormat="1" ht="76.5" customHeight="1">
      <c r="A93" s="979"/>
      <c r="B93" s="979"/>
      <c r="C93" s="1217"/>
      <c r="D93" s="1217"/>
      <c r="E93" s="990" t="s">
        <v>571</v>
      </c>
      <c r="F93" s="990" t="s">
        <v>285</v>
      </c>
      <c r="G93" s="990" t="s">
        <v>470</v>
      </c>
      <c r="H93" s="990" t="s">
        <v>286</v>
      </c>
      <c r="I93" s="990" t="s">
        <v>287</v>
      </c>
      <c r="J93" s="990" t="s">
        <v>438</v>
      </c>
      <c r="K93" s="990" t="s">
        <v>457</v>
      </c>
      <c r="L93" s="1002" t="s">
        <v>673</v>
      </c>
      <c r="M93" s="990" t="s">
        <v>674</v>
      </c>
      <c r="N93" s="1002" t="s">
        <v>675</v>
      </c>
      <c r="O93" s="990" t="s">
        <v>687</v>
      </c>
      <c r="P93" s="1002" t="s">
        <v>688</v>
      </c>
      <c r="Q93" s="990" t="s">
        <v>689</v>
      </c>
      <c r="R93" s="979"/>
    </row>
    <row r="94" spans="1:18" s="1001" customFormat="1" ht="25.5" customHeight="1">
      <c r="A94" s="979"/>
      <c r="B94" s="979"/>
      <c r="C94" s="979" t="s">
        <v>365</v>
      </c>
      <c r="D94" s="979"/>
      <c r="E94" s="997" t="s">
        <v>70</v>
      </c>
      <c r="F94" s="997" t="s">
        <v>30</v>
      </c>
      <c r="G94" s="997" t="s">
        <v>70</v>
      </c>
      <c r="H94" s="997" t="s">
        <v>70</v>
      </c>
      <c r="I94" s="997" t="s">
        <v>30</v>
      </c>
      <c r="J94" s="997" t="s">
        <v>30</v>
      </c>
      <c r="K94" s="997" t="s">
        <v>30</v>
      </c>
      <c r="L94" s="998" t="s">
        <v>30</v>
      </c>
      <c r="M94" s="997" t="s">
        <v>30</v>
      </c>
      <c r="N94" s="998" t="s">
        <v>70</v>
      </c>
      <c r="O94" s="997" t="s">
        <v>70</v>
      </c>
      <c r="P94" s="998">
        <f>'C-data'!H609</f>
        <v>1373.7</v>
      </c>
      <c r="Q94" s="997" t="s">
        <v>30</v>
      </c>
      <c r="R94" s="979"/>
    </row>
    <row r="95" spans="1:18" s="1001" customFormat="1" ht="12.75" customHeight="1">
      <c r="A95" s="979"/>
      <c r="B95" s="979"/>
      <c r="C95" s="1224" t="s">
        <v>652</v>
      </c>
      <c r="D95" s="979"/>
      <c r="E95" s="997"/>
      <c r="F95" s="997"/>
      <c r="G95" s="997"/>
      <c r="H95" s="997"/>
      <c r="I95" s="997"/>
      <c r="J95" s="997"/>
      <c r="K95" s="997"/>
      <c r="L95" s="998"/>
      <c r="M95" s="997"/>
      <c r="N95" s="998"/>
      <c r="O95" s="997"/>
      <c r="P95" s="998"/>
      <c r="Q95" s="997"/>
      <c r="R95" s="979"/>
    </row>
    <row r="96" spans="1:18" s="1001" customFormat="1" ht="12.75" customHeight="1">
      <c r="A96" s="979"/>
      <c r="B96" s="979"/>
      <c r="C96" s="1224" t="s">
        <v>653</v>
      </c>
      <c r="D96" s="979" t="s">
        <v>299</v>
      </c>
      <c r="E96" s="998">
        <v>1180</v>
      </c>
      <c r="F96" s="998">
        <v>233</v>
      </c>
      <c r="G96" s="998">
        <v>355</v>
      </c>
      <c r="H96" s="1000">
        <v>2085</v>
      </c>
      <c r="I96" s="998">
        <v>236</v>
      </c>
      <c r="J96" s="998">
        <v>243</v>
      </c>
      <c r="K96" s="998">
        <v>254</v>
      </c>
      <c r="L96" s="998">
        <v>858</v>
      </c>
      <c r="M96" s="998">
        <v>602</v>
      </c>
      <c r="N96" s="998">
        <v>2370</v>
      </c>
      <c r="O96" s="998">
        <v>2404</v>
      </c>
      <c r="P96" s="998">
        <v>3833</v>
      </c>
      <c r="Q96" s="998">
        <v>292</v>
      </c>
      <c r="R96" s="979"/>
    </row>
    <row r="97" spans="1:18" s="1001" customFormat="1">
      <c r="A97" s="979"/>
      <c r="B97" s="979"/>
      <c r="C97" s="1224" t="s">
        <v>654</v>
      </c>
      <c r="D97" s="979" t="s">
        <v>586</v>
      </c>
      <c r="E97" s="998">
        <v>1772</v>
      </c>
      <c r="F97" s="998">
        <v>272</v>
      </c>
      <c r="G97" s="998">
        <v>2488</v>
      </c>
      <c r="H97" s="998">
        <v>2088</v>
      </c>
      <c r="I97" s="998">
        <v>236</v>
      </c>
      <c r="J97" s="998">
        <v>243</v>
      </c>
      <c r="K97" s="998">
        <v>255</v>
      </c>
      <c r="L97" s="998">
        <v>859</v>
      </c>
      <c r="M97" s="998">
        <v>602</v>
      </c>
      <c r="N97" s="998">
        <v>2373</v>
      </c>
      <c r="O97" s="998">
        <v>2407</v>
      </c>
      <c r="P97" s="998">
        <v>3838</v>
      </c>
      <c r="Q97" s="998">
        <v>293</v>
      </c>
      <c r="R97" s="979"/>
    </row>
    <row r="98" spans="1:18" s="1001" customFormat="1">
      <c r="A98" s="979"/>
      <c r="B98" s="979"/>
      <c r="C98" s="1224" t="s">
        <v>401</v>
      </c>
      <c r="D98" s="979" t="s">
        <v>402</v>
      </c>
      <c r="E98" s="998">
        <f>E96+E97</f>
        <v>2952</v>
      </c>
      <c r="F98" s="998">
        <f t="shared" ref="F98:Q98" si="25">F96+F97</f>
        <v>505</v>
      </c>
      <c r="G98" s="998">
        <f t="shared" si="25"/>
        <v>2843</v>
      </c>
      <c r="H98" s="1000">
        <f t="shared" si="25"/>
        <v>4173</v>
      </c>
      <c r="I98" s="998">
        <f t="shared" si="25"/>
        <v>472</v>
      </c>
      <c r="J98" s="998">
        <f t="shared" si="25"/>
        <v>486</v>
      </c>
      <c r="K98" s="998">
        <f t="shared" si="25"/>
        <v>509</v>
      </c>
      <c r="L98" s="998">
        <f t="shared" si="25"/>
        <v>1717</v>
      </c>
      <c r="M98" s="998">
        <f t="shared" si="25"/>
        <v>1204</v>
      </c>
      <c r="N98" s="998">
        <f t="shared" si="25"/>
        <v>4743</v>
      </c>
      <c r="O98" s="998">
        <f t="shared" si="25"/>
        <v>4811</v>
      </c>
      <c r="P98" s="998">
        <f t="shared" si="25"/>
        <v>7671</v>
      </c>
      <c r="Q98" s="998">
        <f t="shared" si="25"/>
        <v>585</v>
      </c>
      <c r="R98" s="979"/>
    </row>
    <row r="99" spans="1:18" s="1001" customFormat="1">
      <c r="A99" s="979"/>
      <c r="B99" s="979"/>
      <c r="C99" s="1509" t="s">
        <v>100</v>
      </c>
      <c r="D99" s="1509"/>
      <c r="E99" s="1509"/>
      <c r="F99" s="1509"/>
      <c r="G99" s="1509"/>
      <c r="H99" s="1509"/>
      <c r="I99" s="1509"/>
      <c r="J99" s="1509"/>
      <c r="K99" s="1509"/>
      <c r="L99" s="1509"/>
      <c r="M99" s="1509"/>
      <c r="N99" s="1509"/>
      <c r="O99" s="1509"/>
      <c r="P99" s="1509"/>
      <c r="Q99" s="1509"/>
      <c r="R99" s="979"/>
    </row>
    <row r="100" spans="1:18" s="1001" customFormat="1">
      <c r="A100" s="979"/>
      <c r="B100" s="979"/>
      <c r="C100" s="1224" t="s">
        <v>101</v>
      </c>
      <c r="D100" s="979" t="s">
        <v>586</v>
      </c>
      <c r="E100" s="998">
        <v>1950</v>
      </c>
      <c r="F100" s="998">
        <v>300</v>
      </c>
      <c r="G100" s="998">
        <v>2738</v>
      </c>
      <c r="H100" s="998">
        <v>2297</v>
      </c>
      <c r="I100" s="998">
        <v>260</v>
      </c>
      <c r="J100" s="998">
        <v>268</v>
      </c>
      <c r="K100" s="998">
        <v>280</v>
      </c>
      <c r="L100" s="998">
        <v>946</v>
      </c>
      <c r="M100" s="998">
        <v>663</v>
      </c>
      <c r="N100" s="998">
        <v>2610</v>
      </c>
      <c r="O100" s="998">
        <v>2648</v>
      </c>
      <c r="P100" s="998">
        <v>4221</v>
      </c>
      <c r="Q100" s="998">
        <v>322</v>
      </c>
      <c r="R100" s="979"/>
    </row>
    <row r="101" spans="1:18" s="1001" customFormat="1">
      <c r="A101" s="979"/>
      <c r="B101" s="979"/>
      <c r="C101" s="1224" t="s">
        <v>102</v>
      </c>
      <c r="D101" s="979" t="s">
        <v>586</v>
      </c>
      <c r="E101" s="998">
        <v>2127</v>
      </c>
      <c r="F101" s="998">
        <v>326</v>
      </c>
      <c r="G101" s="998">
        <v>2987</v>
      </c>
      <c r="H101" s="998">
        <v>2505</v>
      </c>
      <c r="I101" s="998">
        <v>283</v>
      </c>
      <c r="J101" s="998">
        <v>292</v>
      </c>
      <c r="K101" s="998">
        <v>305</v>
      </c>
      <c r="L101" s="998">
        <v>1031</v>
      </c>
      <c r="M101" s="998">
        <v>723</v>
      </c>
      <c r="N101" s="998">
        <v>2849</v>
      </c>
      <c r="O101" s="998">
        <v>2888</v>
      </c>
      <c r="P101" s="998">
        <v>4605</v>
      </c>
      <c r="Q101" s="998">
        <v>351</v>
      </c>
      <c r="R101" s="979"/>
    </row>
    <row r="102" spans="1:18" s="1001" customFormat="1">
      <c r="A102" s="979"/>
      <c r="B102" s="979"/>
      <c r="C102" s="1224" t="s">
        <v>103</v>
      </c>
      <c r="D102" s="979" t="s">
        <v>586</v>
      </c>
      <c r="E102" s="998">
        <v>2303</v>
      </c>
      <c r="F102" s="998">
        <v>353</v>
      </c>
      <c r="G102" s="998">
        <v>3234</v>
      </c>
      <c r="H102" s="998">
        <v>2715</v>
      </c>
      <c r="I102" s="998">
        <v>307</v>
      </c>
      <c r="J102" s="998">
        <v>316</v>
      </c>
      <c r="K102" s="998">
        <v>330</v>
      </c>
      <c r="L102" s="998">
        <v>1118</v>
      </c>
      <c r="M102" s="998">
        <v>784</v>
      </c>
      <c r="N102" s="998">
        <v>3086</v>
      </c>
      <c r="O102" s="998">
        <v>3130</v>
      </c>
      <c r="P102" s="998">
        <v>4989</v>
      </c>
      <c r="Q102" s="998">
        <v>380</v>
      </c>
      <c r="R102" s="979"/>
    </row>
    <row r="103" spans="1:18" s="1001" customFormat="1">
      <c r="A103" s="979"/>
      <c r="B103" s="979"/>
      <c r="C103" s="1224" t="s">
        <v>104</v>
      </c>
      <c r="D103" s="979" t="s">
        <v>586</v>
      </c>
      <c r="E103" s="998">
        <v>2481</v>
      </c>
      <c r="F103" s="998">
        <v>380</v>
      </c>
      <c r="G103" s="998">
        <v>3484</v>
      </c>
      <c r="H103" s="998">
        <v>2923</v>
      </c>
      <c r="I103" s="998">
        <v>330</v>
      </c>
      <c r="J103" s="998">
        <v>341</v>
      </c>
      <c r="K103" s="998">
        <v>355</v>
      </c>
      <c r="L103" s="998">
        <v>1203</v>
      </c>
      <c r="M103" s="998">
        <v>843</v>
      </c>
      <c r="N103" s="998">
        <v>3322</v>
      </c>
      <c r="O103" s="998">
        <v>3370</v>
      </c>
      <c r="P103" s="998">
        <v>5372</v>
      </c>
      <c r="Q103" s="998">
        <v>411</v>
      </c>
      <c r="R103" s="979"/>
    </row>
    <row r="104" spans="1:18" s="1001" customFormat="1">
      <c r="A104" s="979"/>
      <c r="B104" s="979"/>
      <c r="C104" s="1502" t="s">
        <v>556</v>
      </c>
      <c r="D104" s="1502"/>
      <c r="E104" s="1502"/>
      <c r="F104" s="1502"/>
      <c r="G104" s="1502"/>
      <c r="H104" s="1502"/>
      <c r="I104" s="1502"/>
      <c r="J104" s="1502"/>
      <c r="K104" s="1502"/>
      <c r="L104" s="1502"/>
      <c r="M104" s="1502"/>
      <c r="N104" s="1502"/>
      <c r="O104" s="1502"/>
      <c r="P104" s="1502"/>
      <c r="Q104" s="1502"/>
      <c r="R104" s="979"/>
    </row>
    <row r="105" spans="1:18" s="1001" customFormat="1" ht="61.5">
      <c r="A105" s="979"/>
      <c r="B105" s="979"/>
      <c r="C105" s="1217"/>
      <c r="D105" s="979"/>
      <c r="E105" s="990" t="s">
        <v>571</v>
      </c>
      <c r="F105" s="990" t="s">
        <v>285</v>
      </c>
      <c r="G105" s="990" t="s">
        <v>470</v>
      </c>
      <c r="H105" s="990" t="s">
        <v>286</v>
      </c>
      <c r="I105" s="990" t="s">
        <v>287</v>
      </c>
      <c r="J105" s="990" t="s">
        <v>438</v>
      </c>
      <c r="K105" s="990" t="s">
        <v>457</v>
      </c>
      <c r="L105" s="1002" t="s">
        <v>673</v>
      </c>
      <c r="M105" s="990" t="s">
        <v>674</v>
      </c>
      <c r="N105" s="1002" t="s">
        <v>675</v>
      </c>
      <c r="O105" s="990" t="s">
        <v>687</v>
      </c>
      <c r="P105" s="1002" t="s">
        <v>688</v>
      </c>
      <c r="Q105" s="990" t="s">
        <v>689</v>
      </c>
      <c r="R105" s="979"/>
    </row>
    <row r="106" spans="1:18" s="1001" customFormat="1">
      <c r="A106" s="979"/>
      <c r="B106" s="979"/>
      <c r="C106" s="979" t="s">
        <v>365</v>
      </c>
      <c r="D106" s="979"/>
      <c r="E106" s="997" t="s">
        <v>70</v>
      </c>
      <c r="F106" s="997" t="s">
        <v>30</v>
      </c>
      <c r="G106" s="997" t="s">
        <v>70</v>
      </c>
      <c r="H106" s="997" t="s">
        <v>70</v>
      </c>
      <c r="I106" s="997" t="s">
        <v>30</v>
      </c>
      <c r="J106" s="997" t="s">
        <v>30</v>
      </c>
      <c r="K106" s="997" t="s">
        <v>30</v>
      </c>
      <c r="L106" s="998" t="s">
        <v>30</v>
      </c>
      <c r="M106" s="997" t="s">
        <v>30</v>
      </c>
      <c r="N106" s="998" t="s">
        <v>70</v>
      </c>
      <c r="O106" s="997" t="s">
        <v>70</v>
      </c>
      <c r="P106" s="998" t="s">
        <v>70</v>
      </c>
      <c r="Q106" s="997" t="s">
        <v>30</v>
      </c>
      <c r="R106" s="979"/>
    </row>
    <row r="107" spans="1:18" s="1001" customFormat="1">
      <c r="A107" s="979"/>
      <c r="B107" s="979"/>
      <c r="C107" s="1224" t="s">
        <v>652</v>
      </c>
      <c r="D107" s="979"/>
      <c r="E107" s="997"/>
      <c r="F107" s="997"/>
      <c r="G107" s="997"/>
      <c r="H107" s="997"/>
      <c r="I107" s="997"/>
      <c r="J107" s="997"/>
      <c r="K107" s="997"/>
      <c r="L107" s="998"/>
      <c r="M107" s="997"/>
      <c r="N107" s="998"/>
      <c r="O107" s="997"/>
      <c r="P107" s="998"/>
      <c r="Q107" s="997"/>
      <c r="R107" s="979"/>
    </row>
    <row r="108" spans="1:18" s="1001" customFormat="1">
      <c r="A108" s="979"/>
      <c r="B108" s="979"/>
      <c r="C108" s="1224" t="s">
        <v>653</v>
      </c>
      <c r="D108" s="979" t="s">
        <v>299</v>
      </c>
      <c r="E108" s="998">
        <v>790</v>
      </c>
      <c r="F108" s="998">
        <v>156</v>
      </c>
      <c r="G108" s="998">
        <v>238</v>
      </c>
      <c r="H108" s="998">
        <v>1395</v>
      </c>
      <c r="I108" s="998">
        <v>158</v>
      </c>
      <c r="J108" s="998">
        <v>163</v>
      </c>
      <c r="K108" s="998">
        <v>170</v>
      </c>
      <c r="L108" s="998">
        <v>575</v>
      </c>
      <c r="M108" s="998">
        <v>403</v>
      </c>
      <c r="N108" s="998">
        <v>1586</v>
      </c>
      <c r="O108" s="998">
        <v>1609</v>
      </c>
      <c r="P108" s="998">
        <v>2566</v>
      </c>
      <c r="Q108" s="998">
        <v>196</v>
      </c>
      <c r="R108" s="979"/>
    </row>
    <row r="109" spans="1:18" s="1001" customFormat="1">
      <c r="A109" s="979"/>
      <c r="B109" s="979"/>
      <c r="C109" s="1224" t="s">
        <v>654</v>
      </c>
      <c r="D109" s="979" t="s">
        <v>586</v>
      </c>
      <c r="E109" s="998">
        <v>1373</v>
      </c>
      <c r="F109" s="998">
        <v>211</v>
      </c>
      <c r="G109" s="998">
        <v>1928</v>
      </c>
      <c r="H109" s="998">
        <v>1617</v>
      </c>
      <c r="I109" s="998">
        <v>183</v>
      </c>
      <c r="J109" s="998">
        <v>189</v>
      </c>
      <c r="K109" s="998">
        <v>198</v>
      </c>
      <c r="L109" s="998">
        <v>666</v>
      </c>
      <c r="M109" s="998">
        <v>466</v>
      </c>
      <c r="N109" s="998">
        <v>1838</v>
      </c>
      <c r="O109" s="998">
        <v>1863</v>
      </c>
      <c r="P109" s="998">
        <v>2971</v>
      </c>
      <c r="Q109" s="998">
        <v>227</v>
      </c>
      <c r="R109" s="979"/>
    </row>
    <row r="110" spans="1:18" s="1001" customFormat="1">
      <c r="A110" s="979"/>
      <c r="B110" s="979"/>
      <c r="C110" s="1224" t="s">
        <v>401</v>
      </c>
      <c r="D110" s="979" t="s">
        <v>402</v>
      </c>
      <c r="E110" s="998">
        <f>E108+E109</f>
        <v>2163</v>
      </c>
      <c r="F110" s="998">
        <f t="shared" ref="F110:Q110" si="26">F108+F109</f>
        <v>367</v>
      </c>
      <c r="G110" s="998">
        <f t="shared" si="26"/>
        <v>2166</v>
      </c>
      <c r="H110" s="998">
        <f t="shared" si="26"/>
        <v>3012</v>
      </c>
      <c r="I110" s="998">
        <f t="shared" si="26"/>
        <v>341</v>
      </c>
      <c r="J110" s="998">
        <f t="shared" si="26"/>
        <v>352</v>
      </c>
      <c r="K110" s="998">
        <f t="shared" si="26"/>
        <v>368</v>
      </c>
      <c r="L110" s="998">
        <f t="shared" si="26"/>
        <v>1241</v>
      </c>
      <c r="M110" s="998">
        <f t="shared" si="26"/>
        <v>869</v>
      </c>
      <c r="N110" s="998">
        <f t="shared" si="26"/>
        <v>3424</v>
      </c>
      <c r="O110" s="998">
        <f t="shared" si="26"/>
        <v>3472</v>
      </c>
      <c r="P110" s="998">
        <f t="shared" si="26"/>
        <v>5537</v>
      </c>
      <c r="Q110" s="998">
        <f t="shared" si="26"/>
        <v>423</v>
      </c>
      <c r="R110" s="979"/>
    </row>
    <row r="111" spans="1:18" s="1001" customFormat="1">
      <c r="A111" s="979"/>
      <c r="B111" s="979"/>
      <c r="C111" s="1509" t="s">
        <v>100</v>
      </c>
      <c r="D111" s="1509"/>
      <c r="E111" s="1509"/>
      <c r="F111" s="1509"/>
      <c r="G111" s="1509"/>
      <c r="H111" s="1509"/>
      <c r="I111" s="1509"/>
      <c r="J111" s="1509"/>
      <c r="K111" s="1509"/>
      <c r="L111" s="1509"/>
      <c r="M111" s="1509"/>
      <c r="N111" s="1509"/>
      <c r="O111" s="1509"/>
      <c r="P111" s="1509"/>
      <c r="Q111" s="1509"/>
      <c r="R111" s="979"/>
    </row>
    <row r="112" spans="1:18" s="1001" customFormat="1">
      <c r="A112" s="979"/>
      <c r="B112" s="979"/>
      <c r="C112" s="1224" t="s">
        <v>101</v>
      </c>
      <c r="D112" s="979" t="s">
        <v>586</v>
      </c>
      <c r="E112" s="998">
        <v>1510</v>
      </c>
      <c r="F112" s="998">
        <v>232</v>
      </c>
      <c r="G112" s="998">
        <v>2120</v>
      </c>
      <c r="H112" s="998">
        <v>1778</v>
      </c>
      <c r="I112" s="998">
        <v>202</v>
      </c>
      <c r="J112" s="998">
        <v>207</v>
      </c>
      <c r="K112" s="998">
        <v>216</v>
      </c>
      <c r="L112" s="998">
        <v>733</v>
      </c>
      <c r="M112" s="998">
        <v>513</v>
      </c>
      <c r="N112" s="998">
        <v>2022</v>
      </c>
      <c r="O112" s="998">
        <v>2049</v>
      </c>
      <c r="P112" s="998">
        <v>3269</v>
      </c>
      <c r="Q112" s="998">
        <v>250</v>
      </c>
      <c r="R112" s="979"/>
    </row>
    <row r="113" spans="1:18" s="1001" customFormat="1" ht="12.75" customHeight="1">
      <c r="A113" s="979"/>
      <c r="B113" s="979"/>
      <c r="C113" s="1224" t="s">
        <v>102</v>
      </c>
      <c r="D113" s="979" t="s">
        <v>586</v>
      </c>
      <c r="E113" s="998">
        <v>1646</v>
      </c>
      <c r="F113" s="998">
        <v>254</v>
      </c>
      <c r="G113" s="998">
        <v>2313</v>
      </c>
      <c r="H113" s="998">
        <v>1940</v>
      </c>
      <c r="I113" s="998">
        <v>220</v>
      </c>
      <c r="J113" s="998">
        <v>227</v>
      </c>
      <c r="K113" s="998">
        <v>236</v>
      </c>
      <c r="L113" s="998">
        <v>799</v>
      </c>
      <c r="M113" s="998">
        <v>560</v>
      </c>
      <c r="N113" s="998">
        <v>2206</v>
      </c>
      <c r="O113" s="998">
        <v>2235</v>
      </c>
      <c r="P113" s="998">
        <v>3567</v>
      </c>
      <c r="Q113" s="998">
        <v>272</v>
      </c>
      <c r="R113" s="979"/>
    </row>
    <row r="114" spans="1:18" s="1001" customFormat="1" ht="12.75" customHeight="1">
      <c r="A114" s="979"/>
      <c r="B114" s="979"/>
      <c r="C114" s="1224" t="s">
        <v>103</v>
      </c>
      <c r="D114" s="979" t="s">
        <v>586</v>
      </c>
      <c r="E114" s="998">
        <v>1783</v>
      </c>
      <c r="F114" s="998">
        <v>275</v>
      </c>
      <c r="G114" s="998">
        <v>2506</v>
      </c>
      <c r="H114" s="998">
        <v>2101</v>
      </c>
      <c r="I114" s="998">
        <v>238</v>
      </c>
      <c r="J114" s="998">
        <v>246</v>
      </c>
      <c r="K114" s="998">
        <v>256</v>
      </c>
      <c r="L114" s="998">
        <v>865</v>
      </c>
      <c r="M114" s="998">
        <v>607</v>
      </c>
      <c r="N114" s="998">
        <v>2390</v>
      </c>
      <c r="O114" s="998">
        <v>2421</v>
      </c>
      <c r="P114" s="998">
        <v>3863</v>
      </c>
      <c r="Q114" s="998">
        <v>295</v>
      </c>
      <c r="R114" s="979"/>
    </row>
    <row r="115" spans="1:18" s="1001" customFormat="1" ht="12.75" customHeight="1">
      <c r="A115" s="979"/>
      <c r="B115" s="979"/>
      <c r="C115" s="1224" t="s">
        <v>104</v>
      </c>
      <c r="D115" s="979" t="s">
        <v>586</v>
      </c>
      <c r="E115" s="998">
        <v>1921</v>
      </c>
      <c r="F115" s="998">
        <v>295</v>
      </c>
      <c r="G115" s="998">
        <v>2698</v>
      </c>
      <c r="H115" s="998">
        <v>2262</v>
      </c>
      <c r="I115" s="998">
        <v>257</v>
      </c>
      <c r="J115" s="998">
        <v>265</v>
      </c>
      <c r="K115" s="998">
        <v>276</v>
      </c>
      <c r="L115" s="998">
        <v>931</v>
      </c>
      <c r="M115" s="998">
        <v>653</v>
      </c>
      <c r="N115" s="998">
        <v>2573</v>
      </c>
      <c r="O115" s="998">
        <v>2608</v>
      </c>
      <c r="P115" s="998">
        <v>4161</v>
      </c>
      <c r="Q115" s="998">
        <v>319</v>
      </c>
      <c r="R115" s="979"/>
    </row>
    <row r="116" spans="1:18" ht="12.75" customHeight="1">
      <c r="A116" s="1225"/>
      <c r="B116" s="1214"/>
      <c r="C116" s="1214"/>
      <c r="D116" s="1214"/>
      <c r="E116" s="1214"/>
      <c r="F116" s="1214"/>
      <c r="G116" s="1214"/>
      <c r="H116" s="1214"/>
      <c r="I116" s="1214"/>
    </row>
    <row r="117" spans="1:18" ht="12.75" customHeight="1">
      <c r="A117" s="1225"/>
      <c r="B117" s="1214"/>
      <c r="C117" s="1214"/>
      <c r="D117" s="1214"/>
      <c r="E117" s="1214"/>
      <c r="F117" s="1214" t="s">
        <v>513</v>
      </c>
      <c r="G117" s="1214"/>
      <c r="H117" s="1214"/>
      <c r="I117" s="1214"/>
    </row>
    <row r="118" spans="1:18" ht="12.75" customHeight="1">
      <c r="A118" s="1507" t="s">
        <v>698</v>
      </c>
      <c r="B118" s="1507"/>
      <c r="C118" s="1507"/>
      <c r="D118" s="1507"/>
      <c r="E118" s="1507"/>
      <c r="F118" s="1507"/>
      <c r="G118" s="1507"/>
      <c r="H118" s="1507"/>
      <c r="I118" s="1507"/>
    </row>
    <row r="119" spans="1:18" ht="24.6">
      <c r="A119" s="1217" t="s">
        <v>459</v>
      </c>
      <c r="B119" s="1217"/>
      <c r="C119" s="1217" t="s">
        <v>90</v>
      </c>
      <c r="D119" s="1217" t="s">
        <v>91</v>
      </c>
      <c r="E119" s="1217" t="s">
        <v>53</v>
      </c>
      <c r="F119" s="1217" t="s">
        <v>92</v>
      </c>
      <c r="G119" s="1217"/>
      <c r="H119" s="1217"/>
      <c r="I119" s="1217"/>
    </row>
    <row r="120" spans="1:18">
      <c r="A120" s="1217">
        <v>1</v>
      </c>
      <c r="B120" s="1217"/>
      <c r="C120" s="1217">
        <v>2</v>
      </c>
      <c r="D120" s="1217">
        <v>3</v>
      </c>
      <c r="E120" s="1217">
        <v>4</v>
      </c>
      <c r="F120" s="1217">
        <v>5</v>
      </c>
      <c r="G120" s="1217"/>
      <c r="H120" s="1217"/>
    </row>
    <row r="121" spans="1:18">
      <c r="A121" s="1217"/>
      <c r="B121" s="1217"/>
      <c r="C121" s="1217"/>
      <c r="D121" s="1217"/>
      <c r="E121" s="1217"/>
      <c r="F121" s="1217"/>
      <c r="G121" s="1217"/>
      <c r="H121" s="1217"/>
    </row>
    <row r="122" spans="1:18">
      <c r="A122" s="1217">
        <f>1</f>
        <v>1</v>
      </c>
      <c r="B122" s="984"/>
      <c r="C122" s="792" t="s">
        <v>93</v>
      </c>
      <c r="D122" s="979" t="s">
        <v>878</v>
      </c>
      <c r="E122" s="1217" t="s">
        <v>328</v>
      </c>
      <c r="F122" s="985">
        <v>29</v>
      </c>
      <c r="G122" s="987"/>
      <c r="H122" s="997"/>
    </row>
    <row r="123" spans="1:18" ht="12.75" customHeight="1">
      <c r="A123" s="1217">
        <f>A122+1</f>
        <v>2</v>
      </c>
      <c r="B123" s="984"/>
      <c r="C123" s="792" t="s">
        <v>879</v>
      </c>
      <c r="D123" s="1217" t="s">
        <v>880</v>
      </c>
      <c r="E123" s="1217" t="s">
        <v>328</v>
      </c>
      <c r="F123" s="987">
        <v>22</v>
      </c>
      <c r="H123" s="997"/>
    </row>
    <row r="124" spans="1:18" ht="25.5" customHeight="1">
      <c r="A124" s="1217">
        <f>A123+1</f>
        <v>3</v>
      </c>
      <c r="B124" s="984"/>
      <c r="C124" s="792" t="s">
        <v>234</v>
      </c>
      <c r="D124" s="979" t="s">
        <v>881</v>
      </c>
      <c r="E124" s="1217" t="s">
        <v>328</v>
      </c>
      <c r="F124" s="985">
        <v>51</v>
      </c>
      <c r="G124" s="987"/>
      <c r="H124" s="997"/>
    </row>
    <row r="125" spans="1:18" ht="12.75" customHeight="1">
      <c r="A125" s="1217">
        <f>A124+1</f>
        <v>4</v>
      </c>
      <c r="B125" s="984"/>
      <c r="C125" s="792" t="s">
        <v>1156</v>
      </c>
      <c r="D125" s="979" t="s">
        <v>882</v>
      </c>
      <c r="E125" s="1217" t="s">
        <v>133</v>
      </c>
      <c r="F125" s="985">
        <v>43</v>
      </c>
      <c r="G125" s="987"/>
      <c r="H125" s="997"/>
    </row>
    <row r="126" spans="1:18" ht="25.5" customHeight="1">
      <c r="A126" s="1217">
        <f t="shared" ref="A126:A129" si="27">A125+1</f>
        <v>5</v>
      </c>
      <c r="B126" s="984"/>
      <c r="C126" s="792" t="s">
        <v>134</v>
      </c>
      <c r="D126" s="979" t="s">
        <v>883</v>
      </c>
      <c r="E126" s="1217" t="s">
        <v>328</v>
      </c>
      <c r="F126" s="985">
        <v>54</v>
      </c>
      <c r="G126" s="987"/>
      <c r="H126" s="997"/>
    </row>
    <row r="127" spans="1:18" ht="12.75" customHeight="1">
      <c r="A127" s="1217">
        <f t="shared" si="27"/>
        <v>6</v>
      </c>
      <c r="B127" s="984"/>
      <c r="C127" s="792" t="s">
        <v>82</v>
      </c>
      <c r="D127" s="979" t="s">
        <v>884</v>
      </c>
      <c r="E127" s="1217" t="s">
        <v>133</v>
      </c>
      <c r="F127" s="985">
        <v>144</v>
      </c>
      <c r="G127" s="987"/>
      <c r="H127" s="997"/>
    </row>
    <row r="128" spans="1:18" ht="12.75" customHeight="1">
      <c r="A128" s="1217">
        <f t="shared" si="27"/>
        <v>7</v>
      </c>
      <c r="B128" s="984"/>
      <c r="C128" s="792" t="s">
        <v>770</v>
      </c>
      <c r="D128" s="1217" t="s">
        <v>969</v>
      </c>
      <c r="E128" s="1217" t="s">
        <v>328</v>
      </c>
      <c r="F128" s="985">
        <v>144</v>
      </c>
      <c r="G128" s="987"/>
      <c r="H128" s="997"/>
    </row>
    <row r="129" spans="1:12" ht="12.75" customHeight="1">
      <c r="A129" s="1217">
        <f t="shared" si="27"/>
        <v>8</v>
      </c>
      <c r="B129" s="984"/>
      <c r="C129" s="792" t="s">
        <v>83</v>
      </c>
      <c r="D129" s="979" t="s">
        <v>885</v>
      </c>
      <c r="E129" s="1217" t="s">
        <v>133</v>
      </c>
      <c r="F129" s="985">
        <v>129</v>
      </c>
      <c r="G129" s="987"/>
      <c r="H129" s="997"/>
    </row>
    <row r="130" spans="1:12" ht="38.25" customHeight="1">
      <c r="A130" s="1217">
        <f>A129+1</f>
        <v>9</v>
      </c>
      <c r="B130" s="984"/>
      <c r="C130" s="792" t="s">
        <v>1068</v>
      </c>
      <c r="D130" s="979" t="s">
        <v>886</v>
      </c>
      <c r="E130" s="1217" t="s">
        <v>328</v>
      </c>
      <c r="F130" s="985">
        <v>150</v>
      </c>
      <c r="G130" s="987"/>
      <c r="H130" s="997"/>
    </row>
    <row r="131" spans="1:12" ht="38.25" customHeight="1">
      <c r="A131" s="1217">
        <f>A130+1</f>
        <v>10</v>
      </c>
      <c r="B131" s="984"/>
      <c r="C131" s="792" t="s">
        <v>1067</v>
      </c>
      <c r="D131" s="979" t="s">
        <v>1069</v>
      </c>
      <c r="E131" s="1217" t="s">
        <v>328</v>
      </c>
      <c r="F131" s="985">
        <v>191</v>
      </c>
      <c r="G131" s="987"/>
      <c r="H131" s="997"/>
    </row>
    <row r="132" spans="1:12" ht="76.5" customHeight="1">
      <c r="A132" s="1217">
        <v>11</v>
      </c>
      <c r="B132" s="984"/>
      <c r="C132" s="792" t="s">
        <v>1191</v>
      </c>
      <c r="D132" s="979" t="s">
        <v>887</v>
      </c>
      <c r="E132" s="1217" t="s">
        <v>133</v>
      </c>
      <c r="F132" s="985">
        <v>251</v>
      </c>
      <c r="G132" s="987"/>
      <c r="H132" s="997"/>
    </row>
    <row r="133" spans="1:12" ht="63.75" customHeight="1">
      <c r="A133" s="1217">
        <v>12</v>
      </c>
      <c r="B133" s="984"/>
      <c r="C133" s="792" t="s">
        <v>1070</v>
      </c>
      <c r="D133" s="1217" t="s">
        <v>1065</v>
      </c>
      <c r="E133" s="1217" t="s">
        <v>133</v>
      </c>
      <c r="F133" s="985">
        <v>195</v>
      </c>
      <c r="G133" s="987"/>
      <c r="H133" s="997"/>
    </row>
    <row r="134" spans="1:12" ht="76.5" customHeight="1">
      <c r="A134" s="1217">
        <v>13</v>
      </c>
      <c r="B134" s="984"/>
      <c r="C134" s="792" t="s">
        <v>1071</v>
      </c>
      <c r="D134" s="1217" t="s">
        <v>1072</v>
      </c>
      <c r="E134" s="1217" t="s">
        <v>133</v>
      </c>
      <c r="F134" s="985">
        <v>204</v>
      </c>
      <c r="G134" s="987"/>
      <c r="H134" s="997"/>
    </row>
    <row r="135" spans="1:12" ht="12.75" customHeight="1">
      <c r="A135" s="1217">
        <v>14</v>
      </c>
      <c r="B135" s="984"/>
      <c r="C135" s="792" t="s">
        <v>84</v>
      </c>
      <c r="D135" s="979" t="s">
        <v>888</v>
      </c>
      <c r="E135" s="1217" t="s">
        <v>328</v>
      </c>
      <c r="F135" s="985">
        <v>73</v>
      </c>
      <c r="G135" s="987"/>
      <c r="H135" s="997"/>
    </row>
    <row r="136" spans="1:12" ht="12.75" customHeight="1">
      <c r="A136" s="1217">
        <v>15</v>
      </c>
      <c r="B136" s="984"/>
      <c r="C136" s="792" t="s">
        <v>85</v>
      </c>
      <c r="D136" s="979" t="s">
        <v>1011</v>
      </c>
      <c r="E136" s="1217" t="s">
        <v>623</v>
      </c>
      <c r="F136" s="985">
        <v>19</v>
      </c>
      <c r="G136" s="987"/>
      <c r="H136" s="997"/>
    </row>
    <row r="137" spans="1:12" ht="25.5" customHeight="1">
      <c r="A137" s="1217">
        <v>16</v>
      </c>
      <c r="B137" s="984"/>
      <c r="C137" s="1213" t="s">
        <v>970</v>
      </c>
      <c r="D137" s="1217" t="s">
        <v>971</v>
      </c>
      <c r="E137" s="1217" t="s">
        <v>623</v>
      </c>
      <c r="F137" s="985">
        <v>573</v>
      </c>
      <c r="G137" s="987"/>
      <c r="H137" s="997"/>
      <c r="L137" s="1224" t="s">
        <v>896</v>
      </c>
    </row>
    <row r="138" spans="1:12" ht="12.75" customHeight="1">
      <c r="A138" s="1217">
        <v>17</v>
      </c>
      <c r="B138" s="984"/>
      <c r="C138" s="792" t="s">
        <v>302</v>
      </c>
      <c r="D138" s="979" t="s">
        <v>889</v>
      </c>
      <c r="E138" s="1217" t="s">
        <v>623</v>
      </c>
      <c r="F138" s="987">
        <v>300</v>
      </c>
      <c r="G138" s="987"/>
      <c r="H138" s="997"/>
    </row>
    <row r="139" spans="1:12" ht="63.75" customHeight="1">
      <c r="A139" s="1217">
        <v>18</v>
      </c>
      <c r="B139" s="984"/>
      <c r="C139" s="1213" t="s">
        <v>1340</v>
      </c>
      <c r="D139" s="979" t="s">
        <v>1192</v>
      </c>
      <c r="E139" s="1217" t="s">
        <v>623</v>
      </c>
      <c r="F139" s="987">
        <v>300</v>
      </c>
      <c r="G139" s="987"/>
      <c r="H139" s="997"/>
    </row>
    <row r="140" spans="1:12" ht="12.75" customHeight="1">
      <c r="A140" s="1217">
        <v>19</v>
      </c>
      <c r="B140" s="984"/>
      <c r="C140" s="1213" t="s">
        <v>114</v>
      </c>
      <c r="D140" s="979" t="s">
        <v>889</v>
      </c>
      <c r="E140" s="1217" t="s">
        <v>623</v>
      </c>
      <c r="F140" s="987">
        <v>300</v>
      </c>
      <c r="G140" s="987"/>
      <c r="H140" s="997"/>
    </row>
    <row r="141" spans="1:12" ht="25.5" customHeight="1">
      <c r="A141" s="1217">
        <v>20</v>
      </c>
      <c r="B141" s="984"/>
      <c r="C141" s="792" t="s">
        <v>0</v>
      </c>
      <c r="D141" s="1217" t="s">
        <v>1013</v>
      </c>
      <c r="E141" s="1217" t="s">
        <v>623</v>
      </c>
      <c r="F141" s="987">
        <v>383</v>
      </c>
      <c r="G141" s="987"/>
      <c r="H141" s="987"/>
    </row>
    <row r="142" spans="1:12" ht="38.25" customHeight="1">
      <c r="A142" s="1217">
        <v>21</v>
      </c>
      <c r="B142" s="984"/>
      <c r="C142" s="792" t="s">
        <v>648</v>
      </c>
      <c r="D142" s="979" t="s">
        <v>890</v>
      </c>
      <c r="E142" s="1217" t="s">
        <v>623</v>
      </c>
      <c r="F142" s="985">
        <v>661</v>
      </c>
      <c r="G142" s="987"/>
      <c r="H142" s="997"/>
    </row>
    <row r="143" spans="1:12" ht="38.25" customHeight="1">
      <c r="A143" s="1217">
        <v>22</v>
      </c>
      <c r="B143" s="984"/>
      <c r="C143" s="792" t="s">
        <v>649</v>
      </c>
      <c r="D143" s="979" t="s">
        <v>891</v>
      </c>
      <c r="E143" s="1217" t="s">
        <v>623</v>
      </c>
      <c r="F143" s="985">
        <v>2709</v>
      </c>
      <c r="G143" s="987"/>
      <c r="H143" s="997"/>
    </row>
    <row r="144" spans="1:12" ht="25.5" customHeight="1">
      <c r="A144" s="1217">
        <v>23</v>
      </c>
      <c r="B144" s="984"/>
      <c r="C144" s="792" t="s">
        <v>650</v>
      </c>
      <c r="D144" s="979" t="s">
        <v>892</v>
      </c>
      <c r="E144" s="1217" t="s">
        <v>623</v>
      </c>
      <c r="F144" s="985">
        <v>2303</v>
      </c>
      <c r="G144" s="987"/>
      <c r="H144" s="997"/>
    </row>
    <row r="145" spans="1:9" ht="63.75" customHeight="1">
      <c r="A145" s="1217">
        <v>24</v>
      </c>
      <c r="B145" s="984"/>
      <c r="C145" s="792" t="s">
        <v>972</v>
      </c>
      <c r="D145" s="1217" t="s">
        <v>893</v>
      </c>
      <c r="E145" s="1217" t="s">
        <v>623</v>
      </c>
      <c r="F145" s="985">
        <v>421</v>
      </c>
      <c r="G145" s="987"/>
      <c r="H145" s="997"/>
    </row>
    <row r="146" spans="1:9" ht="38.25" customHeight="1">
      <c r="A146" s="1217">
        <v>25</v>
      </c>
      <c r="B146" s="984"/>
      <c r="C146" s="792" t="s">
        <v>225</v>
      </c>
      <c r="D146" s="1217" t="s">
        <v>1012</v>
      </c>
      <c r="E146" s="1217" t="s">
        <v>623</v>
      </c>
      <c r="F146" s="985">
        <v>421</v>
      </c>
      <c r="G146" s="987"/>
      <c r="H146" s="997"/>
    </row>
    <row r="147" spans="1:9" ht="12.75" customHeight="1">
      <c r="A147" s="1217">
        <v>26</v>
      </c>
      <c r="B147" s="984"/>
      <c r="C147" s="792" t="s">
        <v>332</v>
      </c>
      <c r="D147" s="979" t="s">
        <v>894</v>
      </c>
      <c r="E147" s="1217" t="s">
        <v>623</v>
      </c>
      <c r="F147" s="987">
        <v>220</v>
      </c>
      <c r="G147" s="987"/>
      <c r="H147" s="987"/>
    </row>
    <row r="148" spans="1:9" ht="191.25" customHeight="1">
      <c r="A148" s="1217">
        <v>29</v>
      </c>
      <c r="B148" s="984"/>
      <c r="C148" s="792" t="s">
        <v>1313</v>
      </c>
      <c r="D148" s="1217" t="s">
        <v>973</v>
      </c>
      <c r="E148" s="1217" t="s">
        <v>623</v>
      </c>
      <c r="F148" s="987">
        <v>3466</v>
      </c>
      <c r="G148" s="987">
        <f>F148*1.13615</f>
        <v>3937.8959</v>
      </c>
      <c r="H148" s="987"/>
    </row>
    <row r="149" spans="1:9" ht="191.25" customHeight="1">
      <c r="A149" s="1217">
        <v>30</v>
      </c>
      <c r="B149" s="984"/>
      <c r="C149" s="792" t="s">
        <v>142</v>
      </c>
      <c r="D149" s="1217" t="s">
        <v>974</v>
      </c>
      <c r="E149" s="1217" t="s">
        <v>623</v>
      </c>
      <c r="F149" s="987">
        <v>3962</v>
      </c>
      <c r="G149" s="987">
        <f>F149*1.13615</f>
        <v>4501.4263000000001</v>
      </c>
      <c r="H149" s="987"/>
    </row>
    <row r="150" spans="1:9" ht="12.75" customHeight="1">
      <c r="A150" s="1217"/>
      <c r="B150" s="984"/>
      <c r="D150" s="1217"/>
      <c r="E150" s="1217"/>
      <c r="F150" s="987"/>
      <c r="G150" s="987"/>
      <c r="H150" s="987"/>
    </row>
    <row r="151" spans="1:9" ht="12.75" customHeight="1">
      <c r="A151" s="1507" t="s">
        <v>685</v>
      </c>
      <c r="B151" s="1507"/>
      <c r="C151" s="1507"/>
      <c r="D151" s="1222"/>
      <c r="E151" s="1222"/>
      <c r="F151" s="1222"/>
      <c r="G151" s="1222"/>
      <c r="H151" s="1222"/>
      <c r="I151" s="1222"/>
    </row>
    <row r="152" spans="1:9" ht="12.75" customHeight="1">
      <c r="A152" s="1222"/>
      <c r="B152" s="1215"/>
      <c r="C152" s="1222"/>
      <c r="D152" s="1502" t="s">
        <v>173</v>
      </c>
      <c r="E152" s="1502"/>
      <c r="F152" s="1215" t="s">
        <v>174</v>
      </c>
      <c r="G152" s="1502" t="s">
        <v>535</v>
      </c>
      <c r="H152" s="1502"/>
      <c r="I152" s="1215" t="s">
        <v>151</v>
      </c>
    </row>
    <row r="153" spans="1:9" ht="12.75" customHeight="1">
      <c r="A153" s="1003"/>
      <c r="B153" s="1004"/>
      <c r="C153" s="1220" t="s">
        <v>536</v>
      </c>
    </row>
    <row r="154" spans="1:9" ht="12.75" customHeight="1">
      <c r="A154" s="1003"/>
      <c r="B154" s="1004"/>
      <c r="C154" s="1220" t="s">
        <v>557</v>
      </c>
    </row>
    <row r="155" spans="1:9" ht="12.75" customHeight="1">
      <c r="A155" s="1003"/>
      <c r="B155" s="1003"/>
      <c r="C155" s="1212" t="s">
        <v>537</v>
      </c>
      <c r="D155" s="1005">
        <v>1.05</v>
      </c>
      <c r="E155" s="1006" t="s">
        <v>465</v>
      </c>
      <c r="F155" s="985">
        <f>LEAD!P7</f>
        <v>437.11999999999983</v>
      </c>
      <c r="G155" s="1007">
        <v>1</v>
      </c>
      <c r="H155" s="991" t="str">
        <f>IF(E155="","",IF(E155="No.","Each",IF(E155="Nos.","Each",E155)))</f>
        <v>Cum</v>
      </c>
      <c r="I155" s="986">
        <f>IF(G155="",D155*F155,(D155*F155/G155))</f>
        <v>458.97599999999983</v>
      </c>
    </row>
    <row r="156" spans="1:9" ht="12.75" customHeight="1">
      <c r="A156" s="1003"/>
      <c r="B156" s="1003"/>
      <c r="C156" s="1212" t="s">
        <v>538</v>
      </c>
      <c r="D156" s="1007">
        <v>720</v>
      </c>
      <c r="E156" s="1008" t="s">
        <v>364</v>
      </c>
      <c r="F156" s="985">
        <f>LEAD!P28</f>
        <v>7168</v>
      </c>
      <c r="G156" s="1007">
        <v>1000</v>
      </c>
      <c r="H156" s="991" t="str">
        <f>IF(E156="","",IF(E156="No.","Each",IF(E156="Nos.","Each",E156)))</f>
        <v>Kgs</v>
      </c>
      <c r="I156" s="986">
        <f>IF(G156="",D156*F156,(D156*F156/G156))</f>
        <v>5160.96</v>
      </c>
    </row>
    <row r="157" spans="1:9" ht="12.75" customHeight="1">
      <c r="A157" s="1003"/>
      <c r="B157" s="1003"/>
      <c r="C157" s="1212" t="s">
        <v>558</v>
      </c>
      <c r="D157" s="1007"/>
      <c r="E157" s="1008"/>
      <c r="F157" s="985"/>
      <c r="G157" s="1007"/>
      <c r="H157" s="991"/>
      <c r="I157" s="986"/>
    </row>
    <row r="158" spans="1:9" ht="12.75" customHeight="1">
      <c r="A158" s="1003"/>
      <c r="B158" s="1003"/>
      <c r="C158" s="1212" t="s">
        <v>559</v>
      </c>
      <c r="D158" s="985">
        <v>0.2</v>
      </c>
      <c r="E158" s="1008" t="s">
        <v>327</v>
      </c>
      <c r="F158" s="985">
        <f>F22</f>
        <v>558</v>
      </c>
      <c r="G158" s="1007">
        <v>1</v>
      </c>
      <c r="H158" s="991" t="s">
        <v>560</v>
      </c>
      <c r="I158" s="986">
        <f>IF(G158="",D158*F158,(D158*F158/G158))</f>
        <v>111.60000000000001</v>
      </c>
    </row>
    <row r="159" spans="1:9" ht="12.75" customHeight="1">
      <c r="A159" s="1217"/>
      <c r="B159" s="984"/>
      <c r="C159" s="1009" t="s">
        <v>539</v>
      </c>
      <c r="D159" s="1007"/>
      <c r="E159" s="1008"/>
      <c r="F159" s="985"/>
      <c r="G159" s="1007"/>
      <c r="H159" s="985"/>
      <c r="I159" s="1010">
        <f>SUM(I155:I158)</f>
        <v>5731.5360000000001</v>
      </c>
    </row>
    <row r="160" spans="1:9" ht="12.75" customHeight="1">
      <c r="A160" s="1217"/>
      <c r="B160" s="984"/>
      <c r="C160" s="1009"/>
      <c r="D160" s="1007"/>
      <c r="E160" s="1008"/>
      <c r="F160" s="985"/>
      <c r="G160" s="1007"/>
      <c r="H160" s="985"/>
      <c r="I160" s="985"/>
    </row>
    <row r="161" spans="1:9" ht="12.75" customHeight="1">
      <c r="A161" s="1003"/>
      <c r="B161" s="1004"/>
      <c r="C161" s="1220" t="s">
        <v>540</v>
      </c>
      <c r="D161" s="1007"/>
      <c r="E161" s="1006"/>
      <c r="F161" s="985"/>
      <c r="G161" s="1007"/>
      <c r="H161" s="1005"/>
      <c r="I161" s="1005"/>
    </row>
    <row r="162" spans="1:9" ht="12.75" customHeight="1">
      <c r="A162" s="1003"/>
      <c r="B162" s="1004"/>
      <c r="C162" s="1220" t="s">
        <v>557</v>
      </c>
    </row>
    <row r="163" spans="1:9" ht="12.75" customHeight="1">
      <c r="A163" s="1003"/>
      <c r="B163" s="1003"/>
      <c r="C163" s="1212" t="s">
        <v>537</v>
      </c>
      <c r="D163" s="1005">
        <v>1.05</v>
      </c>
      <c r="E163" s="1006" t="s">
        <v>465</v>
      </c>
      <c r="F163" s="985">
        <f>F155</f>
        <v>437.11999999999983</v>
      </c>
      <c r="G163" s="1007">
        <v>1</v>
      </c>
      <c r="H163" s="991" t="str">
        <f>IF(E163="","",IF(E163="No.","Each",IF(E163="Nos.","Each",E163)))</f>
        <v>Cum</v>
      </c>
      <c r="I163" s="986">
        <f>IF(G163="",D163*F163,(D163*F163/G163))</f>
        <v>458.97599999999983</v>
      </c>
    </row>
    <row r="164" spans="1:9" ht="12.75" customHeight="1">
      <c r="A164" s="1003"/>
      <c r="B164" s="1003"/>
      <c r="C164" s="1212" t="s">
        <v>538</v>
      </c>
      <c r="D164" s="1007">
        <v>480</v>
      </c>
      <c r="E164" s="1008" t="s">
        <v>364</v>
      </c>
      <c r="F164" s="985">
        <f>F156</f>
        <v>7168</v>
      </c>
      <c r="G164" s="1007">
        <v>1000</v>
      </c>
      <c r="H164" s="991" t="str">
        <f>IF(E164="","",IF(E164="No.","Each",IF(E164="Nos.","Each",E164)))</f>
        <v>Kgs</v>
      </c>
      <c r="I164" s="986">
        <f>IF(G164="",D164*F164,(D164*F164/G164))</f>
        <v>3440.64</v>
      </c>
    </row>
    <row r="165" spans="1:9" ht="12.75" customHeight="1">
      <c r="A165" s="1003"/>
      <c r="B165" s="1003"/>
      <c r="C165" s="1212" t="s">
        <v>558</v>
      </c>
      <c r="D165" s="1007"/>
      <c r="E165" s="1008"/>
      <c r="F165" s="985"/>
      <c r="G165" s="1007"/>
      <c r="H165" s="991"/>
      <c r="I165" s="986"/>
    </row>
    <row r="166" spans="1:9" ht="12.75" customHeight="1">
      <c r="A166" s="1003"/>
      <c r="B166" s="1003"/>
      <c r="C166" s="1212" t="s">
        <v>559</v>
      </c>
      <c r="D166" s="985">
        <v>0.2</v>
      </c>
      <c r="E166" s="1008" t="s">
        <v>327</v>
      </c>
      <c r="F166" s="985">
        <f>F158</f>
        <v>558</v>
      </c>
      <c r="G166" s="1007">
        <v>1</v>
      </c>
      <c r="H166" s="991" t="s">
        <v>560</v>
      </c>
      <c r="I166" s="986">
        <f>IF(G166="",D166*F166,(D166*F166/G166))</f>
        <v>111.60000000000001</v>
      </c>
    </row>
    <row r="167" spans="1:9" ht="12.75" customHeight="1">
      <c r="A167" s="1217"/>
      <c r="B167" s="984"/>
      <c r="C167" s="1009" t="s">
        <v>539</v>
      </c>
      <c r="D167" s="1007"/>
      <c r="E167" s="1008"/>
      <c r="F167" s="985"/>
      <c r="G167" s="1007"/>
      <c r="H167" s="985"/>
      <c r="I167" s="1010">
        <f>SUM(I163:I166)</f>
        <v>4011.2159999999994</v>
      </c>
    </row>
    <row r="168" spans="1:9" ht="12.75" customHeight="1">
      <c r="A168" s="1217"/>
      <c r="B168" s="984"/>
      <c r="C168" s="1009"/>
      <c r="D168" s="1007"/>
      <c r="E168" s="1008"/>
      <c r="F168" s="985"/>
      <c r="G168" s="1007"/>
      <c r="H168" s="985"/>
      <c r="I168" s="985"/>
    </row>
    <row r="169" spans="1:9" ht="12.75" customHeight="1">
      <c r="A169" s="1003"/>
      <c r="B169" s="1004"/>
      <c r="C169" s="1220" t="s">
        <v>474</v>
      </c>
      <c r="D169" s="1007"/>
      <c r="E169" s="1006"/>
      <c r="F169" s="985"/>
      <c r="G169" s="1007"/>
      <c r="H169" s="1005"/>
      <c r="I169" s="1005"/>
    </row>
    <row r="170" spans="1:9" ht="12.75" customHeight="1">
      <c r="A170" s="1003"/>
      <c r="B170" s="1004"/>
      <c r="C170" s="1220" t="s">
        <v>557</v>
      </c>
    </row>
    <row r="171" spans="1:9" ht="12.75" customHeight="1">
      <c r="A171" s="1003"/>
      <c r="B171" s="1003"/>
      <c r="C171" s="1212" t="s">
        <v>537</v>
      </c>
      <c r="D171" s="1005">
        <v>1.05</v>
      </c>
      <c r="E171" s="1006" t="s">
        <v>465</v>
      </c>
      <c r="F171" s="985">
        <f>F163</f>
        <v>437.11999999999983</v>
      </c>
      <c r="G171" s="1007">
        <v>1</v>
      </c>
      <c r="H171" s="991" t="str">
        <f>IF(E171="","",IF(E171="No.","Each",IF(E171="Nos.","Each",E171)))</f>
        <v>Cum</v>
      </c>
      <c r="I171" s="986">
        <f>IF(G171="",D171*F171,(D171*F171/G171))</f>
        <v>458.97599999999983</v>
      </c>
    </row>
    <row r="172" spans="1:9" ht="12.75" customHeight="1">
      <c r="A172" s="1003"/>
      <c r="B172" s="1003"/>
      <c r="C172" s="1212" t="s">
        <v>538</v>
      </c>
      <c r="D172" s="1007">
        <v>360</v>
      </c>
      <c r="E172" s="1008" t="s">
        <v>364</v>
      </c>
      <c r="F172" s="985">
        <f>F164</f>
        <v>7168</v>
      </c>
      <c r="G172" s="1007">
        <v>1000</v>
      </c>
      <c r="H172" s="991" t="str">
        <f>IF(E172="","",IF(E172="No.","Each",IF(E172="Nos.","Each",E172)))</f>
        <v>Kgs</v>
      </c>
      <c r="I172" s="986">
        <f>IF(G172="",D172*F172,(D172*F172/G172))</f>
        <v>2580.48</v>
      </c>
    </row>
    <row r="173" spans="1:9" ht="12.75" customHeight="1">
      <c r="A173" s="1003"/>
      <c r="B173" s="1003"/>
      <c r="C173" s="1212" t="s">
        <v>558</v>
      </c>
      <c r="D173" s="1007"/>
      <c r="E173" s="1008"/>
      <c r="F173" s="985"/>
      <c r="G173" s="1007"/>
      <c r="H173" s="991"/>
      <c r="I173" s="986"/>
    </row>
    <row r="174" spans="1:9" ht="12.75" customHeight="1">
      <c r="A174" s="1003"/>
      <c r="B174" s="1003"/>
      <c r="C174" s="1212" t="s">
        <v>559</v>
      </c>
      <c r="D174" s="985">
        <v>0.2</v>
      </c>
      <c r="E174" s="1008" t="s">
        <v>327</v>
      </c>
      <c r="F174" s="985">
        <f>F166</f>
        <v>558</v>
      </c>
      <c r="G174" s="1007">
        <v>1</v>
      </c>
      <c r="H174" s="991" t="s">
        <v>560</v>
      </c>
      <c r="I174" s="986">
        <f>IF(G174="",D174*F174,(D174*F174/G174))</f>
        <v>111.60000000000001</v>
      </c>
    </row>
    <row r="175" spans="1:9" ht="12.75" customHeight="1">
      <c r="A175" s="1217"/>
      <c r="B175" s="984"/>
      <c r="C175" s="1009" t="s">
        <v>539</v>
      </c>
      <c r="D175" s="1007"/>
      <c r="E175" s="1008"/>
      <c r="F175" s="985"/>
      <c r="G175" s="1007"/>
      <c r="H175" s="985"/>
      <c r="I175" s="1010">
        <f>SUM(I171:I174)</f>
        <v>3151.0559999999996</v>
      </c>
    </row>
    <row r="176" spans="1:9" ht="12.75" customHeight="1">
      <c r="A176" s="1217"/>
      <c r="B176" s="984"/>
      <c r="C176" s="1009"/>
      <c r="D176" s="1007"/>
      <c r="E176" s="1008"/>
      <c r="F176" s="985"/>
      <c r="G176" s="1007"/>
      <c r="H176" s="985"/>
      <c r="I176" s="985"/>
    </row>
    <row r="177" spans="1:9" ht="12.75" customHeight="1">
      <c r="A177" s="1003"/>
      <c r="B177" s="1004"/>
      <c r="C177" s="1220" t="s">
        <v>475</v>
      </c>
      <c r="D177" s="1007"/>
      <c r="E177" s="1006"/>
      <c r="F177" s="985"/>
      <c r="G177" s="1007"/>
      <c r="H177" s="1005"/>
      <c r="I177" s="1005"/>
    </row>
    <row r="178" spans="1:9" ht="12.75" customHeight="1">
      <c r="A178" s="1003"/>
      <c r="B178" s="1004"/>
      <c r="C178" s="1220" t="s">
        <v>557</v>
      </c>
    </row>
    <row r="179" spans="1:9" ht="12.75" customHeight="1">
      <c r="A179" s="1003"/>
      <c r="B179" s="1003"/>
      <c r="C179" s="1212" t="s">
        <v>537</v>
      </c>
      <c r="D179" s="1005">
        <v>1.05</v>
      </c>
      <c r="E179" s="1006" t="s">
        <v>465</v>
      </c>
      <c r="F179" s="985">
        <f>F171</f>
        <v>437.11999999999983</v>
      </c>
      <c r="G179" s="1007">
        <v>1</v>
      </c>
      <c r="H179" s="991" t="str">
        <f>IF(E179="","",IF(E179="No.","Each",IF(E179="Nos.","Each",E179)))</f>
        <v>Cum</v>
      </c>
      <c r="I179" s="986">
        <f>IF(G179="",D179*F179,(D179*F179/G179))</f>
        <v>458.97599999999983</v>
      </c>
    </row>
    <row r="180" spans="1:9" ht="12.75" customHeight="1">
      <c r="A180" s="1003"/>
      <c r="B180" s="1003"/>
      <c r="C180" s="1212" t="s">
        <v>538</v>
      </c>
      <c r="D180" s="1007">
        <v>288</v>
      </c>
      <c r="E180" s="1008" t="s">
        <v>364</v>
      </c>
      <c r="F180" s="985">
        <f>F172</f>
        <v>7168</v>
      </c>
      <c r="G180" s="1007">
        <v>1000</v>
      </c>
      <c r="H180" s="991" t="str">
        <f>IF(E180="","",IF(E180="No.","Each",IF(E180="Nos.","Each",E180)))</f>
        <v>Kgs</v>
      </c>
      <c r="I180" s="986">
        <f>IF(G180="",D180*F180,(D180*F180/G180))</f>
        <v>2064.384</v>
      </c>
    </row>
    <row r="181" spans="1:9" ht="12.75" customHeight="1">
      <c r="A181" s="1003"/>
      <c r="B181" s="1003"/>
      <c r="C181" s="1212" t="s">
        <v>558</v>
      </c>
      <c r="D181" s="1007"/>
      <c r="E181" s="1008"/>
      <c r="F181" s="985"/>
      <c r="G181" s="1007"/>
      <c r="H181" s="991"/>
      <c r="I181" s="986"/>
    </row>
    <row r="182" spans="1:9" ht="12.75" customHeight="1">
      <c r="A182" s="1003"/>
      <c r="B182" s="1003"/>
      <c r="C182" s="1212" t="s">
        <v>559</v>
      </c>
      <c r="D182" s="985">
        <v>0.2</v>
      </c>
      <c r="E182" s="1008" t="s">
        <v>327</v>
      </c>
      <c r="F182" s="985">
        <f>F174</f>
        <v>558</v>
      </c>
      <c r="G182" s="1007">
        <v>1</v>
      </c>
      <c r="H182" s="991" t="s">
        <v>560</v>
      </c>
      <c r="I182" s="986">
        <f>IF(G182="",D182*F182,(D182*F182/G182))</f>
        <v>111.60000000000001</v>
      </c>
    </row>
    <row r="183" spans="1:9" ht="12.75" customHeight="1">
      <c r="A183" s="1217"/>
      <c r="B183" s="984"/>
      <c r="C183" s="1009" t="s">
        <v>539</v>
      </c>
      <c r="D183" s="1007"/>
      <c r="E183" s="1008"/>
      <c r="F183" s="985"/>
      <c r="G183" s="1007"/>
      <c r="H183" s="985"/>
      <c r="I183" s="1010">
        <f>SUM(I179:I182)</f>
        <v>2634.9599999999996</v>
      </c>
    </row>
    <row r="184" spans="1:9" ht="12.75" customHeight="1">
      <c r="A184" s="1217"/>
      <c r="B184" s="984"/>
      <c r="C184" s="1009"/>
      <c r="D184" s="1007"/>
      <c r="E184" s="1008"/>
      <c r="F184" s="985"/>
      <c r="G184" s="1007"/>
      <c r="H184" s="985"/>
      <c r="I184" s="985"/>
    </row>
    <row r="185" spans="1:9" ht="12.75" customHeight="1">
      <c r="A185" s="1003"/>
      <c r="B185" s="1004"/>
      <c r="C185" s="1220" t="s">
        <v>476</v>
      </c>
      <c r="D185" s="1007"/>
      <c r="E185" s="1006"/>
      <c r="F185" s="985"/>
      <c r="G185" s="1007"/>
      <c r="H185" s="1005"/>
      <c r="I185" s="1005"/>
    </row>
    <row r="186" spans="1:9" ht="12.75" customHeight="1">
      <c r="A186" s="1003"/>
      <c r="B186" s="1004"/>
      <c r="C186" s="1220" t="s">
        <v>557</v>
      </c>
    </row>
    <row r="187" spans="1:9" ht="12.75" customHeight="1">
      <c r="A187" s="1003"/>
      <c r="B187" s="1003"/>
      <c r="C187" s="1212" t="s">
        <v>537</v>
      </c>
      <c r="D187" s="1005">
        <v>1.05</v>
      </c>
      <c r="E187" s="1006" t="s">
        <v>465</v>
      </c>
      <c r="F187" s="985">
        <f>F179</f>
        <v>437.11999999999983</v>
      </c>
      <c r="G187" s="1007">
        <v>1</v>
      </c>
      <c r="H187" s="991" t="str">
        <f>IF(E187="","",IF(E187="No.","Each",IF(E187="Nos.","Each",E187)))</f>
        <v>Cum</v>
      </c>
      <c r="I187" s="986">
        <f>IF(G187="",D187*F187,(D187*F187/G187))</f>
        <v>458.97599999999983</v>
      </c>
    </row>
    <row r="188" spans="1:9" ht="12.75" customHeight="1">
      <c r="A188" s="1003"/>
      <c r="B188" s="1003"/>
      <c r="C188" s="1212" t="s">
        <v>538</v>
      </c>
      <c r="D188" s="1007">
        <v>240</v>
      </c>
      <c r="E188" s="1008" t="s">
        <v>364</v>
      </c>
      <c r="F188" s="985">
        <f>F180</f>
        <v>7168</v>
      </c>
      <c r="G188" s="1007">
        <v>1000</v>
      </c>
      <c r="H188" s="991" t="str">
        <f>IF(E188="","",IF(E188="No.","Each",IF(E188="Nos.","Each",E188)))</f>
        <v>Kgs</v>
      </c>
      <c r="I188" s="986">
        <f>IF(G188="",D188*F188,(D188*F188/G188))</f>
        <v>1720.32</v>
      </c>
    </row>
    <row r="189" spans="1:9" ht="12.75" customHeight="1">
      <c r="A189" s="1003"/>
      <c r="B189" s="1003"/>
      <c r="C189" s="1212" t="s">
        <v>558</v>
      </c>
      <c r="D189" s="1007"/>
      <c r="E189" s="1008"/>
      <c r="F189" s="985"/>
      <c r="G189" s="1007"/>
      <c r="H189" s="991"/>
      <c r="I189" s="986"/>
    </row>
    <row r="190" spans="1:9" ht="12.75" customHeight="1">
      <c r="A190" s="1003"/>
      <c r="B190" s="1003"/>
      <c r="C190" s="1212" t="s">
        <v>559</v>
      </c>
      <c r="D190" s="985">
        <v>0.2</v>
      </c>
      <c r="E190" s="1008" t="s">
        <v>327</v>
      </c>
      <c r="F190" s="985">
        <f>F174</f>
        <v>558</v>
      </c>
      <c r="G190" s="1007">
        <v>1</v>
      </c>
      <c r="H190" s="991" t="s">
        <v>560</v>
      </c>
      <c r="I190" s="986">
        <f>IF(G190="",D190*F190,(D190*F190/G190))</f>
        <v>111.60000000000001</v>
      </c>
    </row>
    <row r="191" spans="1:9" ht="12.75" customHeight="1">
      <c r="A191" s="1217"/>
      <c r="B191" s="984"/>
      <c r="C191" s="1009" t="s">
        <v>539</v>
      </c>
      <c r="D191" s="1007"/>
      <c r="E191" s="1008"/>
      <c r="F191" s="985"/>
      <c r="G191" s="1007"/>
      <c r="H191" s="985"/>
      <c r="I191" s="1010">
        <f>SUM(I187:I190)</f>
        <v>2290.8959999999997</v>
      </c>
    </row>
    <row r="192" spans="1:9" ht="12.75" customHeight="1">
      <c r="A192" s="1217"/>
      <c r="B192" s="984"/>
      <c r="C192" s="1009"/>
      <c r="D192" s="1007"/>
      <c r="E192" s="1008"/>
      <c r="F192" s="985"/>
      <c r="G192" s="1007"/>
      <c r="H192" s="985"/>
      <c r="I192" s="985"/>
    </row>
    <row r="193" spans="1:18" ht="12.75" customHeight="1">
      <c r="A193" s="1003"/>
      <c r="B193" s="1004"/>
      <c r="C193" s="1220" t="s">
        <v>477</v>
      </c>
      <c r="D193" s="1007"/>
      <c r="E193" s="1006"/>
      <c r="F193" s="985"/>
      <c r="G193" s="1007"/>
      <c r="H193" s="1005"/>
      <c r="I193" s="1005"/>
    </row>
    <row r="194" spans="1:18" ht="12.75" customHeight="1">
      <c r="A194" s="1003"/>
      <c r="B194" s="1004"/>
      <c r="C194" s="1220" t="s">
        <v>557</v>
      </c>
    </row>
    <row r="195" spans="1:18" ht="12.75" customHeight="1">
      <c r="A195" s="1003"/>
      <c r="B195" s="1003"/>
      <c r="C195" s="1212" t="s">
        <v>537</v>
      </c>
      <c r="D195" s="1005">
        <v>1.05</v>
      </c>
      <c r="E195" s="1006" t="s">
        <v>465</v>
      </c>
      <c r="F195" s="985">
        <f>F187</f>
        <v>437.11999999999983</v>
      </c>
      <c r="G195" s="1007">
        <v>1</v>
      </c>
      <c r="H195" s="991" t="str">
        <f>IF(E195="","",IF(E195="No.","Each",IF(E195="Nos.","Each",E195)))</f>
        <v>Cum</v>
      </c>
      <c r="I195" s="986">
        <f>IF(G195="",D195*F195,(D195*F195/G195))</f>
        <v>458.97599999999983</v>
      </c>
    </row>
    <row r="196" spans="1:18" ht="12.75" customHeight="1">
      <c r="A196" s="1003"/>
      <c r="B196" s="1003"/>
      <c r="C196" s="1212" t="s">
        <v>538</v>
      </c>
      <c r="D196" s="1007">
        <v>180</v>
      </c>
      <c r="E196" s="1008" t="s">
        <v>364</v>
      </c>
      <c r="F196" s="985">
        <f>F188</f>
        <v>7168</v>
      </c>
      <c r="G196" s="1007">
        <v>1000</v>
      </c>
      <c r="H196" s="991" t="str">
        <f>IF(E196="","",IF(E196="No.","Each",IF(E196="Nos.","Each",E196)))</f>
        <v>Kgs</v>
      </c>
      <c r="I196" s="986">
        <f>IF(G196="",D196*F196,(D196*F196/G196))</f>
        <v>1290.24</v>
      </c>
    </row>
    <row r="197" spans="1:18" ht="12.75" customHeight="1">
      <c r="A197" s="1003"/>
      <c r="B197" s="1003"/>
      <c r="C197" s="1212" t="s">
        <v>558</v>
      </c>
      <c r="D197" s="1007"/>
      <c r="E197" s="1008"/>
      <c r="F197" s="985"/>
      <c r="G197" s="1007"/>
      <c r="H197" s="991"/>
      <c r="I197" s="986"/>
    </row>
    <row r="198" spans="1:18" ht="12.75" customHeight="1">
      <c r="A198" s="1003"/>
      <c r="B198" s="1003"/>
      <c r="C198" s="1212" t="s">
        <v>559</v>
      </c>
      <c r="D198" s="985">
        <v>0.2</v>
      </c>
      <c r="E198" s="1008" t="s">
        <v>327</v>
      </c>
      <c r="F198" s="985">
        <f>F190</f>
        <v>558</v>
      </c>
      <c r="G198" s="1007">
        <v>1</v>
      </c>
      <c r="H198" s="991" t="s">
        <v>560</v>
      </c>
      <c r="I198" s="986">
        <f>IF(G198="",D198*F198,(D198*F198/G198))</f>
        <v>111.60000000000001</v>
      </c>
    </row>
    <row r="199" spans="1:18" ht="12.75" customHeight="1">
      <c r="A199" s="1217"/>
      <c r="B199" s="984"/>
      <c r="C199" s="1009" t="s">
        <v>539</v>
      </c>
      <c r="D199" s="1007"/>
      <c r="E199" s="1008"/>
      <c r="F199" s="985"/>
      <c r="G199" s="985"/>
      <c r="H199" s="985"/>
      <c r="I199" s="1010">
        <f>SUM(I195:I198)</f>
        <v>1860.8159999999998</v>
      </c>
    </row>
    <row r="200" spans="1:18" ht="25.5" customHeight="1">
      <c r="A200" s="1217"/>
      <c r="B200" s="984"/>
      <c r="C200" s="1221" t="s">
        <v>478</v>
      </c>
      <c r="D200" s="1007"/>
      <c r="E200" s="1008"/>
      <c r="F200" s="985"/>
      <c r="G200" s="985"/>
      <c r="H200" s="985"/>
      <c r="I200" s="1010"/>
    </row>
    <row r="201" spans="1:18" ht="12.75" customHeight="1">
      <c r="A201" s="1217"/>
      <c r="B201" s="984"/>
      <c r="C201" s="1009" t="s">
        <v>479</v>
      </c>
      <c r="D201" s="1005">
        <v>0.6</v>
      </c>
      <c r="E201" s="1006" t="s">
        <v>465</v>
      </c>
      <c r="F201" s="985">
        <f>LEAD!P16</f>
        <v>1703.9199999999998</v>
      </c>
      <c r="G201" s="1007">
        <v>1</v>
      </c>
      <c r="H201" s="991" t="str">
        <f>IF(E201="","",IF(E201="No.","Each",IF(E201="Nos.","Each",E201)))</f>
        <v>Cum</v>
      </c>
      <c r="I201" s="986">
        <f>IF(G201="",D201*F201,(D201*F201/G201))</f>
        <v>1022.3519999999999</v>
      </c>
    </row>
    <row r="202" spans="1:18" ht="12.75" customHeight="1">
      <c r="A202" s="1217"/>
      <c r="B202" s="984"/>
      <c r="C202" s="1009" t="s">
        <v>480</v>
      </c>
      <c r="D202" s="985">
        <v>0.15</v>
      </c>
      <c r="E202" s="1006" t="s">
        <v>465</v>
      </c>
      <c r="F202" s="985">
        <f>LEAD!P17</f>
        <v>1592.6699999999998</v>
      </c>
      <c r="G202" s="1007">
        <v>1</v>
      </c>
      <c r="H202" s="991" t="str">
        <f>IF(E202="","",IF(E202="No.","Each",IF(E202="Nos.","Each",E202)))</f>
        <v>Cum</v>
      </c>
      <c r="I202" s="986">
        <f>IF(G202="",D202*F202,(D202*F202/G202))</f>
        <v>238.90049999999997</v>
      </c>
    </row>
    <row r="203" spans="1:18" ht="12.75" customHeight="1">
      <c r="A203" s="1217"/>
      <c r="B203" s="984"/>
      <c r="C203" s="1009" t="s">
        <v>481</v>
      </c>
      <c r="D203" s="985">
        <v>0.15</v>
      </c>
      <c r="E203" s="1006" t="s">
        <v>465</v>
      </c>
      <c r="F203" s="985">
        <f>LEAD!P18</f>
        <v>1437.6699999999998</v>
      </c>
      <c r="G203" s="1007">
        <v>1</v>
      </c>
      <c r="H203" s="991" t="str">
        <f>IF(E203="","",IF(E203="No.","Each",IF(E203="Nos.","Each",E203)))</f>
        <v>Cum</v>
      </c>
      <c r="I203" s="986">
        <f>IF(G203="",D203*F203,(D203*F203/G203))</f>
        <v>215.65049999999997</v>
      </c>
    </row>
    <row r="204" spans="1:18" ht="12.75" customHeight="1">
      <c r="A204" s="1217"/>
      <c r="B204" s="984"/>
      <c r="C204" s="1009" t="s">
        <v>482</v>
      </c>
      <c r="D204" s="985">
        <v>0.1</v>
      </c>
      <c r="E204" s="1006" t="s">
        <v>465</v>
      </c>
      <c r="F204" s="985">
        <f>LEAD!P19</f>
        <v>1247.6699999999998</v>
      </c>
      <c r="G204" s="1007">
        <v>1</v>
      </c>
      <c r="H204" s="991" t="str">
        <f>IF(E204="","",IF(E204="No.","Each",IF(E204="Nos.","Each",E204)))</f>
        <v>Cum</v>
      </c>
      <c r="I204" s="986">
        <f>IF(G204="",D204*F204,(D204*F204/G204))</f>
        <v>124.767</v>
      </c>
    </row>
    <row r="205" spans="1:18" ht="12.75" customHeight="1">
      <c r="A205" s="1217"/>
      <c r="B205" s="984"/>
      <c r="C205" s="1009" t="s">
        <v>483</v>
      </c>
      <c r="D205" s="985"/>
      <c r="E205" s="1006"/>
      <c r="F205" s="985"/>
      <c r="G205" s="1007"/>
      <c r="H205" s="1011" t="s">
        <v>466</v>
      </c>
      <c r="I205" s="1012">
        <f>SUM(I201:I204)</f>
        <v>1601.6699999999998</v>
      </c>
    </row>
    <row r="206" spans="1:18" ht="12.75" customHeight="1">
      <c r="A206" s="1217"/>
      <c r="B206" s="984"/>
      <c r="C206" s="1009"/>
      <c r="D206" s="1508" t="s">
        <v>206</v>
      </c>
      <c r="E206" s="1508"/>
      <c r="F206" s="1508"/>
      <c r="G206" s="1508"/>
      <c r="H206" s="1011"/>
      <c r="I206" s="1012"/>
    </row>
    <row r="207" spans="1:18" s="1016" customFormat="1" ht="25.5" customHeight="1">
      <c r="A207" s="1222"/>
      <c r="B207" s="1222" t="s">
        <v>207</v>
      </c>
      <c r="C207" s="1227" t="s">
        <v>208</v>
      </c>
      <c r="D207" s="1224" t="s">
        <v>212</v>
      </c>
      <c r="E207" s="1227" t="s">
        <v>209</v>
      </c>
      <c r="F207" s="1013" t="s">
        <v>210</v>
      </c>
      <c r="G207" s="1014" t="s">
        <v>211</v>
      </c>
      <c r="H207" s="1015" t="s">
        <v>513</v>
      </c>
      <c r="I207" s="1012"/>
      <c r="J207" s="1224"/>
      <c r="K207" s="1224"/>
      <c r="L207" s="1224"/>
      <c r="M207" s="1224"/>
      <c r="N207" s="1224"/>
      <c r="O207" s="1224"/>
      <c r="P207" s="1224"/>
      <c r="Q207" s="1224"/>
      <c r="R207" s="1224"/>
    </row>
    <row r="208" spans="1:18" ht="12.75" customHeight="1">
      <c r="A208" s="1217"/>
      <c r="B208" s="984">
        <v>1</v>
      </c>
      <c r="C208" s="792" t="s">
        <v>691</v>
      </c>
      <c r="D208" s="979" t="s">
        <v>692</v>
      </c>
      <c r="E208" s="985">
        <v>55.6</v>
      </c>
      <c r="F208" s="985">
        <v>93.3</v>
      </c>
      <c r="G208" s="985">
        <v>271.7</v>
      </c>
      <c r="H208" s="985">
        <f>E208+F208+G208</f>
        <v>420.6</v>
      </c>
      <c r="I208" s="1012"/>
    </row>
    <row r="209" spans="1:13" ht="12.75" customHeight="1">
      <c r="A209" s="1217"/>
      <c r="B209" s="984">
        <v>2</v>
      </c>
      <c r="C209" s="792" t="s">
        <v>321</v>
      </c>
      <c r="D209" s="979" t="s">
        <v>692</v>
      </c>
      <c r="E209" s="985">
        <v>109.2</v>
      </c>
      <c r="F209" s="985">
        <v>134.30000000000001</v>
      </c>
      <c r="G209" s="985">
        <v>406.1</v>
      </c>
      <c r="H209" s="985">
        <f>E209+F209+G209</f>
        <v>649.6</v>
      </c>
      <c r="I209" s="1012"/>
    </row>
    <row r="210" spans="1:13" ht="12.75" customHeight="1">
      <c r="A210" s="1217"/>
      <c r="B210" s="984">
        <v>3</v>
      </c>
      <c r="C210" s="792" t="s">
        <v>322</v>
      </c>
      <c r="D210" s="979" t="s">
        <v>692</v>
      </c>
      <c r="E210" s="985">
        <v>5.8</v>
      </c>
      <c r="F210" s="985">
        <v>20.3</v>
      </c>
      <c r="G210" s="985">
        <v>195.6</v>
      </c>
      <c r="H210" s="985">
        <f>E210+F210+G210</f>
        <v>221.7</v>
      </c>
      <c r="I210" s="1012"/>
    </row>
    <row r="211" spans="1:13" ht="12.75" customHeight="1">
      <c r="A211" s="1217"/>
      <c r="B211" s="984"/>
      <c r="C211" s="1009"/>
      <c r="E211" s="985"/>
      <c r="F211" s="1008"/>
      <c r="G211" s="985"/>
      <c r="H211" s="985">
        <f>SUM(H208:H210)</f>
        <v>1291.9000000000001</v>
      </c>
      <c r="I211" s="1012"/>
    </row>
    <row r="212" spans="1:13" ht="45" customHeight="1">
      <c r="A212" s="990" t="s">
        <v>463</v>
      </c>
      <c r="B212" s="990"/>
      <c r="C212" s="1017" t="s">
        <v>563</v>
      </c>
      <c r="D212" s="1018" t="s">
        <v>464</v>
      </c>
      <c r="E212" s="1018"/>
      <c r="F212" s="990" t="s">
        <v>699</v>
      </c>
      <c r="G212" s="1217" t="s">
        <v>484</v>
      </c>
      <c r="H212" s="990"/>
      <c r="I212" s="990" t="s">
        <v>360</v>
      </c>
    </row>
    <row r="213" spans="1:13" ht="83.25" customHeight="1">
      <c r="A213" s="1019">
        <v>1</v>
      </c>
      <c r="B213" s="1020"/>
      <c r="C213" s="1504" t="s">
        <v>2398</v>
      </c>
      <c r="D213" s="1504"/>
      <c r="E213" s="1504"/>
      <c r="F213" s="1504"/>
      <c r="G213" s="1504"/>
      <c r="H213" s="1504"/>
      <c r="I213" s="1504"/>
    </row>
    <row r="214" spans="1:13">
      <c r="A214" s="1019"/>
      <c r="B214" s="1020"/>
      <c r="C214" s="1212" t="s">
        <v>559</v>
      </c>
      <c r="D214" s="1021">
        <v>0.36399999999999999</v>
      </c>
      <c r="E214" s="1022" t="s">
        <v>327</v>
      </c>
      <c r="F214" s="985">
        <f>$F$22</f>
        <v>558</v>
      </c>
      <c r="G214" s="1023">
        <v>1</v>
      </c>
      <c r="H214" s="991" t="s">
        <v>560</v>
      </c>
      <c r="I214" s="986">
        <f>IF(G214="",D214*F214,(D214*F214/G214))</f>
        <v>203.11199999999999</v>
      </c>
    </row>
    <row r="215" spans="1:13">
      <c r="A215" s="1019"/>
      <c r="B215" s="1020"/>
      <c r="C215" s="1212" t="s">
        <v>485</v>
      </c>
      <c r="D215" s="1005">
        <v>1</v>
      </c>
      <c r="E215" s="1008" t="s">
        <v>529</v>
      </c>
      <c r="F215" s="1154">
        <f>I214*75%</f>
        <v>152.334</v>
      </c>
      <c r="G215" s="1024">
        <v>1</v>
      </c>
      <c r="H215" s="991" t="str">
        <f>IF(E215="","",IF(E215="No.","Each",IF(E215="Nos.","Each",E215)))</f>
        <v>cu.m.</v>
      </c>
      <c r="I215" s="986">
        <f>IF(G215="",D215*F215,(D215*F215/G215))</f>
        <v>152.334</v>
      </c>
    </row>
    <row r="216" spans="1:13">
      <c r="A216" s="1019"/>
      <c r="B216" s="1020"/>
      <c r="C216" s="1212" t="s">
        <v>471</v>
      </c>
      <c r="D216" s="1021">
        <v>1</v>
      </c>
      <c r="E216" s="1022" t="s">
        <v>644</v>
      </c>
      <c r="F216" s="985">
        <v>0</v>
      </c>
      <c r="G216" s="1023">
        <v>1</v>
      </c>
      <c r="H216" s="991" t="str">
        <f>IF(E216="","",IF(E216="No.","Each",IF(E216="Nos.","Each",E216)))</f>
        <v>cum</v>
      </c>
      <c r="I216" s="986">
        <f>IF(G216="",D216*F216,(D216*F216/G216))</f>
        <v>0</v>
      </c>
    </row>
    <row r="217" spans="1:13">
      <c r="A217" s="1019"/>
      <c r="B217" s="1020"/>
      <c r="C217" s="1220" t="s">
        <v>1014</v>
      </c>
      <c r="D217" s="1010">
        <f>I214+I215+I216</f>
        <v>355.44600000000003</v>
      </c>
      <c r="E217" s="1025" t="s">
        <v>529</v>
      </c>
      <c r="F217" s="1026">
        <f>$D$3</f>
        <v>0</v>
      </c>
      <c r="G217" s="1027">
        <v>1</v>
      </c>
      <c r="H217" s="1011" t="s">
        <v>529</v>
      </c>
      <c r="I217" s="1012">
        <f>IF(G217="",D217*F217,(D217*F217/G217))</f>
        <v>0</v>
      </c>
    </row>
    <row r="218" spans="1:13">
      <c r="A218" s="1019"/>
      <c r="B218" s="1020"/>
      <c r="C218" s="1009" t="s">
        <v>483</v>
      </c>
      <c r="D218" s="1005"/>
      <c r="E218" s="1008"/>
      <c r="F218" s="985"/>
      <c r="G218" s="1024"/>
      <c r="H218" s="994" t="s">
        <v>466</v>
      </c>
      <c r="I218" s="1010">
        <f>CEILING(SUM(I214:I217),0.05)</f>
        <v>355.45000000000005</v>
      </c>
      <c r="M218" s="1224"/>
    </row>
    <row r="219" spans="1:13" ht="23.25" customHeight="1">
      <c r="A219" s="1019"/>
      <c r="B219" s="1020"/>
      <c r="C219" s="1009"/>
      <c r="D219" s="1005"/>
      <c r="E219" s="1008"/>
      <c r="F219" s="985"/>
      <c r="G219" s="1024"/>
      <c r="H219" s="994"/>
      <c r="I219" s="1010"/>
      <c r="M219" s="1224"/>
    </row>
    <row r="220" spans="1:13" ht="12.75" customHeight="1">
      <c r="A220" s="1019">
        <f>A213+1</f>
        <v>2</v>
      </c>
      <c r="B220" s="1020"/>
      <c r="C220" s="1505" t="s">
        <v>2286</v>
      </c>
      <c r="D220" s="1505"/>
      <c r="E220" s="1505"/>
      <c r="F220" s="1505"/>
      <c r="G220" s="1505"/>
      <c r="H220" s="1505"/>
      <c r="I220" s="1505"/>
    </row>
    <row r="221" spans="1:13" ht="12.75" customHeight="1">
      <c r="A221" s="1019"/>
      <c r="B221" s="1020"/>
      <c r="C221" s="1212" t="s">
        <v>559</v>
      </c>
      <c r="D221" s="1021">
        <v>0.36399999999999999</v>
      </c>
      <c r="E221" s="1022" t="s">
        <v>658</v>
      </c>
      <c r="F221" s="985">
        <f>$F$22</f>
        <v>558</v>
      </c>
      <c r="G221" s="1023">
        <v>1</v>
      </c>
      <c r="H221" s="991" t="str">
        <f>IF(E221="","",IF(E221="No.","Each",IF(E221="Nos.","Each",E221)))</f>
        <v>nos</v>
      </c>
      <c r="I221" s="986">
        <f>IF(G221="",D221*F221,(D221*F221/G221))</f>
        <v>203.11199999999999</v>
      </c>
    </row>
    <row r="222" spans="1:13" ht="12.75" customHeight="1">
      <c r="A222" s="1019"/>
      <c r="B222" s="1020"/>
      <c r="C222" s="1212" t="s">
        <v>471</v>
      </c>
      <c r="D222" s="1021">
        <v>1</v>
      </c>
      <c r="E222" s="1022" t="s">
        <v>644</v>
      </c>
      <c r="F222" s="985">
        <v>0</v>
      </c>
      <c r="G222" s="1023">
        <v>1</v>
      </c>
      <c r="H222" s="991" t="str">
        <f>IF(E222="","",IF(E222="No.","Each",IF(E222="Nos.","Each",E222)))</f>
        <v>cum</v>
      </c>
      <c r="I222" s="986">
        <f>IF(G222="",D222*F222,(D222*F222/G222))</f>
        <v>0</v>
      </c>
    </row>
    <row r="223" spans="1:13" ht="12.75" customHeight="1">
      <c r="A223" s="1019"/>
      <c r="B223" s="1020"/>
      <c r="C223" s="1212"/>
      <c r="D223" s="1021"/>
      <c r="E223" s="1022"/>
      <c r="F223" s="985"/>
      <c r="G223" s="1023"/>
      <c r="H223" s="991"/>
      <c r="I223" s="986">
        <f>SUM(I221:I222)</f>
        <v>203.11199999999999</v>
      </c>
    </row>
    <row r="224" spans="1:13" ht="12.75" customHeight="1">
      <c r="A224" s="1019"/>
      <c r="B224" s="1020"/>
      <c r="C224" s="1220" t="s">
        <v>1014</v>
      </c>
      <c r="D224" s="1010">
        <f>I223</f>
        <v>203.11199999999999</v>
      </c>
      <c r="E224" s="1025"/>
      <c r="F224" s="1026">
        <f>$D$3</f>
        <v>0</v>
      </c>
      <c r="G224" s="1027">
        <v>1</v>
      </c>
      <c r="H224" s="1011"/>
      <c r="I224" s="1012">
        <f>IF(G224="",D224*F224,(D224*F224/G224))</f>
        <v>0</v>
      </c>
    </row>
    <row r="225" spans="1:18" ht="12.75" customHeight="1">
      <c r="A225" s="1019"/>
      <c r="B225" s="1020"/>
      <c r="C225" s="1009" t="s">
        <v>483</v>
      </c>
      <c r="D225" s="1005"/>
      <c r="E225" s="1008"/>
      <c r="F225" s="985"/>
      <c r="G225" s="1024"/>
      <c r="H225" s="994" t="s">
        <v>466</v>
      </c>
      <c r="I225" s="1010">
        <f>CEILING(SUM(I223:I224),0.05)</f>
        <v>203.15</v>
      </c>
    </row>
    <row r="226" spans="1:18" ht="12.75" customHeight="1">
      <c r="A226" s="1019">
        <f>+A220+1</f>
        <v>3</v>
      </c>
      <c r="B226" s="1020"/>
      <c r="C226" s="1503" t="s">
        <v>2287</v>
      </c>
      <c r="D226" s="1503"/>
      <c r="E226" s="1503"/>
      <c r="F226" s="1503"/>
      <c r="G226" s="1503"/>
      <c r="H226" s="1503"/>
      <c r="I226" s="1503"/>
    </row>
    <row r="227" spans="1:18" s="1016" customFormat="1">
      <c r="A227" s="1028"/>
      <c r="B227" s="1029"/>
      <c r="C227" s="1030" t="s">
        <v>778</v>
      </c>
      <c r="D227" s="1031"/>
      <c r="E227" s="1031"/>
      <c r="F227" s="1032"/>
      <c r="G227" s="1033"/>
      <c r="H227" s="1034"/>
      <c r="I227" s="1032"/>
      <c r="J227" s="1031"/>
      <c r="K227" s="1031"/>
      <c r="L227" s="1031"/>
      <c r="M227" s="1031"/>
      <c r="N227" s="1031"/>
      <c r="O227" s="1031"/>
      <c r="P227" s="1031"/>
      <c r="Q227" s="1031"/>
      <c r="R227" s="1031"/>
    </row>
    <row r="228" spans="1:18" s="1016" customFormat="1">
      <c r="A228" s="1028"/>
      <c r="B228" s="1029"/>
      <c r="C228" s="1506" t="s">
        <v>779</v>
      </c>
      <c r="D228" s="1506"/>
      <c r="E228" s="1506"/>
      <c r="F228" s="1032"/>
      <c r="G228" s="1033"/>
      <c r="H228" s="1034"/>
      <c r="I228" s="1032"/>
      <c r="J228" s="1031"/>
      <c r="K228" s="1031"/>
      <c r="L228" s="1031"/>
      <c r="M228" s="1031"/>
      <c r="N228" s="1031"/>
      <c r="O228" s="1031"/>
      <c r="P228" s="1031"/>
      <c r="Q228" s="1031"/>
      <c r="R228" s="1031"/>
    </row>
    <row r="229" spans="1:18" s="1016" customFormat="1">
      <c r="A229" s="1028"/>
      <c r="B229" s="1029"/>
      <c r="C229" s="1035" t="s">
        <v>780</v>
      </c>
      <c r="D229" s="1036"/>
      <c r="E229" s="1037"/>
      <c r="F229" s="1036"/>
      <c r="G229" s="1038"/>
      <c r="H229" s="1034" t="str">
        <f>IF(E229="","",IF(E229="No.","Each",IF(E229="Nos.","Each",E229)))</f>
        <v/>
      </c>
      <c r="I229" s="1032"/>
      <c r="J229" s="1031"/>
      <c r="K229" s="1031"/>
      <c r="L229" s="1031"/>
      <c r="M229" s="1031"/>
      <c r="N229" s="1031"/>
      <c r="O229" s="1031"/>
      <c r="P229" s="1031"/>
      <c r="Q229" s="1031"/>
      <c r="R229" s="1031"/>
    </row>
    <row r="230" spans="1:18" s="1016" customFormat="1">
      <c r="A230" s="1028"/>
      <c r="B230" s="1029"/>
      <c r="C230" s="902" t="s">
        <v>781</v>
      </c>
      <c r="D230" s="1039">
        <v>240</v>
      </c>
      <c r="E230" s="1040" t="s">
        <v>644</v>
      </c>
      <c r="F230" s="1032"/>
      <c r="G230" s="1041"/>
      <c r="H230" s="1216"/>
      <c r="I230" s="1032"/>
      <c r="J230" s="1031"/>
      <c r="K230" s="1031"/>
      <c r="L230" s="1031"/>
      <c r="M230" s="1031"/>
      <c r="N230" s="1031"/>
      <c r="O230" s="1031"/>
      <c r="P230" s="1031"/>
      <c r="Q230" s="1031"/>
      <c r="R230" s="1031"/>
    </row>
    <row r="231" spans="1:18" s="1016" customFormat="1">
      <c r="A231" s="1028"/>
      <c r="B231" s="1029"/>
      <c r="C231" s="642" t="s">
        <v>782</v>
      </c>
      <c r="D231" s="1036"/>
      <c r="E231" s="1037"/>
      <c r="F231" s="1036"/>
      <c r="G231" s="1038"/>
      <c r="H231" s="1042"/>
      <c r="I231" s="1039"/>
      <c r="J231" s="1031"/>
      <c r="K231" s="1031"/>
      <c r="L231" s="1031"/>
      <c r="M231" s="1031"/>
      <c r="N231" s="1031"/>
      <c r="O231" s="1031"/>
      <c r="P231" s="1031"/>
      <c r="Q231" s="1031"/>
      <c r="R231" s="1031"/>
    </row>
    <row r="232" spans="1:18" s="1016" customFormat="1">
      <c r="A232" s="1028"/>
      <c r="B232" s="1029"/>
      <c r="C232" s="1035" t="s">
        <v>783</v>
      </c>
      <c r="D232" s="1036">
        <v>8.32</v>
      </c>
      <c r="E232" s="1037" t="s">
        <v>499</v>
      </c>
      <c r="F232" s="985">
        <f>$F$22</f>
        <v>558</v>
      </c>
      <c r="G232" s="1038">
        <v>1</v>
      </c>
      <c r="H232" s="1037" t="s">
        <v>643</v>
      </c>
      <c r="I232" s="1032">
        <f>IF(G232="",D232*F232,(D232*F232/G232))</f>
        <v>4642.5600000000004</v>
      </c>
      <c r="J232" s="1031"/>
      <c r="K232" s="1031"/>
      <c r="L232" s="1031"/>
      <c r="M232" s="1031"/>
      <c r="N232" s="1031"/>
      <c r="O232" s="1031"/>
      <c r="P232" s="1031"/>
      <c r="Q232" s="1031"/>
      <c r="R232" s="1031"/>
    </row>
    <row r="233" spans="1:18" s="1016" customFormat="1">
      <c r="A233" s="1028"/>
      <c r="B233" s="1029"/>
      <c r="C233" s="1035" t="s">
        <v>784</v>
      </c>
      <c r="D233" s="1036"/>
      <c r="E233" s="1037"/>
      <c r="F233" s="1036"/>
      <c r="G233" s="1038"/>
      <c r="H233" s="1037"/>
      <c r="I233" s="1032"/>
      <c r="J233" s="1031"/>
      <c r="K233" s="1031"/>
      <c r="L233" s="1031"/>
      <c r="M233" s="1031"/>
      <c r="N233" s="1031"/>
      <c r="O233" s="1031"/>
      <c r="P233" s="1031"/>
      <c r="Q233" s="1031"/>
      <c r="R233" s="1031"/>
    </row>
    <row r="234" spans="1:18" s="1016" customFormat="1">
      <c r="A234" s="1028"/>
      <c r="B234" s="1029"/>
      <c r="C234" s="1031" t="s">
        <v>785</v>
      </c>
      <c r="D234" s="1036">
        <v>6</v>
      </c>
      <c r="E234" s="1037" t="s">
        <v>786</v>
      </c>
      <c r="F234" s="1036">
        <f>2933.2-F235</f>
        <v>2649.7999999999997</v>
      </c>
      <c r="G234" s="1038">
        <v>1</v>
      </c>
      <c r="H234" s="1037" t="s">
        <v>692</v>
      </c>
      <c r="I234" s="1032">
        <f>IF(G234="",D234*F234,(D234*F234/G234))</f>
        <v>15898.8</v>
      </c>
      <c r="J234" s="1031"/>
      <c r="K234" s="1031"/>
      <c r="L234" s="1031"/>
      <c r="M234" s="1031"/>
      <c r="N234" s="1031"/>
      <c r="O234" s="1031"/>
      <c r="P234" s="1031"/>
      <c r="Q234" s="1031"/>
      <c r="R234" s="1031"/>
    </row>
    <row r="235" spans="1:18" s="1016" customFormat="1">
      <c r="A235" s="1028"/>
      <c r="B235" s="1029"/>
      <c r="C235" s="1035" t="s">
        <v>787</v>
      </c>
      <c r="D235" s="1036">
        <v>6</v>
      </c>
      <c r="E235" s="1037" t="s">
        <v>786</v>
      </c>
      <c r="F235" s="1036">
        <v>283.39999999999998</v>
      </c>
      <c r="G235" s="1038">
        <v>1</v>
      </c>
      <c r="H235" s="1037" t="s">
        <v>692</v>
      </c>
      <c r="I235" s="1032">
        <f>IF(G235="",D235*F235,(D235*F235/G235))</f>
        <v>1700.3999999999999</v>
      </c>
      <c r="J235" s="1031"/>
      <c r="K235" s="1031"/>
      <c r="L235" s="1031"/>
      <c r="M235" s="1031"/>
      <c r="N235" s="1031"/>
      <c r="O235" s="1031"/>
      <c r="P235" s="1031"/>
      <c r="Q235" s="1031"/>
      <c r="R235" s="1031"/>
    </row>
    <row r="236" spans="1:18" s="1016" customFormat="1">
      <c r="A236" s="1028"/>
      <c r="B236" s="1029"/>
      <c r="C236" s="1035" t="s">
        <v>788</v>
      </c>
      <c r="D236" s="1036">
        <f>E5</f>
        <v>0.2</v>
      </c>
      <c r="E236" s="1037"/>
      <c r="F236" s="1036">
        <f>F235</f>
        <v>283.39999999999998</v>
      </c>
      <c r="G236" s="1038"/>
      <c r="H236" s="1037"/>
      <c r="I236" s="1032">
        <f>IF(G236="",D236*F236,(D236*F236/G236))</f>
        <v>56.68</v>
      </c>
      <c r="J236" s="1031"/>
      <c r="K236" s="1031"/>
      <c r="L236" s="1031"/>
      <c r="M236" s="1031"/>
      <c r="N236" s="1031"/>
      <c r="O236" s="1031"/>
      <c r="P236" s="1031"/>
      <c r="Q236" s="1031"/>
      <c r="R236" s="1031"/>
    </row>
    <row r="237" spans="1:18" s="1016" customFormat="1">
      <c r="A237" s="1028"/>
      <c r="B237" s="1029"/>
      <c r="C237" s="1035"/>
      <c r="D237" s="1036"/>
      <c r="E237" s="1037"/>
      <c r="F237" s="1036"/>
      <c r="G237" s="1036"/>
      <c r="H237" s="1037"/>
      <c r="I237" s="1032">
        <f>SUM(I232:I236)</f>
        <v>22298.440000000002</v>
      </c>
      <c r="J237" s="1031"/>
      <c r="K237" s="1031"/>
      <c r="L237" s="1031"/>
      <c r="M237" s="1031"/>
      <c r="N237" s="1031"/>
      <c r="O237" s="1031"/>
      <c r="P237" s="1031"/>
      <c r="Q237" s="1031"/>
      <c r="R237" s="1031"/>
    </row>
    <row r="238" spans="1:18" s="1016" customFormat="1" ht="12.75" customHeight="1">
      <c r="A238" s="1028"/>
      <c r="B238" s="1029"/>
      <c r="C238" s="1220" t="s">
        <v>1014</v>
      </c>
      <c r="D238" s="1043">
        <f>F224</f>
        <v>0</v>
      </c>
      <c r="E238" s="1037"/>
      <c r="F238" s="1036">
        <f>I237</f>
        <v>22298.440000000002</v>
      </c>
      <c r="G238" s="1038"/>
      <c r="H238" s="1042"/>
      <c r="I238" s="1032">
        <f>IF(G238="",D238*F238,(D238*F238/G238))</f>
        <v>0</v>
      </c>
      <c r="J238" s="1031"/>
      <c r="K238" s="1031"/>
      <c r="L238" s="1031"/>
      <c r="M238" s="1031"/>
      <c r="N238" s="1031"/>
      <c r="O238" s="1031"/>
      <c r="P238" s="1031"/>
      <c r="Q238" s="1031"/>
      <c r="R238" s="1031"/>
    </row>
    <row r="239" spans="1:18" s="1016" customFormat="1">
      <c r="A239" s="1028"/>
      <c r="B239" s="1029"/>
      <c r="C239" s="1035" t="s">
        <v>789</v>
      </c>
      <c r="D239" s="1036"/>
      <c r="E239" s="1037"/>
      <c r="F239" s="1036"/>
      <c r="G239" s="1038"/>
      <c r="H239" s="1042"/>
      <c r="I239" s="1036">
        <f>SUM(I237:I238)</f>
        <v>22298.440000000002</v>
      </c>
      <c r="J239" s="1031"/>
      <c r="K239" s="1031"/>
      <c r="L239" s="1031"/>
      <c r="M239" s="1031"/>
      <c r="N239" s="1031"/>
      <c r="O239" s="1031"/>
      <c r="P239" s="1031"/>
      <c r="Q239" s="1031"/>
      <c r="R239" s="1031"/>
    </row>
    <row r="240" spans="1:18" s="1016" customFormat="1">
      <c r="A240" s="1028"/>
      <c r="B240" s="1029"/>
      <c r="C240" s="1044" t="s">
        <v>2288</v>
      </c>
      <c r="D240" s="1036"/>
      <c r="E240" s="1037"/>
      <c r="F240" s="1036"/>
      <c r="G240" s="1038"/>
      <c r="H240" s="1042"/>
      <c r="I240" s="1039">
        <f>I239/D230</f>
        <v>92.910166666666683</v>
      </c>
      <c r="J240" s="1031"/>
      <c r="K240" s="1031"/>
      <c r="L240" s="1031"/>
      <c r="M240" s="1031"/>
      <c r="N240" s="1031"/>
      <c r="O240" s="1031"/>
      <c r="P240" s="1031"/>
      <c r="Q240" s="1031"/>
      <c r="R240" s="1031"/>
    </row>
    <row r="241" spans="1:18" s="1016" customFormat="1">
      <c r="A241" s="1028"/>
      <c r="B241" s="1029"/>
      <c r="C241" s="1044"/>
      <c r="D241" s="1036"/>
      <c r="E241" s="1037"/>
      <c r="F241" s="1036"/>
      <c r="G241" s="1038"/>
      <c r="H241" s="1045" t="s">
        <v>467</v>
      </c>
      <c r="I241" s="1039">
        <f>CEILING(I240,0.05)</f>
        <v>92.95</v>
      </c>
      <c r="J241" s="1031"/>
      <c r="K241" s="1031"/>
      <c r="L241" s="1031"/>
      <c r="M241" s="1031"/>
      <c r="N241" s="1031"/>
      <c r="O241" s="1031"/>
      <c r="P241" s="1031"/>
      <c r="Q241" s="1031"/>
      <c r="R241" s="1031"/>
    </row>
    <row r="242" spans="1:18" s="1016" customFormat="1">
      <c r="A242" s="1028"/>
      <c r="B242" s="1029"/>
      <c r="C242" s="1044"/>
      <c r="D242" s="1036"/>
      <c r="E242" s="1037"/>
      <c r="F242" s="1036"/>
      <c r="G242" s="1038"/>
      <c r="H242" s="1045"/>
      <c r="I242" s="1046"/>
      <c r="J242" s="1031"/>
      <c r="K242" s="1031"/>
      <c r="L242" s="1031"/>
      <c r="M242" s="1031"/>
      <c r="N242" s="1031"/>
      <c r="O242" s="1031"/>
      <c r="P242" s="1031"/>
      <c r="Q242" s="1031"/>
      <c r="R242" s="1031"/>
    </row>
    <row r="243" spans="1:18" ht="65.25" customHeight="1">
      <c r="A243" s="1019">
        <f>A220+1</f>
        <v>3</v>
      </c>
      <c r="B243" s="1020"/>
      <c r="C243" s="1504" t="s">
        <v>2399</v>
      </c>
      <c r="D243" s="1504"/>
      <c r="E243" s="1504"/>
      <c r="F243" s="1504"/>
      <c r="G243" s="1504"/>
      <c r="H243" s="1504"/>
      <c r="I243" s="1504"/>
    </row>
    <row r="244" spans="1:18">
      <c r="A244" s="1019"/>
      <c r="B244" s="1020"/>
      <c r="C244" s="1212" t="s">
        <v>559</v>
      </c>
      <c r="D244" s="1021">
        <v>5.1999999999999998E-2</v>
      </c>
      <c r="E244" s="1022" t="s">
        <v>327</v>
      </c>
      <c r="F244" s="985">
        <f>$F$22</f>
        <v>558</v>
      </c>
      <c r="G244" s="1023">
        <v>1</v>
      </c>
      <c r="H244" s="991" t="str">
        <f>IF(E244="","",IF(E244="No.","Each",IF(E244="Nos.","Each",E244)))</f>
        <v>Nos</v>
      </c>
      <c r="I244" s="986">
        <f>IF(G244="",D244*F244,(D244*F244/G244))</f>
        <v>29.015999999999998</v>
      </c>
    </row>
    <row r="245" spans="1:18">
      <c r="A245" s="1019"/>
      <c r="B245" s="1020"/>
      <c r="C245" s="1212" t="s">
        <v>420</v>
      </c>
      <c r="D245" s="1021">
        <f>0.72/6</f>
        <v>0.12</v>
      </c>
      <c r="E245" s="1022" t="s">
        <v>718</v>
      </c>
      <c r="F245" s="985">
        <f>LEAD!$P$27</f>
        <v>73</v>
      </c>
      <c r="G245" s="1023">
        <v>1</v>
      </c>
      <c r="H245" s="991" t="str">
        <f>IF(E245="","",IF(E245="No.","Each",IF(E245="Nos.","Each",E245)))</f>
        <v>Kl</v>
      </c>
      <c r="I245" s="986">
        <f>IF(G245="",D245*F245,(D245*F245/G245))</f>
        <v>8.76</v>
      </c>
    </row>
    <row r="246" spans="1:18">
      <c r="A246" s="1019"/>
      <c r="B246" s="1020"/>
      <c r="C246" s="1212"/>
      <c r="D246" s="1021"/>
      <c r="E246" s="1022"/>
      <c r="F246" s="985"/>
      <c r="G246" s="1023"/>
      <c r="H246" s="991"/>
      <c r="I246" s="986">
        <f>SUM(I244:I245)</f>
        <v>37.775999999999996</v>
      </c>
    </row>
    <row r="247" spans="1:18">
      <c r="A247" s="1019"/>
      <c r="B247" s="1020"/>
      <c r="C247" s="1220" t="s">
        <v>1014</v>
      </c>
      <c r="D247" s="1010">
        <f>I246</f>
        <v>37.775999999999996</v>
      </c>
      <c r="E247" s="1025"/>
      <c r="F247" s="1026">
        <f>$D$3</f>
        <v>0</v>
      </c>
      <c r="G247" s="1027">
        <v>1</v>
      </c>
      <c r="H247" s="1011"/>
      <c r="I247" s="1012">
        <f>IF(G247="",D247*F247,(D247*F247/G247))</f>
        <v>0</v>
      </c>
    </row>
    <row r="248" spans="1:18">
      <c r="A248" s="1019"/>
      <c r="B248" s="1020"/>
      <c r="C248" s="1009" t="s">
        <v>483</v>
      </c>
      <c r="D248" s="1005"/>
      <c r="E248" s="1008"/>
      <c r="F248" s="985"/>
      <c r="G248" s="1024"/>
      <c r="H248" s="994" t="s">
        <v>466</v>
      </c>
      <c r="I248" s="1010">
        <f>CEILING(SUM(I246:I247),0.05)</f>
        <v>37.800000000000004</v>
      </c>
    </row>
    <row r="249" spans="1:18" ht="78.75" customHeight="1">
      <c r="A249" s="1019">
        <f>A243+1</f>
        <v>4</v>
      </c>
      <c r="B249" s="1020"/>
      <c r="C249" s="1504" t="s">
        <v>2289</v>
      </c>
      <c r="D249" s="1504"/>
      <c r="E249" s="1504"/>
      <c r="F249" s="1504"/>
      <c r="G249" s="1504"/>
      <c r="H249" s="1504"/>
      <c r="I249" s="1504"/>
    </row>
    <row r="250" spans="1:18" ht="12.75" customHeight="1">
      <c r="A250" s="1019"/>
      <c r="B250" s="1020"/>
      <c r="C250" s="1212" t="s">
        <v>486</v>
      </c>
      <c r="D250" s="1005">
        <v>1</v>
      </c>
      <c r="E250" s="1008" t="s">
        <v>529</v>
      </c>
      <c r="F250" s="985">
        <f>LEAD!P10</f>
        <v>192.88</v>
      </c>
      <c r="G250" s="1023">
        <v>1</v>
      </c>
      <c r="H250" s="991" t="str">
        <f>IF(E250="","",IF(E250="No.","Each",IF(E250="Nos.","Each",E250)))</f>
        <v>cu.m.</v>
      </c>
      <c r="I250" s="986">
        <f>IF(G250="",D250*F250,(D250*F250/G250))</f>
        <v>192.88</v>
      </c>
    </row>
    <row r="251" spans="1:18" ht="12.75" customHeight="1">
      <c r="A251" s="1019"/>
      <c r="B251" s="1020"/>
      <c r="C251" s="1212" t="s">
        <v>559</v>
      </c>
      <c r="D251" s="1021">
        <f>0.312/6</f>
        <v>5.1999999999999998E-2</v>
      </c>
      <c r="E251" s="1022" t="s">
        <v>327</v>
      </c>
      <c r="F251" s="985">
        <f>$F$22</f>
        <v>558</v>
      </c>
      <c r="G251" s="1023">
        <v>1</v>
      </c>
      <c r="H251" s="991" t="str">
        <f>IF(E251="","",IF(E251="No.","Each",IF(E251="Nos.","Each",E251)))</f>
        <v>Nos</v>
      </c>
      <c r="I251" s="986">
        <f>IF(G251="",D251*F251,(D251*F251/G251))</f>
        <v>29.015999999999998</v>
      </c>
    </row>
    <row r="252" spans="1:18" ht="12.75" customHeight="1">
      <c r="A252" s="1019"/>
      <c r="B252" s="1020"/>
      <c r="C252" s="1212" t="s">
        <v>420</v>
      </c>
      <c r="D252" s="1021">
        <f>0.72/6</f>
        <v>0.12</v>
      </c>
      <c r="E252" s="1022" t="s">
        <v>718</v>
      </c>
      <c r="F252" s="985">
        <f>LEAD!$P$27</f>
        <v>73</v>
      </c>
      <c r="G252" s="1023">
        <v>1</v>
      </c>
      <c r="H252" s="991" t="str">
        <f>IF(E252="","",IF(E252="No.","Each",IF(E252="Nos.","Each",E252)))</f>
        <v>Kl</v>
      </c>
      <c r="I252" s="986">
        <f>IF(G252="",D252*F252,(D252*F252/G252))</f>
        <v>8.76</v>
      </c>
    </row>
    <row r="253" spans="1:18" ht="12.75" customHeight="1">
      <c r="A253" s="1019"/>
      <c r="B253" s="1020"/>
      <c r="C253" s="1212"/>
      <c r="D253" s="1021"/>
      <c r="E253" s="1022"/>
      <c r="F253" s="985"/>
      <c r="G253" s="1023"/>
      <c r="H253" s="991"/>
      <c r="I253" s="986">
        <f>SUM(I250:I252)</f>
        <v>230.65599999999998</v>
      </c>
    </row>
    <row r="254" spans="1:18" ht="12.75" customHeight="1">
      <c r="A254" s="1019"/>
      <c r="B254" s="1020"/>
      <c r="C254" s="1220" t="s">
        <v>1014</v>
      </c>
      <c r="D254" s="1010">
        <f>I253</f>
        <v>230.65599999999998</v>
      </c>
      <c r="E254" s="1025" t="s">
        <v>529</v>
      </c>
      <c r="F254" s="1026">
        <f>$D$3</f>
        <v>0</v>
      </c>
      <c r="G254" s="1027">
        <v>1</v>
      </c>
      <c r="H254" s="1011" t="s">
        <v>529</v>
      </c>
      <c r="I254" s="1012">
        <f>IF(G254="",D254*F254,(D254*F254/G254))</f>
        <v>0</v>
      </c>
    </row>
    <row r="255" spans="1:18" ht="12.75" customHeight="1">
      <c r="A255" s="1019"/>
      <c r="B255" s="1020"/>
      <c r="C255" s="1009" t="s">
        <v>517</v>
      </c>
      <c r="D255" s="1005"/>
      <c r="E255" s="1008"/>
      <c r="F255" s="985"/>
      <c r="G255" s="1024"/>
      <c r="H255" s="994" t="s">
        <v>466</v>
      </c>
      <c r="I255" s="1010">
        <f>CEILING(SUM(I253:I254),0.05)</f>
        <v>230.70000000000002</v>
      </c>
    </row>
    <row r="256" spans="1:18" ht="12.75" customHeight="1">
      <c r="A256" s="1019">
        <f>A249+1</f>
        <v>5</v>
      </c>
      <c r="B256" s="1020"/>
      <c r="C256" s="1505" t="s">
        <v>2290</v>
      </c>
      <c r="D256" s="1505"/>
      <c r="E256" s="1505"/>
      <c r="F256" s="1505"/>
      <c r="G256" s="1505"/>
      <c r="H256" s="1505"/>
      <c r="I256" s="1505"/>
    </row>
    <row r="257" spans="1:9" ht="12.75" customHeight="1">
      <c r="A257" s="1019"/>
      <c r="B257" s="1020"/>
      <c r="C257" s="1212" t="s">
        <v>708</v>
      </c>
      <c r="D257" s="1005">
        <v>1</v>
      </c>
      <c r="E257" s="1008" t="s">
        <v>529</v>
      </c>
      <c r="F257" s="985">
        <f>LEAD!P8</f>
        <v>94.88</v>
      </c>
      <c r="G257" s="1023">
        <v>1</v>
      </c>
      <c r="H257" s="991" t="str">
        <f>IF(E257="","",IF(E257="No.","Each",IF(E257="Nos.","Each",E257)))</f>
        <v>cu.m.</v>
      </c>
      <c r="I257" s="986">
        <f>IF(G257="",D257*F257,(D257*F257/G257))</f>
        <v>94.88</v>
      </c>
    </row>
    <row r="258" spans="1:9" ht="12.75" customHeight="1">
      <c r="A258" s="1019"/>
      <c r="B258" s="1020"/>
      <c r="C258" s="1212" t="s">
        <v>559</v>
      </c>
      <c r="D258" s="1021">
        <v>0.31</v>
      </c>
      <c r="E258" s="1022" t="s">
        <v>327</v>
      </c>
      <c r="F258" s="985">
        <f>$F$22</f>
        <v>558</v>
      </c>
      <c r="G258" s="1023">
        <v>1</v>
      </c>
      <c r="H258" s="991" t="str">
        <f>IF(E258="","",IF(E258="No.","Each",IF(E258="Nos.","Each",E258)))</f>
        <v>Nos</v>
      </c>
      <c r="I258" s="986">
        <f>IF(G258="",D258*F258,(D258*F258/G258))</f>
        <v>172.98</v>
      </c>
    </row>
    <row r="259" spans="1:9" ht="12.75" customHeight="1">
      <c r="A259" s="1019"/>
      <c r="B259" s="1020"/>
      <c r="C259" s="1212" t="s">
        <v>420</v>
      </c>
      <c r="D259" s="1021">
        <v>0.1</v>
      </c>
      <c r="E259" s="1022" t="s">
        <v>718</v>
      </c>
      <c r="F259" s="985">
        <f>LEAD!$P$27</f>
        <v>73</v>
      </c>
      <c r="G259" s="1023">
        <v>1</v>
      </c>
      <c r="H259" s="991" t="str">
        <f>IF(E259="","",IF(E259="No.","Each",IF(E259="Nos.","Each",E259)))</f>
        <v>Kl</v>
      </c>
      <c r="I259" s="986">
        <f>IF(G259="",D259*F259,(D259*F259/G259))</f>
        <v>7.3000000000000007</v>
      </c>
    </row>
    <row r="260" spans="1:9" ht="12.75" customHeight="1">
      <c r="A260" s="1019"/>
      <c r="B260" s="1020"/>
      <c r="C260" s="1212"/>
      <c r="D260" s="1021"/>
      <c r="E260" s="1022"/>
      <c r="F260" s="985"/>
      <c r="G260" s="1023"/>
      <c r="H260" s="991"/>
      <c r="I260" s="986">
        <f>SUM(I257:I259)</f>
        <v>275.16000000000003</v>
      </c>
    </row>
    <row r="261" spans="1:9" ht="12.75" customHeight="1">
      <c r="A261" s="1019"/>
      <c r="B261" s="1020"/>
      <c r="C261" s="1220" t="s">
        <v>1014</v>
      </c>
      <c r="D261" s="1010">
        <f>I260</f>
        <v>275.16000000000003</v>
      </c>
      <c r="E261" s="1025" t="s">
        <v>529</v>
      </c>
      <c r="F261" s="1026">
        <f>$D$3</f>
        <v>0</v>
      </c>
      <c r="G261" s="1027">
        <v>1</v>
      </c>
      <c r="H261" s="1011" t="s">
        <v>529</v>
      </c>
      <c r="I261" s="1012">
        <f>IF(G261="",D261*F261,(D261*F261/G261))</f>
        <v>0</v>
      </c>
    </row>
    <row r="262" spans="1:9" ht="12.75" customHeight="1">
      <c r="A262" s="1019"/>
      <c r="B262" s="1020"/>
      <c r="C262" s="1009" t="s">
        <v>517</v>
      </c>
      <c r="D262" s="1005"/>
      <c r="E262" s="1008"/>
      <c r="F262" s="985"/>
      <c r="G262" s="1024"/>
      <c r="H262" s="994" t="s">
        <v>466</v>
      </c>
      <c r="I262" s="1010">
        <f>CEILING(SUM(I260:I261),0.05)</f>
        <v>275.2</v>
      </c>
    </row>
    <row r="263" spans="1:9" ht="97.5" customHeight="1">
      <c r="A263" s="1019">
        <f>+A249+1</f>
        <v>5</v>
      </c>
      <c r="B263" s="1020"/>
      <c r="C263" s="1504" t="s">
        <v>2400</v>
      </c>
      <c r="D263" s="1504"/>
      <c r="E263" s="1504"/>
      <c r="F263" s="1504"/>
      <c r="G263" s="1504"/>
      <c r="H263" s="1504"/>
      <c r="I263" s="1504"/>
    </row>
    <row r="264" spans="1:9">
      <c r="A264" s="1019"/>
      <c r="B264" s="1020"/>
      <c r="C264" s="1214" t="s">
        <v>423</v>
      </c>
      <c r="D264" s="1021"/>
      <c r="E264" s="1008"/>
      <c r="F264" s="1003"/>
      <c r="G264" s="1023"/>
      <c r="H264" s="1213"/>
      <c r="I264" s="1003"/>
    </row>
    <row r="265" spans="1:9" ht="19.5" customHeight="1">
      <c r="A265" s="1019"/>
      <c r="B265" s="1020"/>
      <c r="C265" s="792" t="s">
        <v>518</v>
      </c>
      <c r="D265" s="1005">
        <v>0.9</v>
      </c>
      <c r="E265" s="1008" t="s">
        <v>529</v>
      </c>
      <c r="F265" s="986">
        <f>LEAD!P15</f>
        <v>1247.6699999999998</v>
      </c>
      <c r="G265" s="1023">
        <v>1</v>
      </c>
      <c r="H265" s="991" t="str">
        <f>IF(E265="","",IF(E265="No.","Each",IF(E265="Nos.","Each",E265)))</f>
        <v>cu.m.</v>
      </c>
      <c r="I265" s="986">
        <f>IF(G265="",D265*F265,(D265*F265/G265))</f>
        <v>1122.9029999999998</v>
      </c>
    </row>
    <row r="266" spans="1:9" ht="19.5" customHeight="1">
      <c r="A266" s="1019"/>
      <c r="B266" s="1020"/>
      <c r="C266" s="792" t="s">
        <v>519</v>
      </c>
      <c r="D266" s="1005">
        <f>0.45</f>
        <v>0.45</v>
      </c>
      <c r="E266" s="1008" t="s">
        <v>529</v>
      </c>
      <c r="F266" s="986">
        <f>LEAD!P7</f>
        <v>437.11999999999983</v>
      </c>
      <c r="G266" s="1023">
        <v>1</v>
      </c>
      <c r="H266" s="991" t="str">
        <f>IF(E266="","",IF(E266="No.","Each",IF(E266="Nos.","Each",E266)))</f>
        <v>cu.m.</v>
      </c>
      <c r="I266" s="986">
        <f>IF(G266="",D266*F266,(D266*F266/G266))</f>
        <v>196.70399999999992</v>
      </c>
    </row>
    <row r="267" spans="1:9" ht="19.5" customHeight="1">
      <c r="A267" s="1019"/>
      <c r="B267" s="1020"/>
      <c r="C267" s="792" t="s">
        <v>235</v>
      </c>
      <c r="D267" s="1005">
        <v>129.6</v>
      </c>
      <c r="E267" s="1008" t="s">
        <v>700</v>
      </c>
      <c r="F267" s="986">
        <f>LEAD!P28</f>
        <v>7168</v>
      </c>
      <c r="G267" s="1023">
        <v>1000</v>
      </c>
      <c r="H267" s="991" t="str">
        <f>IF(E267="","",IF(E267="No.","Each",IF(E267="Nos.","Each",E267)))</f>
        <v>Kgs.</v>
      </c>
      <c r="I267" s="986">
        <f>IF(G267="",D267*F267,(D267*F267/G267))</f>
        <v>928.97279999999989</v>
      </c>
    </row>
    <row r="268" spans="1:9" ht="19.5" customHeight="1">
      <c r="A268" s="1019"/>
      <c r="B268" s="1020"/>
      <c r="C268" s="792" t="s">
        <v>420</v>
      </c>
      <c r="D268" s="1005">
        <v>1.2</v>
      </c>
      <c r="E268" s="1008" t="s">
        <v>421</v>
      </c>
      <c r="F268" s="986">
        <f>LEAD!$P$27</f>
        <v>73</v>
      </c>
      <c r="G268" s="1023">
        <v>1</v>
      </c>
      <c r="H268" s="991" t="str">
        <f>IF(E268="","",IF(E268="No.","Each",IF(E268="Nos.","Each",E268)))</f>
        <v>KL</v>
      </c>
      <c r="I268" s="986">
        <f>IF(G268="",D268*F268,(D268*F268/G268))</f>
        <v>87.6</v>
      </c>
    </row>
    <row r="269" spans="1:9" ht="19.5" customHeight="1">
      <c r="A269" s="1019"/>
      <c r="B269" s="1020"/>
      <c r="C269" s="1214" t="s">
        <v>424</v>
      </c>
      <c r="D269" s="1005"/>
      <c r="E269" s="1008"/>
      <c r="F269" s="986"/>
      <c r="G269" s="1023"/>
      <c r="H269" s="991"/>
      <c r="I269" s="986"/>
    </row>
    <row r="270" spans="1:9" ht="19.5" customHeight="1">
      <c r="A270" s="1019"/>
      <c r="B270" s="1020"/>
      <c r="C270" s="792" t="s">
        <v>691</v>
      </c>
      <c r="D270" s="1005">
        <v>1</v>
      </c>
      <c r="E270" s="1008" t="s">
        <v>692</v>
      </c>
      <c r="F270" s="986">
        <f>$H$208</f>
        <v>420.6</v>
      </c>
      <c r="G270" s="1023">
        <v>1</v>
      </c>
      <c r="H270" s="991" t="str">
        <f>IF(E270="","",IF(E270="No.","Each",IF(E270="Nos.","Each",E270)))</f>
        <v>Hour</v>
      </c>
      <c r="I270" s="986">
        <f>IF(G270="",D270*F270,(D270*F270/G270))</f>
        <v>420.6</v>
      </c>
    </row>
    <row r="271" spans="1:9" ht="19.5" customHeight="1">
      <c r="A271" s="1019"/>
      <c r="B271" s="1020"/>
      <c r="C271" s="792" t="s">
        <v>693</v>
      </c>
      <c r="D271" s="1047">
        <f>$E$5</f>
        <v>0.2</v>
      </c>
      <c r="E271" s="1008"/>
      <c r="F271" s="986">
        <f>$G$208</f>
        <v>271.7</v>
      </c>
      <c r="G271" s="1023">
        <v>1</v>
      </c>
      <c r="H271" s="991" t="str">
        <f>IF(E271="","",IF(E271="No.","Each",IF(E271="Nos.","Each",E271)))</f>
        <v/>
      </c>
      <c r="I271" s="986">
        <f>IF(G271="",D271*F271,(D271*F271/G271))</f>
        <v>54.34</v>
      </c>
    </row>
    <row r="272" spans="1:9" ht="19.5" customHeight="1">
      <c r="A272" s="1019"/>
      <c r="B272" s="1020"/>
      <c r="C272" s="1214" t="s">
        <v>690</v>
      </c>
      <c r="D272" s="1005"/>
      <c r="E272" s="1008"/>
      <c r="F272" s="986"/>
      <c r="G272" s="1023"/>
      <c r="H272" s="991"/>
      <c r="I272" s="986"/>
    </row>
    <row r="273" spans="1:9" ht="19.5" customHeight="1">
      <c r="A273" s="1019"/>
      <c r="B273" s="1020"/>
      <c r="C273" s="792" t="s">
        <v>395</v>
      </c>
      <c r="D273" s="1021">
        <v>0.1</v>
      </c>
      <c r="E273" s="1008" t="s">
        <v>499</v>
      </c>
      <c r="F273" s="986">
        <f>$F$9</f>
        <v>624</v>
      </c>
      <c r="G273" s="1023">
        <v>1</v>
      </c>
      <c r="H273" s="991" t="str">
        <f>IF(E273="","",IF(E273="No.","Each",IF(E273="Nos.","Each",E273)))</f>
        <v>Each</v>
      </c>
      <c r="I273" s="986">
        <f>IF(G273="",D273*F273,(D273*F273/G273))</f>
        <v>62.400000000000006</v>
      </c>
    </row>
    <row r="274" spans="1:9" ht="19.5" customHeight="1">
      <c r="A274" s="1019"/>
      <c r="B274" s="1020"/>
      <c r="C274" s="792" t="s">
        <v>559</v>
      </c>
      <c r="D274" s="1021">
        <v>1.39</v>
      </c>
      <c r="E274" s="1008" t="s">
        <v>499</v>
      </c>
      <c r="F274" s="986">
        <f>$F$22</f>
        <v>558</v>
      </c>
      <c r="G274" s="1023">
        <v>1</v>
      </c>
      <c r="H274" s="991" t="str">
        <f>IF(E274="","",IF(E274="No.","Each",IF(E274="Nos.","Each",E274)))</f>
        <v>Each</v>
      </c>
      <c r="I274" s="986">
        <f>IF(G274="",D274*F274,(D274*F274/G274))</f>
        <v>775.61999999999989</v>
      </c>
    </row>
    <row r="275" spans="1:9" ht="19.5" customHeight="1">
      <c r="A275" s="1019"/>
      <c r="B275" s="1020"/>
      <c r="C275" s="1220" t="s">
        <v>1014</v>
      </c>
      <c r="D275" s="1010">
        <f>SUM(I264:I274)</f>
        <v>3649.1397999999995</v>
      </c>
      <c r="E275" s="1025" t="s">
        <v>529</v>
      </c>
      <c r="F275" s="1026">
        <f>$D$3</f>
        <v>0</v>
      </c>
      <c r="G275" s="1027">
        <v>1</v>
      </c>
      <c r="H275" s="1011" t="s">
        <v>529</v>
      </c>
      <c r="I275" s="1012">
        <f>IF(G275="",D275*F275,(D275*F275/G275))</f>
        <v>0</v>
      </c>
    </row>
    <row r="276" spans="1:9" ht="21" customHeight="1">
      <c r="A276" s="1019"/>
      <c r="B276" s="1020"/>
      <c r="C276" s="980" t="s">
        <v>517</v>
      </c>
      <c r="D276" s="1021"/>
      <c r="E276" s="1008"/>
      <c r="F276" s="986"/>
      <c r="G276" s="1023"/>
      <c r="H276" s="980" t="s">
        <v>466</v>
      </c>
      <c r="I276" s="1010">
        <f>CEILING(SUM(I265:I275),0.05)</f>
        <v>3649.15</v>
      </c>
    </row>
    <row r="277" spans="1:9" ht="121.5" customHeight="1">
      <c r="A277" s="1019">
        <f>A263+1</f>
        <v>6</v>
      </c>
      <c r="B277" s="1020"/>
      <c r="C277" s="1504" t="s">
        <v>2401</v>
      </c>
      <c r="D277" s="1504"/>
      <c r="E277" s="1504"/>
      <c r="F277" s="1504"/>
      <c r="G277" s="1504"/>
      <c r="H277" s="1504"/>
      <c r="I277" s="1504"/>
    </row>
    <row r="278" spans="1:9" ht="16.5" customHeight="1">
      <c r="A278" s="1019"/>
      <c r="B278" s="1020"/>
      <c r="C278" s="1214" t="s">
        <v>423</v>
      </c>
      <c r="D278" s="1021"/>
      <c r="E278" s="1008"/>
      <c r="F278" s="1003"/>
      <c r="G278" s="1023"/>
      <c r="H278" s="1213"/>
      <c r="I278" s="1003"/>
    </row>
    <row r="279" spans="1:9" ht="16.5" customHeight="1">
      <c r="A279" s="1019"/>
      <c r="B279" s="1020"/>
      <c r="C279" s="792" t="s">
        <v>518</v>
      </c>
      <c r="D279" s="1005">
        <v>0.9</v>
      </c>
      <c r="E279" s="1008" t="s">
        <v>529</v>
      </c>
      <c r="F279" s="986">
        <f>LEAD!P15</f>
        <v>1247.6699999999998</v>
      </c>
      <c r="G279" s="1023">
        <v>1</v>
      </c>
      <c r="H279" s="991" t="str">
        <f t="shared" ref="H279:H288" si="28">IF(E279="","",IF(E279="No.","Each",IF(E279="Nos.","Each",E279)))</f>
        <v>cu.m.</v>
      </c>
      <c r="I279" s="986">
        <f t="shared" ref="I279:I288" si="29">IF(G279="",D279*F279,(D279*F279/G279))</f>
        <v>1122.9029999999998</v>
      </c>
    </row>
    <row r="280" spans="1:9" ht="16.5" customHeight="1">
      <c r="A280" s="1019"/>
      <c r="B280" s="1020"/>
      <c r="C280" s="792" t="s">
        <v>519</v>
      </c>
      <c r="D280" s="1005">
        <f>0.45</f>
        <v>0.45</v>
      </c>
      <c r="E280" s="1008" t="s">
        <v>529</v>
      </c>
      <c r="F280" s="986">
        <f>LEAD!P7</f>
        <v>437.11999999999983</v>
      </c>
      <c r="G280" s="1023">
        <v>1</v>
      </c>
      <c r="H280" s="991" t="str">
        <f t="shared" si="28"/>
        <v>cu.m.</v>
      </c>
      <c r="I280" s="986">
        <f t="shared" si="29"/>
        <v>196.70399999999992</v>
      </c>
    </row>
    <row r="281" spans="1:9" ht="16.5" customHeight="1">
      <c r="A281" s="1019"/>
      <c r="B281" s="1020"/>
      <c r="C281" s="792" t="s">
        <v>235</v>
      </c>
      <c r="D281" s="1005">
        <v>162</v>
      </c>
      <c r="E281" s="1008" t="s">
        <v>700</v>
      </c>
      <c r="F281" s="986">
        <f>LEAD!P28</f>
        <v>7168</v>
      </c>
      <c r="G281" s="1023">
        <v>1000</v>
      </c>
      <c r="H281" s="991" t="str">
        <f t="shared" si="28"/>
        <v>Kgs.</v>
      </c>
      <c r="I281" s="986">
        <f t="shared" si="29"/>
        <v>1161.2159999999999</v>
      </c>
    </row>
    <row r="282" spans="1:9" ht="16.5" customHeight="1">
      <c r="A282" s="1019"/>
      <c r="B282" s="1020"/>
      <c r="C282" s="792" t="s">
        <v>420</v>
      </c>
      <c r="D282" s="1005">
        <v>1.2</v>
      </c>
      <c r="E282" s="1008" t="s">
        <v>421</v>
      </c>
      <c r="F282" s="986">
        <f>LEAD!$P$27</f>
        <v>73</v>
      </c>
      <c r="G282" s="1023">
        <v>1</v>
      </c>
      <c r="H282" s="991" t="str">
        <f>IF(E282="","",IF(E282="No.","Each",IF(E282="Nos.","Each",E282)))</f>
        <v>KL</v>
      </c>
      <c r="I282" s="986">
        <f>IF(G282="",D282*F282,(D282*F282/G282))</f>
        <v>87.6</v>
      </c>
    </row>
    <row r="283" spans="1:9" ht="16.5" customHeight="1">
      <c r="A283" s="1019"/>
      <c r="B283" s="1020"/>
      <c r="C283" s="1214" t="s">
        <v>424</v>
      </c>
      <c r="D283" s="1005"/>
      <c r="E283" s="1008"/>
      <c r="F283" s="986"/>
      <c r="G283" s="1023"/>
      <c r="H283" s="991"/>
      <c r="I283" s="986"/>
    </row>
    <row r="284" spans="1:9" ht="16.5" customHeight="1">
      <c r="A284" s="1019"/>
      <c r="B284" s="1020"/>
      <c r="C284" s="792" t="s">
        <v>691</v>
      </c>
      <c r="D284" s="1005">
        <v>1</v>
      </c>
      <c r="E284" s="1008" t="s">
        <v>692</v>
      </c>
      <c r="F284" s="986">
        <f>$H$208</f>
        <v>420.6</v>
      </c>
      <c r="G284" s="1023">
        <v>1</v>
      </c>
      <c r="H284" s="991" t="str">
        <f>IF(E284="","",IF(E284="No.","Each",IF(E284="Nos.","Each",E284)))</f>
        <v>Hour</v>
      </c>
      <c r="I284" s="986">
        <f>IF(G284="",D284*F284,(D284*F284/G284))</f>
        <v>420.6</v>
      </c>
    </row>
    <row r="285" spans="1:9" ht="16.5" customHeight="1">
      <c r="A285" s="1019"/>
      <c r="B285" s="1020"/>
      <c r="C285" s="792" t="s">
        <v>693</v>
      </c>
      <c r="D285" s="1047">
        <f>$E$5</f>
        <v>0.2</v>
      </c>
      <c r="E285" s="1008"/>
      <c r="F285" s="986">
        <f>$G$208</f>
        <v>271.7</v>
      </c>
      <c r="G285" s="1023">
        <v>1</v>
      </c>
      <c r="H285" s="991" t="str">
        <f>IF(E285="","",IF(E285="No.","Each",IF(E285="Nos.","Each",E285)))</f>
        <v/>
      </c>
      <c r="I285" s="986">
        <f>IF(G285="",D285*F285,(D285*F285/G285))</f>
        <v>54.34</v>
      </c>
    </row>
    <row r="286" spans="1:9" ht="16.5" customHeight="1">
      <c r="A286" s="1019"/>
      <c r="B286" s="1020"/>
      <c r="C286" s="1214" t="s">
        <v>690</v>
      </c>
      <c r="D286" s="1047"/>
      <c r="E286" s="1008"/>
      <c r="F286" s="986"/>
      <c r="G286" s="1023"/>
      <c r="H286" s="991"/>
      <c r="I286" s="986"/>
    </row>
    <row r="287" spans="1:9" ht="16.5" customHeight="1">
      <c r="A287" s="1019"/>
      <c r="B287" s="1020"/>
      <c r="C287" s="792" t="s">
        <v>395</v>
      </c>
      <c r="D287" s="1021">
        <v>0.1</v>
      </c>
      <c r="E287" s="1008" t="s">
        <v>529</v>
      </c>
      <c r="F287" s="986">
        <f>$F$9</f>
        <v>624</v>
      </c>
      <c r="G287" s="1023">
        <v>1</v>
      </c>
      <c r="H287" s="991" t="str">
        <f t="shared" si="28"/>
        <v>cu.m.</v>
      </c>
      <c r="I287" s="986">
        <f t="shared" si="29"/>
        <v>62.400000000000006</v>
      </c>
    </row>
    <row r="288" spans="1:9" ht="16.5" customHeight="1">
      <c r="A288" s="1019"/>
      <c r="B288" s="1020"/>
      <c r="C288" s="792" t="s">
        <v>559</v>
      </c>
      <c r="D288" s="1021">
        <v>1.39</v>
      </c>
      <c r="E288" s="1008" t="s">
        <v>499</v>
      </c>
      <c r="F288" s="986">
        <f>$F$22</f>
        <v>558</v>
      </c>
      <c r="G288" s="1023">
        <v>1</v>
      </c>
      <c r="H288" s="991" t="str">
        <f t="shared" si="28"/>
        <v>Each</v>
      </c>
      <c r="I288" s="986">
        <f t="shared" si="29"/>
        <v>775.61999999999989</v>
      </c>
    </row>
    <row r="289" spans="1:9" ht="16.5" customHeight="1">
      <c r="A289" s="1019"/>
      <c r="B289" s="1020"/>
      <c r="C289" s="1220" t="s">
        <v>1014</v>
      </c>
      <c r="D289" s="985">
        <f>SUM(I279:I288)</f>
        <v>3881.3829999999994</v>
      </c>
      <c r="E289" s="1008" t="s">
        <v>529</v>
      </c>
      <c r="F289" s="1026">
        <f>$D$3</f>
        <v>0</v>
      </c>
      <c r="G289" s="1023">
        <v>1</v>
      </c>
      <c r="H289" s="991" t="s">
        <v>529</v>
      </c>
      <c r="I289" s="986">
        <f>IF(G289="",D289*F289,(D289*F289/G289))</f>
        <v>0</v>
      </c>
    </row>
    <row r="290" spans="1:9" ht="16.5" customHeight="1">
      <c r="A290" s="1019"/>
      <c r="B290" s="1020"/>
      <c r="C290" s="980" t="s">
        <v>517</v>
      </c>
      <c r="D290" s="1021"/>
      <c r="E290" s="1008"/>
      <c r="F290" s="986"/>
      <c r="G290" s="1023"/>
      <c r="H290" s="980" t="s">
        <v>466</v>
      </c>
      <c r="I290" s="1010">
        <f>CEILING(SUM(I279:I289),0.05)</f>
        <v>3881.4</v>
      </c>
    </row>
    <row r="291" spans="1:9" ht="12.75" customHeight="1">
      <c r="A291" s="1019">
        <f>A277+1</f>
        <v>7</v>
      </c>
      <c r="B291" s="1020">
        <f>B277+1</f>
        <v>1</v>
      </c>
      <c r="C291" s="1504" t="s">
        <v>2291</v>
      </c>
      <c r="D291" s="1504"/>
      <c r="E291" s="1504"/>
      <c r="F291" s="1504"/>
      <c r="G291" s="1504"/>
      <c r="H291" s="1504"/>
      <c r="I291" s="1504"/>
    </row>
    <row r="292" spans="1:9" ht="12.75" customHeight="1">
      <c r="A292" s="1019"/>
      <c r="B292" s="1020"/>
      <c r="C292" s="1214" t="s">
        <v>609</v>
      </c>
      <c r="D292" s="1021"/>
      <c r="E292" s="1008"/>
      <c r="F292" s="1003"/>
      <c r="G292" s="1023"/>
      <c r="H292" s="1213"/>
      <c r="I292" s="1003"/>
    </row>
    <row r="293" spans="1:9" ht="12.75" customHeight="1">
      <c r="A293" s="1019"/>
      <c r="B293" s="1020"/>
      <c r="C293" s="792" t="s">
        <v>427</v>
      </c>
      <c r="D293" s="1005">
        <v>0.9</v>
      </c>
      <c r="E293" s="1008" t="s">
        <v>529</v>
      </c>
      <c r="F293" s="986">
        <f>I205</f>
        <v>1601.6699999999998</v>
      </c>
      <c r="G293" s="1023">
        <v>1</v>
      </c>
      <c r="H293" s="991" t="str">
        <f t="shared" ref="H293:H302" si="30">IF(E293="","",IF(E293="No.","Each",IF(E293="Nos.","Each",E293)))</f>
        <v>cu.m.</v>
      </c>
      <c r="I293" s="986">
        <f t="shared" ref="I293:I302" si="31">IF(G293="",D293*F293,(D293*F293/G293))</f>
        <v>1441.5029999999999</v>
      </c>
    </row>
    <row r="294" spans="1:9" ht="12.75" customHeight="1">
      <c r="A294" s="1019"/>
      <c r="B294" s="1020"/>
      <c r="C294" s="792" t="s">
        <v>519</v>
      </c>
      <c r="D294" s="1005">
        <f>0.45</f>
        <v>0.45</v>
      </c>
      <c r="E294" s="1008" t="s">
        <v>529</v>
      </c>
      <c r="F294" s="986">
        <f>LEAD!P7</f>
        <v>437.11999999999983</v>
      </c>
      <c r="G294" s="1023">
        <v>1</v>
      </c>
      <c r="H294" s="991" t="str">
        <f t="shared" si="30"/>
        <v>cu.m.</v>
      </c>
      <c r="I294" s="986">
        <f t="shared" si="31"/>
        <v>196.70399999999992</v>
      </c>
    </row>
    <row r="295" spans="1:9" ht="12.75" customHeight="1">
      <c r="A295" s="1019"/>
      <c r="B295" s="1020"/>
      <c r="C295" s="792" t="s">
        <v>235</v>
      </c>
      <c r="D295" s="1005">
        <v>129.6</v>
      </c>
      <c r="E295" s="1008" t="s">
        <v>700</v>
      </c>
      <c r="F295" s="986">
        <f>LEAD!P28</f>
        <v>7168</v>
      </c>
      <c r="G295" s="1023">
        <v>1000</v>
      </c>
      <c r="H295" s="991" t="str">
        <f t="shared" si="30"/>
        <v>Kgs.</v>
      </c>
      <c r="I295" s="986">
        <f t="shared" si="31"/>
        <v>928.97279999999989</v>
      </c>
    </row>
    <row r="296" spans="1:9" ht="12.75" customHeight="1">
      <c r="A296" s="1019"/>
      <c r="B296" s="1020"/>
      <c r="C296" s="792" t="s">
        <v>420</v>
      </c>
      <c r="D296" s="1005">
        <v>1.2</v>
      </c>
      <c r="E296" s="1008" t="s">
        <v>421</v>
      </c>
      <c r="F296" s="986">
        <f>LEAD!$P$27</f>
        <v>73</v>
      </c>
      <c r="G296" s="1023">
        <v>1</v>
      </c>
      <c r="H296" s="991" t="str">
        <f>IF(E296="","",IF(E296="No.","Each",IF(E296="Nos.","Each",E296)))</f>
        <v>KL</v>
      </c>
      <c r="I296" s="986">
        <f>IF(G296="",D296*F296,(D296*F296/G296))</f>
        <v>87.6</v>
      </c>
    </row>
    <row r="297" spans="1:9" ht="12.75" customHeight="1">
      <c r="A297" s="1019"/>
      <c r="B297" s="1020"/>
      <c r="C297" s="1214" t="s">
        <v>424</v>
      </c>
      <c r="D297" s="1005"/>
      <c r="E297" s="1008"/>
      <c r="F297" s="986"/>
      <c r="G297" s="1023"/>
      <c r="H297" s="991"/>
      <c r="I297" s="986"/>
    </row>
    <row r="298" spans="1:9" ht="12.75" customHeight="1">
      <c r="A298" s="1019"/>
      <c r="B298" s="1020"/>
      <c r="C298" s="792" t="s">
        <v>691</v>
      </c>
      <c r="D298" s="1005">
        <v>1</v>
      </c>
      <c r="E298" s="1008" t="s">
        <v>692</v>
      </c>
      <c r="F298" s="986">
        <f>$H$208</f>
        <v>420.6</v>
      </c>
      <c r="G298" s="1023">
        <v>1</v>
      </c>
      <c r="H298" s="991" t="str">
        <f>IF(E298="","",IF(E298="No.","Each",IF(E298="Nos.","Each",E298)))</f>
        <v>Hour</v>
      </c>
      <c r="I298" s="986">
        <f>IF(G298="",D298*F298,(D298*F298/G298))</f>
        <v>420.6</v>
      </c>
    </row>
    <row r="299" spans="1:9" ht="12.75" customHeight="1">
      <c r="A299" s="1019"/>
      <c r="B299" s="1020"/>
      <c r="C299" s="792" t="s">
        <v>693</v>
      </c>
      <c r="D299" s="1047">
        <f>$E$5</f>
        <v>0.2</v>
      </c>
      <c r="E299" s="1008"/>
      <c r="F299" s="986">
        <f>$G$208</f>
        <v>271.7</v>
      </c>
      <c r="G299" s="1023">
        <v>1</v>
      </c>
      <c r="H299" s="991" t="str">
        <f>IF(E299="","",IF(E299="No.","Each",IF(E299="Nos.","Each",E299)))</f>
        <v/>
      </c>
      <c r="I299" s="986">
        <f>IF(G299="",D299*F299,(D299*F299/G299))</f>
        <v>54.34</v>
      </c>
    </row>
    <row r="300" spans="1:9" ht="12.75" customHeight="1">
      <c r="A300" s="1019"/>
      <c r="B300" s="1020"/>
      <c r="C300" s="1214" t="s">
        <v>690</v>
      </c>
      <c r="D300" s="1047"/>
      <c r="E300" s="1008"/>
      <c r="F300" s="986"/>
      <c r="G300" s="1023"/>
      <c r="H300" s="991"/>
      <c r="I300" s="986"/>
    </row>
    <row r="301" spans="1:9" ht="12.75" customHeight="1">
      <c r="A301" s="1019"/>
      <c r="B301" s="1020"/>
      <c r="C301" s="792" t="s">
        <v>395</v>
      </c>
      <c r="D301" s="1021">
        <v>0.1</v>
      </c>
      <c r="E301" s="1008" t="s">
        <v>529</v>
      </c>
      <c r="F301" s="986">
        <f>$F$9</f>
        <v>624</v>
      </c>
      <c r="G301" s="1023">
        <v>1</v>
      </c>
      <c r="H301" s="991" t="str">
        <f t="shared" si="30"/>
        <v>cu.m.</v>
      </c>
      <c r="I301" s="986">
        <f t="shared" si="31"/>
        <v>62.400000000000006</v>
      </c>
    </row>
    <row r="302" spans="1:9" ht="12.75" customHeight="1">
      <c r="A302" s="1019"/>
      <c r="B302" s="1020"/>
      <c r="C302" s="792" t="s">
        <v>559</v>
      </c>
      <c r="D302" s="1021">
        <v>1.39</v>
      </c>
      <c r="E302" s="1008" t="s">
        <v>499</v>
      </c>
      <c r="F302" s="986">
        <f>$F$22</f>
        <v>558</v>
      </c>
      <c r="G302" s="1023">
        <v>1</v>
      </c>
      <c r="H302" s="991" t="str">
        <f t="shared" si="30"/>
        <v>Each</v>
      </c>
      <c r="I302" s="986">
        <f t="shared" si="31"/>
        <v>775.61999999999989</v>
      </c>
    </row>
    <row r="303" spans="1:9" ht="12.75" customHeight="1">
      <c r="A303" s="1019"/>
      <c r="B303" s="1020"/>
      <c r="C303" s="1212"/>
      <c r="D303" s="985"/>
      <c r="E303" s="1008"/>
      <c r="F303" s="985"/>
      <c r="G303" s="1023"/>
      <c r="H303" s="991"/>
      <c r="I303" s="986"/>
    </row>
    <row r="304" spans="1:9" ht="12.75" customHeight="1">
      <c r="A304" s="1019"/>
      <c r="B304" s="1020"/>
      <c r="C304" s="1024"/>
      <c r="D304" s="1008"/>
      <c r="E304" s="1008"/>
      <c r="F304" s="985"/>
      <c r="G304" s="1024"/>
      <c r="H304" s="1011" t="s">
        <v>466</v>
      </c>
      <c r="I304" s="1012">
        <f>SUM(I293:I303)</f>
        <v>3967.7397999999998</v>
      </c>
    </row>
    <row r="305" spans="1:10" ht="12.75" customHeight="1">
      <c r="A305" s="1019"/>
      <c r="B305" s="1020"/>
      <c r="C305" s="1214" t="s">
        <v>428</v>
      </c>
      <c r="E305" s="1227" t="s">
        <v>501</v>
      </c>
      <c r="F305" s="1048" t="s">
        <v>502</v>
      </c>
      <c r="G305" s="1227" t="s">
        <v>503</v>
      </c>
      <c r="H305" s="1048" t="s">
        <v>709</v>
      </c>
      <c r="I305" s="1048" t="s">
        <v>502</v>
      </c>
      <c r="J305" s="1048" t="s">
        <v>502</v>
      </c>
    </row>
    <row r="306" spans="1:10" ht="12.75" customHeight="1">
      <c r="A306" s="1019"/>
      <c r="B306" s="1020"/>
      <c r="C306" s="792" t="s">
        <v>589</v>
      </c>
      <c r="E306" s="986">
        <f>I304</f>
        <v>3967.7397999999998</v>
      </c>
      <c r="F306" s="986">
        <f>I304</f>
        <v>3967.7397999999998</v>
      </c>
      <c r="G306" s="986">
        <f>I304</f>
        <v>3967.7397999999998</v>
      </c>
      <c r="H306" s="986">
        <f>I304</f>
        <v>3967.7397999999998</v>
      </c>
      <c r="I306" s="986">
        <f>I304</f>
        <v>3967.7397999999998</v>
      </c>
      <c r="J306" s="986">
        <f>I304</f>
        <v>3967.7397999999998</v>
      </c>
    </row>
    <row r="307" spans="1:10" ht="12.75" customHeight="1">
      <c r="A307" s="1019"/>
      <c r="B307" s="1020"/>
      <c r="C307" s="792" t="s">
        <v>580</v>
      </c>
      <c r="E307" s="986">
        <f>F36</f>
        <v>238</v>
      </c>
      <c r="F307" s="986">
        <f>F36</f>
        <v>238</v>
      </c>
      <c r="G307" s="986">
        <f>F36</f>
        <v>238</v>
      </c>
      <c r="H307" s="986">
        <f>F36</f>
        <v>238</v>
      </c>
      <c r="I307" s="986">
        <f>F36</f>
        <v>238</v>
      </c>
      <c r="J307" s="986">
        <f t="shared" ref="J307" si="32">$F$56</f>
        <v>355</v>
      </c>
    </row>
    <row r="308" spans="1:10" ht="12.75" customHeight="1">
      <c r="A308" s="1019"/>
      <c r="B308" s="1020"/>
      <c r="C308" s="792" t="s">
        <v>581</v>
      </c>
      <c r="E308" s="986">
        <f>$H$36</f>
        <v>1928</v>
      </c>
      <c r="F308" s="986">
        <f>K36</f>
        <v>2120.8000000000002</v>
      </c>
      <c r="G308" s="986">
        <f>$M$36</f>
        <v>2313.6</v>
      </c>
      <c r="H308" s="986">
        <f>$O$36</f>
        <v>2506.4</v>
      </c>
      <c r="I308" s="986">
        <f>$Q$36</f>
        <v>2699.2</v>
      </c>
      <c r="J308" s="986">
        <f>$S$56</f>
        <v>3732</v>
      </c>
    </row>
    <row r="309" spans="1:10" ht="12.75" customHeight="1">
      <c r="A309" s="1019"/>
      <c r="B309" s="1020"/>
      <c r="C309" s="792" t="s">
        <v>417</v>
      </c>
      <c r="D309" s="1049">
        <f>$E$5</f>
        <v>0.2</v>
      </c>
      <c r="E309" s="986">
        <f t="shared" ref="E309:J309" si="33">ROUND($D$463*E308,2)</f>
        <v>385.6</v>
      </c>
      <c r="F309" s="986">
        <f t="shared" si="33"/>
        <v>424.16</v>
      </c>
      <c r="G309" s="986">
        <f t="shared" si="33"/>
        <v>462.72</v>
      </c>
      <c r="H309" s="986">
        <f t="shared" si="33"/>
        <v>501.28</v>
      </c>
      <c r="I309" s="986">
        <f t="shared" si="33"/>
        <v>539.84</v>
      </c>
      <c r="J309" s="986">
        <f t="shared" si="33"/>
        <v>746.4</v>
      </c>
    </row>
    <row r="310" spans="1:10" ht="12.75" customHeight="1">
      <c r="A310" s="1019"/>
      <c r="B310" s="1020"/>
      <c r="C310" s="792" t="s">
        <v>590</v>
      </c>
      <c r="E310" s="986">
        <v>0</v>
      </c>
      <c r="F310" s="986">
        <f>0.1*($I$301+$I$302)</f>
        <v>83.801999999999992</v>
      </c>
      <c r="G310" s="986">
        <f>0.2*($I$301+$I$302)</f>
        <v>167.60399999999998</v>
      </c>
      <c r="H310" s="986">
        <f>0.3*($I$301+$I$302)</f>
        <v>251.40599999999995</v>
      </c>
      <c r="I310" s="986">
        <f>0.4*($I$301+$I$302)</f>
        <v>335.20799999999997</v>
      </c>
      <c r="J310" s="986">
        <f>0.5*($I$301+$I$302)</f>
        <v>419.00999999999993</v>
      </c>
    </row>
    <row r="311" spans="1:10" ht="12.75" customHeight="1">
      <c r="A311" s="1019"/>
      <c r="B311" s="1020"/>
      <c r="E311" s="986">
        <f>SUM(E306:E310)</f>
        <v>6519.3397999999997</v>
      </c>
      <c r="F311" s="986">
        <f t="shared" ref="F311:J311" si="34">SUM(F306:F310)</f>
        <v>6834.5017999999991</v>
      </c>
      <c r="G311" s="986">
        <f t="shared" si="34"/>
        <v>7149.6638000000003</v>
      </c>
      <c r="H311" s="986">
        <f t="shared" si="34"/>
        <v>7464.8257999999987</v>
      </c>
      <c r="I311" s="986">
        <f t="shared" si="34"/>
        <v>7779.987799999999</v>
      </c>
      <c r="J311" s="986">
        <f t="shared" si="34"/>
        <v>9220.1497999999992</v>
      </c>
    </row>
    <row r="312" spans="1:10" ht="12.75" customHeight="1">
      <c r="A312" s="1019"/>
      <c r="B312" s="1020"/>
      <c r="C312" s="1220" t="s">
        <v>1014</v>
      </c>
      <c r="D312" s="1026">
        <f>$D$3</f>
        <v>0</v>
      </c>
      <c r="E312" s="986">
        <f t="shared" ref="E312:J312" si="35">ROUND(E311*$D$312,2)</f>
        <v>0</v>
      </c>
      <c r="F312" s="986">
        <f t="shared" si="35"/>
        <v>0</v>
      </c>
      <c r="G312" s="986">
        <f t="shared" si="35"/>
        <v>0</v>
      </c>
      <c r="H312" s="986">
        <f t="shared" si="35"/>
        <v>0</v>
      </c>
      <c r="I312" s="986">
        <f t="shared" si="35"/>
        <v>0</v>
      </c>
      <c r="J312" s="986">
        <f t="shared" si="35"/>
        <v>0</v>
      </c>
    </row>
    <row r="313" spans="1:10" ht="12.75" customHeight="1">
      <c r="A313" s="1019"/>
      <c r="B313" s="1020"/>
      <c r="C313" s="980" t="s">
        <v>539</v>
      </c>
      <c r="D313" s="980" t="s">
        <v>466</v>
      </c>
      <c r="E313" s="1012">
        <f>CEILING(SUM(E311:E312),0.05)</f>
        <v>6519.35</v>
      </c>
      <c r="F313" s="1012">
        <f t="shared" ref="F313:J313" si="36">CEILING(SUM(F311:F312),0.05)</f>
        <v>6834.55</v>
      </c>
      <c r="G313" s="1012">
        <f t="shared" si="36"/>
        <v>7149.7000000000007</v>
      </c>
      <c r="H313" s="1012">
        <f t="shared" si="36"/>
        <v>7464.85</v>
      </c>
      <c r="I313" s="1012">
        <f t="shared" si="36"/>
        <v>7780</v>
      </c>
      <c r="J313" s="1012">
        <f t="shared" si="36"/>
        <v>9220.15</v>
      </c>
    </row>
    <row r="314" spans="1:10" ht="111.75" customHeight="1">
      <c r="A314" s="1019">
        <f>+A291+1</f>
        <v>8</v>
      </c>
      <c r="B314" s="1020"/>
      <c r="C314" s="1504" t="s">
        <v>2402</v>
      </c>
      <c r="D314" s="1504"/>
      <c r="E314" s="1504"/>
      <c r="F314" s="1504"/>
      <c r="G314" s="1504"/>
      <c r="H314" s="1504"/>
      <c r="I314" s="1504"/>
    </row>
    <row r="315" spans="1:10">
      <c r="A315" s="1019"/>
      <c r="B315" s="1020"/>
      <c r="C315" s="1214" t="s">
        <v>557</v>
      </c>
      <c r="D315" s="1021"/>
      <c r="E315" s="1008"/>
      <c r="F315" s="1003"/>
      <c r="G315" s="1023"/>
      <c r="H315" s="1213"/>
      <c r="I315" s="1003"/>
    </row>
    <row r="316" spans="1:10">
      <c r="A316" s="1019"/>
      <c r="B316" s="1020"/>
      <c r="C316" s="792" t="s">
        <v>591</v>
      </c>
      <c r="D316" s="1005">
        <v>0.9</v>
      </c>
      <c r="E316" s="1008" t="s">
        <v>529</v>
      </c>
      <c r="F316" s="986">
        <f>I205</f>
        <v>1601.6699999999998</v>
      </c>
      <c r="G316" s="1023">
        <v>1</v>
      </c>
      <c r="H316" s="991" t="str">
        <f>IF(E316="","",IF(E316="No.","Each",IF(E316="Nos.","Each",E316)))</f>
        <v>cu.m.</v>
      </c>
      <c r="I316" s="986">
        <f>IF(G316="",D316*F316,(D316*F316/G316))</f>
        <v>1441.5029999999999</v>
      </c>
    </row>
    <row r="317" spans="1:10">
      <c r="A317" s="1019"/>
      <c r="B317" s="1020"/>
      <c r="C317" s="792" t="s">
        <v>519</v>
      </c>
      <c r="D317" s="1005">
        <f>0.45</f>
        <v>0.45</v>
      </c>
      <c r="E317" s="1008" t="s">
        <v>529</v>
      </c>
      <c r="F317" s="986">
        <f>F280</f>
        <v>437.11999999999983</v>
      </c>
      <c r="G317" s="1023">
        <v>1</v>
      </c>
      <c r="H317" s="991" t="str">
        <f>IF(E317="","",IF(E317="No.","Each",IF(E317="Nos.","Each",E317)))</f>
        <v>cu.m.</v>
      </c>
      <c r="I317" s="986">
        <f t="shared" ref="I317:I325" si="37">IF(G317="",D317*F317,(D317*F317/G317))</f>
        <v>196.70399999999992</v>
      </c>
    </row>
    <row r="318" spans="1:10">
      <c r="A318" s="1019"/>
      <c r="B318" s="1020"/>
      <c r="C318" s="792" t="s">
        <v>592</v>
      </c>
      <c r="D318" s="1005">
        <v>220</v>
      </c>
      <c r="E318" s="1008" t="s">
        <v>700</v>
      </c>
      <c r="F318" s="986">
        <f>F281</f>
        <v>7168</v>
      </c>
      <c r="G318" s="1023">
        <v>1000</v>
      </c>
      <c r="H318" s="991" t="str">
        <f>IF(E318="","",IF(E318="No.","Each",IF(E318="Nos.","Each",E318)))</f>
        <v>Kgs.</v>
      </c>
      <c r="I318" s="986">
        <f t="shared" si="37"/>
        <v>1576.96</v>
      </c>
    </row>
    <row r="319" spans="1:10">
      <c r="A319" s="1019"/>
      <c r="B319" s="1020"/>
      <c r="C319" s="792" t="s">
        <v>420</v>
      </c>
      <c r="D319" s="1005">
        <v>1.2</v>
      </c>
      <c r="E319" s="1008" t="s">
        <v>421</v>
      </c>
      <c r="F319" s="986">
        <f>LEAD!$P$27</f>
        <v>73</v>
      </c>
      <c r="G319" s="1023">
        <v>1</v>
      </c>
      <c r="H319" s="991" t="str">
        <f>IF(E319="","",IF(E319="No.","Each",IF(E319="Nos.","Each",E319)))</f>
        <v>KL</v>
      </c>
      <c r="I319" s="986">
        <f>IF(G319="",D319*F319,(D319*F319/G319))</f>
        <v>87.6</v>
      </c>
    </row>
    <row r="320" spans="1:10">
      <c r="A320" s="1019"/>
      <c r="B320" s="1020"/>
      <c r="C320" s="1214" t="s">
        <v>424</v>
      </c>
      <c r="D320" s="1005"/>
      <c r="E320" s="1008"/>
      <c r="F320" s="986"/>
      <c r="G320" s="1023"/>
      <c r="H320" s="991"/>
      <c r="I320" s="986"/>
    </row>
    <row r="321" spans="1:10">
      <c r="A321" s="1019"/>
      <c r="B321" s="1020"/>
      <c r="C321" s="792" t="s">
        <v>691</v>
      </c>
      <c r="D321" s="1005">
        <v>1</v>
      </c>
      <c r="E321" s="1008" t="s">
        <v>692</v>
      </c>
      <c r="F321" s="986">
        <f>$H$208</f>
        <v>420.6</v>
      </c>
      <c r="G321" s="1023">
        <v>1</v>
      </c>
      <c r="H321" s="991" t="str">
        <f>IF(E321="","",IF(E321="No.","Each",IF(E321="Nos.","Each",E321)))</f>
        <v>Hour</v>
      </c>
      <c r="I321" s="986">
        <f>IF(G321="",D321*F321,(D321*F321/G321))</f>
        <v>420.6</v>
      </c>
    </row>
    <row r="322" spans="1:10">
      <c r="A322" s="1019"/>
      <c r="B322" s="1020"/>
      <c r="C322" s="792" t="s">
        <v>693</v>
      </c>
      <c r="D322" s="1047">
        <f>$E$5</f>
        <v>0.2</v>
      </c>
      <c r="E322" s="1008"/>
      <c r="F322" s="986">
        <f>$G$208</f>
        <v>271.7</v>
      </c>
      <c r="G322" s="1023">
        <v>1</v>
      </c>
      <c r="H322" s="991" t="str">
        <f>IF(E322="","",IF(E322="No.","Each",IF(E322="Nos.","Each",E322)))</f>
        <v/>
      </c>
      <c r="I322" s="986">
        <f>IF(G322="",D322*F322,(D322*F322/G322))</f>
        <v>54.34</v>
      </c>
    </row>
    <row r="323" spans="1:10">
      <c r="A323" s="1019"/>
      <c r="B323" s="1020"/>
      <c r="C323" s="1214" t="s">
        <v>690</v>
      </c>
      <c r="D323" s="1047"/>
      <c r="E323" s="1008"/>
      <c r="F323" s="986"/>
      <c r="G323" s="1023"/>
      <c r="H323" s="991"/>
      <c r="I323" s="986"/>
    </row>
    <row r="324" spans="1:10">
      <c r="A324" s="1019"/>
      <c r="B324" s="1020"/>
      <c r="C324" s="792" t="s">
        <v>395</v>
      </c>
      <c r="D324" s="1021">
        <v>0.1</v>
      </c>
      <c r="E324" s="1008" t="s">
        <v>529</v>
      </c>
      <c r="F324" s="986">
        <f>$F$9</f>
        <v>624</v>
      </c>
      <c r="G324" s="1023">
        <v>1</v>
      </c>
      <c r="H324" s="991" t="s">
        <v>268</v>
      </c>
      <c r="I324" s="986">
        <f t="shared" si="37"/>
        <v>62.400000000000006</v>
      </c>
    </row>
    <row r="325" spans="1:10">
      <c r="A325" s="1019"/>
      <c r="B325" s="1020"/>
      <c r="C325" s="792" t="s">
        <v>559</v>
      </c>
      <c r="D325" s="1021">
        <v>1.39</v>
      </c>
      <c r="E325" s="1008" t="s">
        <v>499</v>
      </c>
      <c r="F325" s="986">
        <f>$F$22</f>
        <v>558</v>
      </c>
      <c r="G325" s="1023">
        <v>1</v>
      </c>
      <c r="H325" s="991" t="str">
        <f>IF(E325="","",IF(E325="No.","Each",IF(E325="Nos.","Each",E325)))</f>
        <v>Each</v>
      </c>
      <c r="I325" s="986">
        <f t="shared" si="37"/>
        <v>775.61999999999989</v>
      </c>
    </row>
    <row r="326" spans="1:10">
      <c r="A326" s="1019"/>
      <c r="B326" s="1020"/>
      <c r="C326" s="980" t="s">
        <v>593</v>
      </c>
      <c r="D326" s="1021"/>
      <c r="E326" s="1022"/>
      <c r="F326" s="1003"/>
      <c r="G326" s="1023"/>
      <c r="H326" s="1215" t="s">
        <v>466</v>
      </c>
      <c r="I326" s="1012">
        <f>SUM(I316:I325)</f>
        <v>4615.7269999999999</v>
      </c>
    </row>
    <row r="327" spans="1:10">
      <c r="A327" s="1019"/>
      <c r="B327" s="1020"/>
      <c r="C327" s="1214" t="s">
        <v>428</v>
      </c>
      <c r="E327" s="1227" t="s">
        <v>501</v>
      </c>
      <c r="F327" s="1048" t="s">
        <v>502</v>
      </c>
      <c r="G327" s="1227" t="s">
        <v>503</v>
      </c>
      <c r="H327" s="1048" t="s">
        <v>709</v>
      </c>
      <c r="I327" s="1048" t="s">
        <v>502</v>
      </c>
      <c r="J327" s="1048" t="s">
        <v>502</v>
      </c>
    </row>
    <row r="328" spans="1:10">
      <c r="A328" s="1019"/>
      <c r="B328" s="1020"/>
      <c r="C328" s="792" t="s">
        <v>283</v>
      </c>
      <c r="E328" s="986">
        <f>I326</f>
        <v>4615.7269999999999</v>
      </c>
      <c r="F328" s="986">
        <f>I326</f>
        <v>4615.7269999999999</v>
      </c>
      <c r="G328" s="986">
        <f>I326</f>
        <v>4615.7269999999999</v>
      </c>
      <c r="H328" s="986">
        <f>I326</f>
        <v>4615.7269999999999</v>
      </c>
      <c r="I328" s="986">
        <f>H328</f>
        <v>4615.7269999999999</v>
      </c>
      <c r="J328" s="986">
        <f>I328</f>
        <v>4615.7269999999999</v>
      </c>
    </row>
    <row r="329" spans="1:10">
      <c r="A329" s="1019"/>
      <c r="B329" s="1020"/>
      <c r="C329" s="792" t="s">
        <v>580</v>
      </c>
      <c r="E329" s="986">
        <f t="shared" ref="E329:J329" si="38">$F$51</f>
        <v>64</v>
      </c>
      <c r="F329" s="986">
        <f t="shared" si="38"/>
        <v>64</v>
      </c>
      <c r="G329" s="986">
        <f t="shared" si="38"/>
        <v>64</v>
      </c>
      <c r="H329" s="986">
        <f t="shared" si="38"/>
        <v>64</v>
      </c>
      <c r="I329" s="986">
        <f t="shared" si="38"/>
        <v>64</v>
      </c>
      <c r="J329" s="986">
        <f t="shared" si="38"/>
        <v>64</v>
      </c>
    </row>
    <row r="330" spans="1:10">
      <c r="A330" s="1019"/>
      <c r="B330" s="1020"/>
      <c r="C330" s="792" t="s">
        <v>581</v>
      </c>
      <c r="E330" s="986">
        <f>$H$51</f>
        <v>356</v>
      </c>
      <c r="F330" s="986">
        <f>E330*1.1</f>
        <v>391.6</v>
      </c>
      <c r="G330" s="986">
        <f>E330*1.2</f>
        <v>427.2</v>
      </c>
      <c r="H330" s="986">
        <f>E330*1.3</f>
        <v>462.8</v>
      </c>
      <c r="I330" s="986">
        <f>E330*1.4</f>
        <v>498.4</v>
      </c>
      <c r="J330" s="986">
        <f>E330*1.5</f>
        <v>534</v>
      </c>
    </row>
    <row r="331" spans="1:10">
      <c r="A331" s="1019"/>
      <c r="B331" s="1020"/>
      <c r="C331" s="792" t="s">
        <v>417</v>
      </c>
      <c r="D331" s="1049">
        <f>$E$5</f>
        <v>0.2</v>
      </c>
      <c r="E331" s="986">
        <f t="shared" ref="E331:J331" si="39">ROUND($D$463*E330,2)</f>
        <v>71.2</v>
      </c>
      <c r="F331" s="986">
        <f t="shared" si="39"/>
        <v>78.319999999999993</v>
      </c>
      <c r="G331" s="986">
        <f t="shared" si="39"/>
        <v>85.44</v>
      </c>
      <c r="H331" s="986">
        <f t="shared" si="39"/>
        <v>92.56</v>
      </c>
      <c r="I331" s="986">
        <f t="shared" si="39"/>
        <v>99.68</v>
      </c>
      <c r="J331" s="986">
        <f t="shared" si="39"/>
        <v>106.8</v>
      </c>
    </row>
    <row r="332" spans="1:10">
      <c r="A332" s="1019"/>
      <c r="B332" s="1020"/>
      <c r="C332" s="792" t="s">
        <v>590</v>
      </c>
      <c r="E332" s="986">
        <v>0</v>
      </c>
      <c r="F332" s="986">
        <f>ROUND(0.1*($I$324+$I$325),2)</f>
        <v>83.8</v>
      </c>
      <c r="G332" s="986">
        <f>ROUND(0.2*($I$324+$I$325),2)</f>
        <v>167.6</v>
      </c>
      <c r="H332" s="986">
        <f>ROUND(0.3*($I$324+$I$325),2)</f>
        <v>251.41</v>
      </c>
      <c r="I332" s="986">
        <f>ROUND(0.4*($I$324+$I$325),2)</f>
        <v>335.21</v>
      </c>
      <c r="J332" s="986">
        <f>ROUND(0.5*($I$324+$I$325),2)</f>
        <v>419.01</v>
      </c>
    </row>
    <row r="333" spans="1:10">
      <c r="A333" s="1019"/>
      <c r="B333" s="1020"/>
      <c r="E333" s="986">
        <f t="shared" ref="E333:J333" si="40">SUM(E328:E332)</f>
        <v>5106.9269999999997</v>
      </c>
      <c r="F333" s="986">
        <f t="shared" si="40"/>
        <v>5233.4470000000001</v>
      </c>
      <c r="G333" s="986">
        <f t="shared" si="40"/>
        <v>5359.9669999999996</v>
      </c>
      <c r="H333" s="986">
        <f t="shared" si="40"/>
        <v>5486.4970000000003</v>
      </c>
      <c r="I333" s="986">
        <f t="shared" si="40"/>
        <v>5613.0169999999998</v>
      </c>
      <c r="J333" s="986">
        <f t="shared" si="40"/>
        <v>5739.5370000000003</v>
      </c>
    </row>
    <row r="334" spans="1:10">
      <c r="A334" s="1019"/>
      <c r="B334" s="1020"/>
      <c r="C334" s="1220" t="s">
        <v>1014</v>
      </c>
      <c r="D334" s="1026">
        <f>$D$3</f>
        <v>0</v>
      </c>
      <c r="E334" s="986">
        <f t="shared" ref="E334:J334" si="41">ROUND(E333*$D$312,2)</f>
        <v>0</v>
      </c>
      <c r="F334" s="986">
        <f t="shared" si="41"/>
        <v>0</v>
      </c>
      <c r="G334" s="986">
        <f t="shared" si="41"/>
        <v>0</v>
      </c>
      <c r="H334" s="986">
        <f t="shared" si="41"/>
        <v>0</v>
      </c>
      <c r="I334" s="986">
        <f t="shared" si="41"/>
        <v>0</v>
      </c>
      <c r="J334" s="986">
        <f t="shared" si="41"/>
        <v>0</v>
      </c>
    </row>
    <row r="335" spans="1:10">
      <c r="A335" s="1019"/>
      <c r="B335" s="1020"/>
      <c r="C335" s="980" t="s">
        <v>539</v>
      </c>
      <c r="D335" s="980" t="s">
        <v>466</v>
      </c>
      <c r="E335" s="1012">
        <f t="shared" ref="E335:J335" si="42">CEILING(SUM(E333:E334),0.05)</f>
        <v>5106.9500000000007</v>
      </c>
      <c r="F335" s="1012">
        <f t="shared" si="42"/>
        <v>5233.4500000000007</v>
      </c>
      <c r="G335" s="1012">
        <f t="shared" si="42"/>
        <v>5360</v>
      </c>
      <c r="H335" s="1012">
        <f t="shared" si="42"/>
        <v>5486.5</v>
      </c>
      <c r="I335" s="1012">
        <f t="shared" si="42"/>
        <v>5613.05</v>
      </c>
      <c r="J335" s="1012">
        <f t="shared" si="42"/>
        <v>5739.55</v>
      </c>
    </row>
    <row r="336" spans="1:10" ht="84.75" customHeight="1">
      <c r="A336" s="1019">
        <f>A314+1</f>
        <v>9</v>
      </c>
      <c r="B336" s="1020"/>
      <c r="C336" s="1502" t="s">
        <v>2292</v>
      </c>
      <c r="D336" s="1502"/>
      <c r="E336" s="1502"/>
      <c r="F336" s="1502"/>
      <c r="G336" s="1502"/>
      <c r="H336" s="1502"/>
      <c r="I336" s="1502"/>
    </row>
    <row r="337" spans="1:10">
      <c r="A337" s="1019"/>
      <c r="B337" s="1020"/>
      <c r="C337" s="1214" t="s">
        <v>557</v>
      </c>
      <c r="D337" s="1021"/>
      <c r="E337" s="1008"/>
      <c r="F337" s="1003"/>
      <c r="G337" s="1023"/>
      <c r="H337" s="1213"/>
      <c r="I337" s="1003"/>
    </row>
    <row r="338" spans="1:10">
      <c r="A338" s="1019"/>
      <c r="B338" s="1020"/>
      <c r="C338" s="792" t="s">
        <v>284</v>
      </c>
      <c r="D338" s="1005">
        <v>0.9</v>
      </c>
      <c r="E338" s="1008" t="s">
        <v>529</v>
      </c>
      <c r="F338" s="986">
        <f>I205</f>
        <v>1601.6699999999998</v>
      </c>
      <c r="G338" s="1023">
        <v>1</v>
      </c>
      <c r="H338" s="991" t="str">
        <f t="shared" ref="H338:H347" si="43">IF(E338="","",IF(E338="No.","Each",IF(E338="Nos.","Each",E338)))</f>
        <v>cu.m.</v>
      </c>
      <c r="I338" s="986">
        <f t="shared" ref="I338:I347" si="44">IF(G338="",D338*F338,(D338*F338/G338))</f>
        <v>1441.5029999999999</v>
      </c>
    </row>
    <row r="339" spans="1:10">
      <c r="A339" s="1019"/>
      <c r="B339" s="1020"/>
      <c r="C339" s="792" t="s">
        <v>519</v>
      </c>
      <c r="D339" s="1005">
        <v>0.45</v>
      </c>
      <c r="E339" s="1008" t="s">
        <v>529</v>
      </c>
      <c r="F339" s="986">
        <f>LEAD!P7</f>
        <v>437.11999999999983</v>
      </c>
      <c r="G339" s="1023">
        <v>1</v>
      </c>
      <c r="H339" s="991" t="str">
        <f t="shared" si="43"/>
        <v>cu.m.</v>
      </c>
      <c r="I339" s="986">
        <f t="shared" si="44"/>
        <v>196.70399999999992</v>
      </c>
    </row>
    <row r="340" spans="1:10">
      <c r="A340" s="1019"/>
      <c r="B340" s="1020"/>
      <c r="C340" s="792" t="s">
        <v>592</v>
      </c>
      <c r="D340" s="1005">
        <v>331.2</v>
      </c>
      <c r="E340" s="1008" t="s">
        <v>700</v>
      </c>
      <c r="F340" s="986">
        <f>LEAD!P28</f>
        <v>7168</v>
      </c>
      <c r="G340" s="1023">
        <v>1000</v>
      </c>
      <c r="H340" s="991" t="str">
        <f t="shared" si="43"/>
        <v>Kgs.</v>
      </c>
      <c r="I340" s="986">
        <f t="shared" si="44"/>
        <v>2374.0416</v>
      </c>
    </row>
    <row r="341" spans="1:10">
      <c r="A341" s="1019"/>
      <c r="B341" s="1020"/>
      <c r="C341" s="792" t="s">
        <v>420</v>
      </c>
      <c r="D341" s="1005">
        <v>1.2</v>
      </c>
      <c r="E341" s="1008" t="s">
        <v>421</v>
      </c>
      <c r="F341" s="986">
        <f>LEAD!$P$27</f>
        <v>73</v>
      </c>
      <c r="G341" s="1023">
        <v>1</v>
      </c>
      <c r="H341" s="991" t="str">
        <f>IF(E341="","",IF(E341="No.","Each",IF(E341="Nos.","Each",E341)))</f>
        <v>KL</v>
      </c>
      <c r="I341" s="986">
        <f>IF(G341="",D341*F341,(D341*F341/G341))</f>
        <v>87.6</v>
      </c>
    </row>
    <row r="342" spans="1:10">
      <c r="A342" s="1019"/>
      <c r="B342" s="1020"/>
      <c r="C342" s="1214" t="s">
        <v>424</v>
      </c>
      <c r="D342" s="1005"/>
      <c r="E342" s="1008"/>
      <c r="F342" s="986"/>
      <c r="G342" s="1023"/>
      <c r="H342" s="991"/>
      <c r="I342" s="986"/>
    </row>
    <row r="343" spans="1:10">
      <c r="A343" s="1019"/>
      <c r="B343" s="1020"/>
      <c r="C343" s="792" t="s">
        <v>691</v>
      </c>
      <c r="D343" s="1005">
        <v>1</v>
      </c>
      <c r="E343" s="1008" t="s">
        <v>692</v>
      </c>
      <c r="F343" s="986">
        <f>$H$208</f>
        <v>420.6</v>
      </c>
      <c r="G343" s="1023">
        <v>1</v>
      </c>
      <c r="H343" s="991" t="str">
        <f>IF(E343="","",IF(E343="No.","Each",IF(E343="Nos.","Each",E343)))</f>
        <v>Hour</v>
      </c>
      <c r="I343" s="986">
        <f>IF(G343="",D343*F343,(D343*F343/G343))</f>
        <v>420.6</v>
      </c>
    </row>
    <row r="344" spans="1:10">
      <c r="A344" s="1019"/>
      <c r="B344" s="1020"/>
      <c r="C344" s="792" t="s">
        <v>693</v>
      </c>
      <c r="D344" s="1047">
        <f>$E$5</f>
        <v>0.2</v>
      </c>
      <c r="E344" s="1008"/>
      <c r="F344" s="986">
        <f>$G$208</f>
        <v>271.7</v>
      </c>
      <c r="G344" s="1023">
        <v>1</v>
      </c>
      <c r="H344" s="991" t="str">
        <f>IF(E344="","",IF(E344="No.","Each",IF(E344="Nos.","Each",E344)))</f>
        <v/>
      </c>
      <c r="I344" s="986">
        <f>IF(G344="",D344*F344,(D344*F344/G344))</f>
        <v>54.34</v>
      </c>
    </row>
    <row r="345" spans="1:10">
      <c r="A345" s="1019"/>
      <c r="B345" s="1020"/>
      <c r="C345" s="1214" t="s">
        <v>690</v>
      </c>
      <c r="D345" s="1047"/>
      <c r="E345" s="1008"/>
      <c r="F345" s="986"/>
      <c r="G345" s="1023"/>
      <c r="H345" s="991"/>
      <c r="I345" s="986"/>
    </row>
    <row r="346" spans="1:10">
      <c r="A346" s="1019"/>
      <c r="B346" s="1020"/>
      <c r="C346" s="792" t="s">
        <v>395</v>
      </c>
      <c r="D346" s="1021">
        <v>0.1</v>
      </c>
      <c r="E346" s="1008" t="s">
        <v>529</v>
      </c>
      <c r="F346" s="986">
        <f>$F$9</f>
        <v>624</v>
      </c>
      <c r="G346" s="1023">
        <v>1</v>
      </c>
      <c r="H346" s="991" t="str">
        <f t="shared" si="43"/>
        <v>cu.m.</v>
      </c>
      <c r="I346" s="986">
        <f t="shared" si="44"/>
        <v>62.400000000000006</v>
      </c>
    </row>
    <row r="347" spans="1:10">
      <c r="A347" s="1019"/>
      <c r="B347" s="1020"/>
      <c r="C347" s="792" t="s">
        <v>238</v>
      </c>
      <c r="D347" s="1021">
        <v>1.39</v>
      </c>
      <c r="E347" s="1008" t="s">
        <v>499</v>
      </c>
      <c r="F347" s="986">
        <f>$F$22</f>
        <v>558</v>
      </c>
      <c r="G347" s="1023">
        <v>1</v>
      </c>
      <c r="H347" s="991" t="str">
        <f t="shared" si="43"/>
        <v>Each</v>
      </c>
      <c r="I347" s="986">
        <f t="shared" si="44"/>
        <v>775.61999999999989</v>
      </c>
    </row>
    <row r="348" spans="1:10">
      <c r="A348" s="1019"/>
      <c r="B348" s="1020"/>
      <c r="C348" s="980" t="s">
        <v>593</v>
      </c>
      <c r="D348" s="1021"/>
      <c r="E348" s="1022"/>
      <c r="F348" s="1003"/>
      <c r="G348" s="1023"/>
      <c r="H348" s="1215" t="s">
        <v>466</v>
      </c>
      <c r="I348" s="1012">
        <f>SUM(I338:I347)</f>
        <v>5412.8086000000003</v>
      </c>
    </row>
    <row r="349" spans="1:10">
      <c r="A349" s="1019"/>
      <c r="B349" s="1020"/>
      <c r="C349" s="1214" t="s">
        <v>428</v>
      </c>
      <c r="E349" s="1227" t="s">
        <v>501</v>
      </c>
      <c r="F349" s="1048" t="s">
        <v>502</v>
      </c>
      <c r="G349" s="1227" t="s">
        <v>503</v>
      </c>
      <c r="H349" s="1048" t="s">
        <v>709</v>
      </c>
      <c r="I349" s="1048" t="s">
        <v>502</v>
      </c>
    </row>
    <row r="350" spans="1:10">
      <c r="A350" s="1019"/>
      <c r="B350" s="1020"/>
      <c r="C350" s="792" t="s">
        <v>374</v>
      </c>
      <c r="E350" s="986">
        <f>I348</f>
        <v>5412.8086000000003</v>
      </c>
      <c r="F350" s="986">
        <f>I348</f>
        <v>5412.8086000000003</v>
      </c>
      <c r="G350" s="986">
        <f>I348</f>
        <v>5412.8086000000003</v>
      </c>
      <c r="H350" s="986">
        <f>I348</f>
        <v>5412.8086000000003</v>
      </c>
      <c r="I350" s="986">
        <f>H350</f>
        <v>5412.8086000000003</v>
      </c>
      <c r="J350" s="979">
        <f>I348*D356</f>
        <v>0</v>
      </c>
    </row>
    <row r="351" spans="1:10">
      <c r="A351" s="1019"/>
      <c r="B351" s="1020"/>
      <c r="C351" s="792" t="s">
        <v>580</v>
      </c>
      <c r="E351" s="986">
        <f>$F$51</f>
        <v>64</v>
      </c>
      <c r="F351" s="986">
        <f>$F$51</f>
        <v>64</v>
      </c>
      <c r="G351" s="986">
        <f>$F$51</f>
        <v>64</v>
      </c>
      <c r="H351" s="986">
        <f>$F$51</f>
        <v>64</v>
      </c>
      <c r="I351" s="986">
        <f>$F$51</f>
        <v>64</v>
      </c>
      <c r="J351" s="997">
        <f>I348+J350</f>
        <v>5412.8086000000003</v>
      </c>
    </row>
    <row r="352" spans="1:10">
      <c r="A352" s="1019"/>
      <c r="B352" s="1020"/>
      <c r="C352" s="792" t="s">
        <v>581</v>
      </c>
      <c r="E352" s="986">
        <f>$H$51</f>
        <v>356</v>
      </c>
      <c r="F352" s="986">
        <f>E352*1.1</f>
        <v>391.6</v>
      </c>
      <c r="G352" s="986">
        <f>E352*1.2</f>
        <v>427.2</v>
      </c>
      <c r="H352" s="986">
        <f>E352*1.3</f>
        <v>462.8</v>
      </c>
      <c r="I352" s="986">
        <f>E352*1.4</f>
        <v>498.4</v>
      </c>
    </row>
    <row r="353" spans="1:9">
      <c r="A353" s="1019"/>
      <c r="B353" s="1020"/>
      <c r="C353" s="792" t="s">
        <v>417</v>
      </c>
      <c r="D353" s="1049">
        <f>$E$5</f>
        <v>0.2</v>
      </c>
      <c r="E353" s="986">
        <f>ROUND($D$463*E352,2)</f>
        <v>71.2</v>
      </c>
      <c r="F353" s="986">
        <f>ROUND($D$463*F352,2)</f>
        <v>78.319999999999993</v>
      </c>
      <c r="G353" s="986">
        <f>ROUND($D$463*G352,2)</f>
        <v>85.44</v>
      </c>
      <c r="H353" s="986">
        <f>ROUND($D$463*H352,2)</f>
        <v>92.56</v>
      </c>
      <c r="I353" s="986">
        <f>ROUND($D$463*I352,2)</f>
        <v>99.68</v>
      </c>
    </row>
    <row r="354" spans="1:9">
      <c r="A354" s="1019"/>
      <c r="B354" s="1020"/>
      <c r="C354" s="792" t="s">
        <v>590</v>
      </c>
      <c r="E354" s="986">
        <v>0</v>
      </c>
      <c r="F354" s="986">
        <f>ROUND(0.1*($I$346+$I$347),2)</f>
        <v>83.8</v>
      </c>
      <c r="G354" s="986">
        <f>ROUND(0.2*($I$346+$I$347),2)</f>
        <v>167.6</v>
      </c>
      <c r="H354" s="986">
        <f>ROUND(0.3*($I$346+$I$347),2)</f>
        <v>251.41</v>
      </c>
      <c r="I354" s="986">
        <f>ROUND(0.4*($I$346+$I$347),2)</f>
        <v>335.21</v>
      </c>
    </row>
    <row r="355" spans="1:9">
      <c r="A355" s="1019"/>
      <c r="B355" s="1020"/>
      <c r="E355" s="986">
        <f>SUM(E350:E354)</f>
        <v>5904.0086000000001</v>
      </c>
      <c r="F355" s="986">
        <f>SUM(F350:F354)</f>
        <v>6030.5286000000006</v>
      </c>
      <c r="G355" s="986">
        <f>SUM(G350:G354)</f>
        <v>6157.0486000000001</v>
      </c>
      <c r="H355" s="986">
        <f>SUM(H350:H354)</f>
        <v>6283.5786000000007</v>
      </c>
      <c r="I355" s="986">
        <f>SUM(I350:I354)</f>
        <v>6410.0986000000003</v>
      </c>
    </row>
    <row r="356" spans="1:9">
      <c r="A356" s="1019"/>
      <c r="B356" s="1020"/>
      <c r="C356" s="1220" t="s">
        <v>1014</v>
      </c>
      <c r="D356" s="1026">
        <f>$D$3</f>
        <v>0</v>
      </c>
      <c r="E356" s="986">
        <f>ROUND(E355*$D$312,2)</f>
        <v>0</v>
      </c>
      <c r="F356" s="986">
        <f>ROUND(F355*$D$312,2)</f>
        <v>0</v>
      </c>
      <c r="G356" s="986">
        <f>ROUND(G355*$D$312,2)</f>
        <v>0</v>
      </c>
      <c r="H356" s="986">
        <f>ROUND(H355*$D$312,2)</f>
        <v>0</v>
      </c>
      <c r="I356" s="986">
        <f>ROUND(I355*$D$312,2)</f>
        <v>0</v>
      </c>
    </row>
    <row r="357" spans="1:9">
      <c r="A357" s="1019"/>
      <c r="B357" s="1020"/>
      <c r="C357" s="980" t="s">
        <v>539</v>
      </c>
      <c r="D357" s="980" t="s">
        <v>466</v>
      </c>
      <c r="E357" s="1012">
        <f>CEILING(SUM(E355:E356),0.05)</f>
        <v>5904.05</v>
      </c>
      <c r="F357" s="1012">
        <f>CEILING(SUM(F355:F356),0.05)</f>
        <v>6030.55</v>
      </c>
      <c r="G357" s="1012">
        <f>CEILING(SUM(G355:G356),0.05)</f>
        <v>6157.05</v>
      </c>
      <c r="H357" s="1012">
        <f>CEILING(SUM(H355:H356),0.05)</f>
        <v>6283.6</v>
      </c>
      <c r="I357" s="1012">
        <f>CEILING(SUM(I355:I356),0.05)</f>
        <v>6410.1</v>
      </c>
    </row>
    <row r="358" spans="1:9" ht="12.75" customHeight="1">
      <c r="A358" s="1019">
        <f>A336+1</f>
        <v>10</v>
      </c>
      <c r="B358" s="1020"/>
      <c r="C358" s="1499" t="s">
        <v>1193</v>
      </c>
      <c r="D358" s="1499"/>
      <c r="E358" s="1499"/>
      <c r="F358" s="1499"/>
      <c r="G358" s="1499"/>
      <c r="H358" s="1499"/>
      <c r="I358" s="1499"/>
    </row>
    <row r="359" spans="1:9" ht="12.75" customHeight="1">
      <c r="A359" s="1019"/>
      <c r="B359" s="1020"/>
      <c r="C359" s="1214" t="s">
        <v>557</v>
      </c>
      <c r="D359" s="1021"/>
      <c r="E359" s="1008"/>
      <c r="F359" s="1003"/>
      <c r="G359" s="1023"/>
      <c r="H359" s="1213"/>
      <c r="I359" s="1003"/>
    </row>
    <row r="360" spans="1:9" ht="12.75" customHeight="1">
      <c r="A360" s="1019"/>
      <c r="B360" s="1020"/>
      <c r="C360" s="792" t="s">
        <v>284</v>
      </c>
      <c r="D360" s="1005">
        <v>0.8</v>
      </c>
      <c r="E360" s="1008" t="s">
        <v>529</v>
      </c>
      <c r="F360" s="986">
        <f>I205</f>
        <v>1601.6699999999998</v>
      </c>
      <c r="G360" s="1023">
        <v>1</v>
      </c>
      <c r="H360" s="991" t="str">
        <f t="shared" ref="H360:H370" si="45">IF(E360="","",IF(E360="No.","Each",IF(E360="Nos.","Each",E360)))</f>
        <v>cu.m.</v>
      </c>
      <c r="I360" s="986">
        <f t="shared" ref="I360:I370" si="46">IF(G360="",D360*F360,(D360*F360/G360))</f>
        <v>1281.336</v>
      </c>
    </row>
    <row r="361" spans="1:9" ht="12.75" customHeight="1">
      <c r="A361" s="1019"/>
      <c r="B361" s="1020"/>
      <c r="C361" s="792" t="s">
        <v>519</v>
      </c>
      <c r="D361" s="1005">
        <f>0.4</f>
        <v>0.4</v>
      </c>
      <c r="E361" s="1008" t="s">
        <v>529</v>
      </c>
      <c r="F361" s="986">
        <f>LEAD!P7</f>
        <v>437.11999999999983</v>
      </c>
      <c r="G361" s="1023">
        <v>1</v>
      </c>
      <c r="H361" s="991" t="str">
        <f t="shared" si="45"/>
        <v>cu.m.</v>
      </c>
      <c r="I361" s="986">
        <f t="shared" si="46"/>
        <v>174.84799999999996</v>
      </c>
    </row>
    <row r="362" spans="1:9" ht="12.75" customHeight="1">
      <c r="A362" s="1019"/>
      <c r="B362" s="1020"/>
      <c r="C362" s="792" t="s">
        <v>235</v>
      </c>
      <c r="D362" s="1005">
        <v>350</v>
      </c>
      <c r="E362" s="1008" t="s">
        <v>462</v>
      </c>
      <c r="F362" s="986">
        <f>LEAD!P28</f>
        <v>7168</v>
      </c>
      <c r="G362" s="1023">
        <v>1000</v>
      </c>
      <c r="H362" s="991" t="str">
        <f t="shared" si="45"/>
        <v>kgs</v>
      </c>
      <c r="I362" s="986">
        <f t="shared" si="46"/>
        <v>2508.8000000000002</v>
      </c>
    </row>
    <row r="363" spans="1:9" ht="12.75" customHeight="1">
      <c r="A363" s="1019"/>
      <c r="B363" s="1020"/>
      <c r="C363" s="792" t="s">
        <v>420</v>
      </c>
      <c r="D363" s="1005">
        <v>1.2</v>
      </c>
      <c r="E363" s="1008" t="s">
        <v>421</v>
      </c>
      <c r="F363" s="986">
        <f>LEAD!$P$27</f>
        <v>73</v>
      </c>
      <c r="G363" s="1023">
        <v>1</v>
      </c>
      <c r="H363" s="991" t="str">
        <f>IF(E363="","",IF(E363="No.","Each",IF(E363="Nos.","Each",E363)))</f>
        <v>KL</v>
      </c>
      <c r="I363" s="986">
        <f>IF(G363="",D363*F363,(D363*F363/G363))</f>
        <v>87.6</v>
      </c>
    </row>
    <row r="364" spans="1:9" ht="12.75" customHeight="1">
      <c r="A364" s="1019"/>
      <c r="B364" s="1020"/>
      <c r="C364" s="1214" t="s">
        <v>424</v>
      </c>
      <c r="D364" s="1005"/>
      <c r="E364" s="1008"/>
      <c r="F364" s="986"/>
      <c r="G364" s="1023"/>
      <c r="H364" s="991"/>
      <c r="I364" s="986"/>
    </row>
    <row r="365" spans="1:9" ht="12.75" customHeight="1">
      <c r="A365" s="1019"/>
      <c r="B365" s="1020"/>
      <c r="C365" s="792" t="s">
        <v>321</v>
      </c>
      <c r="D365" s="1005">
        <v>1.333</v>
      </c>
      <c r="E365" s="1008" t="s">
        <v>692</v>
      </c>
      <c r="F365" s="986">
        <f>$H$209</f>
        <v>649.6</v>
      </c>
      <c r="G365" s="1023">
        <v>1</v>
      </c>
      <c r="H365" s="991" t="str">
        <f>IF(E365="","",IF(E365="No.","Each",IF(E365="Nos.","Each",E365)))</f>
        <v>Hour</v>
      </c>
      <c r="I365" s="986">
        <f>IF(G365="",D365*F365,(D365*F365/G365))</f>
        <v>865.91679999999997</v>
      </c>
    </row>
    <row r="366" spans="1:9" ht="12.75" customHeight="1">
      <c r="A366" s="1019"/>
      <c r="B366" s="1020"/>
      <c r="C366" s="792" t="s">
        <v>322</v>
      </c>
      <c r="D366" s="1005">
        <v>1.333</v>
      </c>
      <c r="E366" s="1008" t="s">
        <v>692</v>
      </c>
      <c r="F366" s="986">
        <f>$H$210</f>
        <v>221.7</v>
      </c>
      <c r="G366" s="1023">
        <v>1</v>
      </c>
      <c r="H366" s="991" t="str">
        <f>IF(E366="","",IF(E366="No.","Each",IF(E366="Nos.","Each",E366)))</f>
        <v>Hour</v>
      </c>
      <c r="I366" s="986">
        <f>IF(G366="",D366*F366,(D366*F366/G366))</f>
        <v>295.52609999999999</v>
      </c>
    </row>
    <row r="367" spans="1:9" ht="12.75" customHeight="1">
      <c r="A367" s="1019"/>
      <c r="B367" s="1020"/>
      <c r="C367" s="792" t="s">
        <v>239</v>
      </c>
      <c r="D367" s="1047">
        <f>$E$5</f>
        <v>0.2</v>
      </c>
      <c r="E367" s="1008"/>
      <c r="F367" s="986">
        <f>ROUND((D365*$G$209)+(D366*$G$210),2)</f>
        <v>802.07</v>
      </c>
      <c r="G367" s="1023">
        <v>1</v>
      </c>
      <c r="H367" s="991" t="str">
        <f>IF(E367="","",IF(E367="No.","Each",IF(E367="Nos.","Each",E367)))</f>
        <v/>
      </c>
      <c r="I367" s="986">
        <f>IF(G367="",D367*F367,(D367*F367/G367))</f>
        <v>160.41400000000002</v>
      </c>
    </row>
    <row r="368" spans="1:9" ht="12.75" customHeight="1">
      <c r="A368" s="1019"/>
      <c r="B368" s="1020"/>
      <c r="C368" s="1214" t="s">
        <v>690</v>
      </c>
      <c r="D368" s="1047"/>
      <c r="E368" s="1008"/>
      <c r="F368" s="986"/>
      <c r="G368" s="1023"/>
      <c r="H368" s="991"/>
      <c r="I368" s="986"/>
    </row>
    <row r="369" spans="1:9" ht="12.75" customHeight="1">
      <c r="A369" s="1019"/>
      <c r="B369" s="1020"/>
      <c r="C369" s="792" t="s">
        <v>375</v>
      </c>
      <c r="D369" s="1021">
        <v>0.1</v>
      </c>
      <c r="E369" s="1008" t="s">
        <v>499</v>
      </c>
      <c r="F369" s="986">
        <f>$F$9</f>
        <v>624</v>
      </c>
      <c r="G369" s="1023">
        <v>1</v>
      </c>
      <c r="H369" s="991" t="str">
        <f t="shared" si="45"/>
        <v>Each</v>
      </c>
      <c r="I369" s="986">
        <f t="shared" si="46"/>
        <v>62.400000000000006</v>
      </c>
    </row>
    <row r="370" spans="1:9" ht="12.75" customHeight="1">
      <c r="A370" s="1019"/>
      <c r="B370" s="1020"/>
      <c r="C370" s="792" t="s">
        <v>323</v>
      </c>
      <c r="D370" s="1021">
        <v>1.39</v>
      </c>
      <c r="E370" s="1008" t="s">
        <v>499</v>
      </c>
      <c r="F370" s="986">
        <f>$F$22</f>
        <v>558</v>
      </c>
      <c r="G370" s="1023">
        <v>1</v>
      </c>
      <c r="H370" s="991" t="str">
        <f t="shared" si="45"/>
        <v>Each</v>
      </c>
      <c r="I370" s="986">
        <f t="shared" si="46"/>
        <v>775.61999999999989</v>
      </c>
    </row>
    <row r="371" spans="1:9" ht="12.75" customHeight="1">
      <c r="A371" s="1019"/>
      <c r="B371" s="1020"/>
      <c r="C371" s="980" t="s">
        <v>593</v>
      </c>
      <c r="D371" s="1021"/>
      <c r="E371" s="1022"/>
      <c r="F371" s="1003"/>
      <c r="G371" s="1023"/>
      <c r="H371" s="1215"/>
      <c r="I371" s="1012">
        <f>SUM(I360:I370)</f>
        <v>6212.4608999999991</v>
      </c>
    </row>
    <row r="372" spans="1:9">
      <c r="A372" s="1019"/>
      <c r="B372" s="1020"/>
      <c r="C372" s="1214" t="s">
        <v>428</v>
      </c>
      <c r="E372" s="1227" t="s">
        <v>501</v>
      </c>
      <c r="F372" s="1048" t="s">
        <v>502</v>
      </c>
      <c r="G372" s="1227" t="s">
        <v>503</v>
      </c>
      <c r="H372" s="1048" t="s">
        <v>709</v>
      </c>
      <c r="I372" s="1048" t="s">
        <v>502</v>
      </c>
    </row>
    <row r="373" spans="1:9">
      <c r="A373" s="1019"/>
      <c r="B373" s="1020"/>
      <c r="C373" s="792" t="s">
        <v>376</v>
      </c>
      <c r="E373" s="986">
        <f>I371</f>
        <v>6212.4608999999991</v>
      </c>
      <c r="F373" s="986">
        <f>I371</f>
        <v>6212.4608999999991</v>
      </c>
      <c r="G373" s="986">
        <f>I371</f>
        <v>6212.4608999999991</v>
      </c>
      <c r="H373" s="986">
        <f>I371</f>
        <v>6212.4608999999991</v>
      </c>
      <c r="I373" s="986">
        <f>I371</f>
        <v>6212.4608999999991</v>
      </c>
    </row>
    <row r="374" spans="1:9">
      <c r="A374" s="1019"/>
      <c r="B374" s="1020"/>
      <c r="C374" s="792" t="s">
        <v>580</v>
      </c>
      <c r="E374" s="986">
        <f>$F$51</f>
        <v>64</v>
      </c>
      <c r="F374" s="986">
        <f>$F$51</f>
        <v>64</v>
      </c>
      <c r="G374" s="986">
        <f>$F$51</f>
        <v>64</v>
      </c>
      <c r="H374" s="986">
        <f>$F$51</f>
        <v>64</v>
      </c>
      <c r="I374" s="986">
        <f>$F$51</f>
        <v>64</v>
      </c>
    </row>
    <row r="375" spans="1:9">
      <c r="A375" s="1019"/>
      <c r="B375" s="1020"/>
      <c r="C375" s="792" t="s">
        <v>581</v>
      </c>
      <c r="E375" s="986">
        <f>$H$51</f>
        <v>356</v>
      </c>
      <c r="F375" s="986">
        <f>E375*1.1</f>
        <v>391.6</v>
      </c>
      <c r="G375" s="986">
        <f>E375*1.2</f>
        <v>427.2</v>
      </c>
      <c r="H375" s="986">
        <f>E375*1.3</f>
        <v>462.8</v>
      </c>
      <c r="I375" s="986">
        <f>E375*1.4</f>
        <v>498.4</v>
      </c>
    </row>
    <row r="376" spans="1:9">
      <c r="A376" s="1019"/>
      <c r="B376" s="1020"/>
      <c r="C376" s="792" t="s">
        <v>417</v>
      </c>
      <c r="D376" s="1049">
        <f>$E$5</f>
        <v>0.2</v>
      </c>
      <c r="E376" s="986">
        <f>ROUND($D$463*E375,2)</f>
        <v>71.2</v>
      </c>
      <c r="F376" s="986">
        <f>ROUND($D$463*F375,2)</f>
        <v>78.319999999999993</v>
      </c>
      <c r="G376" s="986">
        <f>ROUND($D$463*G375,2)</f>
        <v>85.44</v>
      </c>
      <c r="H376" s="986">
        <f>ROUND($D$463*H375,2)</f>
        <v>92.56</v>
      </c>
      <c r="I376" s="986">
        <f>ROUND($D$463*I375,2)</f>
        <v>99.68</v>
      </c>
    </row>
    <row r="377" spans="1:9">
      <c r="A377" s="1019"/>
      <c r="B377" s="1020"/>
      <c r="C377" s="792" t="s">
        <v>590</v>
      </c>
      <c r="E377" s="986">
        <v>0</v>
      </c>
      <c r="F377" s="986">
        <f>ROUND(0.1*(I369+I370),2)</f>
        <v>83.8</v>
      </c>
      <c r="G377" s="986">
        <f>ROUND(0.2*(I369+I370),2)</f>
        <v>167.6</v>
      </c>
      <c r="H377" s="986">
        <f>ROUND(0.3*(I369+I370),2)</f>
        <v>251.41</v>
      </c>
      <c r="I377" s="986">
        <f>ROUND(0.4*(I369+I370),2)</f>
        <v>335.21</v>
      </c>
    </row>
    <row r="378" spans="1:9">
      <c r="A378" s="1019"/>
      <c r="B378" s="1020"/>
      <c r="E378" s="986">
        <f>SUM(E373:E377)</f>
        <v>6703.6608999999989</v>
      </c>
      <c r="F378" s="986">
        <f>SUM(F373:F377)</f>
        <v>6830.1808999999994</v>
      </c>
      <c r="G378" s="986">
        <f>SUM(G373:G377)</f>
        <v>6956.7008999999989</v>
      </c>
      <c r="H378" s="986">
        <f>SUM(H373:H377)</f>
        <v>7083.2308999999996</v>
      </c>
      <c r="I378" s="986">
        <f>SUM(I373:I377)</f>
        <v>7209.7508999999991</v>
      </c>
    </row>
    <row r="379" spans="1:9">
      <c r="A379" s="1019"/>
      <c r="B379" s="1020"/>
      <c r="C379" s="1220" t="s">
        <v>1014</v>
      </c>
      <c r="D379" s="1026">
        <f>$D$3</f>
        <v>0</v>
      </c>
      <c r="E379" s="986">
        <f>ROUND(E378*$D$312,2)</f>
        <v>0</v>
      </c>
      <c r="F379" s="986">
        <f>ROUND(F378*$D$312,2)</f>
        <v>0</v>
      </c>
      <c r="G379" s="986">
        <f>ROUND(G378*$D$312,2)</f>
        <v>0</v>
      </c>
      <c r="H379" s="986">
        <f>ROUND(H378*$D$312,2)</f>
        <v>0</v>
      </c>
      <c r="I379" s="986">
        <f>ROUND(I378*$D$312,2)</f>
        <v>0</v>
      </c>
    </row>
    <row r="380" spans="1:9">
      <c r="A380" s="1019"/>
      <c r="B380" s="1020"/>
      <c r="C380" s="980" t="s">
        <v>539</v>
      </c>
      <c r="D380" s="980" t="s">
        <v>466</v>
      </c>
      <c r="E380" s="1012">
        <f>CEILING(SUM(E378:E379),0.05)</f>
        <v>6703.7000000000007</v>
      </c>
      <c r="F380" s="1012">
        <f>CEILING(SUM(F378:F379),0.05)</f>
        <v>6830.2000000000007</v>
      </c>
      <c r="G380" s="1012">
        <f>CEILING(SUM(G378:G379),0.05)</f>
        <v>6956.75</v>
      </c>
      <c r="H380" s="1012">
        <f>CEILING(SUM(H378:H379),0.05)</f>
        <v>7083.25</v>
      </c>
      <c r="I380" s="1012">
        <f>CEILING(SUM(I378:I379),0.05)</f>
        <v>7209.8</v>
      </c>
    </row>
    <row r="381" spans="1:9">
      <c r="A381" s="1019"/>
      <c r="B381" s="1020"/>
      <c r="C381" s="980"/>
      <c r="D381" s="980"/>
      <c r="E381" s="1012"/>
      <c r="F381" s="1012"/>
      <c r="G381" s="1012"/>
      <c r="H381" s="1012"/>
    </row>
    <row r="382" spans="1:9" ht="12.75" customHeight="1">
      <c r="A382" s="1019"/>
      <c r="B382" s="1020"/>
      <c r="C382" s="980"/>
      <c r="D382" s="980"/>
      <c r="E382" s="1012"/>
      <c r="F382" s="1012"/>
      <c r="G382" s="1012"/>
      <c r="H382" s="1012"/>
    </row>
    <row r="383" spans="1:9" ht="69" customHeight="1">
      <c r="A383" s="1019">
        <f>A358+1</f>
        <v>11</v>
      </c>
      <c r="B383" s="1020"/>
      <c r="C383" s="1504" t="s">
        <v>2403</v>
      </c>
      <c r="D383" s="1504"/>
      <c r="E383" s="1504"/>
      <c r="F383" s="1504"/>
      <c r="G383" s="1504"/>
      <c r="H383" s="1504"/>
      <c r="I383" s="1504"/>
    </row>
    <row r="384" spans="1:9" ht="18" customHeight="1">
      <c r="A384" s="1048"/>
      <c r="B384" s="1020"/>
      <c r="C384" s="1212" t="s">
        <v>520</v>
      </c>
      <c r="D384" s="1021">
        <v>59.4</v>
      </c>
      <c r="E384" s="1003" t="s">
        <v>364</v>
      </c>
      <c r="F384" s="986">
        <f>LEAD!P28</f>
        <v>7168</v>
      </c>
      <c r="G384" s="1023">
        <v>1000</v>
      </c>
      <c r="H384" s="991" t="str">
        <f>IF(E384="","",IF(E384="No.","Each",IF(E384="Nos.","Each",E384)))</f>
        <v>Kgs</v>
      </c>
      <c r="I384" s="986">
        <f>IF(G384="",D384*F384,(D384*F384/G384))</f>
        <v>425.7792</v>
      </c>
    </row>
    <row r="385" spans="1:9" ht="18" customHeight="1">
      <c r="A385" s="1048"/>
      <c r="B385" s="1020"/>
      <c r="C385" s="792" t="s">
        <v>278</v>
      </c>
      <c r="D385" s="1021">
        <v>0.5</v>
      </c>
      <c r="E385" s="1003" t="s">
        <v>465</v>
      </c>
      <c r="F385" s="986">
        <f>LEAD!P11</f>
        <v>785.41999999999985</v>
      </c>
      <c r="G385" s="1023">
        <v>1</v>
      </c>
      <c r="H385" s="979" t="s">
        <v>465</v>
      </c>
      <c r="I385" s="986">
        <f t="shared" ref="I385:I390" si="47">IF(G385="",D385*F385,(D385*F385/G385))</f>
        <v>392.70999999999992</v>
      </c>
    </row>
    <row r="386" spans="1:9" ht="18" customHeight="1">
      <c r="A386" s="1048"/>
      <c r="B386" s="1020"/>
      <c r="C386" s="792" t="s">
        <v>522</v>
      </c>
      <c r="D386" s="1021">
        <v>0.44</v>
      </c>
      <c r="E386" s="1003" t="s">
        <v>465</v>
      </c>
      <c r="F386" s="986">
        <f>LEAD!P12</f>
        <v>795.41999999999985</v>
      </c>
      <c r="G386" s="1023">
        <v>1</v>
      </c>
      <c r="H386" s="979" t="s">
        <v>465</v>
      </c>
      <c r="I386" s="986">
        <f>IF(G386="",D386*F386,(D386*F386/G386))</f>
        <v>349.98479999999995</v>
      </c>
    </row>
    <row r="387" spans="1:9" ht="18" customHeight="1">
      <c r="A387" s="1048"/>
      <c r="B387" s="1020"/>
      <c r="C387" s="792" t="s">
        <v>523</v>
      </c>
      <c r="D387" s="1021">
        <v>0.16</v>
      </c>
      <c r="E387" s="1003" t="s">
        <v>465</v>
      </c>
      <c r="F387" s="986">
        <f>LEAD!P13</f>
        <v>2070.2295238095239</v>
      </c>
      <c r="G387" s="1023">
        <v>1</v>
      </c>
      <c r="H387" s="979" t="s">
        <v>465</v>
      </c>
      <c r="I387" s="986">
        <f>IF(G387="",D387*F387,(D387*F387/G387))</f>
        <v>331.23672380952382</v>
      </c>
    </row>
    <row r="388" spans="1:9" ht="18" customHeight="1">
      <c r="A388" s="1048"/>
      <c r="B388" s="1020"/>
      <c r="C388" s="792" t="s">
        <v>519</v>
      </c>
      <c r="D388" s="1005">
        <v>0.33</v>
      </c>
      <c r="E388" s="1008" t="s">
        <v>529</v>
      </c>
      <c r="F388" s="986">
        <f>LEAD!$P$7</f>
        <v>437.11999999999983</v>
      </c>
      <c r="G388" s="1023">
        <v>1</v>
      </c>
      <c r="H388" s="991" t="str">
        <f>IF(E388="","",IF(E388="No.","Each",IF(E388="Nos.","Each",E388)))</f>
        <v>cu.m.</v>
      </c>
      <c r="I388" s="986">
        <f>IF(G388="",D388*F388,(D388*F388/G388))</f>
        <v>144.24959999999996</v>
      </c>
    </row>
    <row r="389" spans="1:9" ht="18" customHeight="1">
      <c r="A389" s="1048"/>
      <c r="B389" s="1020"/>
      <c r="C389" s="792" t="s">
        <v>377</v>
      </c>
      <c r="D389" s="1021">
        <v>1.2</v>
      </c>
      <c r="E389" s="1008" t="s">
        <v>327</v>
      </c>
      <c r="F389" s="986">
        <f>$F$9</f>
        <v>624</v>
      </c>
      <c r="G389" s="1023">
        <v>1</v>
      </c>
      <c r="H389" s="1213" t="s">
        <v>268</v>
      </c>
      <c r="I389" s="986">
        <f t="shared" si="47"/>
        <v>748.8</v>
      </c>
    </row>
    <row r="390" spans="1:9" ht="18" customHeight="1">
      <c r="A390" s="1048"/>
      <c r="B390" s="1020"/>
      <c r="C390" s="792" t="s">
        <v>524</v>
      </c>
      <c r="D390" s="1050">
        <v>2</v>
      </c>
      <c r="E390" s="1003" t="s">
        <v>327</v>
      </c>
      <c r="F390" s="986">
        <f>$F$22</f>
        <v>558</v>
      </c>
      <c r="G390" s="1023">
        <v>1</v>
      </c>
      <c r="H390" s="979" t="s">
        <v>268</v>
      </c>
      <c r="I390" s="986">
        <f t="shared" si="47"/>
        <v>1116</v>
      </c>
    </row>
    <row r="391" spans="1:9" ht="18" customHeight="1">
      <c r="A391" s="1048"/>
      <c r="B391" s="1020"/>
      <c r="D391" s="1050"/>
      <c r="E391" s="1003"/>
      <c r="F391" s="986"/>
      <c r="G391" s="1023"/>
      <c r="I391" s="986">
        <f>SUM(I384:I390)</f>
        <v>3508.7603238095235</v>
      </c>
    </row>
    <row r="392" spans="1:9" ht="34.5" customHeight="1">
      <c r="A392" s="1048"/>
      <c r="B392" s="1020"/>
      <c r="C392" s="792" t="s">
        <v>719</v>
      </c>
      <c r="D392" s="1050">
        <f>I391</f>
        <v>3508.7603238095235</v>
      </c>
      <c r="E392" s="1003"/>
      <c r="F392" s="986">
        <v>0.01</v>
      </c>
      <c r="G392" s="1023"/>
      <c r="I392" s="986">
        <f>ROUND(D392*F392,2)</f>
        <v>35.090000000000003</v>
      </c>
    </row>
    <row r="393" spans="1:9" ht="18" customHeight="1">
      <c r="A393" s="1048"/>
      <c r="B393" s="1020"/>
      <c r="D393" s="1050"/>
      <c r="E393" s="1003"/>
      <c r="F393" s="986"/>
      <c r="G393" s="1023"/>
      <c r="I393" s="986">
        <f>SUM(I391:I392)</f>
        <v>3543.8503238095236</v>
      </c>
    </row>
    <row r="394" spans="1:9" ht="18" customHeight="1">
      <c r="A394" s="1048"/>
      <c r="B394" s="1020"/>
      <c r="C394" s="1220" t="s">
        <v>1014</v>
      </c>
      <c r="D394" s="1010">
        <f>I393</f>
        <v>3543.8503238095236</v>
      </c>
      <c r="E394" s="1025" t="s">
        <v>529</v>
      </c>
      <c r="F394" s="1026">
        <f>$D$3</f>
        <v>0</v>
      </c>
      <c r="G394" s="1027">
        <v>1</v>
      </c>
      <c r="H394" s="1011" t="s">
        <v>529</v>
      </c>
      <c r="I394" s="1012">
        <f>IF(G394="",D394*F394,(D394*F394/G394))</f>
        <v>0</v>
      </c>
    </row>
    <row r="395" spans="1:9" ht="18" customHeight="1">
      <c r="A395" s="1048"/>
      <c r="B395" s="1003"/>
      <c r="C395" s="980" t="s">
        <v>539</v>
      </c>
      <c r="D395" s="1003"/>
      <c r="E395" s="1003"/>
      <c r="F395" s="1003"/>
      <c r="G395" s="1023"/>
      <c r="H395" s="980"/>
      <c r="I395" s="1012">
        <f>CEILING(SUM(I393:I394),0.05)</f>
        <v>3543.9</v>
      </c>
    </row>
    <row r="396" spans="1:9" ht="18" customHeight="1">
      <c r="A396" s="1048"/>
      <c r="B396" s="1003"/>
      <c r="C396" s="980"/>
      <c r="D396" s="1003"/>
      <c r="E396" s="1003"/>
      <c r="F396" s="1003"/>
      <c r="G396" s="1023"/>
      <c r="H396" s="980"/>
      <c r="I396" s="1012"/>
    </row>
    <row r="397" spans="1:9" ht="63" customHeight="1">
      <c r="A397" s="1048">
        <f>+A383+1</f>
        <v>12</v>
      </c>
      <c r="B397" s="1020"/>
      <c r="C397" s="1505" t="s">
        <v>2404</v>
      </c>
      <c r="D397" s="1505"/>
      <c r="E397" s="1505"/>
      <c r="F397" s="1505"/>
      <c r="G397" s="1505"/>
      <c r="H397" s="1505"/>
      <c r="I397" s="1505"/>
    </row>
    <row r="398" spans="1:9" ht="15.75" customHeight="1">
      <c r="A398" s="1048"/>
      <c r="B398" s="1020"/>
      <c r="C398" s="1212" t="s">
        <v>520</v>
      </c>
      <c r="D398" s="1021">
        <v>1.44</v>
      </c>
      <c r="E398" s="1003" t="s">
        <v>364</v>
      </c>
      <c r="F398" s="986">
        <f>LEAD!$P$28</f>
        <v>7168</v>
      </c>
      <c r="G398" s="1023">
        <v>1000</v>
      </c>
      <c r="H398" s="991" t="str">
        <f>IF(E398="","",IF(E398="No.","Each",IF(E398="Nos.","Each",E398)))</f>
        <v>Kgs</v>
      </c>
      <c r="I398" s="986">
        <f>IF(G398="",D398*F398,(D398*F398/G398))</f>
        <v>10.32192</v>
      </c>
    </row>
    <row r="399" spans="1:9" ht="15.75" customHeight="1">
      <c r="A399" s="1048"/>
      <c r="B399" s="1020"/>
      <c r="C399" s="792" t="s">
        <v>519</v>
      </c>
      <c r="D399" s="1005">
        <v>3.0000000000000001E-3</v>
      </c>
      <c r="E399" s="1008" t="s">
        <v>529</v>
      </c>
      <c r="F399" s="986">
        <f>LEAD!$P$7</f>
        <v>437.11999999999983</v>
      </c>
      <c r="G399" s="1023">
        <v>1</v>
      </c>
      <c r="H399" s="991" t="str">
        <f>IF(E399="","",IF(E399="No.","Each",IF(E399="Nos.","Each",E399)))</f>
        <v>cu.m.</v>
      </c>
      <c r="I399" s="986">
        <f>IF(G399="",D399*F399,(D399*F399/G399))</f>
        <v>1.3113599999999996</v>
      </c>
    </row>
    <row r="400" spans="1:9" ht="15.75" customHeight="1">
      <c r="A400" s="1048"/>
      <c r="B400" s="1020"/>
      <c r="C400" s="792" t="s">
        <v>377</v>
      </c>
      <c r="D400" s="1021">
        <v>0.05</v>
      </c>
      <c r="E400" s="1008" t="s">
        <v>499</v>
      </c>
      <c r="F400" s="986">
        <f>F10</f>
        <v>588</v>
      </c>
      <c r="G400" s="1023">
        <v>1</v>
      </c>
      <c r="H400" s="991" t="str">
        <f>IF(E400="","",IF(E400="No.","Each",IF(E400="Nos.","Each",E400)))</f>
        <v>Each</v>
      </c>
      <c r="I400" s="986">
        <f>IF(G400="",D400*F400,(D400*F400/G400))</f>
        <v>29.400000000000002</v>
      </c>
    </row>
    <row r="401" spans="1:9" ht="15.75" customHeight="1">
      <c r="A401" s="1048"/>
      <c r="B401" s="1020"/>
      <c r="C401" s="792" t="s">
        <v>621</v>
      </c>
      <c r="D401" s="1021">
        <v>7.3999999999999996E-2</v>
      </c>
      <c r="E401" s="1022" t="s">
        <v>499</v>
      </c>
      <c r="F401" s="986">
        <f>$F$22</f>
        <v>558</v>
      </c>
      <c r="G401" s="1023">
        <v>1</v>
      </c>
      <c r="H401" s="991" t="str">
        <f>IF(E401="","",IF(E401="No.","Each",IF(E401="Nos.","Each",E401)))</f>
        <v>Each</v>
      </c>
      <c r="I401" s="986">
        <f>IF(G401="",D401*F401,(D401*F401/G401))</f>
        <v>41.291999999999994</v>
      </c>
    </row>
    <row r="402" spans="1:9" ht="15.75" customHeight="1">
      <c r="A402" s="1048"/>
      <c r="B402" s="1020"/>
      <c r="D402" s="1021"/>
      <c r="E402" s="1022"/>
      <c r="F402" s="986"/>
      <c r="G402" s="1023"/>
      <c r="H402" s="991"/>
      <c r="I402" s="986">
        <f>SUM(I398:I401)</f>
        <v>82.325279999999992</v>
      </c>
    </row>
    <row r="403" spans="1:9" ht="30" customHeight="1">
      <c r="A403" s="1048"/>
      <c r="B403" s="1020"/>
      <c r="C403" s="792" t="s">
        <v>719</v>
      </c>
      <c r="D403" s="1050">
        <f>I402</f>
        <v>82.325279999999992</v>
      </c>
      <c r="E403" s="1003"/>
      <c r="F403" s="986">
        <v>0.01</v>
      </c>
      <c r="G403" s="1023"/>
      <c r="I403" s="986">
        <f>ROUND(D403*F403,2)</f>
        <v>0.82</v>
      </c>
    </row>
    <row r="404" spans="1:9" ht="15.75" customHeight="1">
      <c r="A404" s="1048"/>
      <c r="B404" s="1020"/>
      <c r="D404" s="1050"/>
      <c r="E404" s="1003"/>
      <c r="F404" s="986"/>
      <c r="G404" s="1023"/>
      <c r="I404" s="986">
        <f>SUM(I402:I403)</f>
        <v>83.145279999999985</v>
      </c>
    </row>
    <row r="405" spans="1:9" ht="15.75" customHeight="1">
      <c r="A405" s="1048"/>
      <c r="B405" s="1020"/>
      <c r="C405" s="1220" t="s">
        <v>1014</v>
      </c>
      <c r="D405" s="1010">
        <f>I404</f>
        <v>83.145279999999985</v>
      </c>
      <c r="E405" s="1025" t="s">
        <v>529</v>
      </c>
      <c r="F405" s="1026">
        <f>$D$3</f>
        <v>0</v>
      </c>
      <c r="G405" s="1027">
        <v>1</v>
      </c>
      <c r="H405" s="1011" t="s">
        <v>547</v>
      </c>
      <c r="I405" s="1012">
        <f>IF(G405="",D405*F405,(D405*F405/G405))</f>
        <v>0</v>
      </c>
    </row>
    <row r="406" spans="1:9">
      <c r="A406" s="1048"/>
      <c r="B406" s="1020"/>
      <c r="C406" s="980" t="s">
        <v>425</v>
      </c>
      <c r="D406" s="1021"/>
      <c r="E406" s="1003"/>
      <c r="F406" s="986"/>
      <c r="G406" s="1023"/>
      <c r="H406" s="980" t="s">
        <v>279</v>
      </c>
      <c r="I406" s="1012">
        <f>CEILING(SUM(I404:I405),0.05)</f>
        <v>83.15</v>
      </c>
    </row>
    <row r="407" spans="1:9" ht="80.25" customHeight="1">
      <c r="A407" s="1019">
        <f>A358+1</f>
        <v>11</v>
      </c>
      <c r="B407" s="1020"/>
      <c r="C407" s="1499" t="s">
        <v>2226</v>
      </c>
      <c r="D407" s="1499"/>
      <c r="E407" s="1499"/>
      <c r="F407" s="1499"/>
      <c r="G407" s="1499"/>
      <c r="H407" s="1499"/>
      <c r="I407" s="1499"/>
    </row>
    <row r="408" spans="1:9" ht="31.5" customHeight="1">
      <c r="A408" s="1019"/>
      <c r="B408" s="1020"/>
      <c r="C408" s="1214" t="s">
        <v>768</v>
      </c>
      <c r="D408" s="1021"/>
      <c r="E408" s="1223"/>
      <c r="F408" s="1003"/>
      <c r="G408" s="1023"/>
      <c r="H408" s="1213"/>
      <c r="I408" s="1003"/>
    </row>
    <row r="409" spans="1:9" ht="15.75" customHeight="1">
      <c r="A409" s="1019"/>
      <c r="B409" s="1020"/>
      <c r="C409" s="1214" t="s">
        <v>557</v>
      </c>
      <c r="D409" s="1021"/>
      <c r="E409" s="1223"/>
      <c r="F409" s="1003"/>
      <c r="G409" s="1023"/>
      <c r="H409" s="1213"/>
      <c r="I409" s="1003"/>
    </row>
    <row r="410" spans="1:9" ht="15.75" customHeight="1">
      <c r="A410" s="1019"/>
      <c r="B410" s="1020"/>
      <c r="C410" s="792" t="s">
        <v>284</v>
      </c>
      <c r="D410" s="1005">
        <v>0.8</v>
      </c>
      <c r="E410" s="1008" t="s">
        <v>529</v>
      </c>
      <c r="F410" s="986">
        <f>$I$205</f>
        <v>1601.6699999999998</v>
      </c>
      <c r="G410" s="1023">
        <v>1</v>
      </c>
      <c r="H410" s="991" t="str">
        <f t="shared" ref="H410:H421" si="48">IF(E410="","",IF(E410="No.","Each",IF(E410="Nos.","Each",E410)))</f>
        <v>cu.m.</v>
      </c>
      <c r="I410" s="986">
        <f t="shared" ref="I410:I421" si="49">IF(G410="",D410*F410,(D410*F410/G410))</f>
        <v>1281.336</v>
      </c>
    </row>
    <row r="411" spans="1:9" ht="15.75" customHeight="1">
      <c r="A411" s="1019"/>
      <c r="B411" s="1020"/>
      <c r="C411" s="792" t="s">
        <v>519</v>
      </c>
      <c r="D411" s="1005">
        <v>0.4</v>
      </c>
      <c r="E411" s="1008" t="s">
        <v>529</v>
      </c>
      <c r="F411" s="986">
        <f>LEAD!$P$7</f>
        <v>437.11999999999983</v>
      </c>
      <c r="G411" s="1023">
        <v>1</v>
      </c>
      <c r="H411" s="991" t="str">
        <f t="shared" si="48"/>
        <v>cu.m.</v>
      </c>
      <c r="I411" s="986">
        <f t="shared" si="49"/>
        <v>174.84799999999996</v>
      </c>
    </row>
    <row r="412" spans="1:9" ht="15.75" customHeight="1">
      <c r="A412" s="1019"/>
      <c r="B412" s="1020"/>
      <c r="C412" s="792" t="s">
        <v>235</v>
      </c>
      <c r="D412" s="1005">
        <v>350</v>
      </c>
      <c r="E412" s="1008" t="s">
        <v>462</v>
      </c>
      <c r="F412" s="986">
        <f>LEAD!$P$28</f>
        <v>7168</v>
      </c>
      <c r="G412" s="1023">
        <v>1000</v>
      </c>
      <c r="H412" s="991" t="str">
        <f t="shared" si="48"/>
        <v>kgs</v>
      </c>
      <c r="I412" s="986">
        <f t="shared" si="49"/>
        <v>2508.8000000000002</v>
      </c>
    </row>
    <row r="413" spans="1:9" ht="15.75" customHeight="1">
      <c r="A413" s="1019"/>
      <c r="B413" s="1020"/>
      <c r="C413" s="792" t="s">
        <v>420</v>
      </c>
      <c r="D413" s="1005">
        <v>1.2</v>
      </c>
      <c r="E413" s="1008" t="s">
        <v>421</v>
      </c>
      <c r="F413" s="986">
        <f>LEAD!$P$27</f>
        <v>73</v>
      </c>
      <c r="G413" s="1023">
        <v>1</v>
      </c>
      <c r="H413" s="991" t="str">
        <f>IF(E413="","",IF(E413="No.","Each",IF(E413="Nos.","Each",E413)))</f>
        <v>KL</v>
      </c>
      <c r="I413" s="986">
        <f>IF(G413="",D413*F413,(D413*F413/G413))</f>
        <v>87.6</v>
      </c>
    </row>
    <row r="414" spans="1:9" ht="15.75" customHeight="1">
      <c r="A414" s="1019"/>
      <c r="B414" s="1020"/>
      <c r="C414" s="1214" t="s">
        <v>424</v>
      </c>
      <c r="D414" s="1005"/>
      <c r="E414" s="1008"/>
      <c r="F414" s="986"/>
      <c r="G414" s="1023"/>
      <c r="H414" s="991"/>
      <c r="I414" s="986"/>
    </row>
    <row r="415" spans="1:9" ht="15.75" customHeight="1">
      <c r="A415" s="1019"/>
      <c r="B415" s="1020"/>
      <c r="C415" s="792" t="s">
        <v>321</v>
      </c>
      <c r="D415" s="1005">
        <v>1.333</v>
      </c>
      <c r="E415" s="1008" t="s">
        <v>692</v>
      </c>
      <c r="F415" s="986">
        <f>$H$209</f>
        <v>649.6</v>
      </c>
      <c r="G415" s="1023">
        <v>1</v>
      </c>
      <c r="H415" s="991" t="str">
        <f>IF(E415="","",IF(E415="No.","Each",IF(E415="Nos.","Each",E415)))</f>
        <v>Hour</v>
      </c>
      <c r="I415" s="986">
        <f>IF(G415="",D415*F415,(D415*F415/G415))</f>
        <v>865.91679999999997</v>
      </c>
    </row>
    <row r="416" spans="1:9" ht="15.75" customHeight="1">
      <c r="A416" s="1019"/>
      <c r="B416" s="1020"/>
      <c r="C416" s="792" t="s">
        <v>322</v>
      </c>
      <c r="D416" s="1005">
        <v>1.333</v>
      </c>
      <c r="E416" s="1008" t="s">
        <v>692</v>
      </c>
      <c r="F416" s="986">
        <f>$H$210</f>
        <v>221.7</v>
      </c>
      <c r="G416" s="1023">
        <v>1</v>
      </c>
      <c r="H416" s="991" t="str">
        <f>IF(E416="","",IF(E416="No.","Each",IF(E416="Nos.","Each",E416)))</f>
        <v>Hour</v>
      </c>
      <c r="I416" s="986">
        <f>IF(G416="",D416*F416,(D416*F416/G416))</f>
        <v>295.52609999999999</v>
      </c>
    </row>
    <row r="417" spans="1:9" ht="15.75" customHeight="1">
      <c r="A417" s="1019"/>
      <c r="B417" s="1020"/>
      <c r="C417" s="792" t="s">
        <v>239</v>
      </c>
      <c r="D417" s="1047">
        <f>$E$5</f>
        <v>0.2</v>
      </c>
      <c r="E417" s="1008"/>
      <c r="F417" s="986">
        <f>ROUND((D415*$G$209)+(D416*$G$210),2)</f>
        <v>802.07</v>
      </c>
      <c r="G417" s="1023">
        <v>1</v>
      </c>
      <c r="H417" s="991" t="str">
        <f>IF(E417="","",IF(E417="No.","Each",IF(E417="Nos.","Each",E417)))</f>
        <v/>
      </c>
      <c r="I417" s="986">
        <f>IF(G417="",D417*F417,(D417*F417/G417))</f>
        <v>160.41400000000002</v>
      </c>
    </row>
    <row r="418" spans="1:9" ht="15.75" customHeight="1">
      <c r="A418" s="1019"/>
      <c r="B418" s="1020"/>
      <c r="C418" s="1214" t="s">
        <v>132</v>
      </c>
      <c r="D418" s="1047"/>
      <c r="E418" s="1008"/>
      <c r="F418" s="986"/>
      <c r="G418" s="1023"/>
      <c r="H418" s="991"/>
      <c r="I418" s="986"/>
    </row>
    <row r="419" spans="1:9" ht="15.75" customHeight="1">
      <c r="A419" s="1019"/>
      <c r="B419" s="1020"/>
      <c r="C419" s="792" t="s">
        <v>377</v>
      </c>
      <c r="D419" s="1021">
        <v>0.13300000000000001</v>
      </c>
      <c r="E419" s="1008" t="s">
        <v>499</v>
      </c>
      <c r="F419" s="986">
        <f>$F$9</f>
        <v>624</v>
      </c>
      <c r="G419" s="1023">
        <v>1</v>
      </c>
      <c r="H419" s="991" t="str">
        <f t="shared" si="48"/>
        <v>Each</v>
      </c>
      <c r="I419" s="986">
        <f t="shared" si="49"/>
        <v>82.992000000000004</v>
      </c>
    </row>
    <row r="420" spans="1:9" ht="15.75" customHeight="1">
      <c r="A420" s="1019"/>
      <c r="B420" s="1020"/>
      <c r="C420" s="792" t="s">
        <v>378</v>
      </c>
      <c r="D420" s="1021">
        <v>0.26700000000000002</v>
      </c>
      <c r="E420" s="1008" t="s">
        <v>499</v>
      </c>
      <c r="F420" s="986">
        <f>$F$10</f>
        <v>588</v>
      </c>
      <c r="G420" s="1023">
        <v>1</v>
      </c>
      <c r="H420" s="991" t="str">
        <f t="shared" si="48"/>
        <v>Each</v>
      </c>
      <c r="I420" s="986">
        <f t="shared" si="49"/>
        <v>156.99600000000001</v>
      </c>
    </row>
    <row r="421" spans="1:9" ht="15.75" customHeight="1">
      <c r="A421" s="1019"/>
      <c r="B421" s="1020"/>
      <c r="C421" s="792" t="s">
        <v>396</v>
      </c>
      <c r="D421" s="1021">
        <v>4.5999999999999996</v>
      </c>
      <c r="E421" s="1008" t="s">
        <v>499</v>
      </c>
      <c r="F421" s="986">
        <f>$F$22</f>
        <v>558</v>
      </c>
      <c r="G421" s="1023">
        <v>1</v>
      </c>
      <c r="H421" s="991" t="str">
        <f t="shared" si="48"/>
        <v>Each</v>
      </c>
      <c r="I421" s="986">
        <f t="shared" si="49"/>
        <v>2566.7999999999997</v>
      </c>
    </row>
    <row r="422" spans="1:9" ht="15.75" customHeight="1">
      <c r="A422" s="1019"/>
      <c r="B422" s="1020"/>
      <c r="C422" s="980" t="s">
        <v>593</v>
      </c>
      <c r="D422" s="1021"/>
      <c r="E422" s="1003"/>
      <c r="F422" s="1003"/>
      <c r="G422" s="1023"/>
      <c r="H422" s="1215" t="s">
        <v>466</v>
      </c>
      <c r="I422" s="1012">
        <f>SUM(I410:I421)</f>
        <v>8181.2289000000001</v>
      </c>
    </row>
    <row r="423" spans="1:9" ht="31.5" customHeight="1">
      <c r="A423" s="1019"/>
      <c r="B423" s="1020" t="s">
        <v>469</v>
      </c>
      <c r="C423" s="1004" t="s">
        <v>2210</v>
      </c>
      <c r="D423" s="1021"/>
      <c r="E423" s="1003"/>
      <c r="F423" s="1003"/>
      <c r="G423" s="1023"/>
      <c r="H423" s="1213"/>
      <c r="I423" s="1003"/>
    </row>
    <row r="424" spans="1:9" ht="15.75" customHeight="1">
      <c r="A424" s="1019"/>
      <c r="B424" s="1020"/>
      <c r="C424" s="792" t="s">
        <v>379</v>
      </c>
      <c r="D424" s="1021">
        <v>1</v>
      </c>
      <c r="E424" s="1003" t="s">
        <v>529</v>
      </c>
      <c r="F424" s="986">
        <f>$I$422</f>
        <v>8181.2289000000001</v>
      </c>
      <c r="G424" s="1023">
        <v>1</v>
      </c>
      <c r="H424" s="991" t="str">
        <f>IF(E424="","",IF(E424="No.","Each",IF(E424="Nos.","Each",E424)))</f>
        <v>cu.m.</v>
      </c>
      <c r="I424" s="986">
        <f>IF(G424="",D424*F424,(D424*F424/G424))</f>
        <v>8181.2289000000001</v>
      </c>
    </row>
    <row r="425" spans="1:9" ht="15.75" customHeight="1">
      <c r="A425" s="1019"/>
      <c r="B425" s="1020"/>
      <c r="C425" s="1003" t="s">
        <v>380</v>
      </c>
      <c r="D425" s="1021">
        <v>1</v>
      </c>
      <c r="E425" s="1003" t="s">
        <v>529</v>
      </c>
      <c r="F425" s="986">
        <f>J50</f>
        <v>981</v>
      </c>
      <c r="G425" s="1023">
        <v>1</v>
      </c>
      <c r="H425" s="991" t="str">
        <f>IF(E425="","",IF(E425="No.","Each",IF(E425="Nos.","Each",E425)))</f>
        <v>cu.m.</v>
      </c>
      <c r="I425" s="986">
        <f>IF(G425="",D425*F425,(D425*F425/G425))</f>
        <v>981</v>
      </c>
    </row>
    <row r="426" spans="1:9" ht="30" customHeight="1">
      <c r="A426" s="1019"/>
      <c r="B426" s="1020"/>
      <c r="C426" s="1003" t="s">
        <v>546</v>
      </c>
      <c r="D426" s="1047">
        <f>$E$5</f>
        <v>0.2</v>
      </c>
      <c r="E426" s="1003"/>
      <c r="F426" s="986">
        <f>H50</f>
        <v>693</v>
      </c>
      <c r="G426" s="1023"/>
      <c r="H426" s="991"/>
      <c r="I426" s="986">
        <f>IF(G426="",D426*F426,(D426*F426/G426))</f>
        <v>138.6</v>
      </c>
    </row>
    <row r="427" spans="1:9" ht="15.75" customHeight="1">
      <c r="A427" s="1019"/>
      <c r="B427" s="1020"/>
      <c r="C427" s="1220" t="s">
        <v>1014</v>
      </c>
      <c r="D427" s="1010">
        <f>SUM(I424:I426)</f>
        <v>9300.8289000000004</v>
      </c>
      <c r="E427" s="1025" t="s">
        <v>529</v>
      </c>
      <c r="F427" s="1026">
        <f>$D$3</f>
        <v>0</v>
      </c>
      <c r="G427" s="1027">
        <v>1</v>
      </c>
      <c r="H427" s="1011" t="s">
        <v>529</v>
      </c>
      <c r="I427" s="1012">
        <f>IF(G427="",D427*F427,(D427*F427/G427))</f>
        <v>0</v>
      </c>
    </row>
    <row r="428" spans="1:9" ht="15.75" customHeight="1">
      <c r="A428" s="1019"/>
      <c r="B428" s="1020"/>
      <c r="C428" s="1051" t="s">
        <v>539</v>
      </c>
      <c r="D428" s="1021"/>
      <c r="E428" s="1003"/>
      <c r="F428" s="1003"/>
      <c r="G428" s="1023"/>
      <c r="H428" s="980" t="s">
        <v>467</v>
      </c>
      <c r="I428" s="1012">
        <f>CEILING(SUM(I424:I427),0.05)</f>
        <v>9300.85</v>
      </c>
    </row>
    <row r="429" spans="1:9" ht="31.5" customHeight="1">
      <c r="A429" s="1019"/>
      <c r="B429" s="1020" t="s">
        <v>1</v>
      </c>
      <c r="C429" s="1004" t="s">
        <v>2211</v>
      </c>
      <c r="D429" s="1021"/>
      <c r="E429" s="1003"/>
      <c r="F429" s="1003"/>
      <c r="G429" s="1023"/>
      <c r="H429" s="1213"/>
      <c r="I429" s="1003"/>
    </row>
    <row r="430" spans="1:9" ht="15.75" customHeight="1">
      <c r="A430" s="1019"/>
      <c r="B430" s="1020"/>
      <c r="C430" s="792" t="s">
        <v>379</v>
      </c>
      <c r="D430" s="1021">
        <v>1</v>
      </c>
      <c r="E430" s="1003" t="s">
        <v>529</v>
      </c>
      <c r="F430" s="986">
        <f>$I$422</f>
        <v>8181.2289000000001</v>
      </c>
      <c r="G430" s="1023">
        <v>1</v>
      </c>
      <c r="H430" s="991" t="str">
        <f>IF(E430="","",IF(E430="No.","Each",IF(E430="Nos.","Each",E430)))</f>
        <v>cu.m.</v>
      </c>
      <c r="I430" s="986">
        <f>IF(G430="",D430*F430,(D430*F430/G430))</f>
        <v>8181.2289000000001</v>
      </c>
    </row>
    <row r="431" spans="1:9" ht="15.75" customHeight="1">
      <c r="A431" s="1019"/>
      <c r="B431" s="1020"/>
      <c r="C431" s="1003" t="s">
        <v>380</v>
      </c>
      <c r="D431" s="1021">
        <v>1</v>
      </c>
      <c r="E431" s="1003" t="s">
        <v>529</v>
      </c>
      <c r="F431" s="986">
        <f>J53</f>
        <v>3059</v>
      </c>
      <c r="G431" s="1023">
        <v>1</v>
      </c>
      <c r="H431" s="991" t="str">
        <f>IF(E431="","",IF(E431="No.","Each",IF(E431="Nos.","Each",E431)))</f>
        <v>cu.m.</v>
      </c>
      <c r="I431" s="986">
        <f>IF(G431="",D431*F431,(D431*F431/G431))</f>
        <v>3059</v>
      </c>
    </row>
    <row r="432" spans="1:9" ht="30" customHeight="1">
      <c r="A432" s="1019"/>
      <c r="B432" s="1020"/>
      <c r="C432" s="1003" t="s">
        <v>546</v>
      </c>
      <c r="D432" s="1047">
        <f>$E$5</f>
        <v>0.2</v>
      </c>
      <c r="E432" s="1003"/>
      <c r="F432" s="986">
        <f>H53</f>
        <v>1669</v>
      </c>
      <c r="G432" s="1023"/>
      <c r="H432" s="991"/>
      <c r="I432" s="986">
        <f>IF(G432="",D432*F432,(D432*F432/G432))</f>
        <v>333.8</v>
      </c>
    </row>
    <row r="433" spans="1:9" ht="15.75" customHeight="1">
      <c r="A433" s="1019"/>
      <c r="B433" s="1020"/>
      <c r="C433" s="1220" t="s">
        <v>1014</v>
      </c>
      <c r="D433" s="1010">
        <f>SUM(I430:I432)</f>
        <v>11574.028899999999</v>
      </c>
      <c r="E433" s="1025" t="s">
        <v>529</v>
      </c>
      <c r="F433" s="1026">
        <f>$D$3</f>
        <v>0</v>
      </c>
      <c r="G433" s="1027">
        <v>1</v>
      </c>
      <c r="H433" s="1011" t="s">
        <v>529</v>
      </c>
      <c r="I433" s="1012">
        <f>IF(G433="",D433*F433,(D433*F433/G433))</f>
        <v>0</v>
      </c>
    </row>
    <row r="434" spans="1:9" ht="15.75" customHeight="1">
      <c r="A434" s="1019"/>
      <c r="B434" s="1020"/>
      <c r="C434" s="1051" t="s">
        <v>539</v>
      </c>
      <c r="D434" s="1021"/>
      <c r="E434" s="1003"/>
      <c r="F434" s="1003"/>
      <c r="G434" s="1023"/>
      <c r="H434" s="980" t="s">
        <v>467</v>
      </c>
      <c r="I434" s="1012">
        <f>CEILING(SUM(I430:I433),0.05)</f>
        <v>11574.050000000001</v>
      </c>
    </row>
    <row r="435" spans="1:9" ht="15.75" customHeight="1">
      <c r="A435" s="1019"/>
      <c r="B435" s="1020" t="s">
        <v>363</v>
      </c>
      <c r="C435" s="1004" t="s">
        <v>2212</v>
      </c>
      <c r="D435" s="1021"/>
      <c r="E435" s="1003"/>
      <c r="F435" s="1003"/>
      <c r="G435" s="1023"/>
      <c r="H435" s="1213"/>
      <c r="I435" s="1003"/>
    </row>
    <row r="436" spans="1:9" ht="15.75" customHeight="1">
      <c r="A436" s="1019"/>
      <c r="B436" s="1020"/>
      <c r="C436" s="792" t="s">
        <v>379</v>
      </c>
      <c r="D436" s="1021">
        <v>1</v>
      </c>
      <c r="E436" s="1003" t="s">
        <v>529</v>
      </c>
      <c r="F436" s="986">
        <f>$I$422</f>
        <v>8181.2289000000001</v>
      </c>
      <c r="G436" s="1023">
        <v>1</v>
      </c>
      <c r="H436" s="991" t="str">
        <f>IF(E436="","",IF(E436="No.","Each",IF(E436="Nos.","Each",E436)))</f>
        <v>cu.m.</v>
      </c>
      <c r="I436" s="986">
        <f>IF(G436="",D436*F436,(D436*F436/G436))</f>
        <v>8181.2289000000001</v>
      </c>
    </row>
    <row r="437" spans="1:9" ht="15.75" customHeight="1">
      <c r="A437" s="1019"/>
      <c r="B437" s="1020"/>
      <c r="C437" s="1003" t="s">
        <v>380</v>
      </c>
      <c r="D437" s="1021">
        <v>1</v>
      </c>
      <c r="E437" s="1003" t="s">
        <v>529</v>
      </c>
      <c r="F437" s="986">
        <f>J52</f>
        <v>1429</v>
      </c>
      <c r="G437" s="1023">
        <v>1</v>
      </c>
      <c r="H437" s="991" t="str">
        <f>IF(E437="","",IF(E437="No.","Each",IF(E437="Nos.","Each",E437)))</f>
        <v>cu.m.</v>
      </c>
      <c r="I437" s="986">
        <f>IF(G437="",D437*F437,(D437*F437/G437))</f>
        <v>1429</v>
      </c>
    </row>
    <row r="438" spans="1:9" ht="30" customHeight="1">
      <c r="A438" s="1019"/>
      <c r="B438" s="1020"/>
      <c r="C438" s="1003" t="s">
        <v>546</v>
      </c>
      <c r="D438" s="1047">
        <f>$E$5</f>
        <v>0.2</v>
      </c>
      <c r="E438" s="1003"/>
      <c r="F438" s="986">
        <f>H52</f>
        <v>1101</v>
      </c>
      <c r="G438" s="1023"/>
      <c r="H438" s="991"/>
      <c r="I438" s="986">
        <f>IF(G438="",D438*F438,(D438*F438/G438))</f>
        <v>220.20000000000002</v>
      </c>
    </row>
    <row r="439" spans="1:9" ht="15.75" customHeight="1">
      <c r="A439" s="1019"/>
      <c r="B439" s="1020"/>
      <c r="C439" s="1220" t="s">
        <v>1014</v>
      </c>
      <c r="D439" s="1010">
        <f>SUM(I436:I438)</f>
        <v>9830.4289000000008</v>
      </c>
      <c r="E439" s="1025" t="s">
        <v>529</v>
      </c>
      <c r="F439" s="1026">
        <f>$D$3</f>
        <v>0</v>
      </c>
      <c r="G439" s="1027">
        <v>1</v>
      </c>
      <c r="H439" s="1011" t="s">
        <v>529</v>
      </c>
      <c r="I439" s="1012">
        <f>IF(G439="",D439*F439,(D439*F439/G439))</f>
        <v>0</v>
      </c>
    </row>
    <row r="440" spans="1:9" ht="15.75" customHeight="1">
      <c r="A440" s="1019"/>
      <c r="B440" s="1020"/>
      <c r="C440" s="1051" t="s">
        <v>539</v>
      </c>
      <c r="D440" s="1021"/>
      <c r="E440" s="1003"/>
      <c r="F440" s="1003"/>
      <c r="G440" s="1023"/>
      <c r="H440" s="980" t="s">
        <v>467</v>
      </c>
      <c r="I440" s="1012">
        <f>CEILING(SUM(I436:I439),0.05)</f>
        <v>9830.4500000000007</v>
      </c>
    </row>
    <row r="441" spans="1:9" ht="81.75" customHeight="1">
      <c r="A441" s="1019">
        <f>A407+1</f>
        <v>12</v>
      </c>
      <c r="B441" s="1020"/>
      <c r="C441" s="1499" t="s">
        <v>2227</v>
      </c>
      <c r="D441" s="1499"/>
      <c r="E441" s="1499"/>
      <c r="F441" s="1499"/>
      <c r="G441" s="1499"/>
      <c r="H441" s="1499"/>
      <c r="I441" s="1499"/>
    </row>
    <row r="442" spans="1:9" ht="31.5" customHeight="1">
      <c r="A442" s="1019"/>
      <c r="B442" s="1020"/>
      <c r="C442" s="1214" t="s">
        <v>500</v>
      </c>
      <c r="D442" s="1021"/>
      <c r="E442" s="1223"/>
      <c r="F442" s="1003"/>
      <c r="G442" s="1023"/>
      <c r="H442" s="1213"/>
      <c r="I442" s="1003"/>
    </row>
    <row r="443" spans="1:9" ht="15.75" customHeight="1">
      <c r="A443" s="1019"/>
      <c r="B443" s="1020"/>
      <c r="C443" s="1214" t="s">
        <v>557</v>
      </c>
      <c r="D443" s="1021"/>
      <c r="E443" s="1223"/>
      <c r="F443" s="1003"/>
      <c r="G443" s="1023"/>
      <c r="H443" s="1213"/>
      <c r="I443" s="1003"/>
    </row>
    <row r="444" spans="1:9" ht="15.75" customHeight="1">
      <c r="A444" s="1019"/>
      <c r="B444" s="1020"/>
      <c r="C444" s="792" t="s">
        <v>284</v>
      </c>
      <c r="D444" s="1005">
        <v>0.8</v>
      </c>
      <c r="E444" s="1008" t="s">
        <v>529</v>
      </c>
      <c r="F444" s="986">
        <f>$I$205</f>
        <v>1601.6699999999998</v>
      </c>
      <c r="G444" s="1023">
        <v>1</v>
      </c>
      <c r="H444" s="991" t="str">
        <f>IF(E444="","",IF(E444="No.","Each",IF(E444="Nos.","Each",E444)))</f>
        <v>cu.m.</v>
      </c>
      <c r="I444" s="986">
        <f>IF(G444="",D444*F444,(D444*F444/G444))</f>
        <v>1281.336</v>
      </c>
    </row>
    <row r="445" spans="1:9" ht="15.75" customHeight="1">
      <c r="A445" s="1019"/>
      <c r="B445" s="1020"/>
      <c r="C445" s="792" t="s">
        <v>519</v>
      </c>
      <c r="D445" s="1005">
        <v>0.4</v>
      </c>
      <c r="E445" s="1008" t="s">
        <v>529</v>
      </c>
      <c r="F445" s="986">
        <f>LEAD!$P$7</f>
        <v>437.11999999999983</v>
      </c>
      <c r="G445" s="1023">
        <v>1</v>
      </c>
      <c r="H445" s="991" t="str">
        <f>IF(E445="","",IF(E445="No.","Each",IF(E445="Nos.","Each",E445)))</f>
        <v>cu.m.</v>
      </c>
      <c r="I445" s="986">
        <f>IF(G445="",D445*F445,(D445*F445/G445))</f>
        <v>174.84799999999996</v>
      </c>
    </row>
    <row r="446" spans="1:9" ht="15.75" customHeight="1">
      <c r="A446" s="1019"/>
      <c r="B446" s="1020"/>
      <c r="C446" s="792" t="s">
        <v>235</v>
      </c>
      <c r="D446" s="1005">
        <v>350</v>
      </c>
      <c r="E446" s="1008" t="s">
        <v>462</v>
      </c>
      <c r="F446" s="986">
        <f>LEAD!$P$28</f>
        <v>7168</v>
      </c>
      <c r="G446" s="1023">
        <v>1000</v>
      </c>
      <c r="H446" s="991" t="str">
        <f>IF(E446="","",IF(E446="No.","Each",IF(E446="Nos.","Each",E446)))</f>
        <v>kgs</v>
      </c>
      <c r="I446" s="986">
        <f>IF(G446="",D446*F446,(D446*F446/G446))</f>
        <v>2508.8000000000002</v>
      </c>
    </row>
    <row r="447" spans="1:9" ht="15.75" customHeight="1">
      <c r="A447" s="1019"/>
      <c r="B447" s="1020"/>
      <c r="C447" s="792" t="s">
        <v>420</v>
      </c>
      <c r="D447" s="1005">
        <v>1.2</v>
      </c>
      <c r="E447" s="1008" t="s">
        <v>421</v>
      </c>
      <c r="F447" s="986">
        <f>LEAD!$P$27</f>
        <v>73</v>
      </c>
      <c r="G447" s="1023">
        <v>1</v>
      </c>
      <c r="H447" s="991" t="str">
        <f>IF(E447="","",IF(E447="No.","Each",IF(E447="Nos.","Each",E447)))</f>
        <v>KL</v>
      </c>
      <c r="I447" s="986">
        <f>IF(G447="",D447*F447,(D447*F447/G447))</f>
        <v>87.6</v>
      </c>
    </row>
    <row r="448" spans="1:9" ht="15.75" customHeight="1">
      <c r="A448" s="1019"/>
      <c r="B448" s="1020"/>
      <c r="C448" s="1214" t="s">
        <v>424</v>
      </c>
      <c r="D448" s="1005"/>
      <c r="E448" s="1008"/>
      <c r="F448" s="986"/>
      <c r="G448" s="1023"/>
      <c r="H448" s="991"/>
      <c r="I448" s="986"/>
    </row>
    <row r="449" spans="1:10" ht="15.75" customHeight="1">
      <c r="A449" s="1019"/>
      <c r="B449" s="1020"/>
      <c r="C449" s="792" t="s">
        <v>321</v>
      </c>
      <c r="D449" s="1005">
        <v>1.333</v>
      </c>
      <c r="E449" s="1008" t="s">
        <v>692</v>
      </c>
      <c r="F449" s="986">
        <f>$H$209</f>
        <v>649.6</v>
      </c>
      <c r="G449" s="1023">
        <v>1</v>
      </c>
      <c r="H449" s="991" t="str">
        <f>IF(E449="","",IF(E449="No.","Each",IF(E449="Nos.","Each",E449)))</f>
        <v>Hour</v>
      </c>
      <c r="I449" s="986">
        <f>IF(G449="",D449*F449,(D449*F449/G449))</f>
        <v>865.91679999999997</v>
      </c>
    </row>
    <row r="450" spans="1:10" ht="15.75" customHeight="1">
      <c r="A450" s="1019"/>
      <c r="B450" s="1020"/>
      <c r="C450" s="792" t="s">
        <v>322</v>
      </c>
      <c r="D450" s="1005">
        <v>1.333</v>
      </c>
      <c r="E450" s="1008" t="s">
        <v>692</v>
      </c>
      <c r="F450" s="986">
        <f>$H$210</f>
        <v>221.7</v>
      </c>
      <c r="G450" s="1023">
        <v>1</v>
      </c>
      <c r="H450" s="991" t="str">
        <f>IF(E450="","",IF(E450="No.","Each",IF(E450="Nos.","Each",E450)))</f>
        <v>Hour</v>
      </c>
      <c r="I450" s="986">
        <f>IF(G450="",D450*F450,(D450*F450/G450))</f>
        <v>295.52609999999999</v>
      </c>
    </row>
    <row r="451" spans="1:10" ht="15.75" customHeight="1">
      <c r="A451" s="1019"/>
      <c r="B451" s="1020"/>
      <c r="C451" s="792" t="s">
        <v>239</v>
      </c>
      <c r="D451" s="1047">
        <f>$E$5</f>
        <v>0.2</v>
      </c>
      <c r="E451" s="1008"/>
      <c r="F451" s="986">
        <f>ROUND((D449*$G$209)+(D450*$G$210),2)</f>
        <v>802.07</v>
      </c>
      <c r="G451" s="1023">
        <v>1</v>
      </c>
      <c r="H451" s="991" t="str">
        <f>IF(E451="","",IF(E451="No.","Each",IF(E451="Nos.","Each",E451)))</f>
        <v/>
      </c>
      <c r="I451" s="986">
        <f>IF(G451="",D451*F451,(D451*F451/G451))</f>
        <v>160.41400000000002</v>
      </c>
    </row>
    <row r="452" spans="1:10" ht="15.75" customHeight="1">
      <c r="A452" s="1019"/>
      <c r="B452" s="1020"/>
      <c r="C452" s="1214" t="s">
        <v>132</v>
      </c>
      <c r="D452" s="1047"/>
      <c r="E452" s="1008"/>
      <c r="F452" s="986"/>
      <c r="G452" s="1023"/>
      <c r="H452" s="991"/>
      <c r="I452" s="986"/>
    </row>
    <row r="453" spans="1:10" ht="15.75" customHeight="1">
      <c r="A453" s="1019"/>
      <c r="B453" s="1020"/>
      <c r="C453" s="792" t="s">
        <v>377</v>
      </c>
      <c r="D453" s="1021">
        <v>0.16700000000000001</v>
      </c>
      <c r="E453" s="1008" t="s">
        <v>499</v>
      </c>
      <c r="F453" s="986">
        <f>$F$9</f>
        <v>624</v>
      </c>
      <c r="G453" s="1023">
        <v>1</v>
      </c>
      <c r="H453" s="991" t="str">
        <f>IF(E453="","",IF(E453="No.","Each",IF(E453="Nos.","Each",E453)))</f>
        <v>Each</v>
      </c>
      <c r="I453" s="986">
        <f>IF(G453="",D453*F453,(D453*F453/G453))</f>
        <v>104.20800000000001</v>
      </c>
    </row>
    <row r="454" spans="1:10" ht="15.75" customHeight="1">
      <c r="A454" s="1019"/>
      <c r="B454" s="1020"/>
      <c r="C454" s="792" t="s">
        <v>378</v>
      </c>
      <c r="D454" s="1021">
        <v>0.16700000000000001</v>
      </c>
      <c r="E454" s="1008" t="s">
        <v>499</v>
      </c>
      <c r="F454" s="986">
        <f>$F$10</f>
        <v>588</v>
      </c>
      <c r="G454" s="1023">
        <v>1</v>
      </c>
      <c r="H454" s="991" t="str">
        <f>IF(E454="","",IF(E454="No.","Each",IF(E454="Nos.","Each",E454)))</f>
        <v>Each</v>
      </c>
      <c r="I454" s="986">
        <f>IF(G454="",D454*F454,(D454*F454/G454))</f>
        <v>98.196000000000012</v>
      </c>
    </row>
    <row r="455" spans="1:10" ht="15.75" customHeight="1">
      <c r="A455" s="1019"/>
      <c r="B455" s="1020"/>
      <c r="C455" s="792" t="s">
        <v>396</v>
      </c>
      <c r="D455" s="1021">
        <v>5.6</v>
      </c>
      <c r="E455" s="1008" t="s">
        <v>499</v>
      </c>
      <c r="F455" s="986">
        <f>$F$22</f>
        <v>558</v>
      </c>
      <c r="G455" s="1023">
        <v>1</v>
      </c>
      <c r="H455" s="991" t="str">
        <f>IF(E455="","",IF(E455="No.","Each",IF(E455="Nos.","Each",E455)))</f>
        <v>Each</v>
      </c>
      <c r="I455" s="986">
        <f>IF(G455="",D455*F455,(D455*F455/G455))</f>
        <v>3124.7999999999997</v>
      </c>
    </row>
    <row r="456" spans="1:10" ht="15.75" customHeight="1">
      <c r="A456" s="1019"/>
      <c r="C456" s="980" t="s">
        <v>593</v>
      </c>
      <c r="D456" s="1021"/>
      <c r="E456" s="1003"/>
      <c r="F456" s="1003"/>
      <c r="G456" s="1023"/>
      <c r="H456" s="1215" t="s">
        <v>466</v>
      </c>
      <c r="I456" s="1012">
        <f>SUM(I444:I455)</f>
        <v>8701.6448999999993</v>
      </c>
    </row>
    <row r="457" spans="1:10" ht="30" customHeight="1">
      <c r="A457" s="1019"/>
      <c r="B457" s="1020" t="s">
        <v>469</v>
      </c>
      <c r="C457" s="1022" t="s">
        <v>500</v>
      </c>
      <c r="D457" s="1021"/>
      <c r="E457" s="1003"/>
      <c r="F457" s="986"/>
      <c r="G457" s="1023"/>
      <c r="H457" s="980"/>
      <c r="I457" s="1012"/>
    </row>
    <row r="458" spans="1:10" ht="15.75" customHeight="1">
      <c r="A458" s="1019"/>
      <c r="C458" s="1051"/>
      <c r="D458" s="1021"/>
      <c r="E458" s="1003"/>
      <c r="F458" s="986"/>
      <c r="G458" s="1023"/>
      <c r="H458" s="980"/>
      <c r="I458" s="1012"/>
    </row>
    <row r="459" spans="1:10" ht="15.75" customHeight="1">
      <c r="A459" s="1019"/>
      <c r="B459" s="1020"/>
      <c r="C459" s="1004" t="s">
        <v>428</v>
      </c>
      <c r="E459" s="1227" t="s">
        <v>501</v>
      </c>
      <c r="F459" s="1048" t="s">
        <v>502</v>
      </c>
      <c r="G459" s="1227" t="s">
        <v>503</v>
      </c>
      <c r="H459" s="1048" t="s">
        <v>709</v>
      </c>
      <c r="I459" s="1048" t="s">
        <v>502</v>
      </c>
      <c r="J459" s="1048" t="s">
        <v>502</v>
      </c>
    </row>
    <row r="460" spans="1:10" ht="15.75" customHeight="1">
      <c r="A460" s="1019"/>
      <c r="B460" s="1020"/>
      <c r="C460" s="792" t="s">
        <v>381</v>
      </c>
      <c r="E460" s="986">
        <f t="shared" ref="E460:J460" si="50">$I$456</f>
        <v>8701.6448999999993</v>
      </c>
      <c r="F460" s="986">
        <f t="shared" si="50"/>
        <v>8701.6448999999993</v>
      </c>
      <c r="G460" s="986">
        <f t="shared" si="50"/>
        <v>8701.6448999999993</v>
      </c>
      <c r="H460" s="986">
        <f t="shared" si="50"/>
        <v>8701.6448999999993</v>
      </c>
      <c r="I460" s="986">
        <f t="shared" si="50"/>
        <v>8701.6448999999993</v>
      </c>
      <c r="J460" s="986">
        <f t="shared" si="50"/>
        <v>8701.6448999999993</v>
      </c>
    </row>
    <row r="461" spans="1:10" ht="15.75" customHeight="1">
      <c r="A461" s="1019"/>
      <c r="B461" s="1020"/>
      <c r="C461" s="792" t="s">
        <v>580</v>
      </c>
      <c r="E461" s="986">
        <f t="shared" ref="E461:J461" si="51">$F$36</f>
        <v>238</v>
      </c>
      <c r="F461" s="986">
        <f t="shared" si="51"/>
        <v>238</v>
      </c>
      <c r="G461" s="986">
        <f t="shared" si="51"/>
        <v>238</v>
      </c>
      <c r="H461" s="986">
        <f t="shared" si="51"/>
        <v>238</v>
      </c>
      <c r="I461" s="986">
        <f t="shared" si="51"/>
        <v>238</v>
      </c>
      <c r="J461" s="986">
        <f t="shared" si="51"/>
        <v>238</v>
      </c>
    </row>
    <row r="462" spans="1:10" ht="15.75" customHeight="1">
      <c r="A462" s="1019"/>
      <c r="B462" s="1020"/>
      <c r="C462" s="792" t="s">
        <v>581</v>
      </c>
      <c r="E462" s="986">
        <f>$H$36</f>
        <v>1928</v>
      </c>
      <c r="F462" s="986">
        <f>$K$36</f>
        <v>2120.8000000000002</v>
      </c>
      <c r="G462" s="986">
        <f>$M$36</f>
        <v>2313.6</v>
      </c>
      <c r="H462" s="986">
        <f>$O$36</f>
        <v>2506.4</v>
      </c>
      <c r="I462" s="986">
        <f>E462*1.4</f>
        <v>2699.2</v>
      </c>
      <c r="J462" s="986">
        <f>E462*1.5</f>
        <v>2892</v>
      </c>
    </row>
    <row r="463" spans="1:10" ht="15.75" customHeight="1">
      <c r="A463" s="1019"/>
      <c r="B463" s="1020"/>
      <c r="C463" s="792" t="s">
        <v>417</v>
      </c>
      <c r="D463" s="1049">
        <f>$E$5</f>
        <v>0.2</v>
      </c>
      <c r="E463" s="986">
        <f>ROUND($D$463*E462,2)</f>
        <v>385.6</v>
      </c>
      <c r="F463" s="986">
        <f t="shared" ref="F463:J463" si="52">ROUND($D$463*F462,2)</f>
        <v>424.16</v>
      </c>
      <c r="G463" s="986">
        <f t="shared" si="52"/>
        <v>462.72</v>
      </c>
      <c r="H463" s="986">
        <f t="shared" si="52"/>
        <v>501.28</v>
      </c>
      <c r="I463" s="986">
        <f t="shared" si="52"/>
        <v>539.84</v>
      </c>
      <c r="J463" s="986">
        <f t="shared" si="52"/>
        <v>578.4</v>
      </c>
    </row>
    <row r="464" spans="1:10" ht="30" customHeight="1">
      <c r="A464" s="1019"/>
      <c r="B464" s="1020"/>
      <c r="C464" s="792" t="s">
        <v>418</v>
      </c>
      <c r="E464" s="986"/>
      <c r="F464" s="986">
        <f>ROUND(0.1*($I$453+$I$454+$I$455),2)</f>
        <v>332.72</v>
      </c>
      <c r="G464" s="986">
        <f>ROUND(0.2*($I$453+$I$454+$I$455),2)</f>
        <v>665.44</v>
      </c>
      <c r="H464" s="986">
        <f>ROUND(0.3*($I$453+$I$454+$I$455),2)</f>
        <v>998.16</v>
      </c>
      <c r="I464" s="986">
        <f>ROUND(0.4*($I$453+$I$454+$I$455),2)</f>
        <v>1330.88</v>
      </c>
      <c r="J464" s="986">
        <f>ROUND(0.5*($I$453+$I$454+$I$455),2)</f>
        <v>1663.6</v>
      </c>
    </row>
    <row r="465" spans="1:10" ht="15.75" customHeight="1">
      <c r="A465" s="1019"/>
      <c r="B465" s="1020"/>
      <c r="E465" s="986">
        <f t="shared" ref="E465:J465" si="53">SUM(E460:E464)</f>
        <v>11253.2449</v>
      </c>
      <c r="F465" s="986">
        <f t="shared" si="53"/>
        <v>11817.324899999998</v>
      </c>
      <c r="G465" s="986">
        <f t="shared" si="53"/>
        <v>12381.4049</v>
      </c>
      <c r="H465" s="986">
        <f t="shared" si="53"/>
        <v>12945.484899999999</v>
      </c>
      <c r="I465" s="986">
        <f t="shared" si="53"/>
        <v>13509.564900000001</v>
      </c>
      <c r="J465" s="986">
        <f t="shared" si="53"/>
        <v>14073.644899999999</v>
      </c>
    </row>
    <row r="466" spans="1:10" ht="15.75" customHeight="1">
      <c r="A466" s="1019"/>
      <c r="B466" s="1020"/>
      <c r="C466" s="1220" t="s">
        <v>1014</v>
      </c>
      <c r="D466" s="1026">
        <f>$D$3</f>
        <v>0</v>
      </c>
      <c r="E466" s="986">
        <f t="shared" ref="E466:J466" si="54">ROUND(E465*$D$312,2)</f>
        <v>0</v>
      </c>
      <c r="F466" s="986">
        <f t="shared" si="54"/>
        <v>0</v>
      </c>
      <c r="G466" s="986">
        <f t="shared" si="54"/>
        <v>0</v>
      </c>
      <c r="H466" s="986">
        <f t="shared" si="54"/>
        <v>0</v>
      </c>
      <c r="I466" s="986">
        <f t="shared" si="54"/>
        <v>0</v>
      </c>
      <c r="J466" s="986">
        <f t="shared" si="54"/>
        <v>0</v>
      </c>
    </row>
    <row r="467" spans="1:10" ht="15.75" customHeight="1">
      <c r="A467" s="1019"/>
      <c r="B467" s="1020"/>
      <c r="C467" s="1003"/>
      <c r="E467" s="986"/>
      <c r="F467" s="986"/>
      <c r="G467" s="986"/>
      <c r="H467" s="986"/>
    </row>
    <row r="468" spans="1:10" ht="15.75" customHeight="1">
      <c r="A468" s="1019"/>
      <c r="B468" s="1020"/>
      <c r="C468" s="980" t="s">
        <v>539</v>
      </c>
      <c r="D468" s="980" t="s">
        <v>466</v>
      </c>
      <c r="E468" s="1012">
        <f>CEILING(SUM(E465:E467),0.05)</f>
        <v>11253.25</v>
      </c>
      <c r="F468" s="1012">
        <f>CEILING(SUM(F465:F467),0.05)</f>
        <v>11817.35</v>
      </c>
      <c r="G468" s="1012">
        <f>CEILING(SUM(G465:G467),0.05)</f>
        <v>12381.45</v>
      </c>
      <c r="H468" s="1012">
        <f>CEILING(SUM(H465:H467),0.05)</f>
        <v>12945.5</v>
      </c>
      <c r="I468" s="1012">
        <f>CEILING(SUM(I465:I467),1)</f>
        <v>13510</v>
      </c>
      <c r="J468" s="1012">
        <f>CEILING(SUM(J465:J467),1)</f>
        <v>14074</v>
      </c>
    </row>
    <row r="469" spans="1:10" ht="18" customHeight="1">
      <c r="A469" s="1019"/>
      <c r="B469" s="1020"/>
      <c r="C469" s="980"/>
      <c r="D469" s="980"/>
      <c r="E469" s="1012"/>
      <c r="F469" s="1012"/>
      <c r="G469" s="1012"/>
      <c r="H469" s="1012"/>
      <c r="I469" s="1003"/>
    </row>
    <row r="470" spans="1:10" ht="83.25" customHeight="1">
      <c r="A470" s="1019">
        <f>A441+1</f>
        <v>13</v>
      </c>
      <c r="B470" s="1020"/>
      <c r="C470" s="1493" t="s">
        <v>2228</v>
      </c>
      <c r="D470" s="1493"/>
      <c r="E470" s="1493"/>
      <c r="F470" s="1493"/>
      <c r="G470" s="1493"/>
      <c r="H470" s="1493"/>
      <c r="I470" s="1493"/>
    </row>
    <row r="471" spans="1:10" ht="15.75" customHeight="1">
      <c r="A471" s="1019"/>
      <c r="B471" s="1020"/>
      <c r="C471" s="1214" t="s">
        <v>769</v>
      </c>
      <c r="D471" s="1021"/>
      <c r="E471" s="1223"/>
      <c r="F471" s="1003"/>
      <c r="G471" s="1023"/>
      <c r="H471" s="1213"/>
      <c r="I471" s="1003"/>
    </row>
    <row r="472" spans="1:10" ht="15.75" customHeight="1">
      <c r="A472" s="1019"/>
      <c r="B472" s="1020"/>
      <c r="C472" s="1214" t="s">
        <v>557</v>
      </c>
      <c r="D472" s="1021"/>
      <c r="E472" s="1223"/>
      <c r="F472" s="1003"/>
      <c r="G472" s="1023"/>
      <c r="H472" s="1213"/>
      <c r="I472" s="1003"/>
    </row>
    <row r="473" spans="1:10" ht="15.75" customHeight="1">
      <c r="A473" s="1019"/>
      <c r="B473" s="1020"/>
      <c r="C473" s="792" t="s">
        <v>284</v>
      </c>
      <c r="D473" s="1005">
        <v>0.8</v>
      </c>
      <c r="E473" s="1008" t="s">
        <v>529</v>
      </c>
      <c r="F473" s="986">
        <f>$I$205</f>
        <v>1601.6699999999998</v>
      </c>
      <c r="G473" s="1023">
        <v>1</v>
      </c>
      <c r="H473" s="991" t="str">
        <f>IF(E473="","",IF(E473="No.","Each",IF(E473="Nos.","Each",E473)))</f>
        <v>cu.m.</v>
      </c>
      <c r="I473" s="986">
        <f>IF(G473="",D473*F473,(D473*F473/G473))</f>
        <v>1281.336</v>
      </c>
    </row>
    <row r="474" spans="1:10" ht="15.75" customHeight="1">
      <c r="A474" s="1019"/>
      <c r="B474" s="1020"/>
      <c r="C474" s="792" t="s">
        <v>519</v>
      </c>
      <c r="D474" s="1005">
        <f>0.4</f>
        <v>0.4</v>
      </c>
      <c r="E474" s="1008" t="s">
        <v>529</v>
      </c>
      <c r="F474" s="986">
        <f>LEAD!$P$7</f>
        <v>437.11999999999983</v>
      </c>
      <c r="G474" s="1023">
        <v>1</v>
      </c>
      <c r="H474" s="991" t="str">
        <f>IF(E474="","",IF(E474="No.","Each",IF(E474="Nos.","Each",E474)))</f>
        <v>cu.m.</v>
      </c>
      <c r="I474" s="986">
        <f>IF(G474="",D474*F474,(D474*F474/G474))</f>
        <v>174.84799999999996</v>
      </c>
    </row>
    <row r="475" spans="1:10" ht="15.75" customHeight="1">
      <c r="A475" s="1019"/>
      <c r="B475" s="1020"/>
      <c r="C475" s="792" t="s">
        <v>235</v>
      </c>
      <c r="D475" s="1005">
        <v>350</v>
      </c>
      <c r="E475" s="1008" t="s">
        <v>462</v>
      </c>
      <c r="F475" s="986">
        <f>LEAD!$P$28</f>
        <v>7168</v>
      </c>
      <c r="G475" s="1023">
        <v>1000</v>
      </c>
      <c r="H475" s="991" t="str">
        <f>IF(E475="","",IF(E475="No.","Each",IF(E475="Nos.","Each",E475)))</f>
        <v>kgs</v>
      </c>
      <c r="I475" s="986">
        <f>IF(G475="",D475*F475,(D475*F475/G475))</f>
        <v>2508.8000000000002</v>
      </c>
    </row>
    <row r="476" spans="1:10" ht="15.75" customHeight="1">
      <c r="A476" s="1019"/>
      <c r="B476" s="1020"/>
      <c r="C476" s="792" t="s">
        <v>420</v>
      </c>
      <c r="D476" s="1005">
        <v>1.2</v>
      </c>
      <c r="E476" s="1008" t="s">
        <v>421</v>
      </c>
      <c r="F476" s="986">
        <f>LEAD!$P$27</f>
        <v>73</v>
      </c>
      <c r="G476" s="1023">
        <v>1</v>
      </c>
      <c r="H476" s="991" t="str">
        <f>IF(E476="","",IF(E476="No.","Each",IF(E476="Nos.","Each",E476)))</f>
        <v>KL</v>
      </c>
      <c r="I476" s="986">
        <f>IF(G476="",D476*F476,(D476*F476/G476))</f>
        <v>87.6</v>
      </c>
    </row>
    <row r="477" spans="1:10" ht="15.75" customHeight="1">
      <c r="A477" s="1019"/>
      <c r="B477" s="1020"/>
      <c r="C477" s="1214" t="s">
        <v>424</v>
      </c>
      <c r="D477" s="1005"/>
      <c r="E477" s="1008"/>
      <c r="F477" s="986"/>
      <c r="G477" s="1023"/>
      <c r="H477" s="991"/>
      <c r="I477" s="986"/>
    </row>
    <row r="478" spans="1:10" ht="15.75" customHeight="1">
      <c r="A478" s="1019"/>
      <c r="B478" s="1020"/>
      <c r="C478" s="792" t="s">
        <v>321</v>
      </c>
      <c r="D478" s="1005">
        <v>0.308</v>
      </c>
      <c r="E478" s="1008" t="s">
        <v>692</v>
      </c>
      <c r="F478" s="986">
        <f>$H$209</f>
        <v>649.6</v>
      </c>
      <c r="G478" s="1023">
        <v>1</v>
      </c>
      <c r="H478" s="991" t="str">
        <f>IF(E478="","",IF(E478="No.","Each",IF(E478="Nos.","Each",E478)))</f>
        <v>Hour</v>
      </c>
      <c r="I478" s="986">
        <f>IF(G478="",D478*F478,(D478*F478/G478))</f>
        <v>200.07679999999999</v>
      </c>
    </row>
    <row r="479" spans="1:10" ht="15.75" customHeight="1">
      <c r="A479" s="1019"/>
      <c r="B479" s="1020"/>
      <c r="C479" s="792" t="s">
        <v>322</v>
      </c>
      <c r="D479" s="1005">
        <v>0.308</v>
      </c>
      <c r="E479" s="1008" t="s">
        <v>692</v>
      </c>
      <c r="F479" s="986">
        <f>$H$210</f>
        <v>221.7</v>
      </c>
      <c r="G479" s="1023">
        <v>1</v>
      </c>
      <c r="H479" s="991" t="str">
        <f>IF(E479="","",IF(E479="No.","Each",IF(E479="Nos.","Each",E479)))</f>
        <v>Hour</v>
      </c>
      <c r="I479" s="986">
        <f>IF(G479="",D479*F479,(D479*F479/G479))</f>
        <v>68.283599999999993</v>
      </c>
    </row>
    <row r="480" spans="1:10" ht="15.75" customHeight="1">
      <c r="A480" s="1019"/>
      <c r="B480" s="1020"/>
      <c r="C480" s="792" t="s">
        <v>239</v>
      </c>
      <c r="D480" s="1047">
        <f>$E$5</f>
        <v>0.2</v>
      </c>
      <c r="E480" s="1008"/>
      <c r="F480" s="986">
        <f>ROUND((D478*$G$209)+(D479*$G$210),2)</f>
        <v>185.32</v>
      </c>
      <c r="G480" s="1023">
        <v>1</v>
      </c>
      <c r="H480" s="991" t="str">
        <f>IF(E480="","",IF(E480="No.","Each",IF(E480="Nos.","Each",E480)))</f>
        <v/>
      </c>
      <c r="I480" s="986">
        <f>IF(G480="",D480*F480,(D480*F480/G480))</f>
        <v>37.064</v>
      </c>
    </row>
    <row r="481" spans="1:10" ht="15.75" customHeight="1">
      <c r="A481" s="1019"/>
      <c r="B481" s="1020"/>
      <c r="C481" s="1214" t="s">
        <v>132</v>
      </c>
      <c r="D481" s="1047"/>
      <c r="E481" s="1008"/>
      <c r="F481" s="986"/>
      <c r="G481" s="1023"/>
      <c r="H481" s="991"/>
      <c r="I481" s="986"/>
    </row>
    <row r="482" spans="1:10" ht="15.75" customHeight="1">
      <c r="A482" s="1019"/>
      <c r="B482" s="1020"/>
      <c r="C482" s="792" t="s">
        <v>377</v>
      </c>
      <c r="D482" s="1021">
        <v>6.7000000000000004E-2</v>
      </c>
      <c r="E482" s="1008" t="s">
        <v>499</v>
      </c>
      <c r="F482" s="986">
        <f>$F$9</f>
        <v>624</v>
      </c>
      <c r="G482" s="1023">
        <v>1</v>
      </c>
      <c r="H482" s="991" t="str">
        <f>IF(E482="","",IF(E482="No.","Each",IF(E482="Nos.","Each",E482)))</f>
        <v>Each</v>
      </c>
      <c r="I482" s="986">
        <f>IF(G482="",D482*F482,(D482*F482/G482))</f>
        <v>41.808</v>
      </c>
    </row>
    <row r="483" spans="1:10" ht="15.75" customHeight="1">
      <c r="A483" s="1019"/>
      <c r="B483" s="1020"/>
      <c r="C483" s="792" t="s">
        <v>378</v>
      </c>
      <c r="D483" s="1021">
        <v>0.13300000000000001</v>
      </c>
      <c r="E483" s="1008" t="s">
        <v>499</v>
      </c>
      <c r="F483" s="986">
        <f>$F$10</f>
        <v>588</v>
      </c>
      <c r="G483" s="1023">
        <v>1</v>
      </c>
      <c r="H483" s="991" t="str">
        <f>IF(E483="","",IF(E483="No.","Each",IF(E483="Nos.","Each",E483)))</f>
        <v>Each</v>
      </c>
      <c r="I483" s="986">
        <f>IF(G483="",D483*F483,(D483*F483/G483))</f>
        <v>78.204000000000008</v>
      </c>
    </row>
    <row r="484" spans="1:10" ht="15.75" customHeight="1">
      <c r="A484" s="1019"/>
      <c r="B484" s="1020"/>
      <c r="C484" s="792" t="s">
        <v>396</v>
      </c>
      <c r="D484" s="1021">
        <v>3.077</v>
      </c>
      <c r="E484" s="1008" t="s">
        <v>499</v>
      </c>
      <c r="F484" s="986">
        <f>$F$22</f>
        <v>558</v>
      </c>
      <c r="G484" s="1023">
        <v>1</v>
      </c>
      <c r="H484" s="991" t="str">
        <f>IF(E484="","",IF(E484="No.","Each",IF(E484="Nos.","Each",E484)))</f>
        <v>Each</v>
      </c>
      <c r="I484" s="986">
        <f>IF(G484="",D484*F484,(D484*F484/G484))</f>
        <v>1716.9659999999999</v>
      </c>
    </row>
    <row r="485" spans="1:10" ht="15.75" customHeight="1">
      <c r="A485" s="1019"/>
      <c r="B485" s="1020"/>
      <c r="C485" s="980" t="s">
        <v>593</v>
      </c>
      <c r="D485" s="1021"/>
      <c r="E485" s="1003"/>
      <c r="F485" s="1003"/>
      <c r="G485" s="1023"/>
      <c r="H485" s="1215" t="s">
        <v>466</v>
      </c>
      <c r="I485" s="1012">
        <f>SUM(I473:I484)</f>
        <v>6194.9863999999998</v>
      </c>
    </row>
    <row r="486" spans="1:10" ht="15.75" customHeight="1">
      <c r="A486" s="1019"/>
      <c r="B486" s="1020" t="s">
        <v>469</v>
      </c>
      <c r="C486" s="1215" t="s">
        <v>545</v>
      </c>
      <c r="D486" s="980"/>
      <c r="E486" s="1012"/>
      <c r="F486" s="1012"/>
      <c r="G486" s="1012"/>
      <c r="H486" s="1012"/>
      <c r="I486" s="1003"/>
    </row>
    <row r="487" spans="1:10" ht="15.75" customHeight="1">
      <c r="A487" s="1019"/>
      <c r="B487" s="1020"/>
      <c r="C487" s="1004" t="s">
        <v>428</v>
      </c>
      <c r="E487" s="1227" t="s">
        <v>501</v>
      </c>
      <c r="F487" s="1048" t="s">
        <v>502</v>
      </c>
      <c r="G487" s="1227" t="s">
        <v>503</v>
      </c>
      <c r="H487" s="1048" t="s">
        <v>709</v>
      </c>
      <c r="I487" s="1048" t="s">
        <v>502</v>
      </c>
      <c r="J487" s="1048" t="s">
        <v>502</v>
      </c>
    </row>
    <row r="488" spans="1:10" ht="15.75" customHeight="1">
      <c r="A488" s="1019"/>
      <c r="B488" s="1020"/>
      <c r="C488" s="792" t="s">
        <v>381</v>
      </c>
      <c r="E488" s="986">
        <f t="shared" ref="E488:J488" si="55">$I$485</f>
        <v>6194.9863999999998</v>
      </c>
      <c r="F488" s="986">
        <f t="shared" si="55"/>
        <v>6194.9863999999998</v>
      </c>
      <c r="G488" s="986">
        <f t="shared" si="55"/>
        <v>6194.9863999999998</v>
      </c>
      <c r="H488" s="986">
        <f t="shared" si="55"/>
        <v>6194.9863999999998</v>
      </c>
      <c r="I488" s="986">
        <f t="shared" si="55"/>
        <v>6194.9863999999998</v>
      </c>
      <c r="J488" s="986">
        <f t="shared" si="55"/>
        <v>6194.9863999999998</v>
      </c>
    </row>
    <row r="489" spans="1:10" ht="15.75" customHeight="1">
      <c r="A489" s="1019"/>
      <c r="B489" s="1020"/>
      <c r="C489" s="792" t="s">
        <v>580</v>
      </c>
      <c r="E489" s="986">
        <f t="shared" ref="E489:J489" si="56">$F$37</f>
        <v>1395</v>
      </c>
      <c r="F489" s="986">
        <f t="shared" si="56"/>
        <v>1395</v>
      </c>
      <c r="G489" s="986">
        <f t="shared" si="56"/>
        <v>1395</v>
      </c>
      <c r="H489" s="986">
        <f t="shared" si="56"/>
        <v>1395</v>
      </c>
      <c r="I489" s="986">
        <f t="shared" si="56"/>
        <v>1395</v>
      </c>
      <c r="J489" s="986">
        <f t="shared" si="56"/>
        <v>1395</v>
      </c>
    </row>
    <row r="490" spans="1:10" ht="15.75" customHeight="1">
      <c r="A490" s="1019"/>
      <c r="B490" s="1020"/>
      <c r="C490" s="792" t="s">
        <v>581</v>
      </c>
      <c r="E490" s="986">
        <f>$H$37</f>
        <v>1617</v>
      </c>
      <c r="F490" s="986">
        <f>$K$37</f>
        <v>1778.7</v>
      </c>
      <c r="G490" s="986">
        <f>$M$37</f>
        <v>1940.4</v>
      </c>
      <c r="H490" s="986">
        <f>$O$37</f>
        <v>2102.1</v>
      </c>
      <c r="I490" s="979">
        <f>E490*1.4</f>
        <v>2263.7999999999997</v>
      </c>
      <c r="J490" s="979">
        <f>E490*1.5</f>
        <v>2425.5</v>
      </c>
    </row>
    <row r="491" spans="1:10" ht="15.75" customHeight="1">
      <c r="A491" s="1019"/>
      <c r="B491" s="1020"/>
      <c r="C491" s="792" t="s">
        <v>417</v>
      </c>
      <c r="D491" s="1049">
        <f>$E$5</f>
        <v>0.2</v>
      </c>
      <c r="E491" s="986">
        <f t="shared" ref="E491:J491" si="57">ROUND($D$491*E490,2)</f>
        <v>323.39999999999998</v>
      </c>
      <c r="F491" s="986">
        <f t="shared" si="57"/>
        <v>355.74</v>
      </c>
      <c r="G491" s="986">
        <f t="shared" si="57"/>
        <v>388.08</v>
      </c>
      <c r="H491" s="986">
        <f t="shared" si="57"/>
        <v>420.42</v>
      </c>
      <c r="I491" s="986">
        <f t="shared" si="57"/>
        <v>452.76</v>
      </c>
      <c r="J491" s="986">
        <f t="shared" si="57"/>
        <v>485.1</v>
      </c>
    </row>
    <row r="492" spans="1:10" ht="15.75" customHeight="1">
      <c r="A492" s="1019"/>
      <c r="B492" s="1020"/>
      <c r="C492" s="792" t="s">
        <v>418</v>
      </c>
      <c r="E492" s="986"/>
      <c r="F492" s="986">
        <f>ROUND(0.1*($I$484+$I$483+$I$482),2)</f>
        <v>183.7</v>
      </c>
      <c r="G492" s="986">
        <f>ROUND(0.2*($I$484+$I$483+$I$482),2)</f>
        <v>367.4</v>
      </c>
      <c r="H492" s="986">
        <f>ROUND(0.3*($I$484+$I$483+$I$482),2)</f>
        <v>551.09</v>
      </c>
      <c r="I492" s="986">
        <f>ROUND(0.4*($I$484+$I$483+$I$482),2)</f>
        <v>734.79</v>
      </c>
      <c r="J492" s="986">
        <f>ROUND(0.5*($I$484+$I$483+$I$482),2)</f>
        <v>918.49</v>
      </c>
    </row>
    <row r="493" spans="1:10" ht="15.75" customHeight="1">
      <c r="A493" s="1019"/>
      <c r="B493" s="1020"/>
      <c r="E493" s="986">
        <f t="shared" ref="E493:J493" si="58">SUM(E488:E492)</f>
        <v>9530.3863999999994</v>
      </c>
      <c r="F493" s="986">
        <f t="shared" si="58"/>
        <v>9908.126400000001</v>
      </c>
      <c r="G493" s="986">
        <f t="shared" si="58"/>
        <v>10285.866399999999</v>
      </c>
      <c r="H493" s="986">
        <f t="shared" si="58"/>
        <v>10663.5964</v>
      </c>
      <c r="I493" s="986">
        <f t="shared" si="58"/>
        <v>11041.3364</v>
      </c>
      <c r="J493" s="986">
        <f t="shared" si="58"/>
        <v>11419.0764</v>
      </c>
    </row>
    <row r="494" spans="1:10" ht="15.75" customHeight="1">
      <c r="A494" s="1019"/>
      <c r="B494" s="1020"/>
      <c r="C494" s="1220" t="s">
        <v>1014</v>
      </c>
      <c r="D494" s="1026">
        <f>$D$3</f>
        <v>0</v>
      </c>
      <c r="E494" s="986">
        <f t="shared" ref="E494:J494" si="59">ROUND(E493*$D$312,2)</f>
        <v>0</v>
      </c>
      <c r="F494" s="986">
        <f t="shared" si="59"/>
        <v>0</v>
      </c>
      <c r="G494" s="986">
        <f t="shared" si="59"/>
        <v>0</v>
      </c>
      <c r="H494" s="986">
        <f t="shared" si="59"/>
        <v>0</v>
      </c>
      <c r="I494" s="986">
        <f t="shared" si="59"/>
        <v>0</v>
      </c>
      <c r="J494" s="986">
        <f t="shared" si="59"/>
        <v>0</v>
      </c>
    </row>
    <row r="495" spans="1:10" ht="15.75" customHeight="1">
      <c r="A495" s="1019"/>
      <c r="B495" s="1020"/>
      <c r="C495" s="980" t="s">
        <v>539</v>
      </c>
      <c r="D495" s="980" t="s">
        <v>466</v>
      </c>
      <c r="E495" s="1012">
        <f>CEILING(SUM(E493:E494),0.05)</f>
        <v>9530.4</v>
      </c>
      <c r="F495" s="1012">
        <f>CEILING(SUM(F493:F494),0.05)</f>
        <v>9908.1500000000015</v>
      </c>
      <c r="G495" s="1012">
        <f>CEILING(SUM(G493:G494),0.05)</f>
        <v>10285.900000000001</v>
      </c>
      <c r="H495" s="1012">
        <f>CEILING(SUM(H493:H494),0.05)</f>
        <v>10663.6</v>
      </c>
      <c r="I495" s="1012">
        <f>CEILING(SUM(I493:I494),1)</f>
        <v>11042</v>
      </c>
      <c r="J495" s="1012">
        <f>CEILING(SUM(J493:J494),1)</f>
        <v>11420</v>
      </c>
    </row>
    <row r="496" spans="1:10" ht="15.75" customHeight="1">
      <c r="A496" s="1019"/>
      <c r="B496" s="1020"/>
      <c r="C496" s="980"/>
      <c r="D496" s="980"/>
      <c r="E496" s="1012"/>
      <c r="F496" s="1012"/>
      <c r="G496" s="1012"/>
      <c r="H496" s="1012"/>
    </row>
    <row r="497" spans="1:9" ht="25.5" customHeight="1">
      <c r="A497" s="1019"/>
      <c r="B497" s="1020" t="s">
        <v>1</v>
      </c>
      <c r="C497" s="1224" t="s">
        <v>2213</v>
      </c>
      <c r="D497" s="1021"/>
      <c r="E497" s="1003"/>
      <c r="F497" s="1003"/>
      <c r="G497" s="1023"/>
      <c r="H497" s="1213"/>
      <c r="I497" s="1003"/>
    </row>
    <row r="498" spans="1:9" ht="12.75" customHeight="1">
      <c r="A498" s="1019"/>
      <c r="B498" s="1020"/>
      <c r="C498" s="792" t="s">
        <v>280</v>
      </c>
      <c r="D498" s="1021">
        <v>7.4999999999999997E-2</v>
      </c>
      <c r="E498" s="1003" t="s">
        <v>529</v>
      </c>
      <c r="F498" s="986">
        <f>$I$485</f>
        <v>6194.9863999999998</v>
      </c>
      <c r="G498" s="1023">
        <v>1</v>
      </c>
      <c r="H498" s="991" t="str">
        <f>IF(E498="","",IF(E498="No.","Each",IF(E498="Nos.","Each",E498)))</f>
        <v>cu.m.</v>
      </c>
      <c r="I498" s="986">
        <f>IF(G498="",D498*F498,(D498*F498/G498))</f>
        <v>464.62397999999996</v>
      </c>
    </row>
    <row r="499" spans="1:9" ht="12.75" customHeight="1">
      <c r="A499" s="1019"/>
      <c r="B499" s="1020"/>
      <c r="D499" s="1021"/>
      <c r="E499" s="1003"/>
      <c r="F499" s="986"/>
      <c r="G499" s="1023"/>
      <c r="H499" s="991"/>
      <c r="I499" s="986"/>
    </row>
    <row r="500" spans="1:9" ht="12.75" customHeight="1">
      <c r="A500" s="1019"/>
      <c r="B500" s="1020"/>
      <c r="C500" s="1004" t="s">
        <v>428</v>
      </c>
      <c r="E500" s="1227" t="s">
        <v>501</v>
      </c>
      <c r="F500" s="1048" t="s">
        <v>502</v>
      </c>
      <c r="G500" s="1227" t="s">
        <v>503</v>
      </c>
      <c r="H500" s="1048" t="s">
        <v>709</v>
      </c>
      <c r="I500" s="1048"/>
    </row>
    <row r="501" spans="1:9" ht="12.75" customHeight="1">
      <c r="A501" s="1019"/>
      <c r="B501" s="1020"/>
      <c r="C501" s="792" t="s">
        <v>381</v>
      </c>
      <c r="E501" s="986">
        <f>$I$498</f>
        <v>464.62397999999996</v>
      </c>
      <c r="F501" s="986">
        <f>$I$498</f>
        <v>464.62397999999996</v>
      </c>
      <c r="G501" s="986">
        <f>$I$498</f>
        <v>464.62397999999996</v>
      </c>
      <c r="H501" s="986">
        <f>$I$498</f>
        <v>464.62397999999996</v>
      </c>
      <c r="I501" s="986"/>
    </row>
    <row r="502" spans="1:9" ht="12.75" customHeight="1">
      <c r="A502" s="1019"/>
      <c r="B502" s="1020"/>
      <c r="C502" s="792" t="s">
        <v>580</v>
      </c>
      <c r="E502" s="986">
        <f>$F$38</f>
        <v>158</v>
      </c>
      <c r="F502" s="986">
        <f>$F$38</f>
        <v>158</v>
      </c>
      <c r="G502" s="986">
        <f>$F$38</f>
        <v>158</v>
      </c>
      <c r="H502" s="986">
        <f>$F$38</f>
        <v>158</v>
      </c>
      <c r="I502" s="986"/>
    </row>
    <row r="503" spans="1:9" ht="12.75" customHeight="1">
      <c r="A503" s="1019"/>
      <c r="B503" s="1020"/>
      <c r="C503" s="792" t="s">
        <v>581</v>
      </c>
      <c r="E503" s="986">
        <f>$H$38</f>
        <v>183</v>
      </c>
      <c r="F503" s="986">
        <f>$K$38</f>
        <v>201.3</v>
      </c>
      <c r="G503" s="986">
        <f>$M$38</f>
        <v>219.6</v>
      </c>
      <c r="H503" s="986">
        <f>$O$38</f>
        <v>237.9</v>
      </c>
      <c r="I503" s="986"/>
    </row>
    <row r="504" spans="1:9" ht="12.75" customHeight="1">
      <c r="A504" s="1019"/>
      <c r="B504" s="1020"/>
      <c r="C504" s="792" t="s">
        <v>417</v>
      </c>
      <c r="D504" s="1049">
        <f>$E$5</f>
        <v>0.2</v>
      </c>
      <c r="E504" s="986">
        <f>ROUND($D$504*E503,2)</f>
        <v>36.6</v>
      </c>
      <c r="F504" s="986">
        <f>ROUND($D$504*F503,2)</f>
        <v>40.26</v>
      </c>
      <c r="G504" s="986">
        <f>ROUND($D$504*G503,2)</f>
        <v>43.92</v>
      </c>
      <c r="H504" s="986">
        <f>ROUND($D$504*H503,2)</f>
        <v>47.58</v>
      </c>
      <c r="I504" s="986"/>
    </row>
    <row r="505" spans="1:9" ht="12.75" customHeight="1">
      <c r="A505" s="1019"/>
      <c r="B505" s="1020"/>
      <c r="C505" s="792" t="s">
        <v>418</v>
      </c>
      <c r="E505" s="986"/>
      <c r="F505" s="986">
        <f>ROUND(0.1*D498*($I$484+$I$483+$I$482),2)</f>
        <v>13.78</v>
      </c>
      <c r="G505" s="986">
        <f>ROUND(0.2*D498*($I$484+$I$483+$I$482),2)</f>
        <v>27.55</v>
      </c>
      <c r="H505" s="986">
        <f>ROUND(0.3*D498*($I$484+$I$483+$I$482),2)</f>
        <v>41.33</v>
      </c>
      <c r="I505" s="986"/>
    </row>
    <row r="506" spans="1:9" ht="12.75" customHeight="1">
      <c r="A506" s="1019"/>
      <c r="B506" s="1020"/>
      <c r="E506" s="986">
        <f>SUM(E501:E505)</f>
        <v>842.22397999999998</v>
      </c>
      <c r="F506" s="986">
        <f>SUM(F501:F505)</f>
        <v>877.96397999999999</v>
      </c>
      <c r="G506" s="986">
        <f>SUM(G501:G505)</f>
        <v>913.6939799999999</v>
      </c>
      <c r="H506" s="986">
        <f>SUM(H501:H505)</f>
        <v>949.43398000000002</v>
      </c>
      <c r="I506" s="986"/>
    </row>
    <row r="507" spans="1:9" ht="12.75" customHeight="1">
      <c r="A507" s="1019"/>
      <c r="B507" s="1020"/>
      <c r="C507" s="1220" t="s">
        <v>1014</v>
      </c>
      <c r="D507" s="1026">
        <f>$D$3</f>
        <v>0</v>
      </c>
      <c r="E507" s="986">
        <f>ROUND(E506*$D$312,2)</f>
        <v>0</v>
      </c>
      <c r="F507" s="986">
        <f>ROUND(F506*$D$312,2)</f>
        <v>0</v>
      </c>
      <c r="G507" s="986">
        <f>ROUND(G506*$D$312,2)</f>
        <v>0</v>
      </c>
      <c r="H507" s="986">
        <f>ROUND(H506*$D$312,2)</f>
        <v>0</v>
      </c>
      <c r="I507" s="986"/>
    </row>
    <row r="508" spans="1:9" ht="12.75" customHeight="1">
      <c r="A508" s="1019"/>
      <c r="B508" s="1020"/>
      <c r="C508" s="980" t="s">
        <v>281</v>
      </c>
      <c r="D508" s="980" t="s">
        <v>466</v>
      </c>
      <c r="E508" s="1012">
        <f>CEILING(SUM(E506:E507),0.05)</f>
        <v>842.25</v>
      </c>
      <c r="F508" s="1012">
        <f>CEILING(SUM(F506:F507),0.05)</f>
        <v>878</v>
      </c>
      <c r="G508" s="1012">
        <f>CEILING(SUM(G506:G507),0.05)</f>
        <v>913.7</v>
      </c>
      <c r="H508" s="1012">
        <f>CEILING(SUM(H506:H507),0.05)</f>
        <v>949.45</v>
      </c>
    </row>
    <row r="509" spans="1:9" ht="12.75" customHeight="1">
      <c r="A509" s="1019"/>
      <c r="B509" s="1020"/>
      <c r="C509" s="980"/>
      <c r="D509" s="980"/>
      <c r="E509" s="1012"/>
      <c r="F509" s="1012"/>
      <c r="G509" s="1012"/>
      <c r="H509" s="1012"/>
    </row>
    <row r="510" spans="1:9" ht="25.5" customHeight="1">
      <c r="A510" s="1019"/>
      <c r="B510" s="1020" t="s">
        <v>363</v>
      </c>
      <c r="C510" s="1224" t="s">
        <v>2214</v>
      </c>
      <c r="D510" s="1021"/>
      <c r="E510" s="1003"/>
      <c r="F510" s="1003"/>
      <c r="G510" s="1023"/>
      <c r="H510" s="1213"/>
      <c r="I510" s="1003"/>
    </row>
    <row r="511" spans="1:9" ht="12.75" customHeight="1">
      <c r="A511" s="1019"/>
      <c r="B511" s="1020"/>
      <c r="C511" s="792" t="s">
        <v>86</v>
      </c>
      <c r="D511" s="1021">
        <v>0.1</v>
      </c>
      <c r="E511" s="1003" t="s">
        <v>529</v>
      </c>
      <c r="F511" s="986">
        <f>$I$485</f>
        <v>6194.9863999999998</v>
      </c>
      <c r="G511" s="1023">
        <v>1</v>
      </c>
      <c r="H511" s="991" t="str">
        <f>IF(E511="","",IF(E511="No.","Each",IF(E511="Nos.","Each",E511)))</f>
        <v>cu.m.</v>
      </c>
      <c r="I511" s="986">
        <f>IF(G511="",D511*F511,(D511*F511/G511))</f>
        <v>619.49864000000002</v>
      </c>
    </row>
    <row r="512" spans="1:9" ht="12.75" customHeight="1">
      <c r="A512" s="1019"/>
      <c r="B512" s="1020"/>
      <c r="D512" s="1021"/>
      <c r="E512" s="1003"/>
      <c r="F512" s="986"/>
      <c r="G512" s="1023"/>
      <c r="H512" s="991"/>
      <c r="I512" s="1048"/>
    </row>
    <row r="513" spans="1:9" ht="12.75" customHeight="1">
      <c r="A513" s="1019"/>
      <c r="B513" s="1020"/>
      <c r="C513" s="1004" t="s">
        <v>428</v>
      </c>
      <c r="E513" s="1227" t="s">
        <v>501</v>
      </c>
      <c r="F513" s="1048" t="s">
        <v>502</v>
      </c>
      <c r="G513" s="1227" t="s">
        <v>503</v>
      </c>
      <c r="H513" s="1048" t="s">
        <v>709</v>
      </c>
      <c r="I513" s="1048" t="s">
        <v>502</v>
      </c>
    </row>
    <row r="514" spans="1:9" ht="12.75" customHeight="1">
      <c r="A514" s="1019"/>
      <c r="B514" s="1020"/>
      <c r="C514" s="792" t="s">
        <v>381</v>
      </c>
      <c r="E514" s="986">
        <f>$I$511</f>
        <v>619.49864000000002</v>
      </c>
      <c r="F514" s="986">
        <f>$I$511</f>
        <v>619.49864000000002</v>
      </c>
      <c r="G514" s="986">
        <f>$I$511</f>
        <v>619.49864000000002</v>
      </c>
      <c r="H514" s="986">
        <f>$I$511</f>
        <v>619.49864000000002</v>
      </c>
      <c r="I514" s="986">
        <f>H514</f>
        <v>619.49864000000002</v>
      </c>
    </row>
    <row r="515" spans="1:9" ht="12.75" customHeight="1">
      <c r="A515" s="1019"/>
      <c r="B515" s="1020"/>
      <c r="C515" s="792" t="s">
        <v>580</v>
      </c>
      <c r="E515" s="986">
        <f>$F$38</f>
        <v>158</v>
      </c>
      <c r="F515" s="986">
        <f>$F$38</f>
        <v>158</v>
      </c>
      <c r="G515" s="986">
        <f>$F$38</f>
        <v>158</v>
      </c>
      <c r="H515" s="986">
        <f>$F$38</f>
        <v>158</v>
      </c>
      <c r="I515" s="986">
        <f>$F$38</f>
        <v>158</v>
      </c>
    </row>
    <row r="516" spans="1:9" ht="12.75" customHeight="1">
      <c r="A516" s="1019"/>
      <c r="B516" s="1020"/>
      <c r="C516" s="792" t="s">
        <v>581</v>
      </c>
      <c r="E516" s="986">
        <f>$H$38</f>
        <v>183</v>
      </c>
      <c r="F516" s="986">
        <f>$K$38</f>
        <v>201.3</v>
      </c>
      <c r="G516" s="986">
        <f>$M$38</f>
        <v>219.6</v>
      </c>
      <c r="H516" s="986">
        <f>$O$38</f>
        <v>237.9</v>
      </c>
      <c r="I516" s="986">
        <f>$Q$38</f>
        <v>256.2</v>
      </c>
    </row>
    <row r="517" spans="1:9" ht="12.75" customHeight="1">
      <c r="A517" s="1019"/>
      <c r="B517" s="1020"/>
      <c r="C517" s="792" t="s">
        <v>417</v>
      </c>
      <c r="D517" s="1049">
        <f>$E$5</f>
        <v>0.2</v>
      </c>
      <c r="E517" s="986">
        <f>ROUND($D$517*E516,2)</f>
        <v>36.6</v>
      </c>
      <c r="F517" s="986">
        <f>ROUND($D$517*F516,2)</f>
        <v>40.26</v>
      </c>
      <c r="G517" s="986">
        <f>ROUND($D$517*G516,2)</f>
        <v>43.92</v>
      </c>
      <c r="H517" s="986">
        <f>ROUND($D$517*H516,2)</f>
        <v>47.58</v>
      </c>
      <c r="I517" s="986">
        <f>ROUND($D$517*I516,2)</f>
        <v>51.24</v>
      </c>
    </row>
    <row r="518" spans="1:9" ht="12.75" customHeight="1">
      <c r="A518" s="1019"/>
      <c r="B518" s="1020"/>
      <c r="C518" s="792" t="s">
        <v>418</v>
      </c>
      <c r="E518" s="986"/>
      <c r="F518" s="986">
        <f>ROUND(0.1*D511*($I$484+$I$483+$I$482),2)</f>
        <v>18.37</v>
      </c>
      <c r="G518" s="986">
        <f>ROUND(0.2*D511*($I$484+$I$483+$I$482),2)</f>
        <v>36.74</v>
      </c>
      <c r="H518" s="986">
        <f>ROUND(0.3*D511*($I$484+$I$483+$I$482),2)</f>
        <v>55.11</v>
      </c>
      <c r="I518" s="986">
        <f>ROUND(0.4*D511*($I$484+$I$483+$I$482),2)</f>
        <v>73.48</v>
      </c>
    </row>
    <row r="519" spans="1:9" ht="12.75" customHeight="1">
      <c r="A519" s="1019"/>
      <c r="B519" s="1020"/>
      <c r="E519" s="986">
        <f>SUM(E514:E518)</f>
        <v>997.09864000000005</v>
      </c>
      <c r="F519" s="986">
        <f>SUM(F514:F518)</f>
        <v>1037.4286399999999</v>
      </c>
      <c r="G519" s="986">
        <f>SUM(G514:G518)</f>
        <v>1077.75864</v>
      </c>
      <c r="H519" s="986">
        <f>SUM(H514:H518)</f>
        <v>1118.0886399999999</v>
      </c>
      <c r="I519" s="986">
        <f>SUM(I514:I518)</f>
        <v>1158.4186400000001</v>
      </c>
    </row>
    <row r="520" spans="1:9" ht="12.75" customHeight="1">
      <c r="A520" s="1019"/>
      <c r="B520" s="1020"/>
      <c r="C520" s="1220" t="s">
        <v>1014</v>
      </c>
      <c r="D520" s="1026">
        <f>$D$3</f>
        <v>0</v>
      </c>
      <c r="E520" s="986">
        <f>ROUND(E519*$D$312,2)</f>
        <v>0</v>
      </c>
      <c r="F520" s="986">
        <f>ROUND(F519*$D$312,2)</f>
        <v>0</v>
      </c>
      <c r="G520" s="986">
        <f>ROUND(G519*$D$312,2)</f>
        <v>0</v>
      </c>
      <c r="H520" s="986">
        <f>ROUND(H519*$D$312,2)</f>
        <v>0</v>
      </c>
      <c r="I520" s="986">
        <f>ROUND(I519*$D$312,2)</f>
        <v>0</v>
      </c>
    </row>
    <row r="521" spans="1:9" ht="12.75" customHeight="1">
      <c r="A521" s="1019"/>
      <c r="B521" s="1020"/>
      <c r="C521" s="980" t="s">
        <v>281</v>
      </c>
      <c r="D521" s="980" t="s">
        <v>466</v>
      </c>
      <c r="E521" s="1012">
        <f>CEILING(SUM(E519:E520),0.05)</f>
        <v>997.1</v>
      </c>
      <c r="F521" s="1012">
        <f>CEILING(SUM(F519:F520),0.05)</f>
        <v>1037.45</v>
      </c>
      <c r="G521" s="1012">
        <f>CEILING(SUM(G519:G520),0.05)</f>
        <v>1077.8</v>
      </c>
      <c r="H521" s="1012">
        <f>CEILING(SUM(H519:H520),0.05)</f>
        <v>1118.1000000000001</v>
      </c>
      <c r="I521" s="1012">
        <f>CEILING(SUM(I519:I520),0.05)</f>
        <v>1158.45</v>
      </c>
    </row>
    <row r="522" spans="1:9" ht="25.5" customHeight="1">
      <c r="A522" s="1019"/>
      <c r="B522" s="1020" t="s">
        <v>361</v>
      </c>
      <c r="C522" s="1224" t="s">
        <v>2215</v>
      </c>
      <c r="D522" s="1021"/>
      <c r="E522" s="1003"/>
      <c r="F522" s="1003"/>
      <c r="G522" s="1023"/>
      <c r="H522" s="1213"/>
      <c r="I522" s="1003"/>
    </row>
    <row r="523" spans="1:9" ht="12.75" customHeight="1">
      <c r="A523" s="1019"/>
      <c r="B523" s="1020"/>
      <c r="C523" s="792" t="s">
        <v>177</v>
      </c>
      <c r="D523" s="1021">
        <v>0.11</v>
      </c>
      <c r="E523" s="1003" t="s">
        <v>529</v>
      </c>
      <c r="F523" s="986">
        <f>$I$485</f>
        <v>6194.9863999999998</v>
      </c>
      <c r="G523" s="1023">
        <v>1</v>
      </c>
      <c r="H523" s="991" t="str">
        <f>IF(E523="","",IF(E523="No.","Each",IF(E523="Nos.","Each",E523)))</f>
        <v>cu.m.</v>
      </c>
      <c r="I523" s="986">
        <f>IF(G523="",D523*F523,(D523*F523/G523))</f>
        <v>681.44850399999996</v>
      </c>
    </row>
    <row r="524" spans="1:9" ht="12.75" customHeight="1">
      <c r="A524" s="1019"/>
      <c r="B524" s="1020"/>
      <c r="D524" s="1021"/>
      <c r="E524" s="1003"/>
      <c r="F524" s="986"/>
      <c r="G524" s="1023"/>
      <c r="H524" s="991"/>
      <c r="I524" s="1048"/>
    </row>
    <row r="525" spans="1:9" ht="12.75" customHeight="1">
      <c r="A525" s="1019"/>
      <c r="B525" s="1020"/>
      <c r="C525" s="1004" t="s">
        <v>428</v>
      </c>
      <c r="E525" s="1227" t="s">
        <v>501</v>
      </c>
      <c r="F525" s="1048" t="s">
        <v>502</v>
      </c>
      <c r="G525" s="1227" t="s">
        <v>503</v>
      </c>
      <c r="H525" s="1048" t="s">
        <v>709</v>
      </c>
      <c r="I525" s="986"/>
    </row>
    <row r="526" spans="1:9" ht="12.75" customHeight="1">
      <c r="A526" s="1019"/>
      <c r="B526" s="1020"/>
      <c r="C526" s="792" t="s">
        <v>381</v>
      </c>
      <c r="E526" s="986">
        <f>I523</f>
        <v>681.44850399999996</v>
      </c>
      <c r="F526" s="986">
        <f>I523</f>
        <v>681.44850399999996</v>
      </c>
      <c r="G526" s="986">
        <f>I523</f>
        <v>681.44850399999996</v>
      </c>
      <c r="H526" s="986">
        <f>I523</f>
        <v>681.44850399999996</v>
      </c>
      <c r="I526" s="986"/>
    </row>
    <row r="527" spans="1:9" ht="12.75" customHeight="1">
      <c r="A527" s="1019"/>
      <c r="B527" s="1020"/>
      <c r="C527" s="792" t="s">
        <v>580</v>
      </c>
      <c r="E527" s="986">
        <f>$F$38</f>
        <v>158</v>
      </c>
      <c r="F527" s="986">
        <f>$F$38</f>
        <v>158</v>
      </c>
      <c r="G527" s="986">
        <f>$F$38</f>
        <v>158</v>
      </c>
      <c r="H527" s="986">
        <f>$F$38</f>
        <v>158</v>
      </c>
      <c r="I527" s="986"/>
    </row>
    <row r="528" spans="1:9" ht="12.75" customHeight="1">
      <c r="A528" s="1019"/>
      <c r="B528" s="1020"/>
      <c r="C528" s="792" t="s">
        <v>581</v>
      </c>
      <c r="E528" s="986">
        <f>$H$38</f>
        <v>183</v>
      </c>
      <c r="F528" s="986">
        <f>$K$38</f>
        <v>201.3</v>
      </c>
      <c r="G528" s="986">
        <f>$M$38</f>
        <v>219.6</v>
      </c>
      <c r="H528" s="986">
        <f>$O$38</f>
        <v>237.9</v>
      </c>
      <c r="I528" s="986"/>
    </row>
    <row r="529" spans="1:9" ht="12.75" customHeight="1">
      <c r="A529" s="1019"/>
      <c r="B529" s="1020"/>
      <c r="C529" s="792" t="s">
        <v>417</v>
      </c>
      <c r="D529" s="1049">
        <f>$E$5</f>
        <v>0.2</v>
      </c>
      <c r="E529" s="986">
        <f>ROUND($D$529*E528,2)</f>
        <v>36.6</v>
      </c>
      <c r="F529" s="986">
        <f>ROUND($D$529*F528,2)</f>
        <v>40.26</v>
      </c>
      <c r="G529" s="986">
        <f>ROUND($D$529*G528,2)</f>
        <v>43.92</v>
      </c>
      <c r="H529" s="986">
        <f>ROUND($D$529*H528,2)</f>
        <v>47.58</v>
      </c>
      <c r="I529" s="986"/>
    </row>
    <row r="530" spans="1:9" ht="12.75" customHeight="1">
      <c r="A530" s="1019"/>
      <c r="B530" s="1020"/>
      <c r="C530" s="792" t="s">
        <v>418</v>
      </c>
      <c r="E530" s="986"/>
      <c r="F530" s="986">
        <f>ROUND(0.1*D523*($I$484+$I$483+$I$482),2)</f>
        <v>20.21</v>
      </c>
      <c r="G530" s="986">
        <f>ROUND(0.2*D523*($I$484+$I$483+$I$482),2)</f>
        <v>40.409999999999997</v>
      </c>
      <c r="H530" s="986">
        <f>ROUND(0.3*D523*($I$484+$I$483+$I$482),2)</f>
        <v>60.62</v>
      </c>
      <c r="I530" s="986"/>
    </row>
    <row r="531" spans="1:9" ht="12.75" customHeight="1">
      <c r="A531" s="1019"/>
      <c r="B531" s="1020"/>
      <c r="E531" s="986">
        <f>SUM(E526:E530)</f>
        <v>1059.0485039999999</v>
      </c>
      <c r="F531" s="986">
        <f>SUM(F526:F530)</f>
        <v>1101.2185039999999</v>
      </c>
      <c r="G531" s="986">
        <f>SUM(G526:G530)</f>
        <v>1143.378504</v>
      </c>
      <c r="H531" s="986">
        <f>SUM(H526:H530)</f>
        <v>1185.5485039999999</v>
      </c>
      <c r="I531" s="986"/>
    </row>
    <row r="532" spans="1:9" ht="12.75" customHeight="1">
      <c r="A532" s="1019"/>
      <c r="B532" s="1020"/>
      <c r="C532" s="1220" t="s">
        <v>1014</v>
      </c>
      <c r="D532" s="1026">
        <f>$D$3</f>
        <v>0</v>
      </c>
      <c r="E532" s="986">
        <f>ROUND(E531*$D$312,2)</f>
        <v>0</v>
      </c>
      <c r="F532" s="986">
        <f>ROUND(F531*$D$312,2)</f>
        <v>0</v>
      </c>
      <c r="G532" s="986">
        <f>ROUND(G531*$D$312,2)</f>
        <v>0</v>
      </c>
      <c r="H532" s="986">
        <f>ROUND(H531*$D$312,2)</f>
        <v>0</v>
      </c>
      <c r="I532" s="986"/>
    </row>
    <row r="533" spans="1:9" ht="12.75" customHeight="1">
      <c r="A533" s="1019"/>
      <c r="B533" s="1020"/>
      <c r="C533" s="980" t="s">
        <v>281</v>
      </c>
      <c r="D533" s="980" t="s">
        <v>466</v>
      </c>
      <c r="E533" s="1012">
        <f>CEILING(SUM(E531:E532),0.05)</f>
        <v>1059.05</v>
      </c>
      <c r="F533" s="1012">
        <f>CEILING(SUM(F531:F532),0.05)</f>
        <v>1101.25</v>
      </c>
      <c r="G533" s="1012">
        <f>CEILING(SUM(G531:G532),0.05)</f>
        <v>1143.4000000000001</v>
      </c>
      <c r="H533" s="1012">
        <f>CEILING(SUM(H531:H532),0.05)</f>
        <v>1185.55</v>
      </c>
    </row>
    <row r="534" spans="1:9" ht="12.75" customHeight="1">
      <c r="A534" s="1019"/>
      <c r="B534" s="1020"/>
      <c r="C534" s="980"/>
      <c r="D534" s="980"/>
      <c r="E534" s="1012"/>
      <c r="F534" s="1012"/>
      <c r="G534" s="1012"/>
      <c r="H534" s="1012"/>
    </row>
    <row r="535" spans="1:9" ht="25.5" customHeight="1">
      <c r="A535" s="1019"/>
      <c r="B535" s="1020" t="s">
        <v>1</v>
      </c>
      <c r="C535" s="1224" t="s">
        <v>2216</v>
      </c>
      <c r="D535" s="1021"/>
      <c r="E535" s="1003"/>
      <c r="F535" s="1003"/>
      <c r="G535" s="1023"/>
      <c r="H535" s="1213"/>
      <c r="I535" s="1003"/>
    </row>
    <row r="536" spans="1:9" ht="12.75" customHeight="1">
      <c r="A536" s="1019"/>
      <c r="B536" s="1020"/>
      <c r="C536" s="792" t="s">
        <v>176</v>
      </c>
      <c r="D536" s="1021">
        <v>0.115</v>
      </c>
      <c r="E536" s="1003" t="s">
        <v>529</v>
      </c>
      <c r="F536" s="986">
        <f>$I$485</f>
        <v>6194.9863999999998</v>
      </c>
      <c r="G536" s="1023">
        <v>1</v>
      </c>
      <c r="H536" s="991" t="str">
        <f>IF(E536="","",IF(E536="No.","Each",IF(E536="Nos.","Each",E536)))</f>
        <v>cu.m.</v>
      </c>
      <c r="I536" s="986">
        <f>IF(G536="",D536*F536,(D536*F536/G536))</f>
        <v>712.42343600000004</v>
      </c>
    </row>
    <row r="537" spans="1:9" ht="12.75" customHeight="1">
      <c r="A537" s="1019"/>
      <c r="B537" s="1020"/>
      <c r="D537" s="1021"/>
      <c r="E537" s="1003"/>
      <c r="F537" s="986"/>
      <c r="G537" s="1023"/>
      <c r="H537" s="991"/>
      <c r="I537" s="986"/>
    </row>
    <row r="538" spans="1:9" ht="12.75" customHeight="1">
      <c r="A538" s="1019"/>
      <c r="B538" s="1020"/>
      <c r="C538" s="1004" t="s">
        <v>428</v>
      </c>
      <c r="E538" s="1227" t="s">
        <v>501</v>
      </c>
      <c r="F538" s="1048" t="s">
        <v>502</v>
      </c>
      <c r="G538" s="1227" t="s">
        <v>503</v>
      </c>
      <c r="H538" s="1048" t="s">
        <v>709</v>
      </c>
      <c r="I538" s="986"/>
    </row>
    <row r="539" spans="1:9" ht="12.75" customHeight="1">
      <c r="A539" s="1019"/>
      <c r="B539" s="1020"/>
      <c r="C539" s="792" t="s">
        <v>381</v>
      </c>
      <c r="E539" s="986">
        <f>I536</f>
        <v>712.42343600000004</v>
      </c>
      <c r="F539" s="986">
        <f>I536</f>
        <v>712.42343600000004</v>
      </c>
      <c r="G539" s="986">
        <f>I536</f>
        <v>712.42343600000004</v>
      </c>
      <c r="H539" s="986">
        <f>I536</f>
        <v>712.42343600000004</v>
      </c>
      <c r="I539" s="986"/>
    </row>
    <row r="540" spans="1:9" ht="12.75" customHeight="1">
      <c r="A540" s="1019"/>
      <c r="B540" s="1020"/>
      <c r="C540" s="792" t="s">
        <v>580</v>
      </c>
      <c r="E540" s="986">
        <f>$F$38</f>
        <v>158</v>
      </c>
      <c r="F540" s="986">
        <f>$F$38</f>
        <v>158</v>
      </c>
      <c r="G540" s="986">
        <f>$F$38</f>
        <v>158</v>
      </c>
      <c r="H540" s="986">
        <f>$F$38</f>
        <v>158</v>
      </c>
      <c r="I540" s="986"/>
    </row>
    <row r="541" spans="1:9" ht="12.75" customHeight="1">
      <c r="A541" s="1019"/>
      <c r="B541" s="1020"/>
      <c r="C541" s="792" t="s">
        <v>581</v>
      </c>
      <c r="E541" s="986">
        <f>$H$38</f>
        <v>183</v>
      </c>
      <c r="F541" s="986">
        <f>$K$38</f>
        <v>201.3</v>
      </c>
      <c r="G541" s="986">
        <f>$M$38</f>
        <v>219.6</v>
      </c>
      <c r="H541" s="986">
        <f>$O$38</f>
        <v>237.9</v>
      </c>
      <c r="I541" s="1012"/>
    </row>
    <row r="542" spans="1:9" ht="12.75" customHeight="1">
      <c r="A542" s="1019"/>
      <c r="B542" s="1020"/>
      <c r="C542" s="792" t="s">
        <v>417</v>
      </c>
      <c r="D542" s="1049">
        <f>$E$5</f>
        <v>0.2</v>
      </c>
      <c r="E542" s="986">
        <f>ROUND($D$542*E541,2)</f>
        <v>36.6</v>
      </c>
      <c r="F542" s="986">
        <f>ROUND($D$542*F541,2)</f>
        <v>40.26</v>
      </c>
      <c r="G542" s="986">
        <f>ROUND($D$542*G541,2)</f>
        <v>43.92</v>
      </c>
      <c r="H542" s="986">
        <f>ROUND($D$542*H541,2)</f>
        <v>47.58</v>
      </c>
      <c r="I542" s="1012"/>
    </row>
    <row r="543" spans="1:9" ht="12.75" customHeight="1">
      <c r="A543" s="1019"/>
      <c r="B543" s="1020"/>
      <c r="C543" s="792" t="s">
        <v>418</v>
      </c>
      <c r="E543" s="986"/>
      <c r="F543" s="986">
        <f>ROUND(0.1*D536*($I$484+$I$483+$I$482),2)</f>
        <v>21.13</v>
      </c>
      <c r="G543" s="986">
        <f>ROUND(0.2*D536*($I$484+$I$483+$I$482),2)</f>
        <v>42.25</v>
      </c>
      <c r="H543" s="986">
        <f>ROUND(0.3*D536*($I$484+$I$483+$I$482),2)</f>
        <v>63.38</v>
      </c>
      <c r="I543" s="1048"/>
    </row>
    <row r="544" spans="1:9" ht="12.75" customHeight="1">
      <c r="A544" s="1019"/>
      <c r="B544" s="1020"/>
      <c r="E544" s="986">
        <f>SUM(E539:E543)</f>
        <v>1090.0234359999999</v>
      </c>
      <c r="F544" s="986">
        <f>SUM(F539:F543)</f>
        <v>1133.1134360000001</v>
      </c>
      <c r="G544" s="986">
        <f>SUM(G539:G543)</f>
        <v>1176.193436</v>
      </c>
      <c r="H544" s="986">
        <f>SUM(H539:H543)</f>
        <v>1219.2834360000002</v>
      </c>
      <c r="I544" s="986"/>
    </row>
    <row r="545" spans="1:9" ht="12.75" customHeight="1">
      <c r="A545" s="1019"/>
      <c r="B545" s="1020"/>
      <c r="C545" s="1220" t="s">
        <v>1014</v>
      </c>
      <c r="D545" s="1026">
        <f>$D$3</f>
        <v>0</v>
      </c>
      <c r="E545" s="986">
        <f>ROUND(E544*$D$312,2)</f>
        <v>0</v>
      </c>
      <c r="F545" s="986">
        <f>ROUND(F544*$D$312,2)</f>
        <v>0</v>
      </c>
      <c r="G545" s="986">
        <f>ROUND(G544*$D$312,2)</f>
        <v>0</v>
      </c>
      <c r="H545" s="986">
        <f>ROUND(H544*$D$312,2)</f>
        <v>0</v>
      </c>
      <c r="I545" s="986"/>
    </row>
    <row r="546" spans="1:9" ht="12.75" customHeight="1">
      <c r="A546" s="1019"/>
      <c r="B546" s="1020"/>
      <c r="C546" s="980" t="s">
        <v>281</v>
      </c>
      <c r="D546" s="980" t="s">
        <v>466</v>
      </c>
      <c r="E546" s="1012">
        <f>CEILING(SUM(E544:E545),0.05)</f>
        <v>1090.05</v>
      </c>
      <c r="F546" s="1012">
        <f>CEILING(SUM(F544:F545),0.05)</f>
        <v>1133.1500000000001</v>
      </c>
      <c r="G546" s="1012">
        <f>CEILING(SUM(G544:G545),0.05)</f>
        <v>1176.2</v>
      </c>
      <c r="H546" s="1012">
        <f>CEILING(SUM(H544:H545),0.05)</f>
        <v>1219.3</v>
      </c>
    </row>
    <row r="547" spans="1:9" ht="12.75" customHeight="1">
      <c r="A547" s="1019"/>
      <c r="B547" s="1020"/>
      <c r="C547" s="1051"/>
      <c r="E547" s="1012"/>
      <c r="F547" s="1012"/>
      <c r="G547" s="1012"/>
      <c r="H547" s="1012"/>
      <c r="I547" s="1012"/>
    </row>
    <row r="548" spans="1:9" ht="24.6">
      <c r="A548" s="1019">
        <f>A470+1</f>
        <v>14</v>
      </c>
      <c r="B548" s="1020" t="s">
        <v>363</v>
      </c>
      <c r="C548" s="1224" t="s">
        <v>2217</v>
      </c>
      <c r="D548" s="1021"/>
      <c r="E548" s="1003"/>
      <c r="F548" s="1003"/>
      <c r="G548" s="1023"/>
      <c r="H548" s="1213"/>
      <c r="I548" s="1003"/>
    </row>
    <row r="549" spans="1:9" ht="12.75" customHeight="1">
      <c r="A549" s="1019"/>
      <c r="B549" s="1020"/>
      <c r="C549" s="792" t="s">
        <v>178</v>
      </c>
      <c r="D549" s="1021">
        <v>0.12</v>
      </c>
      <c r="E549" s="1003" t="s">
        <v>529</v>
      </c>
      <c r="F549" s="986">
        <f>$I$485</f>
        <v>6194.9863999999998</v>
      </c>
      <c r="G549" s="1023">
        <v>1</v>
      </c>
      <c r="H549" s="991" t="str">
        <f>IF(E549="","",IF(E549="No.","Each",IF(E549="Nos.","Each",E549)))</f>
        <v>cu.m.</v>
      </c>
      <c r="I549" s="986">
        <f>IF(G549="",D549*F549,(D549*F549/G549))</f>
        <v>743.39836799999989</v>
      </c>
    </row>
    <row r="550" spans="1:9" ht="12.75" customHeight="1">
      <c r="A550" s="1019"/>
      <c r="B550" s="1020"/>
      <c r="D550" s="1021"/>
      <c r="E550" s="1003"/>
      <c r="F550" s="986"/>
      <c r="G550" s="1023"/>
      <c r="H550" s="991"/>
      <c r="I550" s="986"/>
    </row>
    <row r="551" spans="1:9" ht="12.75" customHeight="1">
      <c r="A551" s="1019"/>
      <c r="B551" s="1020"/>
      <c r="C551" s="1004" t="s">
        <v>428</v>
      </c>
      <c r="E551" s="1227" t="s">
        <v>501</v>
      </c>
      <c r="F551" s="1048" t="s">
        <v>502</v>
      </c>
      <c r="G551" s="1227" t="s">
        <v>503</v>
      </c>
      <c r="H551" s="1048" t="s">
        <v>709</v>
      </c>
      <c r="I551" s="986"/>
    </row>
    <row r="552" spans="1:9" ht="12.75" customHeight="1">
      <c r="A552" s="1019"/>
      <c r="B552" s="1020"/>
      <c r="C552" s="792" t="s">
        <v>381</v>
      </c>
      <c r="E552" s="986">
        <f>I549</f>
        <v>743.39836799999989</v>
      </c>
      <c r="F552" s="986">
        <f>I549</f>
        <v>743.39836799999989</v>
      </c>
      <c r="G552" s="986">
        <f>I549</f>
        <v>743.39836799999989</v>
      </c>
      <c r="H552" s="986">
        <f>I549</f>
        <v>743.39836799999989</v>
      </c>
      <c r="I552" s="986"/>
    </row>
    <row r="553" spans="1:9" ht="12.75" customHeight="1">
      <c r="A553" s="1019"/>
      <c r="B553" s="1020"/>
      <c r="C553" s="792" t="s">
        <v>580</v>
      </c>
      <c r="E553" s="986">
        <f>$F$38</f>
        <v>158</v>
      </c>
      <c r="F553" s="986">
        <f>$F$38</f>
        <v>158</v>
      </c>
      <c r="G553" s="986">
        <f>$F$38</f>
        <v>158</v>
      </c>
      <c r="H553" s="986">
        <f>$F$38</f>
        <v>158</v>
      </c>
      <c r="I553" s="986"/>
    </row>
    <row r="554" spans="1:9" ht="12.75" customHeight="1">
      <c r="A554" s="1019"/>
      <c r="B554" s="1020"/>
      <c r="C554" s="792" t="s">
        <v>581</v>
      </c>
      <c r="E554" s="986">
        <f>$H$38</f>
        <v>183</v>
      </c>
      <c r="F554" s="986">
        <f>$K$38</f>
        <v>201.3</v>
      </c>
      <c r="G554" s="986">
        <f>$M$38</f>
        <v>219.6</v>
      </c>
      <c r="H554" s="986">
        <f>$O$38</f>
        <v>237.9</v>
      </c>
      <c r="I554" s="1012"/>
    </row>
    <row r="555" spans="1:9" ht="12.75" customHeight="1">
      <c r="A555" s="1019"/>
      <c r="B555" s="1020"/>
      <c r="C555" s="792" t="s">
        <v>180</v>
      </c>
      <c r="D555" s="1049">
        <f>$E$5</f>
        <v>0.2</v>
      </c>
      <c r="E555" s="986">
        <f>ROUND($D$555*E554,2)</f>
        <v>36.6</v>
      </c>
      <c r="F555" s="986">
        <f>ROUND($D$555*F554,2)</f>
        <v>40.26</v>
      </c>
      <c r="G555" s="986">
        <f>ROUND($D$555*G554,2)</f>
        <v>43.92</v>
      </c>
      <c r="H555" s="986">
        <f>ROUND($D$555*H554,2)</f>
        <v>47.58</v>
      </c>
      <c r="I555" s="1012"/>
    </row>
    <row r="556" spans="1:9" ht="12.75" customHeight="1">
      <c r="A556" s="1019"/>
      <c r="B556" s="1020"/>
      <c r="C556" s="792" t="s">
        <v>418</v>
      </c>
      <c r="E556" s="986"/>
      <c r="F556" s="986">
        <f>ROUND(0.1*D549*($I$484+$I$483+$I$482),2)</f>
        <v>22.04</v>
      </c>
      <c r="G556" s="986">
        <f>ROUND(0.2*D549*($I$484+$I$483+$I$482),2)</f>
        <v>44.09</v>
      </c>
      <c r="H556" s="986">
        <f>ROUND(0.3*D549*($I$484+$I$483+$I$482),2)</f>
        <v>66.13</v>
      </c>
      <c r="I556" s="1048"/>
    </row>
    <row r="557" spans="1:9" ht="12.75" customHeight="1">
      <c r="A557" s="1019"/>
      <c r="B557" s="1020"/>
      <c r="E557" s="986">
        <f>SUM(E552:E556)</f>
        <v>1120.9983679999998</v>
      </c>
      <c r="F557" s="986">
        <f>SUM(F552:F556)</f>
        <v>1164.9983679999998</v>
      </c>
      <c r="G557" s="986">
        <f>SUM(G552:G556)</f>
        <v>1209.0083679999998</v>
      </c>
      <c r="H557" s="986">
        <f>SUM(H552:H556)</f>
        <v>1253.0083679999998</v>
      </c>
      <c r="I557" s="986"/>
    </row>
    <row r="558" spans="1:9" ht="12.75" customHeight="1">
      <c r="A558" s="1019"/>
      <c r="B558" s="1020"/>
      <c r="C558" s="1220" t="s">
        <v>1014</v>
      </c>
      <c r="D558" s="1026">
        <f>$D$3</f>
        <v>0</v>
      </c>
      <c r="E558" s="986">
        <f>ROUND(E557*$D$312,2)</f>
        <v>0</v>
      </c>
      <c r="F558" s="986">
        <f>ROUND(F557*$D$312,2)</f>
        <v>0</v>
      </c>
      <c r="G558" s="986">
        <f>ROUND(G557*$D$312,2)</f>
        <v>0</v>
      </c>
      <c r="H558" s="986">
        <f>ROUND(H557*$D$312,2)</f>
        <v>0</v>
      </c>
      <c r="I558" s="986"/>
    </row>
    <row r="559" spans="1:9" ht="12.75" customHeight="1">
      <c r="A559" s="1019"/>
      <c r="B559" s="1020"/>
      <c r="C559" s="980" t="s">
        <v>281</v>
      </c>
      <c r="D559" s="980" t="s">
        <v>466</v>
      </c>
      <c r="E559" s="1012">
        <f>CEILING(SUM(E557:E558),0.05)</f>
        <v>1121</v>
      </c>
      <c r="F559" s="1012">
        <f>CEILING(SUM(F557:F558),0.05)</f>
        <v>1165</v>
      </c>
      <c r="G559" s="1012">
        <f>CEILING(SUM(G557:G558),0.05)</f>
        <v>1209.05</v>
      </c>
      <c r="H559" s="1012">
        <f>CEILING(SUM(H557:H558),0.05)</f>
        <v>1253.0500000000002</v>
      </c>
    </row>
    <row r="560" spans="1:9" ht="15.75" customHeight="1">
      <c r="A560" s="1019"/>
      <c r="B560" s="1020"/>
      <c r="C560" s="980"/>
      <c r="D560" s="980"/>
      <c r="E560" s="1012"/>
      <c r="F560" s="1012"/>
      <c r="G560" s="1012"/>
      <c r="H560" s="1012"/>
    </row>
    <row r="561" spans="1:10" ht="15.75" customHeight="1">
      <c r="A561" s="1019"/>
      <c r="B561" s="1020" t="s">
        <v>361</v>
      </c>
      <c r="C561" s="1215" t="s">
        <v>2218</v>
      </c>
      <c r="D561" s="1021"/>
      <c r="E561" s="1003"/>
      <c r="F561" s="1003"/>
      <c r="G561" s="1023"/>
      <c r="H561" s="1213"/>
      <c r="I561" s="1003"/>
    </row>
    <row r="562" spans="1:10" ht="15.75" customHeight="1">
      <c r="A562" s="1019"/>
      <c r="B562" s="1020"/>
      <c r="C562" s="792" t="s">
        <v>179</v>
      </c>
      <c r="D562" s="1021">
        <v>0.125</v>
      </c>
      <c r="E562" s="1003" t="s">
        <v>529</v>
      </c>
      <c r="F562" s="986">
        <f>$I$485</f>
        <v>6194.9863999999998</v>
      </c>
      <c r="G562" s="1023">
        <v>1</v>
      </c>
      <c r="H562" s="991" t="str">
        <f>IF(E562="","",IF(E562="No.","Each",IF(E562="Nos.","Each",E562)))</f>
        <v>cu.m.</v>
      </c>
      <c r="I562" s="986">
        <f>IF(G562="",D562*F562,(D562*F562/G562))</f>
        <v>774.37329999999997</v>
      </c>
    </row>
    <row r="563" spans="1:10" ht="15.75" customHeight="1">
      <c r="A563" s="1019"/>
      <c r="B563" s="1020"/>
      <c r="C563" s="1004" t="s">
        <v>428</v>
      </c>
      <c r="E563" s="1227" t="s">
        <v>501</v>
      </c>
      <c r="F563" s="1048" t="s">
        <v>502</v>
      </c>
      <c r="G563" s="1227" t="s">
        <v>503</v>
      </c>
      <c r="H563" s="1048" t="s">
        <v>709</v>
      </c>
      <c r="I563" s="1048" t="s">
        <v>502</v>
      </c>
      <c r="J563" s="1048" t="s">
        <v>502</v>
      </c>
    </row>
    <row r="564" spans="1:10" ht="15.75" customHeight="1">
      <c r="A564" s="1019"/>
      <c r="B564" s="1020"/>
      <c r="C564" s="792" t="s">
        <v>381</v>
      </c>
      <c r="E564" s="986">
        <f>I562</f>
        <v>774.37329999999997</v>
      </c>
      <c r="F564" s="986">
        <f>I562</f>
        <v>774.37329999999997</v>
      </c>
      <c r="G564" s="986">
        <f>I562</f>
        <v>774.37329999999997</v>
      </c>
      <c r="H564" s="986">
        <f>I562</f>
        <v>774.37329999999997</v>
      </c>
      <c r="I564" s="986">
        <f>H564</f>
        <v>774.37329999999997</v>
      </c>
      <c r="J564" s="986">
        <f>I564</f>
        <v>774.37329999999997</v>
      </c>
    </row>
    <row r="565" spans="1:10" ht="15.75" customHeight="1">
      <c r="A565" s="1019"/>
      <c r="B565" s="1020"/>
      <c r="C565" s="792" t="s">
        <v>580</v>
      </c>
      <c r="E565" s="986">
        <f t="shared" ref="E565:J565" si="60">$F$38</f>
        <v>158</v>
      </c>
      <c r="F565" s="986">
        <f t="shared" si="60"/>
        <v>158</v>
      </c>
      <c r="G565" s="986">
        <f t="shared" si="60"/>
        <v>158</v>
      </c>
      <c r="H565" s="986">
        <f t="shared" si="60"/>
        <v>158</v>
      </c>
      <c r="I565" s="986">
        <f t="shared" si="60"/>
        <v>158</v>
      </c>
      <c r="J565" s="986">
        <f t="shared" si="60"/>
        <v>158</v>
      </c>
    </row>
    <row r="566" spans="1:10" ht="15.75" customHeight="1">
      <c r="A566" s="1019"/>
      <c r="B566" s="1020"/>
      <c r="C566" s="792" t="s">
        <v>581</v>
      </c>
      <c r="E566" s="986">
        <f>$H$38</f>
        <v>183</v>
      </c>
      <c r="F566" s="986">
        <f>$K$38</f>
        <v>201.3</v>
      </c>
      <c r="G566" s="986">
        <f>$M$38</f>
        <v>219.6</v>
      </c>
      <c r="H566" s="986">
        <f>$O$38</f>
        <v>237.9</v>
      </c>
      <c r="I566" s="986">
        <f>$Q$38</f>
        <v>256.2</v>
      </c>
      <c r="J566" s="986">
        <f>$S$38</f>
        <v>274.5</v>
      </c>
    </row>
    <row r="567" spans="1:10" ht="15.75" customHeight="1">
      <c r="A567" s="1019"/>
      <c r="B567" s="1020"/>
      <c r="C567" s="792" t="s">
        <v>180</v>
      </c>
      <c r="D567" s="1049">
        <f>$E$5</f>
        <v>0.2</v>
      </c>
      <c r="E567" s="986">
        <f t="shared" ref="E567:J567" si="61">ROUND($D$567*E566,2)</f>
        <v>36.6</v>
      </c>
      <c r="F567" s="986">
        <f t="shared" si="61"/>
        <v>40.26</v>
      </c>
      <c r="G567" s="986">
        <f t="shared" si="61"/>
        <v>43.92</v>
      </c>
      <c r="H567" s="986">
        <f t="shared" si="61"/>
        <v>47.58</v>
      </c>
      <c r="I567" s="986">
        <f t="shared" si="61"/>
        <v>51.24</v>
      </c>
      <c r="J567" s="986">
        <f t="shared" si="61"/>
        <v>54.9</v>
      </c>
    </row>
    <row r="568" spans="1:10" ht="15.75" customHeight="1">
      <c r="A568" s="1019"/>
      <c r="B568" s="1020"/>
      <c r="C568" s="792" t="s">
        <v>418</v>
      </c>
      <c r="E568" s="986"/>
      <c r="F568" s="986">
        <f>ROUND(0.1*D562*($I$484+$I$483+$I$482),2)</f>
        <v>22.96</v>
      </c>
      <c r="G568" s="986">
        <f>ROUND(0.2*D562*($I$484+$I$483+$I$482),2)</f>
        <v>45.92</v>
      </c>
      <c r="H568" s="986">
        <f>ROUND(0.3*D562*($I$484+$I$483+$I$482),2)</f>
        <v>68.89</v>
      </c>
      <c r="I568" s="986">
        <f>ROUND(0.4*D562*($I$484+$I$483+$I$482),2)</f>
        <v>91.85</v>
      </c>
      <c r="J568" s="986">
        <f>ROUND(0.5*D562*($I$484+$I$483+$I$482),2)</f>
        <v>114.81</v>
      </c>
    </row>
    <row r="569" spans="1:10" ht="15.75" customHeight="1">
      <c r="A569" s="1019"/>
      <c r="B569" s="1020"/>
      <c r="E569" s="986">
        <f t="shared" ref="E569:J569" si="62">SUM(E564:E568)</f>
        <v>1151.9732999999999</v>
      </c>
      <c r="F569" s="986">
        <f t="shared" si="62"/>
        <v>1196.8933</v>
      </c>
      <c r="G569" s="986">
        <f t="shared" si="62"/>
        <v>1241.8133</v>
      </c>
      <c r="H569" s="986">
        <f t="shared" si="62"/>
        <v>1286.7433000000001</v>
      </c>
      <c r="I569" s="986">
        <f t="shared" si="62"/>
        <v>1331.6632999999999</v>
      </c>
      <c r="J569" s="986">
        <f t="shared" si="62"/>
        <v>1376.5833</v>
      </c>
    </row>
    <row r="570" spans="1:10" ht="15.75" customHeight="1">
      <c r="A570" s="1019"/>
      <c r="B570" s="1020"/>
      <c r="C570" s="1220" t="s">
        <v>1014</v>
      </c>
      <c r="D570" s="1026">
        <f>$D$3</f>
        <v>0</v>
      </c>
      <c r="E570" s="986">
        <f t="shared" ref="E570:J570" si="63">ROUND(E569*$D$312,2)</f>
        <v>0</v>
      </c>
      <c r="F570" s="986">
        <f t="shared" si="63"/>
        <v>0</v>
      </c>
      <c r="G570" s="986">
        <f t="shared" si="63"/>
        <v>0</v>
      </c>
      <c r="H570" s="986">
        <f t="shared" si="63"/>
        <v>0</v>
      </c>
      <c r="I570" s="986">
        <f t="shared" si="63"/>
        <v>0</v>
      </c>
      <c r="J570" s="986">
        <f t="shared" si="63"/>
        <v>0</v>
      </c>
    </row>
    <row r="571" spans="1:10" ht="15.75" customHeight="1">
      <c r="A571" s="1019"/>
      <c r="B571" s="1020"/>
      <c r="C571" s="980" t="s">
        <v>281</v>
      </c>
      <c r="D571" s="980" t="s">
        <v>466</v>
      </c>
      <c r="E571" s="1012">
        <f t="shared" ref="E571:J571" si="64">CEILING(SUM(E569:E570),0.05)</f>
        <v>1152</v>
      </c>
      <c r="F571" s="1012">
        <f t="shared" si="64"/>
        <v>1196.9000000000001</v>
      </c>
      <c r="G571" s="1012">
        <f t="shared" si="64"/>
        <v>1241.8500000000001</v>
      </c>
      <c r="H571" s="1012">
        <f t="shared" si="64"/>
        <v>1286.75</v>
      </c>
      <c r="I571" s="1012">
        <f t="shared" si="64"/>
        <v>1331.7</v>
      </c>
      <c r="J571" s="1012">
        <f t="shared" si="64"/>
        <v>1376.6000000000001</v>
      </c>
    </row>
    <row r="572" spans="1:10" ht="12.75" customHeight="1">
      <c r="A572" s="1019"/>
      <c r="B572" s="1020" t="s">
        <v>326</v>
      </c>
      <c r="C572" s="1215" t="s">
        <v>2219</v>
      </c>
      <c r="D572" s="1021"/>
      <c r="E572" s="1003"/>
      <c r="F572" s="1003"/>
      <c r="G572" s="1023"/>
      <c r="H572" s="1213"/>
      <c r="I572" s="1003"/>
    </row>
    <row r="573" spans="1:10" ht="12.75" customHeight="1">
      <c r="A573" s="1019"/>
      <c r="B573" s="1020"/>
      <c r="C573" s="792" t="s">
        <v>181</v>
      </c>
      <c r="D573" s="1021">
        <v>0.14000000000000001</v>
      </c>
      <c r="E573" s="1003" t="s">
        <v>529</v>
      </c>
      <c r="F573" s="986">
        <f>$I$485</f>
        <v>6194.9863999999998</v>
      </c>
      <c r="G573" s="1023">
        <v>1</v>
      </c>
      <c r="H573" s="991" t="str">
        <f>IF(E573="","",IF(E573="No.","Each",IF(E573="Nos.","Each",E573)))</f>
        <v>cu.m.</v>
      </c>
      <c r="I573" s="986">
        <f>IF(G573="",D573*F573,(D573*F573/G573))</f>
        <v>867.2980960000001</v>
      </c>
    </row>
    <row r="574" spans="1:10" ht="12.75" customHeight="1">
      <c r="A574" s="1019"/>
      <c r="B574" s="1020"/>
      <c r="D574" s="1021"/>
      <c r="E574" s="1003"/>
      <c r="F574" s="986"/>
      <c r="G574" s="1023"/>
      <c r="H574" s="991"/>
      <c r="I574" s="986"/>
    </row>
    <row r="575" spans="1:10" ht="12.75" customHeight="1">
      <c r="A575" s="1019"/>
      <c r="B575" s="1020"/>
      <c r="C575" s="1004" t="s">
        <v>428</v>
      </c>
      <c r="E575" s="1227" t="s">
        <v>501</v>
      </c>
      <c r="F575" s="1048" t="s">
        <v>502</v>
      </c>
      <c r="G575" s="1227" t="s">
        <v>503</v>
      </c>
      <c r="H575" s="1048" t="s">
        <v>709</v>
      </c>
      <c r="I575" s="986"/>
    </row>
    <row r="576" spans="1:10" ht="12.75" customHeight="1">
      <c r="A576" s="1019"/>
      <c r="B576" s="1020"/>
      <c r="C576" s="792" t="s">
        <v>381</v>
      </c>
      <c r="E576" s="986">
        <f>I573</f>
        <v>867.2980960000001</v>
      </c>
      <c r="F576" s="986">
        <f>I573</f>
        <v>867.2980960000001</v>
      </c>
      <c r="G576" s="986">
        <f>I573</f>
        <v>867.2980960000001</v>
      </c>
      <c r="H576" s="986">
        <f>I573</f>
        <v>867.2980960000001</v>
      </c>
      <c r="I576" s="986"/>
    </row>
    <row r="577" spans="1:9" ht="12.75" customHeight="1">
      <c r="A577" s="1019"/>
      <c r="B577" s="1020"/>
      <c r="C577" s="792" t="s">
        <v>580</v>
      </c>
      <c r="E577" s="986">
        <f>$F$38</f>
        <v>158</v>
      </c>
      <c r="F577" s="986">
        <f>$F$38</f>
        <v>158</v>
      </c>
      <c r="G577" s="986">
        <f>$F$38</f>
        <v>158</v>
      </c>
      <c r="H577" s="986">
        <f>$F$38</f>
        <v>158</v>
      </c>
      <c r="I577" s="986"/>
    </row>
    <row r="578" spans="1:9" ht="12.75" customHeight="1">
      <c r="A578" s="1019"/>
      <c r="B578" s="1020"/>
      <c r="C578" s="792" t="s">
        <v>581</v>
      </c>
      <c r="E578" s="986">
        <f>$H$38</f>
        <v>183</v>
      </c>
      <c r="F578" s="986">
        <f>$K$38</f>
        <v>201.3</v>
      </c>
      <c r="G578" s="986">
        <f>$M$38</f>
        <v>219.6</v>
      </c>
      <c r="H578" s="986">
        <f>$O$38</f>
        <v>237.9</v>
      </c>
      <c r="I578" s="1012"/>
    </row>
    <row r="579" spans="1:9" ht="12.75" customHeight="1">
      <c r="A579" s="1019"/>
      <c r="B579" s="1020"/>
      <c r="C579" s="792" t="s">
        <v>180</v>
      </c>
      <c r="D579" s="1049">
        <f>$E$5</f>
        <v>0.2</v>
      </c>
      <c r="E579" s="986">
        <f>ROUND($D$579*E578,2)</f>
        <v>36.6</v>
      </c>
      <c r="F579" s="986">
        <f>ROUND($D$579*F578,2)</f>
        <v>40.26</v>
      </c>
      <c r="G579" s="986">
        <f>ROUND($D$579*G578,2)</f>
        <v>43.92</v>
      </c>
      <c r="H579" s="986">
        <f>ROUND($D$579*H578,2)</f>
        <v>47.58</v>
      </c>
      <c r="I579" s="1012"/>
    </row>
    <row r="580" spans="1:9" ht="12.75" customHeight="1">
      <c r="A580" s="1019"/>
      <c r="B580" s="1020"/>
      <c r="C580" s="792" t="s">
        <v>418</v>
      </c>
      <c r="E580" s="986"/>
      <c r="F580" s="986">
        <f>ROUND(0.1*D573*($I$484+$I$483+$I$482),2)</f>
        <v>25.72</v>
      </c>
      <c r="G580" s="986">
        <f>ROUND(0.2*D573*($I$484+$I$483+$I$482),2)</f>
        <v>51.44</v>
      </c>
      <c r="H580" s="986">
        <f>ROUND(0.3*D573*($I$484+$I$483+$I$482),2)</f>
        <v>77.150000000000006</v>
      </c>
      <c r="I580" s="1048"/>
    </row>
    <row r="581" spans="1:9" ht="12.75" customHeight="1">
      <c r="A581" s="1019"/>
      <c r="B581" s="1020"/>
      <c r="E581" s="986">
        <f>SUM(E576:E580)</f>
        <v>1244.8980959999999</v>
      </c>
      <c r="F581" s="986">
        <f>SUM(F576:F580)</f>
        <v>1292.578096</v>
      </c>
      <c r="G581" s="986">
        <f>SUM(G576:G580)</f>
        <v>1340.258096</v>
      </c>
      <c r="H581" s="986">
        <f>SUM(H576:H580)</f>
        <v>1387.9280960000001</v>
      </c>
      <c r="I581" s="986"/>
    </row>
    <row r="582" spans="1:9" ht="12.75" customHeight="1">
      <c r="A582" s="1019"/>
      <c r="B582" s="1020"/>
      <c r="C582" s="1220" t="s">
        <v>1014</v>
      </c>
      <c r="D582" s="1026">
        <f>$D$3</f>
        <v>0</v>
      </c>
      <c r="E582" s="986">
        <f>ROUND(E581*$D$312,2)</f>
        <v>0</v>
      </c>
      <c r="F582" s="986">
        <f>ROUND(F581*$D$312,2)</f>
        <v>0</v>
      </c>
      <c r="G582" s="986">
        <f>ROUND(G581*$D$312,2)</f>
        <v>0</v>
      </c>
      <c r="H582" s="986">
        <f>ROUND(H581*$D$312,2)</f>
        <v>0</v>
      </c>
      <c r="I582" s="986"/>
    </row>
    <row r="583" spans="1:9" ht="12.75" customHeight="1">
      <c r="A583" s="1019"/>
      <c r="B583" s="1020"/>
      <c r="C583" s="980" t="s">
        <v>281</v>
      </c>
      <c r="D583" s="980" t="s">
        <v>466</v>
      </c>
      <c r="E583" s="1012">
        <f>CEILING(SUM(E581:E582),0.05)</f>
        <v>1244.9000000000001</v>
      </c>
      <c r="F583" s="1012">
        <f>CEILING(SUM(F581:F582),0.05)</f>
        <v>1292.6000000000001</v>
      </c>
      <c r="G583" s="1012">
        <f>CEILING(SUM(G581:G582),0.05)</f>
        <v>1340.3000000000002</v>
      </c>
      <c r="H583" s="1012">
        <f>CEILING(SUM(H581:H582),0.05)</f>
        <v>1387.95</v>
      </c>
    </row>
    <row r="584" spans="1:9" ht="12.75" customHeight="1">
      <c r="A584" s="1019"/>
      <c r="B584" s="1020"/>
      <c r="C584" s="1003"/>
      <c r="D584" s="1021"/>
      <c r="E584" s="1003"/>
      <c r="F584" s="986"/>
      <c r="G584" s="1023"/>
      <c r="H584" s="1215"/>
      <c r="I584" s="1012"/>
    </row>
    <row r="585" spans="1:9" ht="25.5" customHeight="1">
      <c r="A585" s="1019"/>
      <c r="B585" s="1020" t="s">
        <v>460</v>
      </c>
      <c r="C585" s="1224" t="s">
        <v>2216</v>
      </c>
      <c r="D585" s="1021"/>
      <c r="E585" s="1003"/>
      <c r="F585" s="1003"/>
      <c r="G585" s="1023"/>
      <c r="H585" s="1213"/>
      <c r="I585" s="1003"/>
    </row>
    <row r="586" spans="1:9" ht="12.75" customHeight="1">
      <c r="A586" s="1019"/>
      <c r="B586" s="1020"/>
      <c r="C586" s="792" t="s">
        <v>176</v>
      </c>
      <c r="D586" s="1021">
        <v>0.115</v>
      </c>
      <c r="E586" s="1003" t="s">
        <v>529</v>
      </c>
      <c r="F586" s="986">
        <f>$I$485</f>
        <v>6194.9863999999998</v>
      </c>
      <c r="G586" s="1023">
        <v>1</v>
      </c>
      <c r="H586" s="991" t="str">
        <f>IF(E586="","",IF(E586="No.","Each",IF(E586="Nos.","Each",E586)))</f>
        <v>cu.m.</v>
      </c>
      <c r="I586" s="986">
        <f>IF(G586="",D586*F586,(D586*F586/G586))</f>
        <v>712.42343600000004</v>
      </c>
    </row>
    <row r="587" spans="1:9" ht="12.75" customHeight="1">
      <c r="A587" s="1019"/>
      <c r="B587" s="1020"/>
      <c r="D587" s="1021"/>
      <c r="E587" s="1003"/>
      <c r="F587" s="986"/>
      <c r="G587" s="1023"/>
      <c r="H587" s="991"/>
      <c r="I587" s="986"/>
    </row>
    <row r="588" spans="1:9" ht="12.75" customHeight="1">
      <c r="A588" s="1019"/>
      <c r="B588" s="1020"/>
      <c r="C588" s="1004" t="s">
        <v>428</v>
      </c>
      <c r="E588" s="1227" t="s">
        <v>501</v>
      </c>
      <c r="F588" s="1048" t="s">
        <v>502</v>
      </c>
      <c r="G588" s="1227" t="s">
        <v>503</v>
      </c>
      <c r="H588" s="1048" t="s">
        <v>709</v>
      </c>
      <c r="I588" s="986"/>
    </row>
    <row r="589" spans="1:9" ht="12.75" customHeight="1">
      <c r="A589" s="1019"/>
      <c r="B589" s="1020"/>
      <c r="C589" s="792" t="s">
        <v>381</v>
      </c>
      <c r="E589" s="986">
        <f>I586</f>
        <v>712.42343600000004</v>
      </c>
      <c r="F589" s="986">
        <f>I586</f>
        <v>712.42343600000004</v>
      </c>
      <c r="G589" s="986">
        <f>I586</f>
        <v>712.42343600000004</v>
      </c>
      <c r="H589" s="986">
        <f>I586</f>
        <v>712.42343600000004</v>
      </c>
      <c r="I589" s="986"/>
    </row>
    <row r="590" spans="1:9" ht="12.75" customHeight="1">
      <c r="A590" s="1019"/>
      <c r="B590" s="1020"/>
      <c r="C590" s="792" t="s">
        <v>580</v>
      </c>
      <c r="E590" s="986">
        <f>$F$38</f>
        <v>158</v>
      </c>
      <c r="F590" s="986">
        <f t="shared" ref="F590:H590" si="65">$F$38</f>
        <v>158</v>
      </c>
      <c r="G590" s="986">
        <f t="shared" si="65"/>
        <v>158</v>
      </c>
      <c r="H590" s="986">
        <f t="shared" si="65"/>
        <v>158</v>
      </c>
      <c r="I590" s="986"/>
    </row>
    <row r="591" spans="1:9" ht="12.75" customHeight="1">
      <c r="A591" s="1019"/>
      <c r="B591" s="1020"/>
      <c r="C591" s="792" t="s">
        <v>581</v>
      </c>
      <c r="E591" s="986">
        <f>$H$38</f>
        <v>183</v>
      </c>
      <c r="F591" s="986">
        <f>$K$38</f>
        <v>201.3</v>
      </c>
      <c r="G591" s="986">
        <f>$M$38</f>
        <v>219.6</v>
      </c>
      <c r="H591" s="986">
        <f>$O$38</f>
        <v>237.9</v>
      </c>
      <c r="I591" s="1012"/>
    </row>
    <row r="592" spans="1:9" ht="12.75" customHeight="1">
      <c r="A592" s="1019"/>
      <c r="B592" s="1020"/>
      <c r="C592" s="792" t="s">
        <v>417</v>
      </c>
      <c r="D592" s="1049">
        <f>$E$5</f>
        <v>0.2</v>
      </c>
      <c r="E592" s="986">
        <f>ROUND($D$592*E591,2)</f>
        <v>36.6</v>
      </c>
      <c r="F592" s="986">
        <f>ROUND($D$592*F591,2)</f>
        <v>40.26</v>
      </c>
      <c r="G592" s="986">
        <f>ROUND($D$592*G591,2)</f>
        <v>43.92</v>
      </c>
      <c r="H592" s="986">
        <f>ROUND($D$592*H591,2)</f>
        <v>47.58</v>
      </c>
      <c r="I592" s="1012"/>
    </row>
    <row r="593" spans="1:10" ht="12.75" customHeight="1">
      <c r="A593" s="1019"/>
      <c r="B593" s="1020"/>
      <c r="C593" s="792" t="s">
        <v>418</v>
      </c>
      <c r="E593" s="986"/>
      <c r="F593" s="986">
        <f>ROUND(0.1*D586*($I$484+$I$483+$I$482),2)</f>
        <v>21.13</v>
      </c>
      <c r="G593" s="986">
        <f>ROUND(0.2*D586*($I$484+$I$483+$I$482),2)</f>
        <v>42.25</v>
      </c>
      <c r="H593" s="986">
        <f>ROUND(0.3*D586*($I$484+$I$483+$I$482),2)</f>
        <v>63.38</v>
      </c>
      <c r="I593" s="1048"/>
    </row>
    <row r="594" spans="1:10" ht="12.75" customHeight="1">
      <c r="A594" s="1019"/>
      <c r="B594" s="1020"/>
      <c r="E594" s="986">
        <f>SUM(E589:E593)</f>
        <v>1090.0234359999999</v>
      </c>
      <c r="F594" s="986">
        <f>SUM(F589:F593)</f>
        <v>1133.1134360000001</v>
      </c>
      <c r="G594" s="986">
        <f>SUM(G589:G593)</f>
        <v>1176.193436</v>
      </c>
      <c r="H594" s="986">
        <f>SUM(H589:H593)</f>
        <v>1219.2834360000002</v>
      </c>
      <c r="I594" s="986"/>
    </row>
    <row r="595" spans="1:10" ht="12.75" customHeight="1">
      <c r="A595" s="1019"/>
      <c r="B595" s="1020"/>
      <c r="C595" s="1220" t="s">
        <v>1014</v>
      </c>
      <c r="D595" s="1026">
        <f>$D$3</f>
        <v>0</v>
      </c>
      <c r="E595" s="986">
        <f>ROUND(E594*$D$312,2)</f>
        <v>0</v>
      </c>
      <c r="F595" s="986">
        <f>ROUND(F594*$D$312,2)</f>
        <v>0</v>
      </c>
      <c r="G595" s="986">
        <f>ROUND(G594*$D$312,2)</f>
        <v>0</v>
      </c>
      <c r="H595" s="986">
        <f>ROUND(H594*$D$312,2)</f>
        <v>0</v>
      </c>
      <c r="I595" s="986"/>
    </row>
    <row r="596" spans="1:10" ht="12.75" customHeight="1">
      <c r="A596" s="1019"/>
      <c r="B596" s="1020"/>
      <c r="C596" s="980" t="s">
        <v>281</v>
      </c>
      <c r="D596" s="980" t="s">
        <v>466</v>
      </c>
      <c r="E596" s="1012">
        <f>CEILING(SUM(E594:E595),0.05)</f>
        <v>1090.05</v>
      </c>
      <c r="F596" s="1012">
        <f>CEILING(SUM(F594:F595),0.05)</f>
        <v>1133.1500000000001</v>
      </c>
      <c r="G596" s="1012">
        <f>CEILING(SUM(G594:G595),0.05)</f>
        <v>1176.2</v>
      </c>
      <c r="H596" s="1012">
        <f>CEILING(SUM(H594:H595),0.05)</f>
        <v>1219.3</v>
      </c>
    </row>
    <row r="597" spans="1:10" ht="12.75" customHeight="1">
      <c r="A597" s="1019"/>
      <c r="B597" s="1020"/>
      <c r="C597" s="980"/>
      <c r="D597" s="980"/>
      <c r="E597" s="1012"/>
      <c r="F597" s="1012"/>
      <c r="G597" s="1012"/>
      <c r="H597" s="1012"/>
    </row>
    <row r="598" spans="1:10" ht="12.75" customHeight="1">
      <c r="A598" s="1019">
        <f>A561+1</f>
        <v>1</v>
      </c>
      <c r="B598" s="1020" t="s">
        <v>51</v>
      </c>
      <c r="C598" s="1215" t="s">
        <v>2220</v>
      </c>
      <c r="D598" s="1021"/>
      <c r="E598" s="1003"/>
      <c r="F598" s="1003"/>
      <c r="G598" s="1023"/>
      <c r="H598" s="1213"/>
      <c r="I598" s="1003"/>
    </row>
    <row r="599" spans="1:10" ht="12.75" customHeight="1">
      <c r="A599" s="1019"/>
      <c r="B599" s="1020"/>
      <c r="C599" s="792" t="s">
        <v>271</v>
      </c>
      <c r="D599" s="1021">
        <v>0.15</v>
      </c>
      <c r="E599" s="1003" t="s">
        <v>529</v>
      </c>
      <c r="F599" s="986">
        <f>$I$485</f>
        <v>6194.9863999999998</v>
      </c>
      <c r="G599" s="1023">
        <v>1</v>
      </c>
      <c r="H599" s="991" t="str">
        <f>IF(E599="","",IF(E599="No.","Each",IF(E599="Nos.","Each",E599)))</f>
        <v>cu.m.</v>
      </c>
      <c r="I599" s="986">
        <f>IF(G599="",D599*F599,(D599*F599/G599))</f>
        <v>929.24795999999992</v>
      </c>
    </row>
    <row r="600" spans="1:10" ht="12.75" customHeight="1">
      <c r="A600" s="1019"/>
      <c r="B600" s="1020"/>
      <c r="D600" s="1021"/>
      <c r="E600" s="1003"/>
      <c r="F600" s="986"/>
      <c r="G600" s="1023"/>
      <c r="H600" s="991"/>
      <c r="I600" s="986"/>
    </row>
    <row r="601" spans="1:10" ht="12.75" customHeight="1">
      <c r="A601" s="1019"/>
      <c r="B601" s="1020"/>
      <c r="C601" s="1004" t="s">
        <v>428</v>
      </c>
      <c r="E601" s="1227" t="s">
        <v>501</v>
      </c>
      <c r="F601" s="1048" t="s">
        <v>502</v>
      </c>
      <c r="G601" s="1227" t="s">
        <v>503</v>
      </c>
      <c r="H601" s="1048" t="s">
        <v>709</v>
      </c>
      <c r="I601" s="1048" t="s">
        <v>502</v>
      </c>
      <c r="J601" s="1048" t="s">
        <v>502</v>
      </c>
    </row>
    <row r="602" spans="1:10" ht="12.75" customHeight="1">
      <c r="A602" s="1019"/>
      <c r="B602" s="1020"/>
      <c r="C602" s="792" t="s">
        <v>381</v>
      </c>
      <c r="E602" s="986">
        <f>I599</f>
        <v>929.24795999999992</v>
      </c>
      <c r="F602" s="986">
        <f>I599</f>
        <v>929.24795999999992</v>
      </c>
      <c r="G602" s="986">
        <f>I599</f>
        <v>929.24795999999992</v>
      </c>
      <c r="H602" s="986">
        <f>I599</f>
        <v>929.24795999999992</v>
      </c>
      <c r="I602" s="986">
        <f>I599</f>
        <v>929.24795999999992</v>
      </c>
      <c r="J602" s="986">
        <f>I599</f>
        <v>929.24795999999992</v>
      </c>
    </row>
    <row r="603" spans="1:10" ht="12.75" customHeight="1">
      <c r="A603" s="1019"/>
      <c r="B603" s="1020"/>
      <c r="C603" s="792" t="s">
        <v>580</v>
      </c>
      <c r="E603" s="986">
        <f t="shared" ref="E603:J603" si="66">$F$38</f>
        <v>158</v>
      </c>
      <c r="F603" s="986">
        <f t="shared" si="66"/>
        <v>158</v>
      </c>
      <c r="G603" s="986">
        <f t="shared" si="66"/>
        <v>158</v>
      </c>
      <c r="H603" s="986">
        <f t="shared" si="66"/>
        <v>158</v>
      </c>
      <c r="I603" s="986">
        <f t="shared" si="66"/>
        <v>158</v>
      </c>
      <c r="J603" s="986">
        <f t="shared" si="66"/>
        <v>158</v>
      </c>
    </row>
    <row r="604" spans="1:10" ht="12.75" customHeight="1">
      <c r="A604" s="1019"/>
      <c r="B604" s="1020"/>
      <c r="C604" s="792" t="s">
        <v>581</v>
      </c>
      <c r="E604" s="986">
        <f>$H$38</f>
        <v>183</v>
      </c>
      <c r="F604" s="986">
        <f>$K$38</f>
        <v>201.3</v>
      </c>
      <c r="G604" s="986">
        <f>$M$38</f>
        <v>219.6</v>
      </c>
      <c r="H604" s="986">
        <f>$O$38</f>
        <v>237.9</v>
      </c>
      <c r="I604" s="986">
        <f>$Q$38</f>
        <v>256.2</v>
      </c>
      <c r="J604" s="986">
        <f>$S$38</f>
        <v>274.5</v>
      </c>
    </row>
    <row r="605" spans="1:10" ht="12.75" customHeight="1">
      <c r="A605" s="1019"/>
      <c r="B605" s="1020"/>
      <c r="C605" s="792" t="s">
        <v>180</v>
      </c>
      <c r="D605" s="1049">
        <f>$E$5</f>
        <v>0.2</v>
      </c>
      <c r="E605" s="986">
        <f t="shared" ref="E605:J605" si="67">ROUND($D$605*E604,2)</f>
        <v>36.6</v>
      </c>
      <c r="F605" s="986">
        <f t="shared" si="67"/>
        <v>40.26</v>
      </c>
      <c r="G605" s="986">
        <f t="shared" si="67"/>
        <v>43.92</v>
      </c>
      <c r="H605" s="986">
        <f t="shared" si="67"/>
        <v>47.58</v>
      </c>
      <c r="I605" s="986">
        <f t="shared" si="67"/>
        <v>51.24</v>
      </c>
      <c r="J605" s="986">
        <f t="shared" si="67"/>
        <v>54.9</v>
      </c>
    </row>
    <row r="606" spans="1:10" ht="12.75" customHeight="1">
      <c r="A606" s="1019"/>
      <c r="B606" s="1020"/>
      <c r="C606" s="792" t="s">
        <v>418</v>
      </c>
      <c r="E606" s="986"/>
      <c r="F606" s="986">
        <f>ROUND(0.1*D599*($I$484+$I$483+$I$482),2)</f>
        <v>27.55</v>
      </c>
      <c r="G606" s="986">
        <f>ROUND(0.2*D599*($I$484+$I$483+$I$482),2)</f>
        <v>55.11</v>
      </c>
      <c r="H606" s="986">
        <f>ROUND(0.3*D599*($I$484+$I$483+$I$482),2)</f>
        <v>82.66</v>
      </c>
      <c r="I606" s="986">
        <f>ROUND(0.4*D599*($I$484+$I$483+$I$482),2)</f>
        <v>110.22</v>
      </c>
      <c r="J606" s="986">
        <f>ROUND(0.5*D599*($I$484+$I$483+$I$482),2)</f>
        <v>137.77000000000001</v>
      </c>
    </row>
    <row r="607" spans="1:10" ht="12.75" customHeight="1">
      <c r="A607" s="1019"/>
      <c r="B607" s="1020"/>
      <c r="E607" s="986">
        <f>SUM(E602:E606)</f>
        <v>1306.8479599999998</v>
      </c>
      <c r="F607" s="986">
        <f t="shared" ref="F607:J607" si="68">SUM(F602:F606)</f>
        <v>1356.3579599999998</v>
      </c>
      <c r="G607" s="986">
        <f t="shared" si="68"/>
        <v>1405.8779599999998</v>
      </c>
      <c r="H607" s="986">
        <f t="shared" si="68"/>
        <v>1455.38796</v>
      </c>
      <c r="I607" s="986">
        <f t="shared" si="68"/>
        <v>1504.90796</v>
      </c>
      <c r="J607" s="986">
        <f t="shared" si="68"/>
        <v>1554.41796</v>
      </c>
    </row>
    <row r="608" spans="1:10" ht="12.75" customHeight="1">
      <c r="A608" s="1019"/>
      <c r="B608" s="1020"/>
      <c r="C608" s="1220" t="s">
        <v>1014</v>
      </c>
      <c r="D608" s="1026">
        <f>$D$3</f>
        <v>0</v>
      </c>
      <c r="E608" s="986">
        <f t="shared" ref="E608:J608" si="69">ROUND(E607*$D$312,2)</f>
        <v>0</v>
      </c>
      <c r="F608" s="986">
        <f t="shared" si="69"/>
        <v>0</v>
      </c>
      <c r="G608" s="986">
        <f t="shared" si="69"/>
        <v>0</v>
      </c>
      <c r="H608" s="986">
        <f t="shared" si="69"/>
        <v>0</v>
      </c>
      <c r="I608" s="986">
        <f t="shared" si="69"/>
        <v>0</v>
      </c>
      <c r="J608" s="986">
        <f t="shared" si="69"/>
        <v>0</v>
      </c>
    </row>
    <row r="609" spans="1:10" ht="12.75" customHeight="1">
      <c r="A609" s="1019"/>
      <c r="B609" s="1020"/>
      <c r="C609" s="980" t="s">
        <v>281</v>
      </c>
      <c r="D609" s="980" t="s">
        <v>466</v>
      </c>
      <c r="E609" s="1012">
        <f>CEILING(SUM(E607:E608),0.05)</f>
        <v>1306.8500000000001</v>
      </c>
      <c r="F609" s="1012">
        <f t="shared" ref="F609:J609" si="70">CEILING(SUM(F607:F608),0.05)</f>
        <v>1356.4</v>
      </c>
      <c r="G609" s="1012">
        <f t="shared" si="70"/>
        <v>1405.9</v>
      </c>
      <c r="H609" s="1012">
        <f t="shared" si="70"/>
        <v>1455.4</v>
      </c>
      <c r="I609" s="1012">
        <f t="shared" si="70"/>
        <v>1504.95</v>
      </c>
      <c r="J609" s="1012">
        <f t="shared" si="70"/>
        <v>1554.45</v>
      </c>
    </row>
    <row r="610" spans="1:10" ht="12.75" customHeight="1">
      <c r="A610" s="1019"/>
      <c r="B610" s="1020"/>
      <c r="C610" s="980"/>
      <c r="D610" s="980"/>
      <c r="E610" s="1012"/>
      <c r="F610" s="1012"/>
      <c r="G610" s="1012"/>
      <c r="H610" s="1012"/>
    </row>
    <row r="611" spans="1:10" ht="12.75" customHeight="1">
      <c r="A611" s="1019"/>
      <c r="B611" s="1020" t="s">
        <v>52</v>
      </c>
      <c r="C611" s="1224" t="s">
        <v>2221</v>
      </c>
      <c r="D611" s="1021"/>
      <c r="E611" s="1003"/>
      <c r="F611" s="1003"/>
      <c r="G611" s="1023"/>
      <c r="H611" s="1213"/>
      <c r="I611" s="1003"/>
    </row>
    <row r="612" spans="1:10" ht="12.75" customHeight="1">
      <c r="A612" s="1019"/>
      <c r="B612" s="1020"/>
      <c r="C612" s="792" t="s">
        <v>272</v>
      </c>
      <c r="D612" s="1021">
        <v>0.16500000000000001</v>
      </c>
      <c r="E612" s="1003" t="s">
        <v>529</v>
      </c>
      <c r="F612" s="986">
        <f>$I$485</f>
        <v>6194.9863999999998</v>
      </c>
      <c r="G612" s="1023">
        <v>1</v>
      </c>
      <c r="H612" s="991" t="str">
        <f>IF(E612="","",IF(E612="No.","Each",IF(E612="Nos.","Each",E612)))</f>
        <v>cu.m.</v>
      </c>
      <c r="I612" s="986">
        <f>IF(G612="",D612*F612,(D612*F612/G612))</f>
        <v>1022.172756</v>
      </c>
    </row>
    <row r="613" spans="1:10" ht="12.75" customHeight="1">
      <c r="A613" s="1019"/>
      <c r="B613" s="1020"/>
      <c r="D613" s="1021"/>
      <c r="E613" s="1003"/>
      <c r="F613" s="986"/>
      <c r="G613" s="1023"/>
      <c r="H613" s="991"/>
      <c r="I613" s="986"/>
    </row>
    <row r="614" spans="1:10" ht="12.75" customHeight="1">
      <c r="A614" s="1019"/>
      <c r="B614" s="1020"/>
      <c r="C614" s="1004" t="s">
        <v>428</v>
      </c>
      <c r="E614" s="1227" t="s">
        <v>501</v>
      </c>
      <c r="F614" s="1048" t="s">
        <v>502</v>
      </c>
      <c r="G614" s="1227" t="s">
        <v>503</v>
      </c>
      <c r="H614" s="1048" t="s">
        <v>709</v>
      </c>
      <c r="I614" s="986"/>
    </row>
    <row r="615" spans="1:10" ht="12.75" customHeight="1">
      <c r="A615" s="1019"/>
      <c r="B615" s="1020"/>
      <c r="C615" s="792" t="s">
        <v>381</v>
      </c>
      <c r="E615" s="986">
        <f>I612</f>
        <v>1022.172756</v>
      </c>
      <c r="F615" s="986">
        <f>I612</f>
        <v>1022.172756</v>
      </c>
      <c r="G615" s="986">
        <f>I612</f>
        <v>1022.172756</v>
      </c>
      <c r="H615" s="986">
        <f>I612</f>
        <v>1022.172756</v>
      </c>
      <c r="I615" s="986"/>
    </row>
    <row r="616" spans="1:10" ht="12.75" customHeight="1">
      <c r="A616" s="1019"/>
      <c r="B616" s="1020"/>
      <c r="C616" s="792" t="s">
        <v>580</v>
      </c>
      <c r="E616" s="986">
        <f>$F$39</f>
        <v>163</v>
      </c>
      <c r="F616" s="986">
        <f t="shared" ref="F616:H616" si="71">$F$39</f>
        <v>163</v>
      </c>
      <c r="G616" s="986">
        <f t="shared" si="71"/>
        <v>163</v>
      </c>
      <c r="H616" s="986">
        <f t="shared" si="71"/>
        <v>163</v>
      </c>
      <c r="I616" s="986"/>
    </row>
    <row r="617" spans="1:10" ht="12.75" customHeight="1">
      <c r="A617" s="1019"/>
      <c r="B617" s="1020"/>
      <c r="C617" s="792" t="s">
        <v>581</v>
      </c>
      <c r="E617" s="986">
        <f>$H$39</f>
        <v>189</v>
      </c>
      <c r="F617" s="986">
        <f>$K$39</f>
        <v>207.9</v>
      </c>
      <c r="G617" s="986">
        <f>$M$39</f>
        <v>226.8</v>
      </c>
      <c r="H617" s="986">
        <f>$O$39</f>
        <v>245.7</v>
      </c>
      <c r="I617" s="1012"/>
    </row>
    <row r="618" spans="1:10" ht="12.75" customHeight="1">
      <c r="A618" s="1019"/>
      <c r="B618" s="1020"/>
      <c r="C618" s="792" t="s">
        <v>180</v>
      </c>
      <c r="D618" s="1049">
        <f>$E$5</f>
        <v>0.2</v>
      </c>
      <c r="E618" s="986">
        <f>ROUND($D$618*E617,2)</f>
        <v>37.799999999999997</v>
      </c>
      <c r="F618" s="986">
        <f>ROUND($D$618*F617,2)</f>
        <v>41.58</v>
      </c>
      <c r="G618" s="986">
        <f>ROUND($D$618*G617,2)</f>
        <v>45.36</v>
      </c>
      <c r="H618" s="986">
        <f>ROUND($D$618*H617,2)</f>
        <v>49.14</v>
      </c>
      <c r="I618" s="1012"/>
    </row>
    <row r="619" spans="1:10" ht="12.75" customHeight="1">
      <c r="A619" s="1019"/>
      <c r="B619" s="1020"/>
      <c r="C619" s="792" t="s">
        <v>418</v>
      </c>
      <c r="E619" s="986"/>
      <c r="F619" s="986">
        <f>ROUND(0.1*D612*($I$484+$I$483+$I$482),2)</f>
        <v>30.31</v>
      </c>
      <c r="G619" s="986">
        <f>ROUND(0.2*D612*($I$484+$I$483+$I$482),2)</f>
        <v>60.62</v>
      </c>
      <c r="H619" s="986">
        <f>ROUND(0.3*D612*($I$484+$I$483+$I$482),2)</f>
        <v>90.93</v>
      </c>
      <c r="I619" s="1048"/>
    </row>
    <row r="620" spans="1:10" ht="12.75" customHeight="1">
      <c r="A620" s="1019"/>
      <c r="B620" s="1020"/>
      <c r="E620" s="986">
        <f>SUM(E615:E619)</f>
        <v>1411.9727559999999</v>
      </c>
      <c r="F620" s="986">
        <f>SUM(F615:F619)</f>
        <v>1464.9627559999999</v>
      </c>
      <c r="G620" s="986">
        <f>SUM(G615:G619)</f>
        <v>1517.9527559999997</v>
      </c>
      <c r="H620" s="986">
        <f>SUM(H615:H619)</f>
        <v>1570.9427560000001</v>
      </c>
      <c r="I620" s="986"/>
    </row>
    <row r="621" spans="1:10" ht="12.75" customHeight="1">
      <c r="A621" s="1019"/>
      <c r="B621" s="1020"/>
      <c r="C621" s="1220" t="s">
        <v>1014</v>
      </c>
      <c r="D621" s="1026">
        <f>$D$3</f>
        <v>0</v>
      </c>
      <c r="E621" s="986">
        <f>ROUND(E620*$D$312,2)</f>
        <v>0</v>
      </c>
      <c r="F621" s="986">
        <f>ROUND(F620*$D$312,2)</f>
        <v>0</v>
      </c>
      <c r="G621" s="986">
        <f>ROUND(G620*$D$312,2)</f>
        <v>0</v>
      </c>
      <c r="H621" s="986">
        <f>ROUND(H620*$D$312,2)</f>
        <v>0</v>
      </c>
      <c r="I621" s="986"/>
    </row>
    <row r="622" spans="1:10" ht="12.75" customHeight="1">
      <c r="A622" s="1019"/>
      <c r="B622" s="1020"/>
      <c r="C622" s="980" t="s">
        <v>281</v>
      </c>
      <c r="D622" s="980" t="s">
        <v>466</v>
      </c>
      <c r="E622" s="1012">
        <f>CEILING(SUM(E620:E621),0.05)</f>
        <v>1412</v>
      </c>
      <c r="F622" s="1012">
        <f>CEILING(SUM(F620:F621),0.05)</f>
        <v>1465</v>
      </c>
      <c r="G622" s="1012">
        <f>CEILING(SUM(G620:G621),0.05)</f>
        <v>1518</v>
      </c>
      <c r="H622" s="1012">
        <f>CEILING(SUM(H620:H621),0.05)</f>
        <v>1570.95</v>
      </c>
    </row>
    <row r="623" spans="1:10" ht="12.75" customHeight="1">
      <c r="A623" s="1019"/>
      <c r="B623" s="1020"/>
      <c r="C623" s="980"/>
      <c r="D623" s="980"/>
      <c r="E623" s="1012"/>
      <c r="F623" s="1012"/>
      <c r="G623" s="1012"/>
      <c r="H623" s="1012"/>
    </row>
    <row r="624" spans="1:10" ht="12.75" customHeight="1">
      <c r="A624" s="1019">
        <f>A598+1</f>
        <v>2</v>
      </c>
      <c r="B624" s="1020" t="s">
        <v>695</v>
      </c>
      <c r="C624" s="1224" t="s">
        <v>2222</v>
      </c>
      <c r="D624" s="1021"/>
      <c r="E624" s="1003"/>
      <c r="F624" s="1003"/>
      <c r="G624" s="1023"/>
      <c r="H624" s="1213"/>
      <c r="I624" s="1003"/>
    </row>
    <row r="625" spans="1:10" ht="12.75" customHeight="1">
      <c r="A625" s="1019"/>
      <c r="B625" s="1020"/>
      <c r="C625" s="792" t="s">
        <v>1040</v>
      </c>
      <c r="D625" s="1021">
        <f>0.175</f>
        <v>0.17499999999999999</v>
      </c>
      <c r="E625" s="1003" t="s">
        <v>529</v>
      </c>
      <c r="F625" s="986">
        <f>$I$485</f>
        <v>6194.9863999999998</v>
      </c>
      <c r="G625" s="1023">
        <v>1</v>
      </c>
      <c r="H625" s="991" t="str">
        <f>IF(E625="","",IF(E625="No.","Each",IF(E625="Nos.","Each",E625)))</f>
        <v>cu.m.</v>
      </c>
      <c r="I625" s="986">
        <f>IF(G625="",D625*F625,(D625*F625/G625))</f>
        <v>1084.1226199999999</v>
      </c>
    </row>
    <row r="626" spans="1:10" ht="12.75" customHeight="1">
      <c r="A626" s="1019"/>
      <c r="B626" s="1020"/>
      <c r="D626" s="1021"/>
      <c r="E626" s="1003"/>
      <c r="F626" s="986"/>
      <c r="G626" s="1023"/>
      <c r="H626" s="991"/>
      <c r="I626" s="986"/>
    </row>
    <row r="627" spans="1:10" ht="12.75" customHeight="1">
      <c r="A627" s="1019"/>
      <c r="B627" s="1020"/>
      <c r="C627" s="1004" t="s">
        <v>428</v>
      </c>
      <c r="E627" s="1227" t="s">
        <v>501</v>
      </c>
      <c r="F627" s="1048" t="s">
        <v>502</v>
      </c>
      <c r="G627" s="1227" t="s">
        <v>503</v>
      </c>
      <c r="H627" s="1048" t="s">
        <v>709</v>
      </c>
      <c r="I627" s="1048" t="s">
        <v>502</v>
      </c>
      <c r="J627" s="1048" t="s">
        <v>502</v>
      </c>
    </row>
    <row r="628" spans="1:10" ht="12.75" customHeight="1">
      <c r="A628" s="1019"/>
      <c r="B628" s="1020"/>
      <c r="C628" s="792" t="s">
        <v>381</v>
      </c>
      <c r="E628" s="986">
        <f>I625</f>
        <v>1084.1226199999999</v>
      </c>
      <c r="F628" s="986">
        <f>I625</f>
        <v>1084.1226199999999</v>
      </c>
      <c r="G628" s="986">
        <f>I625</f>
        <v>1084.1226199999999</v>
      </c>
      <c r="H628" s="986">
        <f>I625</f>
        <v>1084.1226199999999</v>
      </c>
      <c r="I628" s="986">
        <f>H628</f>
        <v>1084.1226199999999</v>
      </c>
      <c r="J628" s="986">
        <f>I628</f>
        <v>1084.1226199999999</v>
      </c>
    </row>
    <row r="629" spans="1:10" ht="12.75" customHeight="1">
      <c r="A629" s="1019"/>
      <c r="B629" s="1020"/>
      <c r="C629" s="792" t="s">
        <v>580</v>
      </c>
      <c r="E629" s="986">
        <f t="shared" ref="E629:J629" si="72">$F$39</f>
        <v>163</v>
      </c>
      <c r="F629" s="986">
        <f t="shared" si="72"/>
        <v>163</v>
      </c>
      <c r="G629" s="986">
        <f t="shared" si="72"/>
        <v>163</v>
      </c>
      <c r="H629" s="986">
        <f t="shared" si="72"/>
        <v>163</v>
      </c>
      <c r="I629" s="986">
        <f t="shared" si="72"/>
        <v>163</v>
      </c>
      <c r="J629" s="986">
        <f t="shared" si="72"/>
        <v>163</v>
      </c>
    </row>
    <row r="630" spans="1:10" ht="12.75" customHeight="1">
      <c r="A630" s="1019"/>
      <c r="B630" s="1020"/>
      <c r="C630" s="792" t="s">
        <v>581</v>
      </c>
      <c r="E630" s="986">
        <f>$H$39</f>
        <v>189</v>
      </c>
      <c r="F630" s="986">
        <f>$K$39</f>
        <v>207.9</v>
      </c>
      <c r="G630" s="986">
        <f>$M$39</f>
        <v>226.8</v>
      </c>
      <c r="H630" s="986">
        <f>$O$39</f>
        <v>245.7</v>
      </c>
      <c r="I630" s="986">
        <f>$Q$39</f>
        <v>264.60000000000002</v>
      </c>
      <c r="J630" s="986">
        <f>$S$39</f>
        <v>283.5</v>
      </c>
    </row>
    <row r="631" spans="1:10" ht="12.75" customHeight="1">
      <c r="A631" s="1019"/>
      <c r="B631" s="1020"/>
      <c r="C631" s="792" t="s">
        <v>180</v>
      </c>
      <c r="D631" s="1049">
        <f>$E$5</f>
        <v>0.2</v>
      </c>
      <c r="E631" s="986">
        <f t="shared" ref="E631:J631" si="73">ROUND($D$631*E630,2)</f>
        <v>37.799999999999997</v>
      </c>
      <c r="F631" s="986">
        <f t="shared" si="73"/>
        <v>41.58</v>
      </c>
      <c r="G631" s="986">
        <f t="shared" si="73"/>
        <v>45.36</v>
      </c>
      <c r="H631" s="986">
        <f t="shared" si="73"/>
        <v>49.14</v>
      </c>
      <c r="I631" s="986">
        <f t="shared" si="73"/>
        <v>52.92</v>
      </c>
      <c r="J631" s="986">
        <f t="shared" si="73"/>
        <v>56.7</v>
      </c>
    </row>
    <row r="632" spans="1:10" ht="12.75" customHeight="1">
      <c r="A632" s="1019"/>
      <c r="B632" s="1020"/>
      <c r="C632" s="792" t="s">
        <v>418</v>
      </c>
      <c r="E632" s="986"/>
      <c r="F632" s="986">
        <f>ROUND(0.1*D625*($I$484+$I$483+$I$482),2)</f>
        <v>32.15</v>
      </c>
      <c r="G632" s="986">
        <f>ROUND(0.2*D625*($I$484+$I$483+$I$482),2)</f>
        <v>64.290000000000006</v>
      </c>
      <c r="H632" s="986">
        <f>ROUND(0.3*D625*($I$484+$I$483+$I$482),2)</f>
        <v>96.44</v>
      </c>
      <c r="I632" s="986">
        <f>ROUND(0.4*D625*($I$484+$I$483+$I$482),2)</f>
        <v>128.59</v>
      </c>
      <c r="J632" s="986">
        <f>ROUND(0.5*D625*($I$484+$I$483+$I$482),2)</f>
        <v>160.74</v>
      </c>
    </row>
    <row r="633" spans="1:10" ht="12.75" customHeight="1">
      <c r="A633" s="1019"/>
      <c r="B633" s="1020"/>
      <c r="E633" s="986">
        <f t="shared" ref="E633:J633" si="74">SUM(E628:E632)</f>
        <v>1473.9226199999998</v>
      </c>
      <c r="F633" s="986">
        <f t="shared" si="74"/>
        <v>1528.75262</v>
      </c>
      <c r="G633" s="986">
        <f t="shared" si="74"/>
        <v>1583.5726199999997</v>
      </c>
      <c r="H633" s="986">
        <f t="shared" si="74"/>
        <v>1638.4026200000001</v>
      </c>
      <c r="I633" s="986">
        <f t="shared" si="74"/>
        <v>1693.23262</v>
      </c>
      <c r="J633" s="986">
        <f t="shared" si="74"/>
        <v>1748.0626199999999</v>
      </c>
    </row>
    <row r="634" spans="1:10" ht="12.75" customHeight="1">
      <c r="A634" s="1019"/>
      <c r="B634" s="1020"/>
      <c r="C634" s="1220" t="s">
        <v>1014</v>
      </c>
      <c r="D634" s="1026">
        <f>$D$3</f>
        <v>0</v>
      </c>
      <c r="E634" s="986">
        <f t="shared" ref="E634:J634" si="75">ROUND(E633*$D$634,2)</f>
        <v>0</v>
      </c>
      <c r="F634" s="986">
        <f t="shared" si="75"/>
        <v>0</v>
      </c>
      <c r="G634" s="986">
        <f t="shared" si="75"/>
        <v>0</v>
      </c>
      <c r="H634" s="986">
        <f t="shared" si="75"/>
        <v>0</v>
      </c>
      <c r="I634" s="986">
        <f t="shared" si="75"/>
        <v>0</v>
      </c>
      <c r="J634" s="986">
        <f t="shared" si="75"/>
        <v>0</v>
      </c>
    </row>
    <row r="635" spans="1:10" ht="12.75" customHeight="1">
      <c r="A635" s="1019"/>
      <c r="B635" s="1020"/>
      <c r="C635" s="980" t="s">
        <v>281</v>
      </c>
      <c r="D635" s="980" t="s">
        <v>466</v>
      </c>
      <c r="E635" s="1012">
        <f t="shared" ref="E635:J635" si="76">CEILING(SUM(E633:E634),0.05)</f>
        <v>1473.95</v>
      </c>
      <c r="F635" s="1012">
        <f t="shared" si="76"/>
        <v>1528.8000000000002</v>
      </c>
      <c r="G635" s="1012">
        <f t="shared" si="76"/>
        <v>1583.6000000000001</v>
      </c>
      <c r="H635" s="1012">
        <f t="shared" si="76"/>
        <v>1638.45</v>
      </c>
      <c r="I635" s="1012">
        <f t="shared" si="76"/>
        <v>1693.25</v>
      </c>
      <c r="J635" s="1012">
        <f t="shared" si="76"/>
        <v>1748.1000000000001</v>
      </c>
    </row>
    <row r="636" spans="1:10" ht="12.75" customHeight="1">
      <c r="A636" s="1019"/>
      <c r="B636" s="1020"/>
      <c r="C636" s="1051"/>
      <c r="E636" s="1012"/>
      <c r="F636" s="1012"/>
      <c r="G636" s="1012"/>
      <c r="H636" s="1012"/>
    </row>
    <row r="637" spans="1:10" ht="25.5" customHeight="1">
      <c r="A637" s="1019"/>
      <c r="B637" s="1020" t="s">
        <v>21</v>
      </c>
      <c r="C637" s="1224" t="s">
        <v>2223</v>
      </c>
      <c r="D637" s="1021"/>
      <c r="E637" s="1003"/>
      <c r="F637" s="1003"/>
      <c r="G637" s="1023"/>
      <c r="H637" s="1213"/>
      <c r="I637" s="1003"/>
    </row>
    <row r="638" spans="1:10" ht="12.75" customHeight="1">
      <c r="A638" s="1019"/>
      <c r="B638" s="1020"/>
      <c r="C638" s="792" t="s">
        <v>274</v>
      </c>
      <c r="D638" s="1021">
        <v>0.18</v>
      </c>
      <c r="E638" s="1003" t="s">
        <v>529</v>
      </c>
      <c r="F638" s="986">
        <f>$I$485</f>
        <v>6194.9863999999998</v>
      </c>
      <c r="G638" s="1023">
        <v>1</v>
      </c>
      <c r="H638" s="991" t="str">
        <f>IF(E638="","",IF(E638="No.","Each",IF(E638="Nos.","Each",E638)))</f>
        <v>cu.m.</v>
      </c>
      <c r="I638" s="986">
        <f>IF(G638="",D638*F638,(D638*F638/G638))</f>
        <v>1115.097552</v>
      </c>
    </row>
    <row r="639" spans="1:10" ht="12.75" customHeight="1">
      <c r="A639" s="1019"/>
      <c r="B639" s="1020"/>
      <c r="D639" s="1021"/>
      <c r="E639" s="1003"/>
      <c r="F639" s="986"/>
      <c r="G639" s="1023"/>
      <c r="H639" s="991"/>
      <c r="I639" s="986"/>
    </row>
    <row r="640" spans="1:10" ht="12.75" customHeight="1">
      <c r="A640" s="1019"/>
      <c r="B640" s="1020"/>
      <c r="C640" s="1004" t="s">
        <v>428</v>
      </c>
      <c r="E640" s="1227" t="s">
        <v>501</v>
      </c>
      <c r="F640" s="1048" t="s">
        <v>502</v>
      </c>
      <c r="G640" s="1227" t="s">
        <v>503</v>
      </c>
      <c r="H640" s="1048" t="s">
        <v>709</v>
      </c>
      <c r="I640" s="986"/>
    </row>
    <row r="641" spans="1:9" ht="12.75" customHeight="1">
      <c r="A641" s="1019"/>
      <c r="B641" s="1020"/>
      <c r="C641" s="792" t="s">
        <v>381</v>
      </c>
      <c r="E641" s="986">
        <f>I638</f>
        <v>1115.097552</v>
      </c>
      <c r="F641" s="986">
        <f>I638</f>
        <v>1115.097552</v>
      </c>
      <c r="G641" s="986">
        <f>I638</f>
        <v>1115.097552</v>
      </c>
      <c r="H641" s="986">
        <f>I638</f>
        <v>1115.097552</v>
      </c>
      <c r="I641" s="986"/>
    </row>
    <row r="642" spans="1:9" ht="12.75" customHeight="1">
      <c r="A642" s="1019"/>
      <c r="B642" s="1020"/>
      <c r="C642" s="792" t="s">
        <v>580</v>
      </c>
      <c r="E642" s="986">
        <f t="shared" ref="E642:H642" si="77">$F$39</f>
        <v>163</v>
      </c>
      <c r="F642" s="986">
        <f t="shared" si="77"/>
        <v>163</v>
      </c>
      <c r="G642" s="986">
        <f t="shared" si="77"/>
        <v>163</v>
      </c>
      <c r="H642" s="986">
        <f t="shared" si="77"/>
        <v>163</v>
      </c>
      <c r="I642" s="986"/>
    </row>
    <row r="643" spans="1:9" ht="12.75" customHeight="1">
      <c r="A643" s="1019"/>
      <c r="B643" s="1020"/>
      <c r="C643" s="792" t="s">
        <v>581</v>
      </c>
      <c r="E643" s="986">
        <f>$H$39</f>
        <v>189</v>
      </c>
      <c r="F643" s="986">
        <f>$K$39</f>
        <v>207.9</v>
      </c>
      <c r="G643" s="986">
        <f>$M$39</f>
        <v>226.8</v>
      </c>
      <c r="H643" s="986">
        <f>$O$39</f>
        <v>245.7</v>
      </c>
      <c r="I643" s="1012"/>
    </row>
    <row r="644" spans="1:9" ht="12.75" customHeight="1">
      <c r="A644" s="1019"/>
      <c r="B644" s="1020"/>
      <c r="C644" s="792" t="s">
        <v>180</v>
      </c>
      <c r="D644" s="1049">
        <f>$E$5</f>
        <v>0.2</v>
      </c>
      <c r="E644" s="986">
        <f>ROUND($D$644*E643,2)</f>
        <v>37.799999999999997</v>
      </c>
      <c r="F644" s="986">
        <f>ROUND($D$644*F643,2)</f>
        <v>41.58</v>
      </c>
      <c r="G644" s="986">
        <f>ROUND($D$644*G643,2)</f>
        <v>45.36</v>
      </c>
      <c r="H644" s="986">
        <f>ROUND($D$644*H643,2)</f>
        <v>49.14</v>
      </c>
      <c r="I644" s="1012"/>
    </row>
    <row r="645" spans="1:9" ht="12.75" customHeight="1">
      <c r="A645" s="1019"/>
      <c r="B645" s="1020"/>
      <c r="C645" s="792" t="s">
        <v>418</v>
      </c>
      <c r="E645" s="986"/>
      <c r="F645" s="986">
        <f>ROUND(0.1*D638*($I$484+$I$483+$I$482),2)</f>
        <v>33.07</v>
      </c>
      <c r="G645" s="986">
        <f>ROUND(0.2*D638*($I$484+$I$483+$I$482),2)</f>
        <v>66.13</v>
      </c>
      <c r="H645" s="986">
        <f>ROUND(0.3*D638*($I$484+$I$483+$I$482),2)</f>
        <v>99.2</v>
      </c>
      <c r="I645" s="1048"/>
    </row>
    <row r="646" spans="1:9" ht="12.75" customHeight="1">
      <c r="A646" s="1019"/>
      <c r="B646" s="1020"/>
      <c r="E646" s="986">
        <f>SUM(E641:E645)</f>
        <v>1504.8975519999999</v>
      </c>
      <c r="F646" s="986">
        <f>SUM(F641:F645)</f>
        <v>1560.6475519999999</v>
      </c>
      <c r="G646" s="986">
        <f>SUM(G641:G645)</f>
        <v>1616.3875519999997</v>
      </c>
      <c r="H646" s="986">
        <f>SUM(H641:H645)</f>
        <v>1672.1375520000001</v>
      </c>
      <c r="I646" s="986"/>
    </row>
    <row r="647" spans="1:9" ht="12.75" customHeight="1">
      <c r="A647" s="1019"/>
      <c r="B647" s="1020"/>
      <c r="C647" s="1220" t="s">
        <v>1014</v>
      </c>
      <c r="D647" s="1026">
        <f>$D$3</f>
        <v>0</v>
      </c>
      <c r="E647" s="986">
        <f>ROUND(E646*$D$312,2)</f>
        <v>0</v>
      </c>
      <c r="F647" s="986">
        <f>ROUND(F646*$D$312,2)</f>
        <v>0</v>
      </c>
      <c r="G647" s="986">
        <f>ROUND(G646*$D$312,2)</f>
        <v>0</v>
      </c>
      <c r="H647" s="986">
        <f>ROUND(H646*$D$312,2)</f>
        <v>0</v>
      </c>
      <c r="I647" s="986"/>
    </row>
    <row r="648" spans="1:9" ht="12.75" customHeight="1">
      <c r="A648" s="1019"/>
      <c r="B648" s="1020"/>
      <c r="C648" s="980" t="s">
        <v>281</v>
      </c>
      <c r="D648" s="980" t="s">
        <v>466</v>
      </c>
      <c r="E648" s="1012">
        <f>CEILING(SUM(E646:E647),0.05)</f>
        <v>1504.9</v>
      </c>
      <c r="F648" s="1012">
        <f>CEILING(SUM(F646:F647),0.05)</f>
        <v>1560.65</v>
      </c>
      <c r="G648" s="1012">
        <f>CEILING(SUM(G646:G647),0.05)</f>
        <v>1616.4</v>
      </c>
      <c r="H648" s="1012">
        <f>CEILING(SUM(H646:H647),0.05)</f>
        <v>1672.15</v>
      </c>
    </row>
    <row r="649" spans="1:9" ht="12.75" customHeight="1">
      <c r="A649" s="1019"/>
      <c r="B649" s="1020"/>
      <c r="C649" s="1051"/>
      <c r="E649" s="1012"/>
      <c r="F649" s="1012"/>
      <c r="G649" s="1012"/>
      <c r="H649" s="1012"/>
    </row>
    <row r="650" spans="1:9" ht="25.5" customHeight="1">
      <c r="A650" s="1019"/>
      <c r="B650" s="1020" t="s">
        <v>22</v>
      </c>
      <c r="C650" s="1224" t="s">
        <v>2224</v>
      </c>
      <c r="D650" s="1021"/>
      <c r="E650" s="1003"/>
      <c r="F650" s="1003"/>
      <c r="G650" s="1023"/>
      <c r="H650" s="1213"/>
      <c r="I650" s="1003"/>
    </row>
    <row r="651" spans="1:9" ht="12.75" customHeight="1">
      <c r="A651" s="1019"/>
      <c r="B651" s="1020"/>
      <c r="C651" s="792" t="s">
        <v>273</v>
      </c>
      <c r="D651" s="1021">
        <v>0.2</v>
      </c>
      <c r="E651" s="1003" t="s">
        <v>529</v>
      </c>
      <c r="F651" s="986">
        <f>$I$485</f>
        <v>6194.9863999999998</v>
      </c>
      <c r="G651" s="1023">
        <v>1</v>
      </c>
      <c r="H651" s="991" t="str">
        <f>IF(E651="","",IF(E651="No.","Each",IF(E651="Nos.","Each",E651)))</f>
        <v>cu.m.</v>
      </c>
      <c r="I651" s="986">
        <f>IF(G651="",D651*F651,(D651*F651/G651))</f>
        <v>1238.99728</v>
      </c>
    </row>
    <row r="652" spans="1:9" ht="12.75" customHeight="1">
      <c r="A652" s="1019"/>
      <c r="B652" s="1020"/>
      <c r="D652" s="1021"/>
      <c r="E652" s="1003"/>
      <c r="F652" s="986"/>
      <c r="G652" s="1023"/>
      <c r="H652" s="991"/>
      <c r="I652" s="986"/>
    </row>
    <row r="653" spans="1:9" ht="12.75" customHeight="1">
      <c r="A653" s="1019"/>
      <c r="B653" s="1020"/>
      <c r="C653" s="1004" t="s">
        <v>428</v>
      </c>
      <c r="E653" s="1227" t="s">
        <v>501</v>
      </c>
      <c r="F653" s="1048" t="s">
        <v>502</v>
      </c>
      <c r="G653" s="1227" t="s">
        <v>503</v>
      </c>
      <c r="H653" s="1048" t="s">
        <v>709</v>
      </c>
      <c r="I653" s="986"/>
    </row>
    <row r="654" spans="1:9" ht="12.75" customHeight="1">
      <c r="A654" s="1019"/>
      <c r="B654" s="1020"/>
      <c r="C654" s="792" t="s">
        <v>381</v>
      </c>
      <c r="E654" s="986">
        <f>I651</f>
        <v>1238.99728</v>
      </c>
      <c r="F654" s="986">
        <f>I651</f>
        <v>1238.99728</v>
      </c>
      <c r="G654" s="986">
        <f>I651</f>
        <v>1238.99728</v>
      </c>
      <c r="H654" s="986">
        <f>I651</f>
        <v>1238.99728</v>
      </c>
      <c r="I654" s="986"/>
    </row>
    <row r="655" spans="1:9" ht="12.75" customHeight="1">
      <c r="A655" s="1019"/>
      <c r="B655" s="1020"/>
      <c r="C655" s="792" t="s">
        <v>580</v>
      </c>
      <c r="E655" s="986">
        <f t="shared" ref="E655:H655" si="78">$F$39</f>
        <v>163</v>
      </c>
      <c r="F655" s="986">
        <f t="shared" si="78"/>
        <v>163</v>
      </c>
      <c r="G655" s="986">
        <f t="shared" si="78"/>
        <v>163</v>
      </c>
      <c r="H655" s="986">
        <f t="shared" si="78"/>
        <v>163</v>
      </c>
      <c r="I655" s="986"/>
    </row>
    <row r="656" spans="1:9" ht="12.75" customHeight="1">
      <c r="A656" s="1019"/>
      <c r="B656" s="1020"/>
      <c r="C656" s="792" t="s">
        <v>581</v>
      </c>
      <c r="E656" s="986">
        <f>$H$39</f>
        <v>189</v>
      </c>
      <c r="F656" s="986">
        <f>$K$39</f>
        <v>207.9</v>
      </c>
      <c r="G656" s="986">
        <f>$M$39</f>
        <v>226.8</v>
      </c>
      <c r="H656" s="986">
        <f>$O$39</f>
        <v>245.7</v>
      </c>
      <c r="I656" s="1012"/>
    </row>
    <row r="657" spans="1:9" ht="12.75" customHeight="1">
      <c r="A657" s="1019"/>
      <c r="B657" s="1020"/>
      <c r="C657" s="792" t="s">
        <v>180</v>
      </c>
      <c r="D657" s="1049">
        <f>$E$5</f>
        <v>0.2</v>
      </c>
      <c r="E657" s="986">
        <f>ROUND($D$657*E656,2)</f>
        <v>37.799999999999997</v>
      </c>
      <c r="F657" s="986">
        <f>ROUND($D$657*F656,2)</f>
        <v>41.58</v>
      </c>
      <c r="G657" s="986">
        <f>ROUND($D$657*G656,2)</f>
        <v>45.36</v>
      </c>
      <c r="H657" s="986">
        <f>ROUND($D$657*H656,2)</f>
        <v>49.14</v>
      </c>
      <c r="I657" s="1012"/>
    </row>
    <row r="658" spans="1:9" ht="12.75" customHeight="1">
      <c r="A658" s="1019"/>
      <c r="B658" s="1020"/>
      <c r="C658" s="792" t="s">
        <v>418</v>
      </c>
      <c r="E658" s="986"/>
      <c r="F658" s="986">
        <f>ROUND(0.1*D651*($I$484+$I$483+$I$482),2)</f>
        <v>36.74</v>
      </c>
      <c r="G658" s="986">
        <f>ROUND(0.2*D651*($I$484+$I$483+$I$482),2)</f>
        <v>73.48</v>
      </c>
      <c r="H658" s="986">
        <f>ROUND(0.3*D651*($I$484+$I$483+$I$482),2)</f>
        <v>110.22</v>
      </c>
      <c r="I658" s="1048"/>
    </row>
    <row r="659" spans="1:9" ht="12.75" customHeight="1">
      <c r="A659" s="1019"/>
      <c r="B659" s="1020"/>
      <c r="E659" s="986">
        <f>SUM(E654:E658)</f>
        <v>1628.79728</v>
      </c>
      <c r="F659" s="986">
        <f>SUM(F654:F658)</f>
        <v>1688.2172800000001</v>
      </c>
      <c r="G659" s="986">
        <f>SUM(G654:G658)</f>
        <v>1747.6372799999999</v>
      </c>
      <c r="H659" s="986">
        <f>SUM(H654:H658)</f>
        <v>1807.0572800000002</v>
      </c>
      <c r="I659" s="986"/>
    </row>
    <row r="660" spans="1:9" ht="12.75" customHeight="1">
      <c r="A660" s="1019"/>
      <c r="B660" s="1020"/>
      <c r="C660" s="1220" t="s">
        <v>1014</v>
      </c>
      <c r="D660" s="1026">
        <f>$D$3</f>
        <v>0</v>
      </c>
      <c r="E660" s="986">
        <f>ROUND(E659*$D$312,2)</f>
        <v>0</v>
      </c>
      <c r="F660" s="986">
        <f>ROUND(F659*$D$312,2)</f>
        <v>0</v>
      </c>
      <c r="G660" s="986">
        <f>ROUND(G659*$D$312,2)</f>
        <v>0</v>
      </c>
      <c r="H660" s="986">
        <f>ROUND(H659*$D$312,2)</f>
        <v>0</v>
      </c>
      <c r="I660" s="986"/>
    </row>
    <row r="661" spans="1:9" ht="12.75" customHeight="1">
      <c r="A661" s="1019"/>
      <c r="B661" s="1020"/>
      <c r="C661" s="980" t="s">
        <v>281</v>
      </c>
      <c r="D661" s="980" t="s">
        <v>466</v>
      </c>
      <c r="E661" s="1012">
        <f>CEILING(SUM(E659:E660),0.05)</f>
        <v>1628.8000000000002</v>
      </c>
      <c r="F661" s="1012">
        <f>CEILING(SUM(F659:F660),0.05)</f>
        <v>1688.25</v>
      </c>
      <c r="G661" s="1012">
        <f>CEILING(SUM(G659:G660),0.05)</f>
        <v>1747.65</v>
      </c>
      <c r="H661" s="1012">
        <f>CEILING(SUM(H659:H660),0.05)</f>
        <v>1807.1000000000001</v>
      </c>
    </row>
    <row r="662" spans="1:9" ht="12.75" customHeight="1">
      <c r="A662" s="1019"/>
      <c r="B662" s="1020"/>
      <c r="C662" s="1051"/>
      <c r="E662" s="1012"/>
      <c r="F662" s="1012"/>
      <c r="G662" s="1012"/>
      <c r="H662" s="1012"/>
    </row>
    <row r="663" spans="1:9" ht="12.75" customHeight="1">
      <c r="A663" s="1019"/>
      <c r="B663" s="1020" t="s">
        <v>487</v>
      </c>
      <c r="C663" s="1224" t="s">
        <v>2225</v>
      </c>
      <c r="D663" s="1021"/>
      <c r="E663" s="1003"/>
      <c r="F663" s="1003"/>
      <c r="G663" s="1023"/>
      <c r="H663" s="1213"/>
      <c r="I663" s="1003"/>
    </row>
    <row r="664" spans="1:9" ht="12.75" customHeight="1">
      <c r="A664" s="1019"/>
      <c r="B664" s="1020"/>
      <c r="C664" s="792" t="s">
        <v>275</v>
      </c>
      <c r="D664" s="1021">
        <v>0.22500000000000001</v>
      </c>
      <c r="E664" s="1003" t="s">
        <v>529</v>
      </c>
      <c r="F664" s="986">
        <f>$I$485</f>
        <v>6194.9863999999998</v>
      </c>
      <c r="G664" s="1023">
        <v>1</v>
      </c>
      <c r="H664" s="991" t="str">
        <f>IF(E664="","",IF(E664="No.","Each",IF(E664="Nos.","Each",E664)))</f>
        <v>cu.m.</v>
      </c>
      <c r="I664" s="986">
        <f>IF(G664="",D664*F664,(D664*F664/G664))</f>
        <v>1393.87194</v>
      </c>
    </row>
    <row r="665" spans="1:9" ht="12.75" customHeight="1">
      <c r="A665" s="1019"/>
      <c r="B665" s="1020"/>
      <c r="D665" s="1021"/>
      <c r="E665" s="1003"/>
      <c r="F665" s="986"/>
      <c r="G665" s="1023"/>
      <c r="H665" s="991"/>
      <c r="I665" s="986"/>
    </row>
    <row r="666" spans="1:9" ht="12.75" customHeight="1">
      <c r="A666" s="1019"/>
      <c r="B666" s="1020"/>
      <c r="C666" s="1004" t="s">
        <v>428</v>
      </c>
      <c r="E666" s="1227" t="s">
        <v>501</v>
      </c>
      <c r="F666" s="1048" t="s">
        <v>502</v>
      </c>
      <c r="G666" s="1227" t="s">
        <v>503</v>
      </c>
      <c r="H666" s="1048" t="s">
        <v>709</v>
      </c>
      <c r="I666" s="986"/>
    </row>
    <row r="667" spans="1:9" ht="12.75" customHeight="1">
      <c r="A667" s="1019"/>
      <c r="B667" s="1020"/>
      <c r="C667" s="792" t="s">
        <v>381</v>
      </c>
      <c r="E667" s="986">
        <f>I664</f>
        <v>1393.87194</v>
      </c>
      <c r="F667" s="986">
        <f>I664</f>
        <v>1393.87194</v>
      </c>
      <c r="G667" s="986">
        <f>I664</f>
        <v>1393.87194</v>
      </c>
      <c r="H667" s="986">
        <f>I664</f>
        <v>1393.87194</v>
      </c>
      <c r="I667" s="986"/>
    </row>
    <row r="668" spans="1:9" ht="12.75" customHeight="1">
      <c r="A668" s="1019"/>
      <c r="B668" s="1020"/>
      <c r="C668" s="792" t="s">
        <v>580</v>
      </c>
      <c r="E668" s="986">
        <f t="shared" ref="E668:H668" si="79">$F$39</f>
        <v>163</v>
      </c>
      <c r="F668" s="986">
        <f t="shared" si="79"/>
        <v>163</v>
      </c>
      <c r="G668" s="986">
        <f t="shared" si="79"/>
        <v>163</v>
      </c>
      <c r="H668" s="986">
        <f t="shared" si="79"/>
        <v>163</v>
      </c>
      <c r="I668" s="986"/>
    </row>
    <row r="669" spans="1:9" ht="12.75" customHeight="1">
      <c r="A669" s="1019"/>
      <c r="B669" s="1020"/>
      <c r="C669" s="792" t="s">
        <v>581</v>
      </c>
      <c r="E669" s="986">
        <f>$H$39</f>
        <v>189</v>
      </c>
      <c r="F669" s="986">
        <f>$K$39</f>
        <v>207.9</v>
      </c>
      <c r="G669" s="986">
        <f>$M$39</f>
        <v>226.8</v>
      </c>
      <c r="H669" s="986">
        <f>$O$39</f>
        <v>245.7</v>
      </c>
      <c r="I669" s="1012"/>
    </row>
    <row r="670" spans="1:9" ht="12.75" customHeight="1">
      <c r="A670" s="1019"/>
      <c r="B670" s="1020"/>
      <c r="C670" s="792" t="s">
        <v>180</v>
      </c>
      <c r="D670" s="1049">
        <f>$E$5</f>
        <v>0.2</v>
      </c>
      <c r="E670" s="986">
        <f>ROUND($D$670*E669,2)</f>
        <v>37.799999999999997</v>
      </c>
      <c r="F670" s="986">
        <f>ROUND($D$670*F669,2)</f>
        <v>41.58</v>
      </c>
      <c r="G670" s="986">
        <f>ROUND($D$670*G669,2)</f>
        <v>45.36</v>
      </c>
      <c r="H670" s="986">
        <f>ROUND($D$670*H669,2)</f>
        <v>49.14</v>
      </c>
      <c r="I670" s="1012"/>
    </row>
    <row r="671" spans="1:9" ht="12.75" customHeight="1">
      <c r="A671" s="1019"/>
      <c r="B671" s="1020"/>
      <c r="C671" s="792" t="s">
        <v>418</v>
      </c>
      <c r="E671" s="986"/>
      <c r="F671" s="986">
        <f>ROUND(0.1*D664*($I$484+$I$483+$I$482),2)</f>
        <v>41.33</v>
      </c>
      <c r="G671" s="986">
        <f>ROUND(0.2*D664*($I$484+$I$483+$I$482),2)</f>
        <v>82.66</v>
      </c>
      <c r="H671" s="986">
        <f>ROUND(0.3*D664*($I$484+$I$483+$I$482),2)</f>
        <v>124</v>
      </c>
      <c r="I671" s="1048"/>
    </row>
    <row r="672" spans="1:9" ht="12.75" customHeight="1">
      <c r="A672" s="1019"/>
      <c r="B672" s="1020"/>
      <c r="E672" s="986">
        <f>SUM(E667:E671)</f>
        <v>1783.6719399999999</v>
      </c>
      <c r="F672" s="986">
        <f>SUM(F667:F671)</f>
        <v>1847.6819399999999</v>
      </c>
      <c r="G672" s="986">
        <f>SUM(G667:G671)</f>
        <v>1911.6919399999999</v>
      </c>
      <c r="H672" s="986">
        <f>SUM(H667:H671)</f>
        <v>1975.7119400000001</v>
      </c>
      <c r="I672" s="986"/>
    </row>
    <row r="673" spans="1:9" ht="12.75" customHeight="1">
      <c r="A673" s="1019"/>
      <c r="B673" s="1020"/>
      <c r="C673" s="1220" t="s">
        <v>1014</v>
      </c>
      <c r="D673" s="1026">
        <f>$D$3</f>
        <v>0</v>
      </c>
      <c r="E673" s="986">
        <f>ROUND(E672*$D$312,2)</f>
        <v>0</v>
      </c>
      <c r="F673" s="986">
        <f>ROUND(F672*$D$312,2)</f>
        <v>0</v>
      </c>
      <c r="G673" s="986">
        <f>ROUND(G672*$D$312,2)</f>
        <v>0</v>
      </c>
      <c r="H673" s="986">
        <f>ROUND(H672*$D$312,2)</f>
        <v>0</v>
      </c>
      <c r="I673" s="986"/>
    </row>
    <row r="674" spans="1:9" ht="12.75" customHeight="1">
      <c r="A674" s="1019"/>
      <c r="B674" s="1020"/>
      <c r="C674" s="980" t="s">
        <v>19</v>
      </c>
      <c r="D674" s="980" t="s">
        <v>466</v>
      </c>
      <c r="E674" s="1012">
        <f>CEILING(SUM(E672:E673),0.05)</f>
        <v>1783.7</v>
      </c>
      <c r="F674" s="1012">
        <f>CEILING(SUM(F672:F673),0.05)</f>
        <v>1847.7</v>
      </c>
      <c r="G674" s="1012">
        <f>CEILING(SUM(G672:G673),0.05)</f>
        <v>1911.7</v>
      </c>
      <c r="H674" s="1012">
        <f>CEILING(SUM(H672:H673),0.05)</f>
        <v>1975.75</v>
      </c>
    </row>
    <row r="675" spans="1:9" ht="12.75" customHeight="1">
      <c r="A675" s="1019"/>
      <c r="B675" s="1020"/>
      <c r="C675" s="1051"/>
      <c r="E675" s="1012"/>
      <c r="F675" s="1012"/>
      <c r="G675" s="1012"/>
      <c r="H675" s="1012"/>
    </row>
    <row r="676" spans="1:9" ht="114" customHeight="1">
      <c r="A676" s="1019">
        <f>A470+1</f>
        <v>14</v>
      </c>
      <c r="B676" s="1020"/>
      <c r="C676" s="1493" t="s">
        <v>1194</v>
      </c>
      <c r="D676" s="1493"/>
      <c r="E676" s="1493"/>
      <c r="F676" s="1493"/>
      <c r="G676" s="1493"/>
      <c r="H676" s="1493"/>
      <c r="I676" s="1493"/>
    </row>
    <row r="677" spans="1:9">
      <c r="A677" s="1019"/>
      <c r="B677" s="1020"/>
      <c r="C677" s="1214" t="s">
        <v>557</v>
      </c>
      <c r="D677" s="1021"/>
      <c r="E677" s="1008"/>
      <c r="F677" s="1003"/>
      <c r="G677" s="1023"/>
      <c r="H677" s="1213"/>
      <c r="I677" s="1003"/>
    </row>
    <row r="678" spans="1:9">
      <c r="A678" s="1019"/>
      <c r="B678" s="1020"/>
      <c r="C678" s="792" t="s">
        <v>284</v>
      </c>
      <c r="D678" s="1005">
        <v>0.8</v>
      </c>
      <c r="E678" s="1008" t="s">
        <v>529</v>
      </c>
      <c r="F678" s="986">
        <f>I205</f>
        <v>1601.6699999999998</v>
      </c>
      <c r="G678" s="1023">
        <v>1</v>
      </c>
      <c r="H678" s="991" t="str">
        <f>IF(E678="","",IF(E678="No.","Each",IF(E678="Nos.","Each",E678)))</f>
        <v>cu.m.</v>
      </c>
      <c r="I678" s="986">
        <f>IF(G678="",D678*F678,(D678*F678/G678))</f>
        <v>1281.336</v>
      </c>
    </row>
    <row r="679" spans="1:9">
      <c r="A679" s="1019"/>
      <c r="B679" s="1020"/>
      <c r="C679" s="792" t="s">
        <v>519</v>
      </c>
      <c r="D679" s="1005">
        <f>0.4</f>
        <v>0.4</v>
      </c>
      <c r="E679" s="1008" t="s">
        <v>529</v>
      </c>
      <c r="F679" s="986">
        <f>LEAD!P7</f>
        <v>437.11999999999983</v>
      </c>
      <c r="G679" s="1023">
        <v>1</v>
      </c>
      <c r="H679" s="991" t="str">
        <f>IF(E679="","",IF(E679="No.","Each",IF(E679="Nos.","Each",E679)))</f>
        <v>cu.m.</v>
      </c>
      <c r="I679" s="986">
        <f>IF(G679="",D679*F679,(D679*F679/G679))</f>
        <v>174.84799999999996</v>
      </c>
    </row>
    <row r="680" spans="1:9">
      <c r="A680" s="1019"/>
      <c r="B680" s="1020"/>
      <c r="C680" s="792" t="s">
        <v>235</v>
      </c>
      <c r="D680" s="1005">
        <v>350</v>
      </c>
      <c r="E680" s="1008" t="s">
        <v>462</v>
      </c>
      <c r="F680" s="986">
        <f>LEAD!P28</f>
        <v>7168</v>
      </c>
      <c r="G680" s="1023">
        <v>1000</v>
      </c>
      <c r="H680" s="991" t="str">
        <f>IF(E680="","",IF(E680="No.","Each",IF(E680="Nos.","Each",E680)))</f>
        <v>kgs</v>
      </c>
      <c r="I680" s="986">
        <f>IF(G680="",D680*F680,(D680*F680/G680))</f>
        <v>2508.8000000000002</v>
      </c>
    </row>
    <row r="681" spans="1:9">
      <c r="A681" s="1019"/>
      <c r="B681" s="1020"/>
      <c r="C681" s="792" t="s">
        <v>420</v>
      </c>
      <c r="D681" s="1005">
        <v>1.2</v>
      </c>
      <c r="E681" s="1008" t="s">
        <v>421</v>
      </c>
      <c r="F681" s="986">
        <f>LEAD!$P$27</f>
        <v>73</v>
      </c>
      <c r="G681" s="1023">
        <v>1</v>
      </c>
      <c r="H681" s="991" t="str">
        <f>IF(E681="","",IF(E681="No.","Each",IF(E681="Nos.","Each",E681)))</f>
        <v>KL</v>
      </c>
      <c r="I681" s="986">
        <f>IF(G681="",D681*F681,(D681*F681/G681))</f>
        <v>87.6</v>
      </c>
    </row>
    <row r="682" spans="1:9">
      <c r="A682" s="1019"/>
      <c r="B682" s="1020"/>
      <c r="C682" s="1214" t="s">
        <v>424</v>
      </c>
      <c r="D682" s="1005"/>
      <c r="E682" s="1008"/>
      <c r="F682" s="986"/>
      <c r="G682" s="1023"/>
      <c r="H682" s="991"/>
      <c r="I682" s="986"/>
    </row>
    <row r="683" spans="1:9">
      <c r="A683" s="1019"/>
      <c r="B683" s="1020"/>
      <c r="C683" s="792" t="s">
        <v>321</v>
      </c>
      <c r="D683" s="1005">
        <v>1.333</v>
      </c>
      <c r="E683" s="1008" t="s">
        <v>692</v>
      </c>
      <c r="F683" s="986">
        <f>H209</f>
        <v>649.6</v>
      </c>
      <c r="G683" s="1023">
        <v>1</v>
      </c>
      <c r="H683" s="991" t="str">
        <f>IF(E683="","",IF(E683="No.","Each",IF(E683="Nos.","Each",E683)))</f>
        <v>Hour</v>
      </c>
      <c r="I683" s="986">
        <f>IF(G683="",D683*F683,(D683*F683/G683))</f>
        <v>865.91679999999997</v>
      </c>
    </row>
    <row r="684" spans="1:9">
      <c r="A684" s="1019"/>
      <c r="B684" s="1020"/>
      <c r="C684" s="792" t="s">
        <v>239</v>
      </c>
      <c r="D684" s="1047">
        <f>$E$5</f>
        <v>0.2</v>
      </c>
      <c r="E684" s="1008"/>
      <c r="F684" s="986">
        <f>ROUND(D683*G209,2)</f>
        <v>541.33000000000004</v>
      </c>
      <c r="G684" s="1023">
        <v>1</v>
      </c>
      <c r="H684" s="991" t="str">
        <f>IF(E684="","",IF(E684="No.","Each",IF(E684="Nos.","Each",E684)))</f>
        <v/>
      </c>
      <c r="I684" s="986">
        <f>IF(G684="",D684*F684,(D684*F684/G684))</f>
        <v>108.26600000000002</v>
      </c>
    </row>
    <row r="685" spans="1:9">
      <c r="A685" s="1019"/>
      <c r="B685" s="1020"/>
      <c r="C685" s="1214" t="s">
        <v>132</v>
      </c>
      <c r="D685" s="1047"/>
      <c r="E685" s="1008"/>
      <c r="F685" s="986"/>
      <c r="G685" s="1023"/>
      <c r="H685" s="991"/>
      <c r="I685" s="986"/>
    </row>
    <row r="686" spans="1:9">
      <c r="A686" s="1019"/>
      <c r="B686" s="1020"/>
      <c r="C686" s="792" t="s">
        <v>377</v>
      </c>
      <c r="D686" s="1021">
        <v>0.16700000000000001</v>
      </c>
      <c r="E686" s="1008" t="s">
        <v>499</v>
      </c>
      <c r="F686" s="986">
        <f>$F$9</f>
        <v>624</v>
      </c>
      <c r="G686" s="1023">
        <v>1</v>
      </c>
      <c r="H686" s="991" t="str">
        <f>IF(E686="","",IF(E686="No.","Each",IF(E686="Nos.","Each",E686)))</f>
        <v>Each</v>
      </c>
      <c r="I686" s="986">
        <f>IF(G686="",D686*F686,(D686*F686/G686))</f>
        <v>104.20800000000001</v>
      </c>
    </row>
    <row r="687" spans="1:9">
      <c r="A687" s="1019"/>
      <c r="B687" s="1020"/>
      <c r="C687" s="792" t="s">
        <v>378</v>
      </c>
      <c r="D687" s="1021">
        <v>0.16700000000000001</v>
      </c>
      <c r="E687" s="1008" t="s">
        <v>499</v>
      </c>
      <c r="F687" s="986">
        <f>$F$10</f>
        <v>588</v>
      </c>
      <c r="G687" s="1023">
        <v>1</v>
      </c>
      <c r="H687" s="991" t="str">
        <f>IF(E687="","",IF(E687="No.","Each",IF(E687="Nos.","Each",E687)))</f>
        <v>Each</v>
      </c>
      <c r="I687" s="986">
        <f>IF(G687="",D687*F687,(D687*F687/G687))</f>
        <v>98.196000000000012</v>
      </c>
    </row>
    <row r="688" spans="1:9">
      <c r="A688" s="1019"/>
      <c r="B688" s="1020"/>
      <c r="C688" s="792" t="s">
        <v>396</v>
      </c>
      <c r="D688" s="1021">
        <v>5.6</v>
      </c>
      <c r="E688" s="1008" t="s">
        <v>499</v>
      </c>
      <c r="F688" s="986">
        <f>$F$22</f>
        <v>558</v>
      </c>
      <c r="G688" s="1023">
        <v>1</v>
      </c>
      <c r="H688" s="991" t="str">
        <f>IF(E688="","",IF(E688="No.","Each",IF(E688="Nos.","Each",E688)))</f>
        <v>Each</v>
      </c>
      <c r="I688" s="986">
        <f>IF(G688="",D688*F688,(D688*F688/G688))</f>
        <v>3124.7999999999997</v>
      </c>
    </row>
    <row r="689" spans="1:10">
      <c r="A689" s="1019"/>
      <c r="B689" s="1020"/>
      <c r="C689" s="980" t="s">
        <v>488</v>
      </c>
      <c r="D689" s="1021"/>
      <c r="E689" s="1022"/>
      <c r="F689" s="1003"/>
      <c r="G689" s="1023"/>
      <c r="H689" s="1213"/>
      <c r="I689" s="1012">
        <f>SUM(I678:I688)</f>
        <v>8353.9707999999991</v>
      </c>
    </row>
    <row r="690" spans="1:10">
      <c r="A690" s="1019"/>
      <c r="B690" s="1020" t="s">
        <v>469</v>
      </c>
      <c r="C690" s="1155" t="s">
        <v>504</v>
      </c>
      <c r="D690" s="1021"/>
      <c r="E690" s="1003"/>
      <c r="F690" s="986"/>
      <c r="G690" s="1023"/>
      <c r="H690" s="980"/>
    </row>
    <row r="691" spans="1:10">
      <c r="A691" s="1019"/>
      <c r="B691" s="1020"/>
      <c r="C691" s="1004" t="s">
        <v>428</v>
      </c>
      <c r="E691" s="1227" t="s">
        <v>501</v>
      </c>
      <c r="F691" s="1048" t="s">
        <v>502</v>
      </c>
      <c r="G691" s="1227" t="s">
        <v>503</v>
      </c>
      <c r="H691" s="1048" t="s">
        <v>709</v>
      </c>
      <c r="I691" s="1048" t="s">
        <v>502</v>
      </c>
      <c r="J691" s="1048" t="s">
        <v>502</v>
      </c>
    </row>
    <row r="692" spans="1:10">
      <c r="A692" s="1019"/>
      <c r="B692" s="1020"/>
      <c r="C692" s="792" t="s">
        <v>381</v>
      </c>
      <c r="E692" s="986">
        <f t="shared" ref="E692:J692" si="80">$I$689</f>
        <v>8353.9707999999991</v>
      </c>
      <c r="F692" s="986">
        <f t="shared" si="80"/>
        <v>8353.9707999999991</v>
      </c>
      <c r="G692" s="986">
        <f t="shared" si="80"/>
        <v>8353.9707999999991</v>
      </c>
      <c r="H692" s="986">
        <f t="shared" si="80"/>
        <v>8353.9707999999991</v>
      </c>
      <c r="I692" s="986">
        <f t="shared" si="80"/>
        <v>8353.9707999999991</v>
      </c>
      <c r="J692" s="986">
        <f t="shared" si="80"/>
        <v>8353.9707999999991</v>
      </c>
    </row>
    <row r="693" spans="1:10">
      <c r="A693" s="1019"/>
      <c r="B693" s="1020"/>
      <c r="C693" s="792" t="s">
        <v>580</v>
      </c>
      <c r="E693" s="986">
        <f>$F$34</f>
        <v>790</v>
      </c>
      <c r="F693" s="986">
        <f>$F$34</f>
        <v>790</v>
      </c>
      <c r="G693" s="986">
        <f>$F$34</f>
        <v>790</v>
      </c>
      <c r="H693" s="986">
        <f>$F$34</f>
        <v>790</v>
      </c>
      <c r="I693" s="986">
        <f>$F$34</f>
        <v>790</v>
      </c>
      <c r="J693" s="986">
        <f t="shared" ref="J693" si="81">$F$54</f>
        <v>1180</v>
      </c>
    </row>
    <row r="694" spans="1:10">
      <c r="A694" s="1019"/>
      <c r="B694" s="1020"/>
      <c r="C694" s="792" t="s">
        <v>581</v>
      </c>
      <c r="E694" s="986">
        <f>$H$34</f>
        <v>1373</v>
      </c>
      <c r="F694" s="986">
        <f>$K$34</f>
        <v>1510.3</v>
      </c>
      <c r="G694" s="986">
        <f>$M$34</f>
        <v>1647.6</v>
      </c>
      <c r="H694" s="986">
        <f>$O$34</f>
        <v>1784.9</v>
      </c>
      <c r="I694" s="986">
        <f>E694*1.4</f>
        <v>1922.1999999999998</v>
      </c>
      <c r="J694" s="986">
        <f>E694*1.5</f>
        <v>2059.5</v>
      </c>
    </row>
    <row r="695" spans="1:10">
      <c r="A695" s="1019"/>
      <c r="B695" s="1020"/>
      <c r="C695" s="792" t="s">
        <v>417</v>
      </c>
      <c r="D695" s="1049">
        <f>$E$5</f>
        <v>0.2</v>
      </c>
      <c r="E695" s="986">
        <f t="shared" ref="E695:J695" si="82">ROUND($D$695*E694,2)</f>
        <v>274.60000000000002</v>
      </c>
      <c r="F695" s="986">
        <f t="shared" si="82"/>
        <v>302.06</v>
      </c>
      <c r="G695" s="986">
        <f t="shared" si="82"/>
        <v>329.52</v>
      </c>
      <c r="H695" s="986">
        <f t="shared" si="82"/>
        <v>356.98</v>
      </c>
      <c r="I695" s="986">
        <f t="shared" si="82"/>
        <v>384.44</v>
      </c>
      <c r="J695" s="986">
        <f t="shared" si="82"/>
        <v>411.9</v>
      </c>
    </row>
    <row r="696" spans="1:10">
      <c r="A696" s="1019"/>
      <c r="B696" s="1020"/>
      <c r="C696" s="792" t="s">
        <v>418</v>
      </c>
      <c r="E696" s="986"/>
      <c r="F696" s="986">
        <f>ROUND(0.1*($I$688+$I$687+$I$686),2)</f>
        <v>332.72</v>
      </c>
      <c r="G696" s="986">
        <f>ROUND(0.2*($I$688+$I$687+$I$686),2)</f>
        <v>665.44</v>
      </c>
      <c r="H696" s="986">
        <f>ROUND(0.3*($I$688+$I$687+$I$686),2)</f>
        <v>998.16</v>
      </c>
      <c r="I696" s="986">
        <f>ROUND(0.4*($I$688+$I$687+$I$686),2)</f>
        <v>1330.88</v>
      </c>
      <c r="J696" s="986">
        <f>ROUND(0.5*($I$688+$I$687+$I$686),2)</f>
        <v>1663.6</v>
      </c>
    </row>
    <row r="697" spans="1:10">
      <c r="A697" s="1019"/>
      <c r="B697" s="1020"/>
      <c r="E697" s="986">
        <f t="shared" ref="E697:J697" si="83">SUM(E692:E696)</f>
        <v>10791.5708</v>
      </c>
      <c r="F697" s="986">
        <f t="shared" si="83"/>
        <v>11289.050799999997</v>
      </c>
      <c r="G697" s="986">
        <f t="shared" si="83"/>
        <v>11786.5308</v>
      </c>
      <c r="H697" s="986">
        <f t="shared" si="83"/>
        <v>12284.010799999998</v>
      </c>
      <c r="I697" s="986">
        <f t="shared" si="83"/>
        <v>12781.4908</v>
      </c>
      <c r="J697" s="986">
        <f t="shared" si="83"/>
        <v>13668.970799999999</v>
      </c>
    </row>
    <row r="698" spans="1:10">
      <c r="A698" s="1019"/>
      <c r="B698" s="1020"/>
      <c r="C698" s="1220" t="s">
        <v>1014</v>
      </c>
      <c r="D698" s="1026">
        <f>$D$3</f>
        <v>0</v>
      </c>
      <c r="E698" s="986">
        <f t="shared" ref="E698:J698" si="84">ROUND(E697*$D$312,2)</f>
        <v>0</v>
      </c>
      <c r="F698" s="986">
        <f t="shared" si="84"/>
        <v>0</v>
      </c>
      <c r="G698" s="986">
        <f t="shared" si="84"/>
        <v>0</v>
      </c>
      <c r="H698" s="986">
        <f t="shared" si="84"/>
        <v>0</v>
      </c>
      <c r="I698" s="986">
        <f t="shared" si="84"/>
        <v>0</v>
      </c>
      <c r="J698" s="986">
        <f t="shared" si="84"/>
        <v>0</v>
      </c>
    </row>
    <row r="699" spans="1:10">
      <c r="A699" s="1019"/>
      <c r="B699" s="1020"/>
      <c r="C699" s="980" t="s">
        <v>308</v>
      </c>
      <c r="D699" s="980" t="s">
        <v>466</v>
      </c>
      <c r="E699" s="1012">
        <f t="shared" ref="E699:J699" si="85">CEILING(SUM(E697:E698),0.05)</f>
        <v>10791.6</v>
      </c>
      <c r="F699" s="1012">
        <f t="shared" si="85"/>
        <v>11289.1</v>
      </c>
      <c r="G699" s="1012">
        <f t="shared" si="85"/>
        <v>11786.550000000001</v>
      </c>
      <c r="H699" s="1012">
        <f t="shared" si="85"/>
        <v>12284.050000000001</v>
      </c>
      <c r="I699" s="1012">
        <f t="shared" si="85"/>
        <v>12781.5</v>
      </c>
      <c r="J699" s="1012">
        <f t="shared" si="85"/>
        <v>13669</v>
      </c>
    </row>
    <row r="700" spans="1:10">
      <c r="A700" s="1019"/>
      <c r="B700" s="1020"/>
      <c r="C700" s="980"/>
      <c r="D700" s="980"/>
      <c r="E700" s="1012"/>
      <c r="F700" s="1012"/>
      <c r="G700" s="1012"/>
      <c r="H700" s="1012"/>
      <c r="I700" s="1012"/>
      <c r="J700" s="1012"/>
    </row>
    <row r="701" spans="1:10" ht="124.5" customHeight="1">
      <c r="A701" s="1019">
        <f>A676+1</f>
        <v>15</v>
      </c>
      <c r="B701" s="1020"/>
      <c r="C701" s="1493" t="s">
        <v>1195</v>
      </c>
      <c r="D701" s="1493"/>
      <c r="E701" s="1493"/>
      <c r="F701" s="1493"/>
      <c r="G701" s="1493"/>
      <c r="H701" s="1493"/>
      <c r="I701" s="1493"/>
    </row>
    <row r="702" spans="1:10" ht="33.75" customHeight="1">
      <c r="A702" s="1019"/>
      <c r="B702" s="1020"/>
      <c r="C702" s="1502" t="s">
        <v>183</v>
      </c>
      <c r="D702" s="1502"/>
      <c r="E702" s="1502"/>
      <c r="F702" s="1502"/>
      <c r="G702" s="1502"/>
      <c r="H702" s="1502"/>
      <c r="I702" s="1502"/>
    </row>
    <row r="703" spans="1:10" ht="15.75" customHeight="1">
      <c r="A703" s="1019"/>
      <c r="B703" s="1020"/>
      <c r="C703" s="1214" t="s">
        <v>423</v>
      </c>
      <c r="D703" s="1021"/>
      <c r="E703" s="1003"/>
      <c r="F703" s="986"/>
      <c r="G703" s="1023"/>
      <c r="H703" s="1215"/>
      <c r="I703" s="1012"/>
    </row>
    <row r="704" spans="1:10" ht="15.75" customHeight="1">
      <c r="A704" s="1019"/>
      <c r="B704" s="1020"/>
      <c r="C704" s="792" t="s">
        <v>284</v>
      </c>
      <c r="D704" s="1005">
        <v>0.8</v>
      </c>
      <c r="E704" s="1008" t="s">
        <v>529</v>
      </c>
      <c r="F704" s="986">
        <f>I205</f>
        <v>1601.6699999999998</v>
      </c>
      <c r="G704" s="1023">
        <v>1</v>
      </c>
      <c r="H704" s="991" t="str">
        <f t="shared" ref="H704:H714" si="86">IF(E704="","",IF(E704="No.","Each",IF(E704="Nos.","Each",E704)))</f>
        <v>cu.m.</v>
      </c>
      <c r="I704" s="986">
        <f t="shared" ref="I704:I714" si="87">IF(G704="",D704*F704,(D704*F704/G704))</f>
        <v>1281.336</v>
      </c>
    </row>
    <row r="705" spans="1:10" ht="15.75" customHeight="1">
      <c r="A705" s="1019"/>
      <c r="B705" s="1020"/>
      <c r="C705" s="792" t="s">
        <v>519</v>
      </c>
      <c r="D705" s="1005">
        <f>0.4</f>
        <v>0.4</v>
      </c>
      <c r="E705" s="1008" t="s">
        <v>529</v>
      </c>
      <c r="F705" s="986">
        <f>LEAD!$P$7</f>
        <v>437.11999999999983</v>
      </c>
      <c r="G705" s="1023">
        <v>1</v>
      </c>
      <c r="H705" s="991" t="str">
        <f t="shared" si="86"/>
        <v>cu.m.</v>
      </c>
      <c r="I705" s="986">
        <f t="shared" si="87"/>
        <v>174.84799999999996</v>
      </c>
    </row>
    <row r="706" spans="1:10" ht="15.75" customHeight="1">
      <c r="A706" s="1019"/>
      <c r="B706" s="1020"/>
      <c r="C706" s="792" t="s">
        <v>235</v>
      </c>
      <c r="D706" s="1005">
        <v>350</v>
      </c>
      <c r="E706" s="1008" t="s">
        <v>462</v>
      </c>
      <c r="F706" s="986">
        <f>LEAD!$P$28</f>
        <v>7168</v>
      </c>
      <c r="G706" s="1023">
        <v>1000</v>
      </c>
      <c r="H706" s="991" t="str">
        <f t="shared" si="86"/>
        <v>kgs</v>
      </c>
      <c r="I706" s="986">
        <f t="shared" si="87"/>
        <v>2508.8000000000002</v>
      </c>
    </row>
    <row r="707" spans="1:10" ht="15.75" customHeight="1">
      <c r="A707" s="1019"/>
      <c r="B707" s="1020"/>
      <c r="C707" s="792" t="s">
        <v>420</v>
      </c>
      <c r="D707" s="1005">
        <v>1.2</v>
      </c>
      <c r="E707" s="1008" t="s">
        <v>421</v>
      </c>
      <c r="F707" s="986">
        <f>LEAD!$P$27</f>
        <v>73</v>
      </c>
      <c r="G707" s="1023">
        <v>1</v>
      </c>
      <c r="H707" s="991" t="str">
        <f>IF(E707="","",IF(E707="No.","Each",IF(E707="Nos.","Each",E707)))</f>
        <v>KL</v>
      </c>
      <c r="I707" s="986">
        <f>IF(G707="",D707*F707,(D707*F707/G707))</f>
        <v>87.6</v>
      </c>
    </row>
    <row r="708" spans="1:10" ht="15.75" customHeight="1">
      <c r="A708" s="1019"/>
      <c r="B708" s="1020"/>
      <c r="C708" s="1214" t="s">
        <v>424</v>
      </c>
      <c r="D708" s="1005"/>
      <c r="E708" s="1008"/>
      <c r="F708" s="986"/>
      <c r="G708" s="1023"/>
      <c r="H708" s="991"/>
      <c r="I708" s="986"/>
    </row>
    <row r="709" spans="1:10" ht="15.75" customHeight="1">
      <c r="A709" s="1019"/>
      <c r="B709" s="1020"/>
      <c r="C709" s="792" t="s">
        <v>321</v>
      </c>
      <c r="D709" s="1005">
        <v>0.308</v>
      </c>
      <c r="E709" s="1008" t="s">
        <v>692</v>
      </c>
      <c r="F709" s="986">
        <f>H209</f>
        <v>649.6</v>
      </c>
      <c r="G709" s="1023">
        <v>1</v>
      </c>
      <c r="H709" s="991" t="str">
        <f>IF(E709="","",IF(E709="No.","Each",IF(E709="Nos.","Each",E709)))</f>
        <v>Hour</v>
      </c>
      <c r="I709" s="986">
        <f>IF(G709="",D709*F709,(D709*F709/G709))</f>
        <v>200.07679999999999</v>
      </c>
    </row>
    <row r="710" spans="1:10" ht="15.75" customHeight="1">
      <c r="A710" s="1019"/>
      <c r="B710" s="1020"/>
      <c r="C710" s="792" t="s">
        <v>239</v>
      </c>
      <c r="D710" s="1047">
        <f>$E$5</f>
        <v>0.2</v>
      </c>
      <c r="E710" s="1008"/>
      <c r="F710" s="986">
        <f>ROUND(D709*G209,2)</f>
        <v>125.08</v>
      </c>
      <c r="G710" s="1023">
        <v>1</v>
      </c>
      <c r="H710" s="991" t="str">
        <f>IF(E710="","",IF(E710="No.","Each",IF(E710="Nos.","Each",E710)))</f>
        <v/>
      </c>
      <c r="I710" s="986">
        <f>IF(G710="",D710*F710,(D710*F710/G710))</f>
        <v>25.016000000000002</v>
      </c>
    </row>
    <row r="711" spans="1:10" ht="15.75" customHeight="1">
      <c r="A711" s="1019"/>
      <c r="B711" s="1020"/>
      <c r="C711" s="1214" t="s">
        <v>132</v>
      </c>
      <c r="D711" s="1047"/>
      <c r="E711" s="1008"/>
      <c r="F711" s="986"/>
      <c r="G711" s="1023"/>
      <c r="H711" s="991"/>
      <c r="I711" s="986"/>
    </row>
    <row r="712" spans="1:10" ht="15.75" customHeight="1">
      <c r="A712" s="1019"/>
      <c r="B712" s="1020"/>
      <c r="C712" s="792" t="s">
        <v>377</v>
      </c>
      <c r="D712" s="1021">
        <v>6.7000000000000004E-2</v>
      </c>
      <c r="E712" s="1008" t="s">
        <v>499</v>
      </c>
      <c r="F712" s="986">
        <f>$F$9</f>
        <v>624</v>
      </c>
      <c r="G712" s="1023">
        <v>1</v>
      </c>
      <c r="H712" s="991" t="str">
        <f t="shared" si="86"/>
        <v>Each</v>
      </c>
      <c r="I712" s="986">
        <f t="shared" si="87"/>
        <v>41.808</v>
      </c>
    </row>
    <row r="713" spans="1:10" ht="15.75" customHeight="1">
      <c r="A713" s="1019"/>
      <c r="B713" s="1020"/>
      <c r="C713" s="792" t="s">
        <v>378</v>
      </c>
      <c r="D713" s="1021">
        <v>0.13300000000000001</v>
      </c>
      <c r="E713" s="1008" t="s">
        <v>499</v>
      </c>
      <c r="F713" s="986">
        <f>$F$10</f>
        <v>588</v>
      </c>
      <c r="G713" s="1023">
        <v>1</v>
      </c>
      <c r="H713" s="991" t="str">
        <f t="shared" si="86"/>
        <v>Each</v>
      </c>
      <c r="I713" s="986">
        <f t="shared" si="87"/>
        <v>78.204000000000008</v>
      </c>
    </row>
    <row r="714" spans="1:10" ht="15.75" customHeight="1">
      <c r="A714" s="1019"/>
      <c r="B714" s="1020"/>
      <c r="C714" s="792" t="s">
        <v>396</v>
      </c>
      <c r="D714" s="1021">
        <v>3.077</v>
      </c>
      <c r="E714" s="1008" t="s">
        <v>499</v>
      </c>
      <c r="F714" s="986">
        <f>$F$22</f>
        <v>558</v>
      </c>
      <c r="G714" s="1023">
        <v>1</v>
      </c>
      <c r="H714" s="991" t="str">
        <f t="shared" si="86"/>
        <v>Each</v>
      </c>
      <c r="I714" s="986">
        <f t="shared" si="87"/>
        <v>1716.9659999999999</v>
      </c>
    </row>
    <row r="715" spans="1:10" ht="15.75" customHeight="1">
      <c r="A715" s="1019"/>
      <c r="B715" s="1020"/>
      <c r="C715" s="980" t="s">
        <v>184</v>
      </c>
      <c r="D715" s="1021"/>
      <c r="E715" s="1003"/>
      <c r="F715" s="1003"/>
      <c r="G715" s="1023"/>
      <c r="H715" s="1215" t="s">
        <v>466</v>
      </c>
      <c r="I715" s="1012">
        <f>SUM(I704:I714)</f>
        <v>6114.6548000000003</v>
      </c>
    </row>
    <row r="716" spans="1:10" ht="15.75" customHeight="1">
      <c r="A716" s="1019"/>
      <c r="B716" s="1020" t="s">
        <v>469</v>
      </c>
      <c r="C716" s="1214" t="s">
        <v>185</v>
      </c>
      <c r="D716" s="1021"/>
      <c r="E716" s="1003"/>
      <c r="F716" s="986"/>
      <c r="G716" s="1023"/>
      <c r="H716" s="1215"/>
      <c r="I716" s="1012"/>
    </row>
    <row r="717" spans="1:10" ht="15.75" customHeight="1">
      <c r="A717" s="1019"/>
      <c r="B717" s="1020"/>
      <c r="C717" s="792" t="s">
        <v>651</v>
      </c>
      <c r="D717" s="1021">
        <v>6.25E-2</v>
      </c>
      <c r="E717" s="1003" t="s">
        <v>529</v>
      </c>
      <c r="F717" s="986">
        <f>$I$715</f>
        <v>6114.6548000000003</v>
      </c>
      <c r="G717" s="1023">
        <v>1</v>
      </c>
      <c r="H717" s="991" t="str">
        <f>IF(E717="","",IF(E717="No.","Each",IF(E717="Nos.","Each",E717)))</f>
        <v>cu.m.</v>
      </c>
      <c r="I717" s="986">
        <f>IF(G717="",D717*F717,(D717*F717/G717))</f>
        <v>382.16592500000002</v>
      </c>
    </row>
    <row r="718" spans="1:10" ht="15.75" customHeight="1">
      <c r="A718" s="1019"/>
      <c r="B718" s="1020"/>
      <c r="D718" s="1021"/>
      <c r="E718" s="1003"/>
      <c r="F718" s="986"/>
      <c r="G718" s="1023"/>
      <c r="H718" s="991"/>
      <c r="I718" s="986"/>
    </row>
    <row r="719" spans="1:10" ht="15.75" customHeight="1">
      <c r="A719" s="1019"/>
      <c r="B719" s="1020"/>
      <c r="C719" s="1004" t="s">
        <v>428</v>
      </c>
      <c r="E719" s="1227" t="s">
        <v>501</v>
      </c>
      <c r="F719" s="1048" t="s">
        <v>502</v>
      </c>
      <c r="G719" s="1227" t="s">
        <v>503</v>
      </c>
      <c r="H719" s="1048" t="s">
        <v>709</v>
      </c>
      <c r="I719" s="1048" t="s">
        <v>502</v>
      </c>
      <c r="J719" s="1048" t="s">
        <v>502</v>
      </c>
    </row>
    <row r="720" spans="1:10" ht="15.75" customHeight="1">
      <c r="A720" s="1019"/>
      <c r="B720" s="1020"/>
      <c r="C720" s="792" t="s">
        <v>381</v>
      </c>
      <c r="E720" s="986">
        <f>I717</f>
        <v>382.16592500000002</v>
      </c>
      <c r="F720" s="986">
        <f>I717</f>
        <v>382.16592500000002</v>
      </c>
      <c r="G720" s="986">
        <f>I717</f>
        <v>382.16592500000002</v>
      </c>
      <c r="H720" s="986">
        <f>I717</f>
        <v>382.16592500000002</v>
      </c>
      <c r="I720" s="986">
        <f>H720</f>
        <v>382.16592500000002</v>
      </c>
      <c r="J720" s="986">
        <f>I720</f>
        <v>382.16592500000002</v>
      </c>
    </row>
    <row r="721" spans="1:10" ht="15.75" customHeight="1">
      <c r="A721" s="1019"/>
      <c r="B721" s="1020"/>
      <c r="C721" s="792" t="s">
        <v>580</v>
      </c>
      <c r="E721" s="986">
        <f>$F$35</f>
        <v>156</v>
      </c>
      <c r="F721" s="986">
        <f>$F$35</f>
        <v>156</v>
      </c>
      <c r="G721" s="986">
        <f>$F$35</f>
        <v>156</v>
      </c>
      <c r="H721" s="986">
        <f>$F$35</f>
        <v>156</v>
      </c>
      <c r="I721" s="986">
        <f>$F$35</f>
        <v>156</v>
      </c>
      <c r="J721" s="986">
        <f t="shared" ref="J721" si="88">$F$55</f>
        <v>233</v>
      </c>
    </row>
    <row r="722" spans="1:10" ht="15.75" customHeight="1">
      <c r="A722" s="1019"/>
      <c r="B722" s="1020"/>
      <c r="C722" s="792" t="s">
        <v>581</v>
      </c>
      <c r="E722" s="986">
        <f>$H$35</f>
        <v>211</v>
      </c>
      <c r="F722" s="986">
        <f>$K$35</f>
        <v>232.1</v>
      </c>
      <c r="G722" s="986">
        <f>$M$35</f>
        <v>253.2</v>
      </c>
      <c r="H722" s="986">
        <f>$O$35</f>
        <v>274.3</v>
      </c>
      <c r="I722" s="986">
        <f>$Q$35</f>
        <v>295.39999999999998</v>
      </c>
      <c r="J722" s="986">
        <f>$S$55</f>
        <v>408</v>
      </c>
    </row>
    <row r="723" spans="1:10" ht="15.75" customHeight="1">
      <c r="A723" s="1019"/>
      <c r="B723" s="1020"/>
      <c r="C723" s="792" t="s">
        <v>417</v>
      </c>
      <c r="D723" s="1049">
        <f>$E$5</f>
        <v>0.2</v>
      </c>
      <c r="E723" s="986">
        <f t="shared" ref="E723:J723" si="89">ROUND($D$723*E722,2)</f>
        <v>42.2</v>
      </c>
      <c r="F723" s="986">
        <f t="shared" si="89"/>
        <v>46.42</v>
      </c>
      <c r="G723" s="986">
        <f t="shared" si="89"/>
        <v>50.64</v>
      </c>
      <c r="H723" s="986">
        <f t="shared" si="89"/>
        <v>54.86</v>
      </c>
      <c r="I723" s="986">
        <f t="shared" si="89"/>
        <v>59.08</v>
      </c>
      <c r="J723" s="986">
        <f t="shared" si="89"/>
        <v>81.599999999999994</v>
      </c>
    </row>
    <row r="724" spans="1:10" ht="15.75" customHeight="1">
      <c r="A724" s="1019"/>
      <c r="B724" s="1020"/>
      <c r="C724" s="792" t="s">
        <v>418</v>
      </c>
      <c r="E724" s="986"/>
      <c r="F724" s="986">
        <f>ROUND(0.1*D717*($I$714+$I$713+$I$712),2)</f>
        <v>11.48</v>
      </c>
      <c r="G724" s="986">
        <f>ROUND(0.2*D717*($I$714+$I$713+$I$712),2)</f>
        <v>22.96</v>
      </c>
      <c r="H724" s="986">
        <f>ROUND(0.3*D717*($I$714+$I$713+$I$712),2)</f>
        <v>34.44</v>
      </c>
      <c r="I724" s="986">
        <f>ROUND(0.4*D717*($I$714+$I$713+$I$712),2)</f>
        <v>45.92</v>
      </c>
      <c r="J724" s="986">
        <f>ROUND(0.5*D717*($I$714+$I$713+$I$712),2)</f>
        <v>57.41</v>
      </c>
    </row>
    <row r="725" spans="1:10" ht="15.75" customHeight="1">
      <c r="A725" s="1019"/>
      <c r="B725" s="1020"/>
      <c r="E725" s="986">
        <f t="shared" ref="E725:J725" si="90">SUM(E720:E724)</f>
        <v>791.36592500000006</v>
      </c>
      <c r="F725" s="986">
        <f t="shared" si="90"/>
        <v>828.16592500000002</v>
      </c>
      <c r="G725" s="986">
        <f t="shared" si="90"/>
        <v>864.96592500000008</v>
      </c>
      <c r="H725" s="986">
        <f t="shared" si="90"/>
        <v>901.76592499999992</v>
      </c>
      <c r="I725" s="986">
        <f t="shared" si="90"/>
        <v>938.56592499999999</v>
      </c>
      <c r="J725" s="986">
        <f t="shared" si="90"/>
        <v>1162.175925</v>
      </c>
    </row>
    <row r="726" spans="1:10" ht="15.75" customHeight="1">
      <c r="A726" s="1019"/>
      <c r="B726" s="1020"/>
      <c r="C726" s="1220" t="s">
        <v>1014</v>
      </c>
      <c r="D726" s="1026">
        <f>$D$3</f>
        <v>0</v>
      </c>
      <c r="E726" s="986">
        <f t="shared" ref="E726:J726" si="91">ROUND(E725*$D$312,2)</f>
        <v>0</v>
      </c>
      <c r="F726" s="986">
        <f t="shared" si="91"/>
        <v>0</v>
      </c>
      <c r="G726" s="986">
        <f t="shared" si="91"/>
        <v>0</v>
      </c>
      <c r="H726" s="986">
        <f t="shared" si="91"/>
        <v>0</v>
      </c>
      <c r="I726" s="986">
        <f t="shared" si="91"/>
        <v>0</v>
      </c>
      <c r="J726" s="986">
        <f t="shared" si="91"/>
        <v>0</v>
      </c>
    </row>
    <row r="727" spans="1:10" ht="15.75" customHeight="1">
      <c r="A727" s="1019"/>
      <c r="B727" s="1020"/>
      <c r="C727" s="980" t="s">
        <v>187</v>
      </c>
      <c r="D727" s="980" t="s">
        <v>466</v>
      </c>
      <c r="E727" s="1012">
        <f t="shared" ref="E727:J727" si="92">CEILING(SUM(E725:E726),0.05)</f>
        <v>791.40000000000009</v>
      </c>
      <c r="F727" s="1012">
        <f t="shared" si="92"/>
        <v>828.2</v>
      </c>
      <c r="G727" s="1012">
        <f t="shared" si="92"/>
        <v>865</v>
      </c>
      <c r="H727" s="1012">
        <f t="shared" si="92"/>
        <v>901.80000000000007</v>
      </c>
      <c r="I727" s="1012">
        <f t="shared" si="92"/>
        <v>938.6</v>
      </c>
      <c r="J727" s="1012">
        <f t="shared" si="92"/>
        <v>1162.2</v>
      </c>
    </row>
    <row r="728" spans="1:10" ht="15.75" customHeight="1">
      <c r="A728" s="1019"/>
      <c r="B728" s="1020"/>
      <c r="C728" s="980"/>
      <c r="D728" s="980"/>
      <c r="E728" s="1012"/>
      <c r="F728" s="1012"/>
      <c r="G728" s="1012"/>
      <c r="H728" s="1012"/>
    </row>
    <row r="729" spans="1:10" ht="15.75" customHeight="1">
      <c r="A729" s="1019"/>
      <c r="B729" s="1020" t="s">
        <v>1</v>
      </c>
      <c r="C729" s="1214" t="s">
        <v>742</v>
      </c>
      <c r="D729" s="1021"/>
      <c r="E729" s="1003"/>
      <c r="F729" s="986"/>
      <c r="G729" s="1023"/>
      <c r="H729" s="1215"/>
      <c r="I729" s="1012"/>
    </row>
    <row r="730" spans="1:10">
      <c r="A730" s="1019"/>
      <c r="B730" s="1020"/>
      <c r="C730" s="792" t="s">
        <v>743</v>
      </c>
      <c r="D730" s="1021">
        <v>7.4999999999999997E-2</v>
      </c>
      <c r="E730" s="1003" t="s">
        <v>529</v>
      </c>
      <c r="F730" s="986">
        <f>$I$715</f>
        <v>6114.6548000000003</v>
      </c>
      <c r="G730" s="1023">
        <v>1</v>
      </c>
      <c r="H730" s="991" t="str">
        <f>IF(E730="","",IF(E730="No.","Each",IF(E730="Nos.","Each",E730)))</f>
        <v>cu.m.</v>
      </c>
      <c r="I730" s="986">
        <f>IF(G730="",D730*F730,(D730*F730/G730))</f>
        <v>458.59911</v>
      </c>
    </row>
    <row r="731" spans="1:10" ht="15.75" customHeight="1">
      <c r="A731" s="1019"/>
      <c r="B731" s="1020"/>
      <c r="D731" s="1021"/>
      <c r="E731" s="1003"/>
      <c r="F731" s="986"/>
      <c r="G731" s="1023"/>
      <c r="H731" s="991"/>
      <c r="I731" s="986"/>
    </row>
    <row r="732" spans="1:10" ht="15.75" customHeight="1">
      <c r="A732" s="1019"/>
      <c r="B732" s="1020"/>
      <c r="C732" s="1004" t="s">
        <v>428</v>
      </c>
      <c r="E732" s="1227" t="s">
        <v>501</v>
      </c>
      <c r="F732" s="1048" t="s">
        <v>502</v>
      </c>
      <c r="G732" s="1227" t="s">
        <v>503</v>
      </c>
      <c r="H732" s="1048" t="s">
        <v>709</v>
      </c>
      <c r="I732" s="1048"/>
    </row>
    <row r="733" spans="1:10" ht="15.75" customHeight="1">
      <c r="A733" s="1019"/>
      <c r="B733" s="1020"/>
      <c r="C733" s="792" t="s">
        <v>381</v>
      </c>
      <c r="E733" s="986">
        <f>I730</f>
        <v>458.59911</v>
      </c>
      <c r="F733" s="986">
        <f>I730</f>
        <v>458.59911</v>
      </c>
      <c r="G733" s="986">
        <f>I730</f>
        <v>458.59911</v>
      </c>
      <c r="H733" s="986">
        <f>I730</f>
        <v>458.59911</v>
      </c>
      <c r="I733" s="986"/>
    </row>
    <row r="734" spans="1:10" ht="15.75" customHeight="1">
      <c r="A734" s="1019"/>
      <c r="B734" s="1020"/>
      <c r="C734" s="792" t="s">
        <v>580</v>
      </c>
      <c r="E734" s="986">
        <f>$F$38</f>
        <v>158</v>
      </c>
      <c r="F734" s="986">
        <f>$F$38</f>
        <v>158</v>
      </c>
      <c r="G734" s="986">
        <f>$F$38</f>
        <v>158</v>
      </c>
      <c r="H734" s="986">
        <f>$F$38</f>
        <v>158</v>
      </c>
      <c r="I734" s="986"/>
    </row>
    <row r="735" spans="1:10" ht="15.75" customHeight="1">
      <c r="A735" s="1019"/>
      <c r="B735" s="1020"/>
      <c r="C735" s="792" t="s">
        <v>581</v>
      </c>
      <c r="E735" s="986">
        <f>$H$38</f>
        <v>183</v>
      </c>
      <c r="F735" s="986">
        <f>$K$38</f>
        <v>201.3</v>
      </c>
      <c r="G735" s="986">
        <f>$M$38</f>
        <v>219.6</v>
      </c>
      <c r="H735" s="986">
        <f>$O$38</f>
        <v>237.9</v>
      </c>
      <c r="I735" s="986"/>
    </row>
    <row r="736" spans="1:10" ht="15.75" customHeight="1">
      <c r="A736" s="1019"/>
      <c r="B736" s="1020"/>
      <c r="C736" s="792" t="s">
        <v>417</v>
      </c>
      <c r="D736" s="1049">
        <f>$E$5</f>
        <v>0.2</v>
      </c>
      <c r="E736" s="986">
        <f>ROUND($D$736*E735,2)</f>
        <v>36.6</v>
      </c>
      <c r="F736" s="986">
        <f>ROUND($D$736*F735,2)</f>
        <v>40.26</v>
      </c>
      <c r="G736" s="986">
        <f>ROUND($D$736*G735,2)</f>
        <v>43.92</v>
      </c>
      <c r="H736" s="986">
        <f>ROUND($D$736*H735,2)</f>
        <v>47.58</v>
      </c>
      <c r="I736" s="986"/>
    </row>
    <row r="737" spans="1:9" ht="30" customHeight="1">
      <c r="A737" s="1019"/>
      <c r="B737" s="1020"/>
      <c r="C737" s="792" t="s">
        <v>418</v>
      </c>
      <c r="E737" s="986"/>
      <c r="F737" s="986">
        <f>ROUND(0.1*D730*($I$714+$I$713+$I$712),2)</f>
        <v>13.78</v>
      </c>
      <c r="G737" s="986">
        <f>ROUND(0.2*D730*($I$714+$I$713+$I$712),2)</f>
        <v>27.55</v>
      </c>
      <c r="H737" s="986">
        <f>ROUND(0.3*D730*($I$714+$I$713+$I$712),2)</f>
        <v>41.33</v>
      </c>
      <c r="I737" s="986"/>
    </row>
    <row r="738" spans="1:9" ht="15.75" customHeight="1">
      <c r="A738" s="1019"/>
      <c r="B738" s="1020"/>
      <c r="E738" s="986">
        <f>SUM(E733:E737)</f>
        <v>836.19911000000002</v>
      </c>
      <c r="F738" s="986">
        <f>SUM(F733:F737)</f>
        <v>871.93911000000003</v>
      </c>
      <c r="G738" s="986">
        <f>SUM(G733:G737)</f>
        <v>907.66910999999993</v>
      </c>
      <c r="H738" s="986">
        <f>SUM(H733:H737)</f>
        <v>943.40911000000006</v>
      </c>
      <c r="I738" s="986"/>
    </row>
    <row r="739" spans="1:9" ht="15.75" customHeight="1">
      <c r="A739" s="1019"/>
      <c r="B739" s="1020"/>
      <c r="C739" s="1220" t="s">
        <v>1014</v>
      </c>
      <c r="D739" s="1026">
        <f>$D$3</f>
        <v>0</v>
      </c>
      <c r="E739" s="986">
        <f>ROUND(E738*$D$312,2)</f>
        <v>0</v>
      </c>
      <c r="F739" s="986">
        <f>ROUND(F738*$D$312,2)</f>
        <v>0</v>
      </c>
      <c r="G739" s="986">
        <f>ROUND(G738*$D$312,2)</f>
        <v>0</v>
      </c>
      <c r="H739" s="986">
        <f>ROUND(H738*$D$312,2)</f>
        <v>0</v>
      </c>
      <c r="I739" s="986"/>
    </row>
    <row r="740" spans="1:9" ht="15.75" customHeight="1">
      <c r="A740" s="1019"/>
      <c r="B740" s="1020"/>
      <c r="C740" s="980" t="s">
        <v>187</v>
      </c>
      <c r="D740" s="980" t="s">
        <v>466</v>
      </c>
      <c r="E740" s="1012">
        <f>CEILING(SUM(E738:E739),0.05)</f>
        <v>836.2</v>
      </c>
      <c r="F740" s="1012">
        <f>CEILING(SUM(F738:F739),0.05)</f>
        <v>871.95</v>
      </c>
      <c r="G740" s="1012">
        <f>CEILING(SUM(G738:G739),0.05)</f>
        <v>907.7</v>
      </c>
      <c r="H740" s="1012">
        <f>CEILING(SUM(H738:H739),0.05)</f>
        <v>943.45</v>
      </c>
    </row>
    <row r="741" spans="1:9" ht="15.75" customHeight="1">
      <c r="A741" s="1019"/>
      <c r="B741" s="1020"/>
      <c r="C741" s="980"/>
      <c r="D741" s="980"/>
      <c r="E741" s="1012"/>
      <c r="F741" s="1012"/>
      <c r="G741" s="1012"/>
      <c r="H741" s="1012"/>
    </row>
    <row r="742" spans="1:9" ht="12.75" customHeight="1">
      <c r="A742" s="1019"/>
      <c r="B742" s="1020" t="s">
        <v>363</v>
      </c>
      <c r="C742" s="1214" t="s">
        <v>106</v>
      </c>
      <c r="D742" s="1021"/>
      <c r="E742" s="1003"/>
      <c r="F742" s="986"/>
      <c r="G742" s="1023"/>
      <c r="H742" s="1215"/>
      <c r="I742" s="1012"/>
    </row>
    <row r="743" spans="1:9" ht="12.75" customHeight="1">
      <c r="A743" s="1019"/>
      <c r="B743" s="1020"/>
      <c r="C743" s="792" t="s">
        <v>980</v>
      </c>
      <c r="D743" s="1021">
        <v>0.05</v>
      </c>
      <c r="E743" s="1003" t="s">
        <v>529</v>
      </c>
      <c r="F743" s="986">
        <f>$I$715</f>
        <v>6114.6548000000003</v>
      </c>
      <c r="G743" s="1023">
        <v>1</v>
      </c>
      <c r="H743" s="991" t="str">
        <f>IF(E743="","",IF(E743="No.","Each",IF(E743="Nos.","Each",E743)))</f>
        <v>cu.m.</v>
      </c>
      <c r="I743" s="986">
        <f>IF(G743="",D743*F743,(D743*F743/G743))</f>
        <v>305.73274000000004</v>
      </c>
    </row>
    <row r="744" spans="1:9" ht="12.75" customHeight="1">
      <c r="A744" s="1019"/>
      <c r="B744" s="1020"/>
      <c r="D744" s="1021"/>
      <c r="E744" s="1003"/>
      <c r="F744" s="986"/>
      <c r="G744" s="1023"/>
      <c r="H744" s="991"/>
      <c r="I744" s="986"/>
    </row>
    <row r="745" spans="1:9" ht="12.75" customHeight="1">
      <c r="A745" s="1019"/>
      <c r="B745" s="1020"/>
      <c r="C745" s="1004" t="s">
        <v>428</v>
      </c>
      <c r="E745" s="1227" t="s">
        <v>501</v>
      </c>
      <c r="F745" s="1048" t="s">
        <v>502</v>
      </c>
      <c r="G745" s="1227" t="s">
        <v>503</v>
      </c>
      <c r="H745" s="1048" t="s">
        <v>709</v>
      </c>
      <c r="I745" s="1048" t="s">
        <v>502</v>
      </c>
    </row>
    <row r="746" spans="1:9" ht="12.75" customHeight="1">
      <c r="A746" s="1019"/>
      <c r="B746" s="1020"/>
      <c r="C746" s="792" t="s">
        <v>381</v>
      </c>
      <c r="E746" s="986">
        <f>I743</f>
        <v>305.73274000000004</v>
      </c>
      <c r="F746" s="986">
        <f>I743</f>
        <v>305.73274000000004</v>
      </c>
      <c r="G746" s="986">
        <f>I743</f>
        <v>305.73274000000004</v>
      </c>
      <c r="H746" s="986">
        <f>I743</f>
        <v>305.73274000000004</v>
      </c>
      <c r="I746" s="986">
        <f>J743</f>
        <v>0</v>
      </c>
    </row>
    <row r="747" spans="1:9" ht="12.75" customHeight="1">
      <c r="A747" s="1019"/>
      <c r="B747" s="1020"/>
      <c r="C747" s="792" t="s">
        <v>580</v>
      </c>
      <c r="E747" s="986">
        <f>$F$38</f>
        <v>158</v>
      </c>
      <c r="F747" s="986">
        <f>$F$38</f>
        <v>158</v>
      </c>
      <c r="G747" s="986">
        <f>$F$38</f>
        <v>158</v>
      </c>
      <c r="H747" s="986">
        <f>$F$38</f>
        <v>158</v>
      </c>
      <c r="I747" s="986">
        <f>$F$38</f>
        <v>158</v>
      </c>
    </row>
    <row r="748" spans="1:9" ht="12.75" customHeight="1">
      <c r="A748" s="1019"/>
      <c r="B748" s="1020"/>
      <c r="C748" s="792" t="s">
        <v>581</v>
      </c>
      <c r="E748" s="986">
        <f>$H$38</f>
        <v>183</v>
      </c>
      <c r="F748" s="986">
        <f>$K$38</f>
        <v>201.3</v>
      </c>
      <c r="G748" s="986">
        <f>$M$38</f>
        <v>219.6</v>
      </c>
      <c r="H748" s="986">
        <f>$O$38</f>
        <v>237.9</v>
      </c>
      <c r="I748" s="986">
        <f>$Q$38</f>
        <v>256.2</v>
      </c>
    </row>
    <row r="749" spans="1:9" ht="12.75" customHeight="1">
      <c r="A749" s="1019"/>
      <c r="B749" s="1020"/>
      <c r="C749" s="792" t="s">
        <v>417</v>
      </c>
      <c r="D749" s="1049">
        <f>$E$5</f>
        <v>0.2</v>
      </c>
      <c r="E749" s="986">
        <f>ROUND($D$736*E748,2)</f>
        <v>36.6</v>
      </c>
      <c r="F749" s="986">
        <f>ROUND($D$736*F748,2)</f>
        <v>40.26</v>
      </c>
      <c r="G749" s="986">
        <f>ROUND($D$736*G748,2)</f>
        <v>43.92</v>
      </c>
      <c r="H749" s="986">
        <f>ROUND($D$736*H748,2)</f>
        <v>47.58</v>
      </c>
      <c r="I749" s="986">
        <f>ROUND($D$736*I748,2)</f>
        <v>51.24</v>
      </c>
    </row>
    <row r="750" spans="1:9" ht="12.75" customHeight="1">
      <c r="A750" s="1019"/>
      <c r="B750" s="1020"/>
      <c r="C750" s="792" t="s">
        <v>418</v>
      </c>
      <c r="E750" s="986"/>
      <c r="F750" s="986">
        <f>ROUND(0.1*D743*($I$714+$I$713+$I$712),2)</f>
        <v>9.18</v>
      </c>
      <c r="G750" s="986">
        <f>ROUND(0.2*D743*($I$714+$I$713+$I$712),2)</f>
        <v>18.37</v>
      </c>
      <c r="H750" s="986">
        <f>ROUND(0.3*$D$743*($I$714+$I$713+$I$712),2)</f>
        <v>27.55</v>
      </c>
      <c r="I750" s="986">
        <f>ROUND(0.4*$D$743*($I$714+$I$713+$I$712),2)</f>
        <v>36.74</v>
      </c>
    </row>
    <row r="751" spans="1:9" ht="12.75" customHeight="1">
      <c r="A751" s="1019"/>
      <c r="B751" s="1020"/>
      <c r="E751" s="986">
        <f>SUM(E746:E750)</f>
        <v>683.33274000000006</v>
      </c>
      <c r="F751" s="986">
        <f>SUM(F746:F750)</f>
        <v>714.47274000000004</v>
      </c>
      <c r="G751" s="986">
        <f>SUM(G746:G750)</f>
        <v>745.62274000000002</v>
      </c>
      <c r="H751" s="986">
        <f>SUM(H746:H750)</f>
        <v>776.76274000000001</v>
      </c>
      <c r="I751" s="986">
        <f>SUM(I746:I750)</f>
        <v>502.18</v>
      </c>
    </row>
    <row r="752" spans="1:9" ht="12.75" customHeight="1">
      <c r="A752" s="1019"/>
      <c r="B752" s="1020"/>
      <c r="C752" s="1220" t="s">
        <v>1014</v>
      </c>
      <c r="D752" s="1026">
        <f>$D$3</f>
        <v>0</v>
      </c>
      <c r="E752" s="986">
        <f>ROUND(E751*$D$312,2)</f>
        <v>0</v>
      </c>
      <c r="F752" s="986">
        <f>ROUND(F751*$D$312,2)</f>
        <v>0</v>
      </c>
      <c r="G752" s="986">
        <f>ROUND(G751*$D$312,2)</f>
        <v>0</v>
      </c>
      <c r="H752" s="986">
        <f>ROUND(H751*$D$312,2)</f>
        <v>0</v>
      </c>
      <c r="I752" s="986">
        <f>ROUND(I751*$D$312,2)</f>
        <v>0</v>
      </c>
    </row>
    <row r="753" spans="1:9" ht="12.75" customHeight="1">
      <c r="A753" s="1019"/>
      <c r="B753" s="1020"/>
      <c r="C753" s="980" t="s">
        <v>187</v>
      </c>
      <c r="D753" s="980" t="s">
        <v>466</v>
      </c>
      <c r="E753" s="1012">
        <f>CEILING(SUM(E751:E752),0.05)</f>
        <v>683.35</v>
      </c>
      <c r="F753" s="1012">
        <f>CEILING(SUM(F751:F752),0.05)</f>
        <v>714.5</v>
      </c>
      <c r="G753" s="1012">
        <f>CEILING(SUM(G751:G752),0.05)</f>
        <v>745.65000000000009</v>
      </c>
      <c r="H753" s="1012">
        <f>CEILING(SUM(H751:H752),0.05)</f>
        <v>776.80000000000007</v>
      </c>
      <c r="I753" s="1012">
        <f>CEILING(SUM(I751:I752),0.05)</f>
        <v>502.20000000000005</v>
      </c>
    </row>
    <row r="754" spans="1:9" ht="15.75" customHeight="1">
      <c r="A754" s="1019"/>
      <c r="B754" s="1020"/>
      <c r="C754" s="980"/>
      <c r="D754" s="980"/>
      <c r="E754" s="1012"/>
      <c r="F754" s="1012"/>
      <c r="G754" s="1012"/>
      <c r="H754" s="1012"/>
    </row>
    <row r="755" spans="1:9" ht="15.75" customHeight="1">
      <c r="A755" s="1019"/>
      <c r="B755" s="1020" t="s">
        <v>361</v>
      </c>
      <c r="C755" s="1214" t="s">
        <v>107</v>
      </c>
      <c r="D755" s="1021"/>
      <c r="E755" s="1003"/>
      <c r="F755" s="986"/>
      <c r="G755" s="1023"/>
      <c r="H755" s="1215"/>
      <c r="I755" s="1012"/>
    </row>
    <row r="756" spans="1:9" ht="15.75" customHeight="1">
      <c r="A756" s="1019"/>
      <c r="B756" s="1020"/>
      <c r="C756" s="792" t="s">
        <v>108</v>
      </c>
      <c r="D756" s="1021">
        <v>2.5000000000000001E-2</v>
      </c>
      <c r="E756" s="1003" t="s">
        <v>529</v>
      </c>
      <c r="F756" s="986">
        <f>$I$715</f>
        <v>6114.6548000000003</v>
      </c>
      <c r="G756" s="1023">
        <v>1</v>
      </c>
      <c r="H756" s="991" t="str">
        <f>IF(E756="","",IF(E756="No.","Each",IF(E756="Nos.","Each",E756)))</f>
        <v>cu.m.</v>
      </c>
      <c r="I756" s="986">
        <f>IF(G756="",D756*F756,(D756*F756/G756))</f>
        <v>152.86637000000002</v>
      </c>
    </row>
    <row r="757" spans="1:9" ht="15.75" customHeight="1">
      <c r="A757" s="1019"/>
      <c r="B757" s="1020"/>
      <c r="D757" s="1021"/>
      <c r="E757" s="1003"/>
      <c r="F757" s="986"/>
      <c r="G757" s="1023"/>
      <c r="H757" s="991"/>
      <c r="I757" s="986"/>
    </row>
    <row r="758" spans="1:9" ht="15.75" customHeight="1">
      <c r="A758" s="1019"/>
      <c r="B758" s="1020"/>
      <c r="C758" s="1004" t="s">
        <v>428</v>
      </c>
      <c r="E758" s="1227" t="s">
        <v>501</v>
      </c>
      <c r="F758" s="1048" t="s">
        <v>502</v>
      </c>
      <c r="G758" s="1227" t="s">
        <v>503</v>
      </c>
      <c r="H758" s="1048" t="s">
        <v>709</v>
      </c>
      <c r="I758" s="1048" t="s">
        <v>502</v>
      </c>
    </row>
    <row r="759" spans="1:9" ht="15.75" customHeight="1">
      <c r="A759" s="1019"/>
      <c r="B759" s="1020"/>
      <c r="C759" s="792" t="s">
        <v>381</v>
      </c>
      <c r="E759" s="986">
        <f>I756</f>
        <v>152.86637000000002</v>
      </c>
      <c r="F759" s="986">
        <f>I756</f>
        <v>152.86637000000002</v>
      </c>
      <c r="G759" s="986">
        <f>I756</f>
        <v>152.86637000000002</v>
      </c>
      <c r="H759" s="986">
        <f>I756</f>
        <v>152.86637000000002</v>
      </c>
      <c r="I759" s="986">
        <f>I756</f>
        <v>152.86637000000002</v>
      </c>
    </row>
    <row r="760" spans="1:9" ht="15.75" customHeight="1">
      <c r="A760" s="1019"/>
      <c r="B760" s="1020"/>
      <c r="C760" s="792" t="s">
        <v>580</v>
      </c>
      <c r="E760" s="986">
        <f>$F$38</f>
        <v>158</v>
      </c>
      <c r="F760" s="986">
        <f>$F$38</f>
        <v>158</v>
      </c>
      <c r="G760" s="986">
        <f>$F$38</f>
        <v>158</v>
      </c>
      <c r="H760" s="986">
        <f>$F$38</f>
        <v>158</v>
      </c>
      <c r="I760" s="986">
        <f>$F$38</f>
        <v>158</v>
      </c>
    </row>
    <row r="761" spans="1:9" ht="15.75" customHeight="1">
      <c r="A761" s="1019"/>
      <c r="B761" s="1020"/>
      <c r="C761" s="792" t="s">
        <v>581</v>
      </c>
      <c r="E761" s="986">
        <f>$H$38</f>
        <v>183</v>
      </c>
      <c r="F761" s="986">
        <f>$K$38</f>
        <v>201.3</v>
      </c>
      <c r="G761" s="986">
        <f>$M$38</f>
        <v>219.6</v>
      </c>
      <c r="H761" s="986">
        <f>$O$38</f>
        <v>237.9</v>
      </c>
      <c r="I761" s="986">
        <f>$Q$38</f>
        <v>256.2</v>
      </c>
    </row>
    <row r="762" spans="1:9" ht="15.75" customHeight="1">
      <c r="A762" s="1019"/>
      <c r="B762" s="1020"/>
      <c r="C762" s="792" t="s">
        <v>417</v>
      </c>
      <c r="D762" s="1049">
        <f>$E$5</f>
        <v>0.2</v>
      </c>
      <c r="E762" s="986">
        <f>ROUND($D$762*E761,2)</f>
        <v>36.6</v>
      </c>
      <c r="F762" s="986">
        <f>ROUND($D$762*F761,2)</f>
        <v>40.26</v>
      </c>
      <c r="G762" s="986">
        <f>ROUND($D$762*G761,2)</f>
        <v>43.92</v>
      </c>
      <c r="H762" s="986">
        <f>ROUND($D$762*H761,2)</f>
        <v>47.58</v>
      </c>
      <c r="I762" s="986">
        <f>ROUND($D$762*I761,2)</f>
        <v>51.24</v>
      </c>
    </row>
    <row r="763" spans="1:9" ht="15.75" customHeight="1">
      <c r="A763" s="1019"/>
      <c r="B763" s="1020"/>
      <c r="C763" s="792" t="s">
        <v>418</v>
      </c>
      <c r="E763" s="986"/>
      <c r="F763" s="986">
        <f>ROUND(0.1*D756*($I$714+$I$713+$I$712),2)</f>
        <v>4.59</v>
      </c>
      <c r="G763" s="986">
        <f>ROUND(0.2*D756*($I$714+$I$713+$I$712),2)</f>
        <v>9.18</v>
      </c>
      <c r="H763" s="986">
        <f>ROUND(0.3*$D$756*($I$714+$I$713+$I$712),2)</f>
        <v>13.78</v>
      </c>
      <c r="I763" s="986">
        <f>ROUND(0.4*$D$756*($I$714+$I$713+$I$712),2)</f>
        <v>18.37</v>
      </c>
    </row>
    <row r="764" spans="1:9" ht="15.75" customHeight="1">
      <c r="A764" s="1019"/>
      <c r="B764" s="1020"/>
      <c r="E764" s="986">
        <f>SUM(E759:E763)</f>
        <v>530.46636999999998</v>
      </c>
      <c r="F764" s="986">
        <f>SUM(F759:F763)</f>
        <v>557.01637000000005</v>
      </c>
      <c r="G764" s="986">
        <f>SUM(G759:G763)</f>
        <v>583.56636999999989</v>
      </c>
      <c r="H764" s="986">
        <f>SUM(H759:H763)</f>
        <v>610.12637000000007</v>
      </c>
      <c r="I764" s="986">
        <f>SUM(I759:I763)</f>
        <v>636.67637000000002</v>
      </c>
    </row>
    <row r="765" spans="1:9" ht="15.75" customHeight="1">
      <c r="A765" s="1019"/>
      <c r="B765" s="1020"/>
      <c r="C765" s="1220" t="s">
        <v>1014</v>
      </c>
      <c r="D765" s="1026">
        <f>$D$3</f>
        <v>0</v>
      </c>
      <c r="E765" s="986">
        <f>ROUND(E764*$D$312,2)</f>
        <v>0</v>
      </c>
      <c r="F765" s="986">
        <f>ROUND(F764*$D$312,2)</f>
        <v>0</v>
      </c>
      <c r="G765" s="986">
        <f>ROUND(G764*$D$312,2)</f>
        <v>0</v>
      </c>
      <c r="H765" s="986">
        <f>ROUND(H764*$D$312,2)</f>
        <v>0</v>
      </c>
      <c r="I765" s="986">
        <f>ROUND(I764*$D$312,2)</f>
        <v>0</v>
      </c>
    </row>
    <row r="766" spans="1:9" ht="15.75" customHeight="1">
      <c r="A766" s="1019"/>
      <c r="B766" s="1020"/>
      <c r="C766" s="980" t="s">
        <v>187</v>
      </c>
      <c r="D766" s="980" t="s">
        <v>466</v>
      </c>
      <c r="E766" s="1012">
        <f>CEILING(SUM(E764:E765),0.05)</f>
        <v>530.5</v>
      </c>
      <c r="F766" s="1012">
        <f>CEILING(SUM(F764:F765),0.05)</f>
        <v>557.05000000000007</v>
      </c>
      <c r="G766" s="1012">
        <f>CEILING(SUM(G764:G765),0.05)</f>
        <v>583.6</v>
      </c>
      <c r="H766" s="1012">
        <f>CEILING(SUM(H764:H765),0.05)</f>
        <v>610.15</v>
      </c>
      <c r="I766" s="1012">
        <f>CEILING(SUM(I764:I765),0.05)</f>
        <v>636.70000000000005</v>
      </c>
    </row>
    <row r="767" spans="1:9" ht="15.75" customHeight="1">
      <c r="A767" s="1019"/>
      <c r="B767" s="1020"/>
      <c r="C767" s="980"/>
      <c r="D767" s="980"/>
      <c r="E767" s="1012"/>
      <c r="F767" s="1012"/>
      <c r="G767" s="1012"/>
      <c r="H767" s="1012"/>
    </row>
    <row r="768" spans="1:9" ht="114.75" customHeight="1">
      <c r="A768" s="1019">
        <f>+A701+1</f>
        <v>16</v>
      </c>
      <c r="B768" s="1020"/>
      <c r="C768" s="1214" t="s">
        <v>2293</v>
      </c>
      <c r="D768" s="1021"/>
      <c r="E768" s="1003"/>
      <c r="F768" s="986"/>
      <c r="G768" s="1023"/>
      <c r="H768" s="1215"/>
      <c r="I768" s="986"/>
    </row>
    <row r="769" spans="1:11" ht="12.75" customHeight="1">
      <c r="A769" s="1019"/>
      <c r="B769" s="1020"/>
      <c r="C769" s="792" t="s">
        <v>79</v>
      </c>
      <c r="D769" s="1021">
        <f>0.02*480/10</f>
        <v>0.96</v>
      </c>
      <c r="E769" s="1022" t="s">
        <v>364</v>
      </c>
      <c r="F769" s="986">
        <f>LEAD!P28/1000</f>
        <v>7.1680000000000001</v>
      </c>
      <c r="G769" s="1023">
        <v>1</v>
      </c>
      <c r="H769" s="991" t="str">
        <f t="shared" ref="H769:H774" si="93">IF(E769="","",IF(E769="No.","Each",IF(E769="Nos.","Each",E769)))</f>
        <v>Kgs</v>
      </c>
      <c r="I769" s="986">
        <f>IF(G769="",D769*F769,(D769*F769/G769))</f>
        <v>6.8812800000000003</v>
      </c>
    </row>
    <row r="770" spans="1:11" ht="12.75" customHeight="1">
      <c r="A770" s="1019"/>
      <c r="B770" s="1020"/>
      <c r="C770" s="792" t="s">
        <v>269</v>
      </c>
      <c r="D770" s="1021">
        <v>2E-3</v>
      </c>
      <c r="E770" s="1022" t="s">
        <v>529</v>
      </c>
      <c r="F770" s="986">
        <f>LEAD!P7</f>
        <v>437.11999999999983</v>
      </c>
      <c r="G770" s="1023">
        <v>1</v>
      </c>
      <c r="H770" s="991" t="str">
        <f t="shared" si="93"/>
        <v>cu.m.</v>
      </c>
      <c r="I770" s="986"/>
    </row>
    <row r="771" spans="1:11" ht="12.75" customHeight="1">
      <c r="A771" s="1019"/>
      <c r="B771" s="1020"/>
      <c r="C771" s="792" t="s">
        <v>377</v>
      </c>
      <c r="D771" s="1021">
        <v>4.8000000000000001E-2</v>
      </c>
      <c r="E771" s="1008" t="s">
        <v>499</v>
      </c>
      <c r="F771" s="986">
        <f>$F$9</f>
        <v>624</v>
      </c>
      <c r="G771" s="1023">
        <v>1</v>
      </c>
      <c r="H771" s="991" t="str">
        <f t="shared" si="93"/>
        <v>Each</v>
      </c>
      <c r="I771" s="986">
        <f>IF(G771="",D771*F771,(D771*F771/G771))</f>
        <v>29.952000000000002</v>
      </c>
    </row>
    <row r="772" spans="1:11" ht="12.75" customHeight="1">
      <c r="A772" s="1019"/>
      <c r="B772" s="1020"/>
      <c r="C772" s="792" t="s">
        <v>378</v>
      </c>
      <c r="D772" s="1021">
        <v>0.112</v>
      </c>
      <c r="E772" s="1008" t="s">
        <v>499</v>
      </c>
      <c r="F772" s="986">
        <f>$F$10</f>
        <v>588</v>
      </c>
      <c r="G772" s="1023">
        <v>1</v>
      </c>
      <c r="H772" s="991" t="str">
        <f t="shared" si="93"/>
        <v>Each</v>
      </c>
      <c r="I772" s="986">
        <f>IF(G772="",D772*F772,(D772*F772/G772))</f>
        <v>65.855999999999995</v>
      </c>
    </row>
    <row r="773" spans="1:11" ht="12.75" customHeight="1">
      <c r="A773" s="1019"/>
      <c r="B773" s="1020"/>
      <c r="C773" s="792" t="s">
        <v>621</v>
      </c>
      <c r="D773" s="1021">
        <v>0.05</v>
      </c>
      <c r="E773" s="1022" t="s">
        <v>499</v>
      </c>
      <c r="F773" s="986">
        <f>$F$22</f>
        <v>558</v>
      </c>
      <c r="G773" s="1023">
        <v>1</v>
      </c>
      <c r="H773" s="991" t="str">
        <f t="shared" si="93"/>
        <v>Each</v>
      </c>
      <c r="I773" s="986">
        <f>IF(G773="",D773*F773,(D773*F773/G773))</f>
        <v>27.900000000000002</v>
      </c>
    </row>
    <row r="774" spans="1:11" ht="12.75" customHeight="1">
      <c r="A774" s="1019"/>
      <c r="B774" s="1020"/>
      <c r="C774" s="792" t="s">
        <v>622</v>
      </c>
      <c r="D774" s="1021">
        <v>0.11</v>
      </c>
      <c r="E774" s="1022" t="s">
        <v>499</v>
      </c>
      <c r="F774" s="986">
        <f>$F$23</f>
        <v>558</v>
      </c>
      <c r="G774" s="1023">
        <v>1</v>
      </c>
      <c r="H774" s="991" t="str">
        <f t="shared" si="93"/>
        <v>Each</v>
      </c>
      <c r="I774" s="986">
        <f>IF(G774="",D774*F774,(D774*F774/G774))</f>
        <v>61.38</v>
      </c>
    </row>
    <row r="775" spans="1:11" ht="12.75" customHeight="1">
      <c r="A775" s="1019"/>
      <c r="B775" s="1020"/>
      <c r="C775" s="980" t="s">
        <v>425</v>
      </c>
      <c r="D775" s="1021"/>
      <c r="E775" s="1003"/>
      <c r="F775" s="986"/>
      <c r="G775" s="1023"/>
      <c r="H775" s="980" t="s">
        <v>466</v>
      </c>
      <c r="I775" s="1012">
        <f>CEILING(SUM(I769:I774),0.05)-0.05</f>
        <v>191.95</v>
      </c>
    </row>
    <row r="776" spans="1:11" ht="70.5" customHeight="1">
      <c r="A776" s="1019">
        <f>+A768+1</f>
        <v>17</v>
      </c>
      <c r="B776" s="1020"/>
      <c r="C776" s="1502" t="s">
        <v>2294</v>
      </c>
      <c r="D776" s="1502"/>
      <c r="E776" s="1502"/>
      <c r="F776" s="1502"/>
      <c r="G776" s="1502"/>
      <c r="H776" s="1502"/>
      <c r="I776" s="1502"/>
    </row>
    <row r="777" spans="1:11" ht="12.75" customHeight="1">
      <c r="A777" s="1019"/>
      <c r="B777" s="1020"/>
      <c r="C777" s="1214" t="s">
        <v>333</v>
      </c>
      <c r="D777" s="1021">
        <v>0.22500000000000001</v>
      </c>
      <c r="E777" s="1003"/>
      <c r="F777" s="986"/>
      <c r="G777" s="1023"/>
      <c r="H777" s="1215"/>
      <c r="I777" s="986"/>
    </row>
    <row r="778" spans="1:11" ht="12.75" customHeight="1">
      <c r="A778" s="1019"/>
      <c r="B778" s="1020"/>
      <c r="C778" s="1214" t="s">
        <v>557</v>
      </c>
      <c r="D778" s="1021"/>
      <c r="E778" s="1003"/>
      <c r="F778" s="986"/>
      <c r="G778" s="1023"/>
      <c r="H778" s="1215"/>
      <c r="I778" s="986"/>
    </row>
    <row r="779" spans="1:11" ht="12.75" customHeight="1">
      <c r="A779" s="1019"/>
      <c r="B779" s="1020"/>
      <c r="C779" s="792" t="s">
        <v>235</v>
      </c>
      <c r="D779" s="1005">
        <v>36</v>
      </c>
      <c r="E779" s="1008" t="s">
        <v>462</v>
      </c>
      <c r="F779" s="986">
        <f>LEAD!$P$28</f>
        <v>7168</v>
      </c>
      <c r="G779" s="1023">
        <v>1000</v>
      </c>
      <c r="H779" s="991" t="str">
        <f>IF(E779="","",IF(E779="No.","Each",IF(E779="Nos.","Each",E779)))</f>
        <v>kgs</v>
      </c>
      <c r="I779" s="986">
        <f>IF(G779="",D779*F779,(D779*F779/G779))</f>
        <v>258.048</v>
      </c>
    </row>
    <row r="780" spans="1:11" ht="12.75" customHeight="1">
      <c r="A780" s="1019"/>
      <c r="B780" s="1020"/>
      <c r="C780" s="792" t="s">
        <v>309</v>
      </c>
      <c r="D780" s="1005">
        <v>512</v>
      </c>
      <c r="E780" s="1008" t="s">
        <v>327</v>
      </c>
      <c r="F780" s="986">
        <f>LEAD!P20</f>
        <v>7628.01</v>
      </c>
      <c r="G780" s="1021">
        <v>1000</v>
      </c>
      <c r="H780" s="991" t="str">
        <f t="shared" ref="H780:H785" si="94">IF(E780="","",IF(E780="No.","Each",IF(E780="Nos.","Each",E780)))</f>
        <v>Nos</v>
      </c>
      <c r="I780" s="986">
        <f t="shared" ref="I780:I785" si="95">IF(G780="",D780*F780,(D780*F780/G780))</f>
        <v>3905.5411200000003</v>
      </c>
    </row>
    <row r="781" spans="1:11" ht="12.75" customHeight="1">
      <c r="A781" s="1019"/>
      <c r="B781" s="1020"/>
      <c r="C781" s="792" t="s">
        <v>334</v>
      </c>
      <c r="D781" s="1005">
        <v>0.2</v>
      </c>
      <c r="E781" s="1008" t="s">
        <v>529</v>
      </c>
      <c r="F781" s="986">
        <f>LEAD!$P$7</f>
        <v>437.11999999999983</v>
      </c>
      <c r="G781" s="1023">
        <v>1</v>
      </c>
      <c r="H781" s="991" t="str">
        <f>IF(E781="","",IF(E781="No.","Each",IF(E781="Nos.","Each",E781)))</f>
        <v>cu.m.</v>
      </c>
      <c r="I781" s="986">
        <f>IF(G781="",D781*F781,(D781*F781/G781))</f>
        <v>87.423999999999978</v>
      </c>
    </row>
    <row r="782" spans="1:11" ht="12.75" customHeight="1">
      <c r="A782" s="1019"/>
      <c r="B782" s="1020"/>
      <c r="C782" s="1214" t="s">
        <v>335</v>
      </c>
      <c r="D782" s="1005"/>
      <c r="E782" s="1008"/>
      <c r="F782" s="986"/>
      <c r="G782" s="1023"/>
      <c r="H782" s="991"/>
      <c r="I782" s="986"/>
    </row>
    <row r="783" spans="1:11" ht="12.75" customHeight="1">
      <c r="A783" s="1019"/>
      <c r="B783" s="1020"/>
      <c r="C783" s="792" t="s">
        <v>395</v>
      </c>
      <c r="D783" s="1021">
        <v>0.24</v>
      </c>
      <c r="E783" s="1008" t="s">
        <v>499</v>
      </c>
      <c r="F783" s="986">
        <f>$F$9</f>
        <v>624</v>
      </c>
      <c r="G783" s="1023">
        <v>1</v>
      </c>
      <c r="H783" s="991" t="str">
        <f t="shared" si="94"/>
        <v>Each</v>
      </c>
      <c r="I783" s="986">
        <f t="shared" si="95"/>
        <v>149.76</v>
      </c>
    </row>
    <row r="784" spans="1:11" ht="12.75" customHeight="1">
      <c r="A784" s="1019"/>
      <c r="B784" s="1020"/>
      <c r="C784" s="792" t="s">
        <v>630</v>
      </c>
      <c r="D784" s="1021">
        <v>0.56000000000000005</v>
      </c>
      <c r="E784" s="1008" t="s">
        <v>499</v>
      </c>
      <c r="F784" s="986">
        <f>$F$10</f>
        <v>588</v>
      </c>
      <c r="G784" s="1023">
        <v>1</v>
      </c>
      <c r="H784" s="991" t="str">
        <f t="shared" si="94"/>
        <v>Each</v>
      </c>
      <c r="I784" s="986">
        <f t="shared" si="95"/>
        <v>329.28000000000003</v>
      </c>
      <c r="K784" s="986"/>
    </row>
    <row r="785" spans="1:10" ht="12.75" customHeight="1">
      <c r="A785" s="1019"/>
      <c r="B785" s="1020"/>
      <c r="C785" s="792" t="s">
        <v>396</v>
      </c>
      <c r="D785" s="1021">
        <v>1.89</v>
      </c>
      <c r="E785" s="1008" t="s">
        <v>499</v>
      </c>
      <c r="F785" s="986">
        <f>$F$22</f>
        <v>558</v>
      </c>
      <c r="G785" s="1023">
        <v>1</v>
      </c>
      <c r="H785" s="991" t="str">
        <f t="shared" si="94"/>
        <v>Each</v>
      </c>
      <c r="I785" s="986">
        <f t="shared" si="95"/>
        <v>1054.6199999999999</v>
      </c>
    </row>
    <row r="786" spans="1:10" ht="12.75" customHeight="1">
      <c r="A786" s="1019"/>
      <c r="B786" s="1020"/>
      <c r="D786" s="1021"/>
      <c r="E786" s="1008"/>
      <c r="F786" s="986"/>
      <c r="G786" s="1023"/>
      <c r="H786" s="991"/>
      <c r="I786" s="986">
        <f>SUM(I779:I785)</f>
        <v>5784.6731200000004</v>
      </c>
    </row>
    <row r="787" spans="1:10" ht="25.5" customHeight="1">
      <c r="A787" s="1019"/>
      <c r="B787" s="1020"/>
      <c r="C787" s="792" t="s">
        <v>719</v>
      </c>
      <c r="D787" s="1050">
        <f>I786</f>
        <v>5784.6731200000004</v>
      </c>
      <c r="E787" s="1003"/>
      <c r="F787" s="986">
        <v>0.01</v>
      </c>
      <c r="G787" s="1023"/>
      <c r="I787" s="986">
        <f>ROUND(D787*F787,2)</f>
        <v>57.85</v>
      </c>
    </row>
    <row r="788" spans="1:10" ht="12.75" customHeight="1">
      <c r="A788" s="1019"/>
      <c r="B788" s="1020"/>
      <c r="C788" s="980" t="s">
        <v>379</v>
      </c>
      <c r="D788" s="1021"/>
      <c r="E788" s="1008"/>
      <c r="F788" s="986"/>
      <c r="G788" s="1023"/>
      <c r="H788" s="1215"/>
      <c r="I788" s="1012">
        <f>SUM(I786:I787)</f>
        <v>5842.5231200000007</v>
      </c>
    </row>
    <row r="789" spans="1:10" ht="12.75" customHeight="1">
      <c r="A789" s="1019"/>
      <c r="B789" s="1020"/>
      <c r="C789" s="1214" t="s">
        <v>428</v>
      </c>
      <c r="E789" s="1227" t="s">
        <v>501</v>
      </c>
      <c r="F789" s="1048" t="s">
        <v>502</v>
      </c>
      <c r="G789" s="1227" t="s">
        <v>503</v>
      </c>
      <c r="H789" s="1048" t="s">
        <v>709</v>
      </c>
      <c r="I789" s="1048" t="s">
        <v>502</v>
      </c>
      <c r="J789" s="1048" t="s">
        <v>502</v>
      </c>
    </row>
    <row r="790" spans="1:10" ht="12.75" customHeight="1">
      <c r="A790" s="1019"/>
      <c r="B790" s="1020"/>
      <c r="C790" s="792" t="s">
        <v>488</v>
      </c>
      <c r="E790" s="986">
        <f>I788</f>
        <v>5842.5231200000007</v>
      </c>
      <c r="F790" s="986">
        <f>I788</f>
        <v>5842.5231200000007</v>
      </c>
      <c r="G790" s="986">
        <f>I788</f>
        <v>5842.5231200000007</v>
      </c>
      <c r="H790" s="986">
        <f>I788</f>
        <v>5842.5231200000007</v>
      </c>
      <c r="I790" s="986">
        <f>I788</f>
        <v>5842.5231200000007</v>
      </c>
      <c r="J790" s="986">
        <f>I788</f>
        <v>5842.5231200000007</v>
      </c>
    </row>
    <row r="791" spans="1:10" ht="12.75" customHeight="1">
      <c r="A791" s="1019"/>
      <c r="B791" s="1020"/>
      <c r="C791" s="792" t="s">
        <v>336</v>
      </c>
      <c r="E791" s="986">
        <f>ROUND($F$69/$D$777,2)</f>
        <v>45.87</v>
      </c>
      <c r="F791" s="986">
        <f>ROUND($F$70/$D$777,2)</f>
        <v>45.87</v>
      </c>
      <c r="G791" s="986">
        <f>ROUND($F$71/$D$777,2)</f>
        <v>45.87</v>
      </c>
      <c r="H791" s="986">
        <f>ROUND($F$72/$D$777,2)</f>
        <v>45.87</v>
      </c>
      <c r="I791" s="986">
        <f>ROUND($F$72/$D$777,2)</f>
        <v>45.87</v>
      </c>
      <c r="J791" s="986">
        <f>ROUND($F$72/$D$777,2)</f>
        <v>45.87</v>
      </c>
    </row>
    <row r="792" spans="1:10" ht="25.5" customHeight="1">
      <c r="A792" s="1019"/>
      <c r="B792" s="1020"/>
      <c r="C792" s="792" t="s">
        <v>337</v>
      </c>
      <c r="E792" s="986">
        <f>ROUND($H$69/$D$777,2)</f>
        <v>387.47</v>
      </c>
      <c r="F792" s="986">
        <f>ROUND($H$70/$D$777,2)</f>
        <v>554.89</v>
      </c>
      <c r="G792" s="986">
        <f>ROUND($H$71/$D$777,2)</f>
        <v>722.18</v>
      </c>
      <c r="H792" s="986">
        <f>ROUND($H$72/$D$777,2)</f>
        <v>889.56</v>
      </c>
      <c r="I792" s="986">
        <f>ROUND($H$73/$D$777,2)</f>
        <v>1056.8900000000001</v>
      </c>
      <c r="J792" s="986">
        <f>ROUND($H$74/$D$777,2)</f>
        <v>1224.18</v>
      </c>
    </row>
    <row r="793" spans="1:10" ht="12.75" customHeight="1">
      <c r="A793" s="1019"/>
      <c r="B793" s="1020"/>
      <c r="C793" s="792" t="s">
        <v>338</v>
      </c>
      <c r="D793" s="1049">
        <f>$E$5</f>
        <v>0.2</v>
      </c>
      <c r="E793" s="986">
        <f t="shared" ref="E793:J793" si="96">ROUND($D$793*E792,2)</f>
        <v>77.489999999999995</v>
      </c>
      <c r="F793" s="986">
        <f t="shared" si="96"/>
        <v>110.98</v>
      </c>
      <c r="G793" s="986">
        <f t="shared" si="96"/>
        <v>144.44</v>
      </c>
      <c r="H793" s="986">
        <f t="shared" si="96"/>
        <v>177.91</v>
      </c>
      <c r="I793" s="986">
        <f t="shared" si="96"/>
        <v>211.38</v>
      </c>
      <c r="J793" s="986">
        <f t="shared" si="96"/>
        <v>244.84</v>
      </c>
    </row>
    <row r="794" spans="1:10" ht="12.75" customHeight="1">
      <c r="A794" s="1019"/>
      <c r="B794" s="1020"/>
      <c r="C794" s="792" t="s">
        <v>418</v>
      </c>
      <c r="E794" s="986"/>
      <c r="F794" s="986">
        <f>ROUND(0.1*($I$785+$I$784+$I$783),2)</f>
        <v>153.37</v>
      </c>
      <c r="G794" s="986">
        <f>ROUND(0.2*($I$785+$I$784+$I$783),2)</f>
        <v>306.73</v>
      </c>
      <c r="H794" s="986">
        <f>ROUND(0.3*($I$785+$I$784+$I$783),2)</f>
        <v>460.1</v>
      </c>
      <c r="I794" s="986">
        <f>ROUND(0.4*($I$785+$I$784+$I$783),2)</f>
        <v>613.46</v>
      </c>
      <c r="J794" s="986">
        <f>ROUND(0.5*($I$785+$I$784+$I$783),2)</f>
        <v>766.83</v>
      </c>
    </row>
    <row r="795" spans="1:10" ht="12.75" customHeight="1">
      <c r="A795" s="1019"/>
      <c r="B795" s="1020"/>
      <c r="E795" s="986">
        <f t="shared" ref="E795:J795" si="97">SUM(E790:E794)</f>
        <v>6353.3531200000007</v>
      </c>
      <c r="F795" s="986">
        <f t="shared" si="97"/>
        <v>6707.6331200000004</v>
      </c>
      <c r="G795" s="986">
        <f t="shared" si="97"/>
        <v>7061.743120000001</v>
      </c>
      <c r="H795" s="986">
        <f t="shared" si="97"/>
        <v>7415.9631200000003</v>
      </c>
      <c r="I795" s="986">
        <f t="shared" si="97"/>
        <v>7770.1231200000011</v>
      </c>
      <c r="J795" s="986">
        <f t="shared" si="97"/>
        <v>8124.243120000001</v>
      </c>
    </row>
    <row r="796" spans="1:10" ht="12.75" customHeight="1">
      <c r="A796" s="1019"/>
      <c r="B796" s="1020"/>
      <c r="C796" s="1220" t="s">
        <v>1014</v>
      </c>
      <c r="D796" s="1026">
        <f>$D$3</f>
        <v>0</v>
      </c>
      <c r="E796" s="986">
        <f t="shared" ref="E796:J796" si="98">ROUND(E795*$D$312,2)</f>
        <v>0</v>
      </c>
      <c r="F796" s="986">
        <f t="shared" si="98"/>
        <v>0</v>
      </c>
      <c r="G796" s="986">
        <f t="shared" si="98"/>
        <v>0</v>
      </c>
      <c r="H796" s="986">
        <f t="shared" si="98"/>
        <v>0</v>
      </c>
      <c r="I796" s="986">
        <f t="shared" si="98"/>
        <v>0</v>
      </c>
      <c r="J796" s="986">
        <f t="shared" si="98"/>
        <v>0</v>
      </c>
    </row>
    <row r="797" spans="1:10" ht="12.75" customHeight="1">
      <c r="A797" s="1019"/>
      <c r="B797" s="1020"/>
      <c r="C797" s="980" t="s">
        <v>308</v>
      </c>
      <c r="D797" s="980" t="s">
        <v>466</v>
      </c>
      <c r="E797" s="1012">
        <f t="shared" ref="E797:J797" si="99">CEILING(SUM(E795:E796),0.05)</f>
        <v>6353.4000000000005</v>
      </c>
      <c r="F797" s="1012">
        <f t="shared" si="99"/>
        <v>6707.6500000000005</v>
      </c>
      <c r="G797" s="1012">
        <f t="shared" si="99"/>
        <v>7061.75</v>
      </c>
      <c r="H797" s="1012">
        <f t="shared" si="99"/>
        <v>7416</v>
      </c>
      <c r="I797" s="1012">
        <f t="shared" si="99"/>
        <v>7770.1500000000005</v>
      </c>
      <c r="J797" s="1012">
        <f t="shared" si="99"/>
        <v>8124.25</v>
      </c>
    </row>
    <row r="798" spans="1:10" ht="12.75" customHeight="1">
      <c r="A798" s="1019">
        <f>A776+1</f>
        <v>18</v>
      </c>
      <c r="B798" s="1020"/>
      <c r="C798" s="1502" t="s">
        <v>2295</v>
      </c>
      <c r="D798" s="1502"/>
      <c r="E798" s="1502"/>
      <c r="F798" s="1502"/>
      <c r="G798" s="1502"/>
      <c r="H798" s="1502"/>
      <c r="I798" s="1502"/>
    </row>
    <row r="799" spans="1:10" ht="12.75" customHeight="1">
      <c r="A799" s="1019"/>
      <c r="B799" s="1020"/>
      <c r="C799" s="1214" t="s">
        <v>333</v>
      </c>
      <c r="D799" s="1052">
        <v>0.115</v>
      </c>
      <c r="E799" s="1003"/>
      <c r="F799" s="986"/>
      <c r="G799" s="1023"/>
      <c r="H799" s="1215"/>
      <c r="I799" s="986"/>
    </row>
    <row r="800" spans="1:10" ht="12.75" customHeight="1">
      <c r="A800" s="1019"/>
      <c r="B800" s="1020"/>
      <c r="C800" s="1214" t="s">
        <v>557</v>
      </c>
      <c r="D800" s="1021"/>
      <c r="E800" s="1003"/>
      <c r="F800" s="986"/>
      <c r="G800" s="1023"/>
      <c r="H800" s="1215"/>
      <c r="I800" s="986"/>
    </row>
    <row r="801" spans="1:10" ht="12.75" customHeight="1">
      <c r="A801" s="1019"/>
      <c r="B801" s="1020"/>
      <c r="C801" s="792" t="s">
        <v>235</v>
      </c>
      <c r="D801" s="1005">
        <v>7.56</v>
      </c>
      <c r="E801" s="1008" t="s">
        <v>462</v>
      </c>
      <c r="F801" s="986">
        <f>LEAD!$P$28</f>
        <v>7168</v>
      </c>
      <c r="G801" s="1023">
        <v>1000</v>
      </c>
      <c r="H801" s="991" t="str">
        <f>IF(E801="","",IF(E801="No.","Each",IF(E801="Nos.","Each",E801)))</f>
        <v>kgs</v>
      </c>
      <c r="I801" s="986">
        <f>IF(G801="",D801*F801,(D801*F801/G801))</f>
        <v>54.190079999999995</v>
      </c>
    </row>
    <row r="802" spans="1:10" ht="12.75" customHeight="1">
      <c r="A802" s="1019"/>
      <c r="B802" s="1020"/>
      <c r="C802" s="792" t="s">
        <v>309</v>
      </c>
      <c r="D802" s="1005">
        <v>51.2</v>
      </c>
      <c r="E802" s="1008" t="s">
        <v>327</v>
      </c>
      <c r="F802" s="986">
        <f>LEAD!P20</f>
        <v>7628.01</v>
      </c>
      <c r="G802" s="1021">
        <v>1000</v>
      </c>
      <c r="H802" s="991" t="str">
        <f>IF(E802="","",IF(E802="No.","Each",IF(E802="Nos.","Each",E802)))</f>
        <v>Nos</v>
      </c>
      <c r="I802" s="986">
        <f>IF(G802="",D802*F802,(D802*F802/G802))</f>
        <v>390.55411200000003</v>
      </c>
    </row>
    <row r="803" spans="1:10" ht="12.75" customHeight="1">
      <c r="A803" s="1019"/>
      <c r="B803" s="1020"/>
      <c r="C803" s="792" t="s">
        <v>334</v>
      </c>
      <c r="D803" s="1005">
        <v>2.1000000000000001E-2</v>
      </c>
      <c r="E803" s="1008" t="s">
        <v>529</v>
      </c>
      <c r="F803" s="986">
        <f>LEAD!$P$7</f>
        <v>437.11999999999983</v>
      </c>
      <c r="G803" s="1023">
        <v>1</v>
      </c>
      <c r="H803" s="991" t="str">
        <f>IF(E803="","",IF(E803="No.","Each",IF(E803="Nos.","Each",E803)))</f>
        <v>cu.m.</v>
      </c>
      <c r="I803" s="986">
        <f>IF(G803="",D803*F803,(D803*F803/G803))</f>
        <v>9.1795199999999966</v>
      </c>
    </row>
    <row r="804" spans="1:10" ht="12.75" customHeight="1">
      <c r="A804" s="1019"/>
      <c r="B804" s="1020"/>
      <c r="C804" s="1214" t="s">
        <v>335</v>
      </c>
      <c r="D804" s="1005"/>
      <c r="E804" s="1008"/>
      <c r="F804" s="986"/>
      <c r="G804" s="1023"/>
      <c r="H804" s="991"/>
      <c r="I804" s="986"/>
    </row>
    <row r="805" spans="1:10" ht="12.75" customHeight="1">
      <c r="A805" s="1019"/>
      <c r="B805" s="1020"/>
      <c r="C805" s="792" t="s">
        <v>395</v>
      </c>
      <c r="D805" s="1021">
        <v>0.06</v>
      </c>
      <c r="E805" s="1008" t="s">
        <v>499</v>
      </c>
      <c r="F805" s="986">
        <f>$F$9</f>
        <v>624</v>
      </c>
      <c r="G805" s="1023">
        <v>1</v>
      </c>
      <c r="H805" s="991" t="str">
        <f>IF(E805="","",IF(E805="No.","Each",IF(E805="Nos.","Each",E805)))</f>
        <v>Each</v>
      </c>
      <c r="I805" s="986">
        <f>IF(G805="",D805*F805,(D805*F805/G805))</f>
        <v>37.44</v>
      </c>
    </row>
    <row r="806" spans="1:10" ht="12.75" customHeight="1">
      <c r="A806" s="1019"/>
      <c r="B806" s="1020"/>
      <c r="C806" s="792" t="s">
        <v>630</v>
      </c>
      <c r="D806" s="1021">
        <v>0.06</v>
      </c>
      <c r="E806" s="1008" t="s">
        <v>499</v>
      </c>
      <c r="F806" s="986">
        <f>$F$10</f>
        <v>588</v>
      </c>
      <c r="G806" s="1023">
        <v>1</v>
      </c>
      <c r="H806" s="991" t="str">
        <f>IF(E806="","",IF(E806="No.","Each",IF(E806="Nos.","Each",E806)))</f>
        <v>Each</v>
      </c>
      <c r="I806" s="986">
        <f>IF(G806="",D806*F806,(D806*F806/G806))</f>
        <v>35.28</v>
      </c>
    </row>
    <row r="807" spans="1:10" ht="12.75" customHeight="1">
      <c r="A807" s="1019"/>
      <c r="B807" s="1020"/>
      <c r="C807" s="792" t="s">
        <v>396</v>
      </c>
      <c r="D807" s="1021">
        <v>0.27500000000000002</v>
      </c>
      <c r="E807" s="1008" t="s">
        <v>499</v>
      </c>
      <c r="F807" s="986">
        <f>$F$22</f>
        <v>558</v>
      </c>
      <c r="G807" s="1023">
        <v>1</v>
      </c>
      <c r="H807" s="991" t="str">
        <f>IF(E807="","",IF(E807="No.","Each",IF(E807="Nos.","Each",E807)))</f>
        <v>Each</v>
      </c>
      <c r="I807" s="986">
        <f>IF(G807="",D807*F807,(D807*F807/G807))</f>
        <v>153.45000000000002</v>
      </c>
    </row>
    <row r="808" spans="1:10" ht="12.75" customHeight="1">
      <c r="A808" s="1019"/>
      <c r="B808" s="1020"/>
      <c r="D808" s="1021"/>
      <c r="E808" s="1008"/>
      <c r="F808" s="986"/>
      <c r="G808" s="1023"/>
      <c r="H808" s="991"/>
      <c r="I808" s="986">
        <f>SUM(I801:I807)</f>
        <v>680.0937120000001</v>
      </c>
    </row>
    <row r="809" spans="1:10" ht="25.5" customHeight="1">
      <c r="A809" s="1019"/>
      <c r="B809" s="1020"/>
      <c r="C809" s="792" t="s">
        <v>719</v>
      </c>
      <c r="D809" s="1050">
        <f>I808</f>
        <v>680.0937120000001</v>
      </c>
      <c r="E809" s="1003"/>
      <c r="F809" s="986">
        <v>0.01</v>
      </c>
      <c r="G809" s="1023"/>
      <c r="I809" s="986">
        <f>ROUND(D809*F809,2)</f>
        <v>6.8</v>
      </c>
    </row>
    <row r="810" spans="1:10" ht="12.75" customHeight="1">
      <c r="A810" s="1019"/>
      <c r="B810" s="1020"/>
      <c r="C810" s="980" t="s">
        <v>310</v>
      </c>
      <c r="D810" s="1021"/>
      <c r="E810" s="1008"/>
      <c r="F810" s="986"/>
      <c r="G810" s="1023"/>
      <c r="H810" s="1215"/>
      <c r="I810" s="1012">
        <f>SUM(I808:I809)</f>
        <v>686.89371200000005</v>
      </c>
    </row>
    <row r="811" spans="1:10" ht="12.75" customHeight="1">
      <c r="A811" s="1019"/>
      <c r="B811" s="1020"/>
      <c r="C811" s="1214" t="s">
        <v>428</v>
      </c>
      <c r="E811" s="1227" t="s">
        <v>501</v>
      </c>
      <c r="F811" s="1048" t="s">
        <v>502</v>
      </c>
      <c r="G811" s="1227" t="s">
        <v>503</v>
      </c>
      <c r="H811" s="1048" t="s">
        <v>709</v>
      </c>
      <c r="I811" s="1048" t="s">
        <v>502</v>
      </c>
      <c r="J811" s="1048" t="s">
        <v>502</v>
      </c>
    </row>
    <row r="812" spans="1:10" ht="12.75" customHeight="1">
      <c r="A812" s="1019"/>
      <c r="B812" s="1020"/>
      <c r="C812" s="792" t="s">
        <v>311</v>
      </c>
      <c r="E812" s="986">
        <f>I810</f>
        <v>686.89371200000005</v>
      </c>
      <c r="F812" s="986">
        <f>I810</f>
        <v>686.89371200000005</v>
      </c>
      <c r="G812" s="986">
        <f>I810</f>
        <v>686.89371200000005</v>
      </c>
      <c r="H812" s="986">
        <f>I810</f>
        <v>686.89371200000005</v>
      </c>
      <c r="I812" s="986">
        <f>I810</f>
        <v>686.89371200000005</v>
      </c>
      <c r="J812" s="986">
        <f>I810</f>
        <v>686.89371200000005</v>
      </c>
    </row>
    <row r="813" spans="1:10" ht="12.75" customHeight="1">
      <c r="A813" s="1019"/>
      <c r="B813" s="1020"/>
      <c r="C813" s="792" t="s">
        <v>336</v>
      </c>
      <c r="E813" s="986">
        <f>ROUND($F$69/1,2)</f>
        <v>10.32</v>
      </c>
      <c r="F813" s="986">
        <f>ROUND($F$70/1,2)</f>
        <v>10.32</v>
      </c>
      <c r="G813" s="986">
        <f>ROUND($F$71/1,2)</f>
        <v>10.32</v>
      </c>
      <c r="H813" s="986">
        <f>ROUND($F$72/1,2)</f>
        <v>10.32</v>
      </c>
      <c r="I813" s="986">
        <f>ROUND($F$72/1,2)</f>
        <v>10.32</v>
      </c>
      <c r="J813" s="986">
        <f>ROUND($F$72/1,2)</f>
        <v>10.32</v>
      </c>
    </row>
    <row r="814" spans="1:10" ht="25.5" customHeight="1">
      <c r="A814" s="1019"/>
      <c r="B814" s="1020"/>
      <c r="C814" s="792" t="s">
        <v>337</v>
      </c>
      <c r="E814" s="986">
        <f>ROUND($H$69/1,2)</f>
        <v>87.18</v>
      </c>
      <c r="F814" s="986">
        <f>ROUND($H$70/1,2)</f>
        <v>124.85</v>
      </c>
      <c r="G814" s="986">
        <f>ROUND($H$71/1,2)</f>
        <v>162.49</v>
      </c>
      <c r="H814" s="986">
        <f>ROUND($H$72/1,2)</f>
        <v>200.15</v>
      </c>
      <c r="I814" s="986">
        <f>ROUND($H$73/1,2)</f>
        <v>237.8</v>
      </c>
      <c r="J814" s="986">
        <f>ROUND($H$74/1,2)</f>
        <v>275.44</v>
      </c>
    </row>
    <row r="815" spans="1:10" ht="12.75" customHeight="1">
      <c r="A815" s="1019"/>
      <c r="B815" s="1020"/>
      <c r="C815" s="792" t="s">
        <v>338</v>
      </c>
      <c r="D815" s="1049">
        <f>$E$5</f>
        <v>0.2</v>
      </c>
      <c r="E815" s="986">
        <f t="shared" ref="E815:J815" si="100">ROUND($D$815*E814,2)</f>
        <v>17.440000000000001</v>
      </c>
      <c r="F815" s="986">
        <f t="shared" si="100"/>
        <v>24.97</v>
      </c>
      <c r="G815" s="986">
        <f t="shared" si="100"/>
        <v>32.5</v>
      </c>
      <c r="H815" s="986">
        <f t="shared" si="100"/>
        <v>40.03</v>
      </c>
      <c r="I815" s="986">
        <f t="shared" si="100"/>
        <v>47.56</v>
      </c>
      <c r="J815" s="986">
        <f t="shared" si="100"/>
        <v>55.09</v>
      </c>
    </row>
    <row r="816" spans="1:10" ht="12.75" customHeight="1">
      <c r="A816" s="1019"/>
      <c r="B816" s="1020"/>
      <c r="C816" s="792" t="s">
        <v>418</v>
      </c>
      <c r="E816" s="986"/>
      <c r="F816" s="986">
        <f>ROUND(0.1*($I$805+$I$806+$I$807),2)</f>
        <v>22.62</v>
      </c>
      <c r="G816" s="986">
        <f>ROUND(0.2*($I$805+$I$806+$I$807),2)</f>
        <v>45.23</v>
      </c>
      <c r="H816" s="986">
        <f>ROUND(0.3*($I$805+$I$806+$I$807),2)</f>
        <v>67.849999999999994</v>
      </c>
      <c r="I816" s="986">
        <f>ROUND(0.4*($I$805+$I$806+$I$807),2)</f>
        <v>90.47</v>
      </c>
      <c r="J816" s="986">
        <f>ROUND(0.5*($I$805+$I$806+$I$807),2)</f>
        <v>113.09</v>
      </c>
    </row>
    <row r="817" spans="1:10" ht="12.75" customHeight="1">
      <c r="A817" s="1019"/>
      <c r="B817" s="1020"/>
      <c r="E817" s="986">
        <f t="shared" ref="E817:J817" si="101">SUM(E812:E816)</f>
        <v>801.83371200000011</v>
      </c>
      <c r="F817" s="986">
        <f t="shared" si="101"/>
        <v>869.65371200000016</v>
      </c>
      <c r="G817" s="986">
        <f t="shared" si="101"/>
        <v>937.43371200000013</v>
      </c>
      <c r="H817" s="986">
        <f t="shared" si="101"/>
        <v>1005.2437120000001</v>
      </c>
      <c r="I817" s="986">
        <f t="shared" si="101"/>
        <v>1073.0437120000001</v>
      </c>
      <c r="J817" s="986">
        <f t="shared" si="101"/>
        <v>1140.8337119999999</v>
      </c>
    </row>
    <row r="818" spans="1:10" ht="12.75" customHeight="1">
      <c r="A818" s="1019"/>
      <c r="B818" s="1020"/>
      <c r="C818" s="1220" t="s">
        <v>1014</v>
      </c>
      <c r="D818" s="1026">
        <f>$D$3</f>
        <v>0</v>
      </c>
      <c r="E818" s="986">
        <f t="shared" ref="E818:J818" si="102">ROUND(E817*$D$818,2)</f>
        <v>0</v>
      </c>
      <c r="F818" s="986">
        <f t="shared" si="102"/>
        <v>0</v>
      </c>
      <c r="G818" s="986">
        <f t="shared" si="102"/>
        <v>0</v>
      </c>
      <c r="H818" s="986">
        <f t="shared" si="102"/>
        <v>0</v>
      </c>
      <c r="I818" s="986">
        <f t="shared" si="102"/>
        <v>0</v>
      </c>
      <c r="J818" s="986">
        <f t="shared" si="102"/>
        <v>0</v>
      </c>
    </row>
    <row r="819" spans="1:10" ht="12.75" customHeight="1">
      <c r="A819" s="1019"/>
      <c r="B819" s="1020"/>
      <c r="C819" s="980" t="s">
        <v>324</v>
      </c>
      <c r="D819" s="980" t="s">
        <v>466</v>
      </c>
      <c r="E819" s="1012">
        <f t="shared" ref="E819:J819" si="103">CEILING(SUM(E817:E818),0.05)</f>
        <v>801.85</v>
      </c>
      <c r="F819" s="1012">
        <f t="shared" si="103"/>
        <v>869.7</v>
      </c>
      <c r="G819" s="1012">
        <f t="shared" si="103"/>
        <v>937.45</v>
      </c>
      <c r="H819" s="1012">
        <f t="shared" si="103"/>
        <v>1005.25</v>
      </c>
      <c r="I819" s="1012">
        <f t="shared" si="103"/>
        <v>1073.05</v>
      </c>
      <c r="J819" s="1012">
        <f t="shared" si="103"/>
        <v>1140.8500000000001</v>
      </c>
    </row>
    <row r="820" spans="1:10" ht="85.5" customHeight="1">
      <c r="A820" s="1019">
        <f>+A701+1</f>
        <v>16</v>
      </c>
      <c r="B820" s="1020"/>
      <c r="C820" s="1499" t="s">
        <v>1196</v>
      </c>
      <c r="D820" s="1499"/>
      <c r="E820" s="1499"/>
      <c r="F820" s="1499"/>
      <c r="G820" s="1499"/>
      <c r="H820" s="1499"/>
      <c r="I820" s="1499"/>
    </row>
    <row r="821" spans="1:10" ht="15.75" customHeight="1">
      <c r="A821" s="1019"/>
      <c r="B821" s="1020"/>
      <c r="C821" s="792" t="s">
        <v>340</v>
      </c>
      <c r="D821" s="1021">
        <v>0.22500000000000001</v>
      </c>
      <c r="E821" s="1003"/>
      <c r="F821" s="986"/>
      <c r="G821" s="1023"/>
      <c r="H821" s="1215"/>
      <c r="I821" s="986"/>
    </row>
    <row r="822" spans="1:10" ht="15.75" customHeight="1">
      <c r="A822" s="1019"/>
      <c r="B822" s="1020"/>
      <c r="C822" s="1214" t="s">
        <v>557</v>
      </c>
      <c r="D822" s="1021"/>
      <c r="E822" s="1003"/>
      <c r="F822" s="986"/>
      <c r="G822" s="1023"/>
      <c r="H822" s="1215"/>
      <c r="I822" s="986"/>
    </row>
    <row r="823" spans="1:10" ht="15.75" customHeight="1">
      <c r="A823" s="1019"/>
      <c r="B823" s="1020"/>
      <c r="C823" s="792" t="s">
        <v>325</v>
      </c>
      <c r="D823" s="1005">
        <v>99</v>
      </c>
      <c r="E823" s="1008" t="s">
        <v>327</v>
      </c>
      <c r="F823" s="986">
        <f>LEAD!P22</f>
        <v>27000</v>
      </c>
      <c r="G823" s="1021">
        <v>1000</v>
      </c>
      <c r="H823" s="991" t="s">
        <v>327</v>
      </c>
      <c r="I823" s="986">
        <f t="shared" ref="I823:I830" si="104">IF(G823="",D823*F823,(D823*F823/G823))</f>
        <v>2673</v>
      </c>
    </row>
    <row r="824" spans="1:10" ht="15.75" customHeight="1">
      <c r="A824" s="1019"/>
      <c r="B824" s="1020"/>
      <c r="C824" s="792" t="s">
        <v>306</v>
      </c>
      <c r="D824" s="1005">
        <f>0.1*180</f>
        <v>18</v>
      </c>
      <c r="E824" s="1008" t="s">
        <v>364</v>
      </c>
      <c r="F824" s="986">
        <f>ROUND(LEAD!$P$28/1000,2)</f>
        <v>7.17</v>
      </c>
      <c r="G824" s="1023">
        <v>1</v>
      </c>
      <c r="H824" s="991" t="str">
        <f>E824</f>
        <v>Kgs</v>
      </c>
      <c r="I824" s="986">
        <f>IF(G824="",D824*F824,(D824*F824/G824))</f>
        <v>129.06</v>
      </c>
    </row>
    <row r="825" spans="1:10" ht="15.75" customHeight="1">
      <c r="A825" s="1019"/>
      <c r="B825" s="1020"/>
      <c r="C825" s="792" t="s">
        <v>307</v>
      </c>
      <c r="D825" s="1005">
        <f>0.1</f>
        <v>0.1</v>
      </c>
      <c r="E825" s="1008" t="s">
        <v>529</v>
      </c>
      <c r="F825" s="986">
        <f>LEAD!$P$7</f>
        <v>437.11999999999983</v>
      </c>
      <c r="G825" s="1023">
        <v>1</v>
      </c>
      <c r="H825" s="991" t="s">
        <v>529</v>
      </c>
      <c r="I825" s="986">
        <f t="shared" si="104"/>
        <v>43.711999999999989</v>
      </c>
    </row>
    <row r="826" spans="1:10" ht="15.75" customHeight="1">
      <c r="A826" s="1019"/>
      <c r="B826" s="1020"/>
      <c r="C826" s="1214" t="s">
        <v>690</v>
      </c>
      <c r="D826" s="1005"/>
      <c r="E826" s="1008"/>
      <c r="F826" s="986"/>
      <c r="G826" s="1023"/>
      <c r="H826" s="991"/>
      <c r="I826" s="986"/>
    </row>
    <row r="827" spans="1:10" ht="15.75" customHeight="1">
      <c r="A827" s="1019"/>
      <c r="B827" s="1020"/>
      <c r="C827" s="792" t="s">
        <v>395</v>
      </c>
      <c r="D827" s="1021">
        <v>0.42</v>
      </c>
      <c r="E827" s="1008" t="s">
        <v>529</v>
      </c>
      <c r="F827" s="986">
        <f>$F$9</f>
        <v>624</v>
      </c>
      <c r="G827" s="1023">
        <v>1</v>
      </c>
      <c r="H827" s="991" t="s">
        <v>529</v>
      </c>
      <c r="I827" s="986">
        <f t="shared" si="104"/>
        <v>262.08</v>
      </c>
    </row>
    <row r="828" spans="1:10" ht="15.75" customHeight="1">
      <c r="A828" s="1019"/>
      <c r="B828" s="1020"/>
      <c r="C828" s="792" t="s">
        <v>630</v>
      </c>
      <c r="D828" s="1021">
        <v>0.92</v>
      </c>
      <c r="E828" s="1008" t="s">
        <v>499</v>
      </c>
      <c r="F828" s="986">
        <f>$F$10</f>
        <v>588</v>
      </c>
      <c r="G828" s="1023">
        <v>1</v>
      </c>
      <c r="H828" s="991" t="s">
        <v>268</v>
      </c>
      <c r="I828" s="986">
        <f t="shared" si="104"/>
        <v>540.96</v>
      </c>
    </row>
    <row r="829" spans="1:10" ht="15.75" customHeight="1">
      <c r="A829" s="1019"/>
      <c r="B829" s="1020"/>
      <c r="C829" s="792" t="s">
        <v>396</v>
      </c>
      <c r="D829" s="1021">
        <v>0.7</v>
      </c>
      <c r="E829" s="1008" t="s">
        <v>499</v>
      </c>
      <c r="F829" s="986">
        <f>$F$22</f>
        <v>558</v>
      </c>
      <c r="G829" s="1023">
        <v>1</v>
      </c>
      <c r="H829" s="991" t="s">
        <v>268</v>
      </c>
      <c r="I829" s="986">
        <f t="shared" si="104"/>
        <v>390.59999999999997</v>
      </c>
    </row>
    <row r="830" spans="1:10" ht="15.75" customHeight="1">
      <c r="A830" s="1019"/>
      <c r="B830" s="1020"/>
      <c r="C830" s="792" t="s">
        <v>397</v>
      </c>
      <c r="D830" s="1021">
        <v>2.1</v>
      </c>
      <c r="E830" s="1008" t="s">
        <v>499</v>
      </c>
      <c r="F830" s="986">
        <f>$F$23</f>
        <v>558</v>
      </c>
      <c r="G830" s="1023">
        <v>1</v>
      </c>
      <c r="H830" s="991" t="s">
        <v>268</v>
      </c>
      <c r="I830" s="986">
        <f t="shared" si="104"/>
        <v>1171.8</v>
      </c>
    </row>
    <row r="831" spans="1:10" ht="15.75" customHeight="1">
      <c r="A831" s="1019"/>
      <c r="B831" s="1020"/>
      <c r="D831" s="1021"/>
      <c r="E831" s="1008"/>
      <c r="F831" s="986"/>
      <c r="G831" s="1023"/>
      <c r="H831" s="991"/>
      <c r="I831" s="986">
        <f>SUM(I823:I830)</f>
        <v>5211.2119999999995</v>
      </c>
    </row>
    <row r="832" spans="1:10" ht="15.75" customHeight="1">
      <c r="A832" s="1019"/>
      <c r="B832" s="1020"/>
      <c r="C832" s="792" t="s">
        <v>719</v>
      </c>
      <c r="D832" s="1050">
        <f>I831</f>
        <v>5211.2119999999995</v>
      </c>
      <c r="E832" s="1003"/>
      <c r="F832" s="986">
        <v>0.01</v>
      </c>
      <c r="G832" s="1023"/>
      <c r="I832" s="986">
        <f>ROUND(D832*F832,2)</f>
        <v>52.11</v>
      </c>
    </row>
    <row r="833" spans="1:10" ht="15.75" customHeight="1">
      <c r="A833" s="1019"/>
      <c r="B833" s="1020"/>
      <c r="C833" s="980" t="s">
        <v>379</v>
      </c>
      <c r="D833" s="1021"/>
      <c r="E833" s="1008"/>
      <c r="F833" s="986"/>
      <c r="G833" s="1023"/>
      <c r="H833" s="1215"/>
      <c r="I833" s="1012">
        <f>SUM(I831:I832)</f>
        <v>5263.3219999999992</v>
      </c>
    </row>
    <row r="834" spans="1:10" ht="15.75" customHeight="1">
      <c r="A834" s="1019"/>
      <c r="B834" s="1020"/>
      <c r="C834" s="1214" t="s">
        <v>428</v>
      </c>
      <c r="E834" s="1227" t="s">
        <v>501</v>
      </c>
      <c r="F834" s="1048" t="s">
        <v>502</v>
      </c>
      <c r="G834" s="1227" t="s">
        <v>503</v>
      </c>
      <c r="H834" s="1048" t="s">
        <v>709</v>
      </c>
      <c r="I834" s="1048" t="s">
        <v>502</v>
      </c>
      <c r="J834" s="1048" t="s">
        <v>502</v>
      </c>
    </row>
    <row r="835" spans="1:10" ht="15.75" customHeight="1">
      <c r="A835" s="1019"/>
      <c r="B835" s="1020"/>
      <c r="C835" s="792" t="s">
        <v>488</v>
      </c>
      <c r="E835" s="986">
        <f t="shared" ref="E835:J835" si="105">$I$833</f>
        <v>5263.3219999999992</v>
      </c>
      <c r="F835" s="986">
        <f t="shared" si="105"/>
        <v>5263.3219999999992</v>
      </c>
      <c r="G835" s="986">
        <f t="shared" si="105"/>
        <v>5263.3219999999992</v>
      </c>
      <c r="H835" s="986">
        <f t="shared" si="105"/>
        <v>5263.3219999999992</v>
      </c>
      <c r="I835" s="986">
        <f t="shared" si="105"/>
        <v>5263.3219999999992</v>
      </c>
      <c r="J835" s="986">
        <f t="shared" si="105"/>
        <v>5263.3219999999992</v>
      </c>
    </row>
    <row r="836" spans="1:10" ht="15.75" customHeight="1">
      <c r="A836" s="1019"/>
      <c r="B836" s="1020"/>
      <c r="C836" s="792" t="s">
        <v>336</v>
      </c>
      <c r="E836" s="986">
        <f>ROUND($F$69/$D$821,2)</f>
        <v>45.87</v>
      </c>
      <c r="F836" s="986">
        <f>ROUND($F$70/$D$821,2)</f>
        <v>45.87</v>
      </c>
      <c r="G836" s="986">
        <f>ROUND($F$71/$D$821,2)</f>
        <v>45.87</v>
      </c>
      <c r="H836" s="986">
        <f>ROUND($F$72/$D$821,2)</f>
        <v>45.87</v>
      </c>
      <c r="I836" s="986">
        <f>ROUND($F$72/$D$821,2)</f>
        <v>45.87</v>
      </c>
      <c r="J836" s="986">
        <f>ROUND($F$72/$D$821,2)</f>
        <v>45.87</v>
      </c>
    </row>
    <row r="837" spans="1:10" ht="15.75" customHeight="1">
      <c r="A837" s="1019"/>
      <c r="B837" s="1020"/>
      <c r="C837" s="792" t="s">
        <v>337</v>
      </c>
      <c r="E837" s="986">
        <f>ROUND($H$69/$D$821,2)</f>
        <v>387.47</v>
      </c>
      <c r="F837" s="986">
        <f>ROUND($H$70/$D$821,2)</f>
        <v>554.89</v>
      </c>
      <c r="G837" s="986">
        <f>ROUND($H$71/$D$821,2)</f>
        <v>722.18</v>
      </c>
      <c r="H837" s="986">
        <f>ROUND($H$72/$D$821,2)</f>
        <v>889.56</v>
      </c>
      <c r="I837" s="986">
        <f>ROUND($H$73/$D$821,2)</f>
        <v>1056.8900000000001</v>
      </c>
      <c r="J837" s="986">
        <f>ROUND($H$74/$D$821,2)</f>
        <v>1224.18</v>
      </c>
    </row>
    <row r="838" spans="1:10" ht="15.75" customHeight="1">
      <c r="A838" s="1019"/>
      <c r="B838" s="1020"/>
      <c r="C838" s="792" t="s">
        <v>338</v>
      </c>
      <c r="D838" s="1049">
        <f>$E$5</f>
        <v>0.2</v>
      </c>
      <c r="E838" s="986">
        <f t="shared" ref="E838:J838" si="106">ROUND($D$838*E837,2)</f>
        <v>77.489999999999995</v>
      </c>
      <c r="F838" s="986">
        <f t="shared" si="106"/>
        <v>110.98</v>
      </c>
      <c r="G838" s="986">
        <f t="shared" si="106"/>
        <v>144.44</v>
      </c>
      <c r="H838" s="986">
        <f t="shared" si="106"/>
        <v>177.91</v>
      </c>
      <c r="I838" s="986">
        <f t="shared" si="106"/>
        <v>211.38</v>
      </c>
      <c r="J838" s="986">
        <f t="shared" si="106"/>
        <v>244.84</v>
      </c>
    </row>
    <row r="839" spans="1:10" ht="15.75" customHeight="1">
      <c r="A839" s="1019"/>
      <c r="B839" s="1020"/>
      <c r="C839" s="792" t="s">
        <v>418</v>
      </c>
      <c r="E839" s="986"/>
      <c r="F839" s="986">
        <f>ROUND(0.1*($I$827+$I$828+$I$829+$I$830),2)</f>
        <v>236.54</v>
      </c>
      <c r="G839" s="986">
        <f>ROUND(0.2*($I$827+$I$828+$I$829+$I$830),2)</f>
        <v>473.09</v>
      </c>
      <c r="H839" s="986">
        <f>ROUND(0.3*($I$827+$I$828+$I$829+$I$830),2)</f>
        <v>709.63</v>
      </c>
      <c r="I839" s="986">
        <f>ROUND(0.4*($I$827+$I$828+$I$829+$I$830),2)</f>
        <v>946.18</v>
      </c>
      <c r="J839" s="986">
        <f>ROUND(0.5*($I$827+$I$828+$I$829+$I$830),2)</f>
        <v>1182.72</v>
      </c>
    </row>
    <row r="840" spans="1:10" ht="15.75" customHeight="1">
      <c r="A840" s="1019"/>
      <c r="B840" s="1020"/>
      <c r="E840" s="986">
        <f t="shared" ref="E840:J840" si="107">SUM(E835:E839)</f>
        <v>5774.1519999999991</v>
      </c>
      <c r="F840" s="986">
        <f t="shared" si="107"/>
        <v>6211.601999999999</v>
      </c>
      <c r="G840" s="986">
        <f t="shared" si="107"/>
        <v>6648.9019999999991</v>
      </c>
      <c r="H840" s="986">
        <f t="shared" si="107"/>
        <v>7086.2919999999986</v>
      </c>
      <c r="I840" s="986">
        <f t="shared" si="107"/>
        <v>7523.6419999999998</v>
      </c>
      <c r="J840" s="986">
        <f t="shared" si="107"/>
        <v>7960.9319999999998</v>
      </c>
    </row>
    <row r="841" spans="1:10" ht="15.75" customHeight="1">
      <c r="A841" s="1019"/>
      <c r="B841" s="1020"/>
      <c r="C841" s="1220" t="s">
        <v>1014</v>
      </c>
      <c r="D841" s="1026">
        <f>$D$3</f>
        <v>0</v>
      </c>
      <c r="E841" s="986">
        <f t="shared" ref="E841:J841" si="108">ROUND(E840*$D$841,2)</f>
        <v>0</v>
      </c>
      <c r="F841" s="986">
        <f t="shared" si="108"/>
        <v>0</v>
      </c>
      <c r="G841" s="986">
        <f t="shared" si="108"/>
        <v>0</v>
      </c>
      <c r="H841" s="986">
        <f t="shared" si="108"/>
        <v>0</v>
      </c>
      <c r="I841" s="986">
        <f t="shared" si="108"/>
        <v>0</v>
      </c>
      <c r="J841" s="986">
        <f t="shared" si="108"/>
        <v>0</v>
      </c>
    </row>
    <row r="842" spans="1:10" ht="15.75" customHeight="1">
      <c r="A842" s="1019"/>
      <c r="B842" s="1020"/>
      <c r="C842" s="980" t="s">
        <v>308</v>
      </c>
      <c r="D842" s="980" t="s">
        <v>466</v>
      </c>
      <c r="E842" s="1012">
        <f t="shared" ref="E842:J842" si="109">CEILING(SUM(E840:E841),0.05)</f>
        <v>5774.2000000000007</v>
      </c>
      <c r="F842" s="1012">
        <f t="shared" si="109"/>
        <v>6211.6500000000005</v>
      </c>
      <c r="G842" s="1012">
        <f t="shared" si="109"/>
        <v>6648.9500000000007</v>
      </c>
      <c r="H842" s="1012">
        <f t="shared" si="109"/>
        <v>7086.3</v>
      </c>
      <c r="I842" s="1012">
        <f t="shared" si="109"/>
        <v>7523.6500000000005</v>
      </c>
      <c r="J842" s="1012">
        <f t="shared" si="109"/>
        <v>7960.9500000000007</v>
      </c>
    </row>
    <row r="843" spans="1:10" ht="15.75" customHeight="1">
      <c r="A843" s="1019"/>
      <c r="B843" s="1020"/>
      <c r="C843" s="980"/>
      <c r="D843" s="980"/>
      <c r="E843" s="1012"/>
      <c r="F843" s="1012"/>
      <c r="G843" s="1012"/>
      <c r="H843" s="1012"/>
    </row>
    <row r="844" spans="1:10" ht="12.75" customHeight="1">
      <c r="A844" s="1019">
        <f>A820+1</f>
        <v>17</v>
      </c>
      <c r="B844" s="1020"/>
      <c r="C844" s="1499" t="s">
        <v>1197</v>
      </c>
      <c r="D844" s="1499"/>
      <c r="E844" s="1499"/>
      <c r="F844" s="1499"/>
      <c r="G844" s="1499"/>
      <c r="H844" s="1499"/>
      <c r="I844" s="1499"/>
    </row>
    <row r="845" spans="1:10" ht="12.75" customHeight="1">
      <c r="A845" s="1019"/>
      <c r="B845" s="1020"/>
      <c r="C845" s="792" t="s">
        <v>340</v>
      </c>
      <c r="D845" s="1021">
        <v>0.22500000000000001</v>
      </c>
      <c r="E845" s="1003"/>
      <c r="F845" s="986"/>
      <c r="G845" s="1023"/>
      <c r="H845" s="1215"/>
      <c r="I845" s="986"/>
    </row>
    <row r="846" spans="1:10" ht="12.75" customHeight="1">
      <c r="A846" s="1019"/>
      <c r="B846" s="1020"/>
      <c r="C846" s="1214" t="s">
        <v>557</v>
      </c>
      <c r="D846" s="1021"/>
      <c r="E846" s="1003"/>
      <c r="F846" s="986"/>
      <c r="G846" s="1023"/>
      <c r="H846" s="1215"/>
      <c r="I846" s="986"/>
    </row>
    <row r="847" spans="1:10" ht="12.75" customHeight="1">
      <c r="A847" s="1019"/>
      <c r="B847" s="1020"/>
      <c r="C847" s="792" t="s">
        <v>325</v>
      </c>
      <c r="D847" s="1005">
        <v>99</v>
      </c>
      <c r="E847" s="1008" t="s">
        <v>327</v>
      </c>
      <c r="F847" s="986">
        <f>LEAD!P22</f>
        <v>27000</v>
      </c>
      <c r="G847" s="1021">
        <v>1000</v>
      </c>
      <c r="H847" s="991" t="s">
        <v>327</v>
      </c>
      <c r="I847" s="986">
        <f>IF(G847="",D847*F847,(D847*F847/G847))</f>
        <v>2673</v>
      </c>
    </row>
    <row r="848" spans="1:10" ht="12.75" customHeight="1">
      <c r="A848" s="1019"/>
      <c r="B848" s="1020"/>
      <c r="C848" s="792" t="s">
        <v>306</v>
      </c>
      <c r="D848" s="1005">
        <f>0.1*240</f>
        <v>24</v>
      </c>
      <c r="E848" s="1008" t="s">
        <v>364</v>
      </c>
      <c r="F848" s="986">
        <f>ROUND(LEAD!$P$28/1000,2)</f>
        <v>7.17</v>
      </c>
      <c r="G848" s="1023">
        <v>1</v>
      </c>
      <c r="H848" s="991" t="str">
        <f>E848</f>
        <v>Kgs</v>
      </c>
      <c r="I848" s="986">
        <f>IF(G848="",D848*F848,(D848*F848/G848))</f>
        <v>172.07999999999998</v>
      </c>
    </row>
    <row r="849" spans="1:9" ht="12.75" customHeight="1">
      <c r="A849" s="1019"/>
      <c r="B849" s="1020"/>
      <c r="C849" s="792" t="s">
        <v>307</v>
      </c>
      <c r="D849" s="1005">
        <f>0.1</f>
        <v>0.1</v>
      </c>
      <c r="E849" s="1008" t="s">
        <v>529</v>
      </c>
      <c r="F849" s="986">
        <f>LEAD!$P$7</f>
        <v>437.11999999999983</v>
      </c>
      <c r="G849" s="1023">
        <v>1</v>
      </c>
      <c r="H849" s="991" t="s">
        <v>529</v>
      </c>
      <c r="I849" s="986">
        <f>IF(G849="",D849*F849,(D849*F849/G849))</f>
        <v>43.711999999999989</v>
      </c>
    </row>
    <row r="850" spans="1:9" ht="12.75" customHeight="1">
      <c r="A850" s="1019"/>
      <c r="B850" s="1020"/>
      <c r="C850" s="1214" t="s">
        <v>690</v>
      </c>
      <c r="D850" s="1005"/>
      <c r="E850" s="1008"/>
      <c r="F850" s="986"/>
      <c r="G850" s="1023"/>
      <c r="H850" s="991"/>
      <c r="I850" s="986"/>
    </row>
    <row r="851" spans="1:9" ht="12.75" customHeight="1">
      <c r="A851" s="1019"/>
      <c r="B851" s="1020"/>
      <c r="C851" s="792" t="s">
        <v>395</v>
      </c>
      <c r="D851" s="1021">
        <v>0.42</v>
      </c>
      <c r="E851" s="1008" t="s">
        <v>529</v>
      </c>
      <c r="F851" s="986">
        <f>$F$9</f>
        <v>624</v>
      </c>
      <c r="G851" s="1023">
        <v>1</v>
      </c>
      <c r="H851" s="991" t="s">
        <v>529</v>
      </c>
      <c r="I851" s="986">
        <f>IF(G851="",D851*F851,(D851*F851/G851))</f>
        <v>262.08</v>
      </c>
    </row>
    <row r="852" spans="1:9" ht="12.75" customHeight="1">
      <c r="A852" s="1019"/>
      <c r="B852" s="1020"/>
      <c r="C852" s="792" t="s">
        <v>630</v>
      </c>
      <c r="D852" s="1021">
        <v>0.92</v>
      </c>
      <c r="E852" s="1008" t="s">
        <v>499</v>
      </c>
      <c r="F852" s="986">
        <f>$F$10</f>
        <v>588</v>
      </c>
      <c r="G852" s="1023">
        <v>1</v>
      </c>
      <c r="H852" s="991" t="s">
        <v>268</v>
      </c>
      <c r="I852" s="986">
        <f>IF(G852="",D852*F852,(D852*F852/G852))</f>
        <v>540.96</v>
      </c>
    </row>
    <row r="853" spans="1:9" ht="12.75" customHeight="1">
      <c r="A853" s="1019"/>
      <c r="B853" s="1020"/>
      <c r="C853" s="792" t="s">
        <v>396</v>
      </c>
      <c r="D853" s="1021">
        <v>0.7</v>
      </c>
      <c r="E853" s="1008" t="s">
        <v>499</v>
      </c>
      <c r="F853" s="986">
        <f>$F$22</f>
        <v>558</v>
      </c>
      <c r="G853" s="1023">
        <v>1</v>
      </c>
      <c r="H853" s="991" t="s">
        <v>268</v>
      </c>
      <c r="I853" s="986">
        <f>IF(G853="",D853*F853,(D853*F853/G853))</f>
        <v>390.59999999999997</v>
      </c>
    </row>
    <row r="854" spans="1:9" ht="12.75" customHeight="1">
      <c r="A854" s="1019"/>
      <c r="B854" s="1020"/>
      <c r="C854" s="792" t="s">
        <v>397</v>
      </c>
      <c r="D854" s="1021">
        <v>2.1</v>
      </c>
      <c r="E854" s="1008" t="s">
        <v>499</v>
      </c>
      <c r="F854" s="986">
        <f>$F$23</f>
        <v>558</v>
      </c>
      <c r="G854" s="1023">
        <v>1</v>
      </c>
      <c r="H854" s="991" t="s">
        <v>268</v>
      </c>
      <c r="I854" s="986">
        <f>IF(G854="",D854*F854,(D854*F854/G854))</f>
        <v>1171.8</v>
      </c>
    </row>
    <row r="855" spans="1:9" ht="12.75" customHeight="1">
      <c r="A855" s="1019"/>
      <c r="B855" s="1020"/>
      <c r="C855" s="980" t="s">
        <v>513</v>
      </c>
      <c r="D855" s="1021"/>
      <c r="E855" s="1008"/>
      <c r="F855" s="986"/>
      <c r="G855" s="1023"/>
      <c r="H855" s="1215"/>
      <c r="I855" s="986">
        <f>SUM(I847:I854)</f>
        <v>5254.232</v>
      </c>
    </row>
    <row r="856" spans="1:9" ht="25.5" customHeight="1">
      <c r="A856" s="1019"/>
      <c r="B856" s="1020"/>
      <c r="C856" s="792" t="s">
        <v>719</v>
      </c>
      <c r="D856" s="1050">
        <f>I855</f>
        <v>5254.232</v>
      </c>
      <c r="E856" s="1003"/>
      <c r="F856" s="986">
        <v>0.01</v>
      </c>
      <c r="G856" s="1023"/>
      <c r="I856" s="986">
        <f>ROUND(D856*F856,2)</f>
        <v>52.54</v>
      </c>
    </row>
    <row r="857" spans="1:9" ht="12.75" customHeight="1">
      <c r="A857" s="1019"/>
      <c r="B857" s="1020"/>
      <c r="D857" s="1050"/>
      <c r="E857" s="1003"/>
      <c r="F857" s="986"/>
      <c r="G857" s="1023"/>
      <c r="I857" s="986">
        <f>SUM(I855:I856)</f>
        <v>5306.7719999999999</v>
      </c>
    </row>
    <row r="858" spans="1:9" ht="12.75" customHeight="1">
      <c r="A858" s="1019"/>
      <c r="B858" s="1020"/>
      <c r="C858" s="1220" t="s">
        <v>1014</v>
      </c>
      <c r="D858" s="1026">
        <f>$D$3</f>
        <v>0</v>
      </c>
      <c r="E858" s="1012"/>
      <c r="F858" s="1012"/>
      <c r="G858" s="1012"/>
      <c r="H858" s="1012"/>
      <c r="I858" s="979">
        <f>ROUND(D858*I857,2)</f>
        <v>0</v>
      </c>
    </row>
    <row r="859" spans="1:9" ht="12.75" customHeight="1">
      <c r="A859" s="1019"/>
      <c r="B859" s="1020"/>
      <c r="C859" s="980" t="s">
        <v>379</v>
      </c>
      <c r="D859" s="980"/>
      <c r="E859" s="1012"/>
      <c r="F859" s="1012"/>
      <c r="G859" s="1012"/>
      <c r="H859" s="1012"/>
      <c r="I859" s="998">
        <f>CEILING(SUM(I857:I858),0.05)</f>
        <v>5306.8</v>
      </c>
    </row>
    <row r="860" spans="1:9">
      <c r="A860" s="1019"/>
      <c r="B860" s="1020"/>
      <c r="C860" s="980"/>
      <c r="D860" s="980"/>
      <c r="E860" s="1012"/>
      <c r="F860" s="1012"/>
      <c r="G860" s="1012"/>
      <c r="H860" s="1012"/>
    </row>
    <row r="861" spans="1:9" ht="12.75" customHeight="1">
      <c r="A861" s="1019">
        <f>+A820+1</f>
        <v>17</v>
      </c>
      <c r="B861" s="1020"/>
      <c r="C861" s="1499" t="s">
        <v>720</v>
      </c>
      <c r="D861" s="1499"/>
      <c r="E861" s="1499"/>
      <c r="F861" s="1499"/>
      <c r="G861" s="1499"/>
      <c r="H861" s="1499"/>
      <c r="I861" s="1499"/>
    </row>
    <row r="862" spans="1:9" ht="12.75" customHeight="1">
      <c r="A862" s="1019"/>
      <c r="B862" s="1020"/>
      <c r="C862" s="1214" t="s">
        <v>557</v>
      </c>
      <c r="D862" s="1021"/>
      <c r="E862" s="1003"/>
      <c r="F862" s="986"/>
      <c r="G862" s="1023"/>
      <c r="H862" s="1215"/>
      <c r="I862" s="986"/>
    </row>
    <row r="863" spans="1:9" ht="12.75" customHeight="1">
      <c r="A863" s="1019"/>
      <c r="B863" s="1020"/>
      <c r="C863" s="792" t="s">
        <v>516</v>
      </c>
      <c r="D863" s="1005">
        <v>22</v>
      </c>
      <c r="E863" s="1008" t="s">
        <v>327</v>
      </c>
      <c r="F863" s="986">
        <f>LEAD!P21</f>
        <v>12000</v>
      </c>
      <c r="G863" s="1021">
        <v>1000</v>
      </c>
      <c r="H863" s="991" t="s">
        <v>327</v>
      </c>
      <c r="I863" s="986">
        <f t="shared" ref="I863:I869" si="110">IF(G863="",D863*F863,(D863*F863/G863))</f>
        <v>264</v>
      </c>
    </row>
    <row r="864" spans="1:9" ht="12.75" customHeight="1">
      <c r="A864" s="1019"/>
      <c r="B864" s="1020"/>
      <c r="C864" s="792" t="s">
        <v>568</v>
      </c>
      <c r="D864" s="1005">
        <f>D865*360</f>
        <v>7.2</v>
      </c>
      <c r="E864" s="1008" t="s">
        <v>364</v>
      </c>
      <c r="F864" s="986">
        <f>ROUND(LEAD!$P$28/1000,2)</f>
        <v>7.17</v>
      </c>
      <c r="G864" s="1021"/>
      <c r="H864" s="991" t="str">
        <f>E864</f>
        <v>Kgs</v>
      </c>
      <c r="I864" s="986">
        <f t="shared" si="110"/>
        <v>51.624000000000002</v>
      </c>
    </row>
    <row r="865" spans="1:10" ht="12.75" customHeight="1">
      <c r="A865" s="1019"/>
      <c r="B865" s="1020"/>
      <c r="C865" s="792" t="s">
        <v>567</v>
      </c>
      <c r="D865" s="1005">
        <f>0.02</f>
        <v>0.02</v>
      </c>
      <c r="E865" s="1008" t="s">
        <v>529</v>
      </c>
      <c r="F865" s="986">
        <f>LEAD!$P$7</f>
        <v>437.11999999999983</v>
      </c>
      <c r="G865" s="1023">
        <v>1</v>
      </c>
      <c r="H865" s="991" t="s">
        <v>529</v>
      </c>
      <c r="I865" s="986">
        <f t="shared" si="110"/>
        <v>8.7423999999999964</v>
      </c>
    </row>
    <row r="866" spans="1:10" ht="12.75" customHeight="1">
      <c r="A866" s="1019"/>
      <c r="B866" s="1020"/>
      <c r="C866" s="1214" t="s">
        <v>690</v>
      </c>
      <c r="D866" s="1005"/>
      <c r="E866" s="1008"/>
      <c r="F866" s="986"/>
      <c r="G866" s="1023"/>
      <c r="H866" s="991"/>
      <c r="I866" s="986"/>
    </row>
    <row r="867" spans="1:10" ht="12.75" customHeight="1">
      <c r="A867" s="1019"/>
      <c r="B867" s="1020"/>
      <c r="C867" s="792" t="s">
        <v>395</v>
      </c>
      <c r="D867" s="1021">
        <v>0.06</v>
      </c>
      <c r="E867" s="1008" t="s">
        <v>529</v>
      </c>
      <c r="F867" s="986">
        <f>$F$9</f>
        <v>624</v>
      </c>
      <c r="G867" s="1023">
        <v>1</v>
      </c>
      <c r="H867" s="991" t="s">
        <v>529</v>
      </c>
      <c r="I867" s="986">
        <f t="shared" si="110"/>
        <v>37.44</v>
      </c>
    </row>
    <row r="868" spans="1:10" ht="12.75" customHeight="1">
      <c r="A868" s="1019"/>
      <c r="B868" s="1020"/>
      <c r="C868" s="792" t="s">
        <v>630</v>
      </c>
      <c r="D868" s="1021">
        <v>0.06</v>
      </c>
      <c r="E868" s="1008" t="s">
        <v>499</v>
      </c>
      <c r="F868" s="986">
        <f>$F$10</f>
        <v>588</v>
      </c>
      <c r="G868" s="1023">
        <v>1</v>
      </c>
      <c r="H868" s="991" t="s">
        <v>268</v>
      </c>
      <c r="I868" s="986">
        <f t="shared" si="110"/>
        <v>35.28</v>
      </c>
    </row>
    <row r="869" spans="1:10" ht="12.75" customHeight="1">
      <c r="A869" s="1019"/>
      <c r="B869" s="1020"/>
      <c r="C869" s="792" t="s">
        <v>396</v>
      </c>
      <c r="D869" s="1021">
        <v>0.27500000000000002</v>
      </c>
      <c r="E869" s="1008" t="s">
        <v>499</v>
      </c>
      <c r="F869" s="986">
        <f>$F$22</f>
        <v>558</v>
      </c>
      <c r="G869" s="1023">
        <v>1</v>
      </c>
      <c r="H869" s="991" t="s">
        <v>268</v>
      </c>
      <c r="I869" s="986">
        <f t="shared" si="110"/>
        <v>153.45000000000002</v>
      </c>
    </row>
    <row r="870" spans="1:10" ht="12.75" customHeight="1">
      <c r="A870" s="1019"/>
      <c r="B870" s="1020"/>
      <c r="D870" s="1021"/>
      <c r="E870" s="1008"/>
      <c r="F870" s="986"/>
      <c r="G870" s="1023"/>
      <c r="H870" s="991"/>
      <c r="I870" s="986">
        <f>SUM(I863:I869)</f>
        <v>550.53640000000007</v>
      </c>
    </row>
    <row r="871" spans="1:10" ht="25.5" customHeight="1">
      <c r="A871" s="1019"/>
      <c r="B871" s="1020"/>
      <c r="C871" s="792" t="s">
        <v>719</v>
      </c>
      <c r="D871" s="1050">
        <f>I870</f>
        <v>550.53640000000007</v>
      </c>
      <c r="E871" s="1003"/>
      <c r="F871" s="986">
        <v>0.01</v>
      </c>
      <c r="G871" s="1023"/>
      <c r="I871" s="986">
        <f>ROUND(D871*F871,2)</f>
        <v>5.51</v>
      </c>
    </row>
    <row r="872" spans="1:10" ht="12.75" customHeight="1">
      <c r="A872" s="1019"/>
      <c r="B872" s="1020"/>
      <c r="C872" s="980" t="s">
        <v>310</v>
      </c>
      <c r="D872" s="1021"/>
      <c r="E872" s="1008"/>
      <c r="F872" s="986"/>
      <c r="G872" s="1023"/>
      <c r="H872" s="1215"/>
      <c r="I872" s="1012">
        <f>SUM(I870:I871)</f>
        <v>556.04640000000006</v>
      </c>
    </row>
    <row r="873" spans="1:10" ht="12.75" customHeight="1">
      <c r="A873" s="1019"/>
      <c r="B873" s="1020"/>
      <c r="C873" s="1214" t="s">
        <v>428</v>
      </c>
      <c r="E873" s="1227" t="s">
        <v>501</v>
      </c>
      <c r="F873" s="1048" t="s">
        <v>502</v>
      </c>
      <c r="G873" s="1227" t="s">
        <v>503</v>
      </c>
      <c r="H873" s="1048" t="s">
        <v>709</v>
      </c>
      <c r="I873" s="1048" t="s">
        <v>502</v>
      </c>
      <c r="J873" s="1048" t="s">
        <v>502</v>
      </c>
    </row>
    <row r="874" spans="1:10" ht="12.75" customHeight="1">
      <c r="A874" s="1019"/>
      <c r="B874" s="1020"/>
      <c r="C874" s="792" t="s">
        <v>311</v>
      </c>
      <c r="E874" s="986">
        <f t="shared" ref="E874:J874" si="111">$I$872</f>
        <v>556.04640000000006</v>
      </c>
      <c r="F874" s="986">
        <f t="shared" si="111"/>
        <v>556.04640000000006</v>
      </c>
      <c r="G874" s="986">
        <f t="shared" si="111"/>
        <v>556.04640000000006</v>
      </c>
      <c r="H874" s="986">
        <f t="shared" si="111"/>
        <v>556.04640000000006</v>
      </c>
      <c r="I874" s="986">
        <f t="shared" si="111"/>
        <v>556.04640000000006</v>
      </c>
      <c r="J874" s="986">
        <f t="shared" si="111"/>
        <v>556.04640000000006</v>
      </c>
    </row>
    <row r="875" spans="1:10" ht="12.75" customHeight="1">
      <c r="A875" s="1019"/>
      <c r="B875" s="1020"/>
      <c r="C875" s="792" t="s">
        <v>336</v>
      </c>
      <c r="E875" s="986">
        <f>ROUND($F$69/1,2)</f>
        <v>10.32</v>
      </c>
      <c r="F875" s="986">
        <f>ROUND($F$70/1,2)</f>
        <v>10.32</v>
      </c>
      <c r="G875" s="986">
        <f>ROUND($F$71/1,2)</f>
        <v>10.32</v>
      </c>
      <c r="H875" s="986">
        <f>ROUND($F$72/1,2)</f>
        <v>10.32</v>
      </c>
      <c r="I875" s="986">
        <f>ROUND($F$72/1,2)</f>
        <v>10.32</v>
      </c>
      <c r="J875" s="986">
        <f>ROUND($F$72/1,2)</f>
        <v>10.32</v>
      </c>
    </row>
    <row r="876" spans="1:10" ht="25.5" customHeight="1">
      <c r="A876" s="1019"/>
      <c r="B876" s="1020"/>
      <c r="C876" s="792" t="s">
        <v>337</v>
      </c>
      <c r="E876" s="986">
        <f>ROUND($H$69/1,2)</f>
        <v>87.18</v>
      </c>
      <c r="F876" s="986">
        <f>ROUND($H$70/1,2)</f>
        <v>124.85</v>
      </c>
      <c r="G876" s="986">
        <f>ROUND($H$71/1,2)</f>
        <v>162.49</v>
      </c>
      <c r="H876" s="986">
        <f>ROUND($H$72/1,2)</f>
        <v>200.15</v>
      </c>
      <c r="I876" s="986">
        <f>ROUND($H$73/1,2)</f>
        <v>237.8</v>
      </c>
      <c r="J876" s="986">
        <f>ROUND($H$74/1,2)</f>
        <v>275.44</v>
      </c>
    </row>
    <row r="877" spans="1:10" ht="12.75" customHeight="1">
      <c r="A877" s="1019"/>
      <c r="B877" s="1020"/>
      <c r="C877" s="792" t="s">
        <v>338</v>
      </c>
      <c r="D877" s="1049">
        <f>$E$5</f>
        <v>0.2</v>
      </c>
      <c r="E877" s="986">
        <f t="shared" ref="E877:J877" si="112">ROUND($D$877*E876,2)</f>
        <v>17.440000000000001</v>
      </c>
      <c r="F877" s="986">
        <f t="shared" si="112"/>
        <v>24.97</v>
      </c>
      <c r="G877" s="986">
        <f t="shared" si="112"/>
        <v>32.5</v>
      </c>
      <c r="H877" s="986">
        <f t="shared" si="112"/>
        <v>40.03</v>
      </c>
      <c r="I877" s="986">
        <f t="shared" si="112"/>
        <v>47.56</v>
      </c>
      <c r="J877" s="986">
        <f t="shared" si="112"/>
        <v>55.09</v>
      </c>
    </row>
    <row r="878" spans="1:10" ht="12.75" customHeight="1">
      <c r="A878" s="1019"/>
      <c r="B878" s="1020"/>
      <c r="C878" s="792" t="s">
        <v>418</v>
      </c>
      <c r="E878" s="986"/>
      <c r="F878" s="986">
        <f>ROUND(0.1*($I$867+$I$868+$I$869),2)</f>
        <v>22.62</v>
      </c>
      <c r="G878" s="986">
        <f>ROUND(0.2*($I$867+$I$868+$I$869),2)</f>
        <v>45.23</v>
      </c>
      <c r="H878" s="986">
        <f>ROUND(0.3*($I$867+$I$868+$I$869),2)</f>
        <v>67.849999999999994</v>
      </c>
      <c r="I878" s="986">
        <f>ROUND(0.4*($I$867+$I$868+$I$869),2)</f>
        <v>90.47</v>
      </c>
      <c r="J878" s="986">
        <f>ROUND(0.5*($I$867+$I$868+$I$869),2)</f>
        <v>113.09</v>
      </c>
    </row>
    <row r="879" spans="1:10" ht="12.75" customHeight="1">
      <c r="A879" s="1019"/>
      <c r="B879" s="1020"/>
      <c r="E879" s="986">
        <f t="shared" ref="E879:J879" si="113">SUM(E874:E878)</f>
        <v>670.98640000000023</v>
      </c>
      <c r="F879" s="986">
        <f t="shared" si="113"/>
        <v>738.80640000000017</v>
      </c>
      <c r="G879" s="986">
        <f t="shared" si="113"/>
        <v>806.58640000000014</v>
      </c>
      <c r="H879" s="986">
        <f t="shared" si="113"/>
        <v>874.39640000000009</v>
      </c>
      <c r="I879" s="986">
        <f t="shared" si="113"/>
        <v>942.19640000000004</v>
      </c>
      <c r="J879" s="986">
        <f t="shared" si="113"/>
        <v>1009.9864000000002</v>
      </c>
    </row>
    <row r="880" spans="1:10" ht="12.75" customHeight="1">
      <c r="A880" s="1019"/>
      <c r="B880" s="1020"/>
      <c r="C880" s="1220" t="s">
        <v>1014</v>
      </c>
      <c r="D880" s="1026">
        <f>$D$3</f>
        <v>0</v>
      </c>
      <c r="E880" s="986">
        <f t="shared" ref="E880:J880" si="114">ROUND(E879*$D$880,2)</f>
        <v>0</v>
      </c>
      <c r="F880" s="986">
        <f t="shared" si="114"/>
        <v>0</v>
      </c>
      <c r="G880" s="986">
        <f t="shared" si="114"/>
        <v>0</v>
      </c>
      <c r="H880" s="986">
        <f t="shared" si="114"/>
        <v>0</v>
      </c>
      <c r="I880" s="986">
        <f t="shared" si="114"/>
        <v>0</v>
      </c>
      <c r="J880" s="986">
        <f t="shared" si="114"/>
        <v>0</v>
      </c>
    </row>
    <row r="881" spans="1:18" ht="12.75" customHeight="1">
      <c r="A881" s="1019"/>
      <c r="B881" s="1020"/>
      <c r="C881" s="980" t="s">
        <v>324</v>
      </c>
      <c r="D881" s="980" t="s">
        <v>466</v>
      </c>
      <c r="E881" s="1012">
        <f t="shared" ref="E881:J881" si="115">CEILING(SUM(E879:E880),0.05)</f>
        <v>671</v>
      </c>
      <c r="F881" s="1012">
        <f t="shared" si="115"/>
        <v>738.85</v>
      </c>
      <c r="G881" s="1012">
        <f t="shared" si="115"/>
        <v>806.6</v>
      </c>
      <c r="H881" s="1012">
        <f t="shared" si="115"/>
        <v>874.40000000000009</v>
      </c>
      <c r="I881" s="1012">
        <f t="shared" si="115"/>
        <v>942.2</v>
      </c>
      <c r="J881" s="1012">
        <f t="shared" si="115"/>
        <v>1010</v>
      </c>
    </row>
    <row r="882" spans="1:18" s="1001" customFormat="1" ht="91.5" customHeight="1">
      <c r="A882" s="1019">
        <f>A861+1</f>
        <v>18</v>
      </c>
      <c r="B882" s="1020"/>
      <c r="C882" s="1493" t="s">
        <v>2405</v>
      </c>
      <c r="D882" s="1493"/>
      <c r="E882" s="1493"/>
      <c r="F882" s="1493"/>
      <c r="G882" s="1493"/>
      <c r="H882" s="1493"/>
      <c r="I882" s="1493"/>
      <c r="J882" s="979"/>
      <c r="K882" s="979"/>
      <c r="L882" s="1224"/>
      <c r="M882" s="979"/>
      <c r="N882" s="1224"/>
      <c r="O882" s="979"/>
      <c r="P882" s="1224"/>
      <c r="Q882" s="979"/>
      <c r="R882" s="979"/>
    </row>
    <row r="883" spans="1:18" s="1001" customFormat="1">
      <c r="A883" s="1019"/>
      <c r="B883" s="1020"/>
      <c r="C883" s="1214" t="s">
        <v>557</v>
      </c>
      <c r="D883" s="1021"/>
      <c r="E883" s="1003"/>
      <c r="F883" s="986"/>
      <c r="G883" s="1023"/>
      <c r="H883" s="1213"/>
      <c r="I883" s="986"/>
      <c r="J883" s="979"/>
      <c r="K883" s="979"/>
      <c r="L883" s="1224"/>
      <c r="M883" s="979"/>
      <c r="N883" s="1224"/>
      <c r="O883" s="979"/>
      <c r="P883" s="1224"/>
      <c r="Q883" s="979"/>
      <c r="R883" s="979"/>
    </row>
    <row r="884" spans="1:18" s="1001" customFormat="1">
      <c r="A884" s="1019"/>
      <c r="B884" s="1020"/>
      <c r="C884" s="792" t="s">
        <v>343</v>
      </c>
      <c r="D884" s="1021">
        <v>1.05</v>
      </c>
      <c r="E884" s="1003" t="s">
        <v>50</v>
      </c>
      <c r="F884" s="986">
        <f>LEAD!P30</f>
        <v>83780</v>
      </c>
      <c r="G884" s="1023">
        <v>1</v>
      </c>
      <c r="H884" s="991" t="str">
        <f>IF(E884="","",IF(E884="No.","Each",IF(E884="Nos.","Each",E884)))</f>
        <v>MT</v>
      </c>
      <c r="I884" s="986">
        <f>IF(G884="",D884*F884,(D884*F884/G884))</f>
        <v>87969</v>
      </c>
      <c r="J884" s="979"/>
      <c r="K884" s="979"/>
      <c r="L884" s="1224"/>
      <c r="M884" s="979"/>
      <c r="N884" s="1224"/>
      <c r="O884" s="979"/>
      <c r="P884" s="1224"/>
      <c r="Q884" s="979"/>
      <c r="R884" s="979"/>
    </row>
    <row r="885" spans="1:18" s="1001" customFormat="1">
      <c r="A885" s="1019"/>
      <c r="B885" s="1020"/>
      <c r="C885" s="792" t="s">
        <v>342</v>
      </c>
      <c r="D885" s="1021">
        <v>6</v>
      </c>
      <c r="E885" s="1003" t="s">
        <v>328</v>
      </c>
      <c r="F885" s="986">
        <f>$F$24</f>
        <v>60</v>
      </c>
      <c r="G885" s="1023">
        <v>1</v>
      </c>
      <c r="H885" s="991" t="str">
        <f>IF(E885="","",IF(E885="No.","Each",IF(E885="Nos.","Each",E885)))</f>
        <v>Kg</v>
      </c>
      <c r="I885" s="986">
        <f>IF(G885="",D885*F885,(D885*F885/G885))</f>
        <v>360</v>
      </c>
      <c r="J885" s="979"/>
      <c r="K885" s="979"/>
      <c r="L885" s="1224"/>
      <c r="M885" s="979"/>
      <c r="N885" s="1224"/>
      <c r="O885" s="979"/>
      <c r="P885" s="1224"/>
      <c r="Q885" s="979"/>
      <c r="R885" s="979"/>
    </row>
    <row r="886" spans="1:18" s="1001" customFormat="1">
      <c r="A886" s="1019"/>
      <c r="B886" s="1020"/>
      <c r="C886" s="1214" t="s">
        <v>690</v>
      </c>
      <c r="D886" s="1021"/>
      <c r="E886" s="1003"/>
      <c r="F886" s="986"/>
      <c r="G886" s="1023"/>
      <c r="H886" s="991"/>
      <c r="I886" s="986"/>
      <c r="J886" s="979"/>
      <c r="K886" s="979"/>
      <c r="L886" s="1224"/>
      <c r="M886" s="979"/>
      <c r="N886" s="1224"/>
      <c r="O886" s="979"/>
      <c r="P886" s="1224"/>
      <c r="Q886" s="979"/>
      <c r="R886" s="979"/>
    </row>
    <row r="887" spans="1:18" s="1001" customFormat="1">
      <c r="A887" s="1019"/>
      <c r="B887" s="1020"/>
      <c r="C887" s="792" t="s">
        <v>345</v>
      </c>
      <c r="D887" s="1021">
        <v>10</v>
      </c>
      <c r="E887" s="1003" t="s">
        <v>327</v>
      </c>
      <c r="F887" s="986">
        <f>$F$13</f>
        <v>618</v>
      </c>
      <c r="G887" s="1023">
        <v>1</v>
      </c>
      <c r="H887" s="991" t="str">
        <f>IF(E887="","",IF(E887="No.","Each",IF(E887="Nos.","Each",E887)))</f>
        <v>Nos</v>
      </c>
      <c r="I887" s="986">
        <f>IF(G887="",D887*F887,(D887*F887/G887))</f>
        <v>6180</v>
      </c>
      <c r="J887" s="979"/>
      <c r="K887" s="979"/>
      <c r="L887" s="1224"/>
      <c r="M887" s="979"/>
      <c r="N887" s="1224"/>
      <c r="O887" s="979"/>
      <c r="P887" s="1224"/>
      <c r="Q887" s="979"/>
      <c r="R887" s="979"/>
    </row>
    <row r="888" spans="1:18" s="1001" customFormat="1">
      <c r="A888" s="1019"/>
      <c r="B888" s="1020"/>
      <c r="C888" s="792" t="s">
        <v>346</v>
      </c>
      <c r="D888" s="1021">
        <v>10</v>
      </c>
      <c r="E888" s="1003" t="s">
        <v>327</v>
      </c>
      <c r="F888" s="986">
        <f>$F$22</f>
        <v>558</v>
      </c>
      <c r="G888" s="1023">
        <v>1</v>
      </c>
      <c r="H888" s="991" t="str">
        <f>IF(E888="","",IF(E888="No.","Each",IF(E888="Nos.","Each",E888)))</f>
        <v>Nos</v>
      </c>
      <c r="I888" s="986">
        <f>IF(G888="",D888*F888,(D888*F888/G888))</f>
        <v>5580</v>
      </c>
      <c r="J888" s="979"/>
      <c r="K888" s="979"/>
      <c r="L888" s="1224"/>
      <c r="M888" s="979"/>
      <c r="N888" s="1224"/>
      <c r="O888" s="979"/>
      <c r="P888" s="1224"/>
      <c r="Q888" s="979"/>
      <c r="R888" s="979"/>
    </row>
    <row r="889" spans="1:18" s="1001" customFormat="1">
      <c r="A889" s="1019"/>
      <c r="B889" s="1020"/>
      <c r="C889" s="980" t="s">
        <v>230</v>
      </c>
      <c r="D889" s="1021"/>
      <c r="E889" s="1003"/>
      <c r="F889" s="986"/>
      <c r="G889" s="1023"/>
      <c r="H889" s="980" t="s">
        <v>466</v>
      </c>
      <c r="I889" s="1012">
        <f>SUM(I884:I888)</f>
        <v>100089</v>
      </c>
      <c r="J889" s="979"/>
      <c r="K889" s="979"/>
      <c r="L889" s="1224"/>
      <c r="M889" s="979"/>
      <c r="N889" s="1224"/>
      <c r="O889" s="979"/>
      <c r="P889" s="1224"/>
      <c r="Q889" s="979"/>
      <c r="R889" s="979"/>
    </row>
    <row r="890" spans="1:18" s="1001" customFormat="1">
      <c r="A890" s="1019"/>
      <c r="B890" s="1020"/>
      <c r="C890" s="1214" t="s">
        <v>428</v>
      </c>
      <c r="D890" s="979"/>
      <c r="E890" s="1227" t="s">
        <v>501</v>
      </c>
      <c r="F890" s="1048" t="s">
        <v>502</v>
      </c>
      <c r="G890" s="1227" t="s">
        <v>503</v>
      </c>
      <c r="H890" s="1048" t="s">
        <v>709</v>
      </c>
      <c r="I890" s="1048" t="s">
        <v>502</v>
      </c>
      <c r="J890" s="1048" t="s">
        <v>502</v>
      </c>
      <c r="K890" s="979"/>
      <c r="L890" s="1224"/>
      <c r="M890" s="979"/>
      <c r="N890" s="1224"/>
      <c r="O890" s="979"/>
      <c r="P890" s="1224"/>
      <c r="Q890" s="979"/>
      <c r="R890" s="979"/>
    </row>
    <row r="891" spans="1:18">
      <c r="A891" s="1019"/>
      <c r="B891" s="1020"/>
      <c r="C891" s="792" t="s">
        <v>231</v>
      </c>
      <c r="E891" s="986">
        <f>I889</f>
        <v>100089</v>
      </c>
      <c r="F891" s="986">
        <f>I889</f>
        <v>100089</v>
      </c>
      <c r="G891" s="986">
        <f>I889</f>
        <v>100089</v>
      </c>
      <c r="H891" s="986">
        <f>I889</f>
        <v>100089</v>
      </c>
      <c r="I891" s="986">
        <f>H891</f>
        <v>100089</v>
      </c>
      <c r="J891" s="986">
        <f>I891</f>
        <v>100089</v>
      </c>
    </row>
    <row r="892" spans="1:18" ht="24.6">
      <c r="A892" s="1019"/>
      <c r="B892" s="1020"/>
      <c r="C892" s="792" t="s">
        <v>347</v>
      </c>
      <c r="E892" s="986"/>
      <c r="F892" s="986">
        <f>ROUND(0.1*(I887+I888),2)</f>
        <v>1176</v>
      </c>
      <c r="G892" s="986">
        <f>ROUND(0.2*(I887+I888),2)</f>
        <v>2352</v>
      </c>
      <c r="H892" s="986">
        <f>ROUND(0.3*(I887+I888),2)</f>
        <v>3528</v>
      </c>
      <c r="I892" s="986">
        <f>ROUND(0.4*(I887+I888),2)</f>
        <v>4704</v>
      </c>
      <c r="J892" s="986">
        <f>ROUND(0.5*(I887+I888),2)</f>
        <v>5880</v>
      </c>
    </row>
    <row r="893" spans="1:18">
      <c r="A893" s="1019"/>
      <c r="B893" s="1020"/>
      <c r="E893" s="986">
        <f t="shared" ref="E893:J893" si="116">SUM(E891:E892)</f>
        <v>100089</v>
      </c>
      <c r="F893" s="986">
        <f t="shared" si="116"/>
        <v>101265</v>
      </c>
      <c r="G893" s="986">
        <f t="shared" si="116"/>
        <v>102441</v>
      </c>
      <c r="H893" s="986">
        <f t="shared" si="116"/>
        <v>103617</v>
      </c>
      <c r="I893" s="986">
        <f t="shared" si="116"/>
        <v>104793</v>
      </c>
      <c r="J893" s="986">
        <f t="shared" si="116"/>
        <v>105969</v>
      </c>
    </row>
    <row r="894" spans="1:18">
      <c r="A894" s="1019"/>
      <c r="B894" s="1020"/>
      <c r="C894" s="1220" t="s">
        <v>1014</v>
      </c>
      <c r="D894" s="1026">
        <f>$D$3</f>
        <v>0</v>
      </c>
      <c r="E894" s="986">
        <f t="shared" ref="E894:J894" si="117">ROUND(E893*$D$894,2)</f>
        <v>0</v>
      </c>
      <c r="F894" s="986">
        <f t="shared" si="117"/>
        <v>0</v>
      </c>
      <c r="G894" s="986">
        <f t="shared" si="117"/>
        <v>0</v>
      </c>
      <c r="H894" s="986">
        <f t="shared" si="117"/>
        <v>0</v>
      </c>
      <c r="I894" s="986">
        <f t="shared" si="117"/>
        <v>0</v>
      </c>
      <c r="J894" s="986">
        <f t="shared" si="117"/>
        <v>0</v>
      </c>
    </row>
    <row r="895" spans="1:18">
      <c r="A895" s="1019"/>
      <c r="B895" s="1020"/>
      <c r="C895" s="980" t="s">
        <v>232</v>
      </c>
      <c r="D895" s="980" t="s">
        <v>466</v>
      </c>
      <c r="E895" s="1012">
        <f t="shared" ref="E895:J895" si="118">CEILING(SUM(E893:E894),0.05)</f>
        <v>100089</v>
      </c>
      <c r="F895" s="1012">
        <f t="shared" si="118"/>
        <v>101265</v>
      </c>
      <c r="G895" s="1012">
        <f t="shared" si="118"/>
        <v>102441</v>
      </c>
      <c r="H895" s="1012">
        <f t="shared" si="118"/>
        <v>103617</v>
      </c>
      <c r="I895" s="1012">
        <f t="shared" si="118"/>
        <v>104793</v>
      </c>
      <c r="J895" s="1012">
        <f t="shared" si="118"/>
        <v>105969</v>
      </c>
    </row>
    <row r="896" spans="1:18" ht="12.75" customHeight="1">
      <c r="A896" s="1019">
        <f>A882+1</f>
        <v>19</v>
      </c>
      <c r="B896" s="1020"/>
      <c r="C896" s="1499" t="s">
        <v>655</v>
      </c>
      <c r="D896" s="1499"/>
      <c r="E896" s="1499"/>
      <c r="F896" s="1499"/>
      <c r="G896" s="1499"/>
      <c r="H896" s="1499"/>
      <c r="I896" s="1499"/>
    </row>
    <row r="897" spans="1:18" ht="12.75" customHeight="1">
      <c r="A897" s="1019"/>
      <c r="B897" s="1020"/>
      <c r="C897" s="792" t="s">
        <v>557</v>
      </c>
      <c r="D897" s="1021"/>
      <c r="E897" s="1003"/>
      <c r="F897" s="986"/>
      <c r="G897" s="1023"/>
      <c r="H897" s="1213"/>
      <c r="I897" s="986"/>
    </row>
    <row r="898" spans="1:18" s="1001" customFormat="1">
      <c r="A898" s="1019"/>
      <c r="B898" s="1020"/>
      <c r="C898" s="792" t="s">
        <v>233</v>
      </c>
      <c r="D898" s="1021">
        <v>1.05</v>
      </c>
      <c r="E898" s="1003" t="s">
        <v>50</v>
      </c>
      <c r="F898" s="986">
        <f>LEAD!P29</f>
        <v>76700</v>
      </c>
      <c r="G898" s="1023">
        <v>1</v>
      </c>
      <c r="H898" s="991" t="str">
        <f>IF(E898="","",IF(E898="No.","Each",IF(E898="Nos.","Each",E898)))</f>
        <v>MT</v>
      </c>
      <c r="I898" s="986">
        <f>IF(G898="",D898*F898,(D898*F898/G898))</f>
        <v>80535</v>
      </c>
      <c r="J898" s="979"/>
      <c r="K898" s="986"/>
      <c r="L898" s="1224"/>
      <c r="M898" s="979"/>
      <c r="N898" s="1224"/>
      <c r="O898" s="979"/>
      <c r="P898" s="1224"/>
      <c r="Q898" s="979"/>
      <c r="R898" s="979"/>
    </row>
    <row r="899" spans="1:18" s="1001" customFormat="1">
      <c r="A899" s="1019"/>
      <c r="B899" s="1020"/>
      <c r="C899" s="792" t="s">
        <v>342</v>
      </c>
      <c r="D899" s="1021">
        <v>6</v>
      </c>
      <c r="E899" s="1003" t="s">
        <v>328</v>
      </c>
      <c r="F899" s="986">
        <f>$F$24</f>
        <v>60</v>
      </c>
      <c r="G899" s="1023">
        <v>1</v>
      </c>
      <c r="H899" s="991" t="str">
        <f>IF(E899="","",IF(E899="No.","Each",IF(E899="Nos.","Each",E899)))</f>
        <v>Kg</v>
      </c>
      <c r="I899" s="986">
        <f>IF(G899="",D899*F899,(D899*F899/G899))</f>
        <v>360</v>
      </c>
      <c r="J899" s="979"/>
      <c r="K899" s="979"/>
      <c r="L899" s="1224"/>
      <c r="M899" s="979"/>
      <c r="N899" s="1224"/>
      <c r="O899" s="979"/>
      <c r="P899" s="1224"/>
      <c r="Q899" s="979"/>
      <c r="R899" s="979"/>
    </row>
    <row r="900" spans="1:18" s="1001" customFormat="1">
      <c r="A900" s="1019"/>
      <c r="B900" s="1020"/>
      <c r="C900" s="1214" t="s">
        <v>690</v>
      </c>
      <c r="D900" s="1021"/>
      <c r="E900" s="1003"/>
      <c r="F900" s="986"/>
      <c r="G900" s="1023"/>
      <c r="H900" s="991"/>
      <c r="I900" s="986"/>
      <c r="J900" s="979"/>
      <c r="K900" s="979"/>
      <c r="L900" s="1224"/>
      <c r="M900" s="979"/>
      <c r="N900" s="1224"/>
      <c r="O900" s="979"/>
      <c r="P900" s="1224"/>
      <c r="Q900" s="979"/>
      <c r="R900" s="979"/>
    </row>
    <row r="901" spans="1:18" s="1001" customFormat="1">
      <c r="A901" s="1019"/>
      <c r="B901" s="1020"/>
      <c r="C901" s="792" t="s">
        <v>345</v>
      </c>
      <c r="D901" s="1021">
        <v>10</v>
      </c>
      <c r="E901" s="1003" t="s">
        <v>327</v>
      </c>
      <c r="F901" s="986">
        <f>$F$9</f>
        <v>624</v>
      </c>
      <c r="G901" s="1023">
        <v>1</v>
      </c>
      <c r="H901" s="991" t="str">
        <f>IF(E901="","",IF(E901="No.","Each",IF(E901="Nos.","Each",E901)))</f>
        <v>Nos</v>
      </c>
      <c r="I901" s="986">
        <f>IF(G901="",D901*F901,(D901*F901/G901))</f>
        <v>6240</v>
      </c>
      <c r="J901" s="979"/>
      <c r="K901" s="979"/>
      <c r="L901" s="1224"/>
      <c r="M901" s="979"/>
      <c r="N901" s="1224"/>
      <c r="O901" s="979"/>
      <c r="P901" s="1224"/>
      <c r="Q901" s="979"/>
      <c r="R901" s="979"/>
    </row>
    <row r="902" spans="1:18" s="1001" customFormat="1">
      <c r="A902" s="1019"/>
      <c r="B902" s="1020"/>
      <c r="C902" s="792" t="s">
        <v>346</v>
      </c>
      <c r="D902" s="1021">
        <v>10</v>
      </c>
      <c r="E902" s="1003" t="s">
        <v>327</v>
      </c>
      <c r="F902" s="986">
        <f>$F$22</f>
        <v>558</v>
      </c>
      <c r="G902" s="1023">
        <v>1</v>
      </c>
      <c r="H902" s="991" t="str">
        <f>IF(E902="","",IF(E902="No.","Each",IF(E902="Nos.","Each",E902)))</f>
        <v>Nos</v>
      </c>
      <c r="I902" s="986">
        <f>IF(G902="",D902*F902,(D902*F902/G902))</f>
        <v>5580</v>
      </c>
      <c r="J902" s="979"/>
      <c r="K902" s="979"/>
      <c r="L902" s="1224"/>
      <c r="M902" s="979"/>
      <c r="N902" s="1224"/>
      <c r="O902" s="979"/>
      <c r="P902" s="1224"/>
      <c r="Q902" s="979"/>
      <c r="R902" s="979"/>
    </row>
    <row r="903" spans="1:18" s="1001" customFormat="1">
      <c r="A903" s="1019"/>
      <c r="B903" s="1020"/>
      <c r="C903" s="980" t="s">
        <v>230</v>
      </c>
      <c r="D903" s="1021"/>
      <c r="E903" s="1003"/>
      <c r="F903" s="986"/>
      <c r="G903" s="1023"/>
      <c r="H903" s="980" t="s">
        <v>466</v>
      </c>
      <c r="I903" s="1012">
        <f>SUM(I898:I902)</f>
        <v>92715</v>
      </c>
      <c r="J903" s="979"/>
      <c r="K903" s="979"/>
      <c r="L903" s="1224"/>
      <c r="M903" s="979"/>
      <c r="N903" s="1224"/>
      <c r="O903" s="979"/>
      <c r="P903" s="1224"/>
      <c r="Q903" s="979"/>
      <c r="R903" s="979"/>
    </row>
    <row r="904" spans="1:18" s="1001" customFormat="1">
      <c r="A904" s="1019"/>
      <c r="B904" s="1020"/>
      <c r="C904" s="1214" t="s">
        <v>428</v>
      </c>
      <c r="D904" s="979"/>
      <c r="E904" s="1227" t="s">
        <v>501</v>
      </c>
      <c r="F904" s="1048" t="s">
        <v>502</v>
      </c>
      <c r="G904" s="1227" t="s">
        <v>503</v>
      </c>
      <c r="H904" s="1048" t="s">
        <v>709</v>
      </c>
      <c r="I904" s="1048" t="s">
        <v>502</v>
      </c>
      <c r="J904" s="1048" t="s">
        <v>502</v>
      </c>
      <c r="K904" s="979"/>
      <c r="L904" s="1224"/>
      <c r="M904" s="979"/>
      <c r="N904" s="1224"/>
      <c r="O904" s="979"/>
      <c r="P904" s="1224"/>
      <c r="Q904" s="979"/>
      <c r="R904" s="979"/>
    </row>
    <row r="905" spans="1:18" s="1001" customFormat="1">
      <c r="A905" s="1019"/>
      <c r="B905" s="1020"/>
      <c r="C905" s="792" t="s">
        <v>231</v>
      </c>
      <c r="D905" s="979"/>
      <c r="E905" s="986">
        <f>I903</f>
        <v>92715</v>
      </c>
      <c r="F905" s="986">
        <f>I903</f>
        <v>92715</v>
      </c>
      <c r="G905" s="986">
        <f>I903</f>
        <v>92715</v>
      </c>
      <c r="H905" s="986">
        <f>I903</f>
        <v>92715</v>
      </c>
      <c r="I905" s="986">
        <f>I903</f>
        <v>92715</v>
      </c>
      <c r="J905" s="986">
        <f>I903</f>
        <v>92715</v>
      </c>
      <c r="K905" s="979"/>
      <c r="L905" s="1224"/>
      <c r="M905" s="979"/>
      <c r="N905" s="1224"/>
      <c r="O905" s="979"/>
      <c r="P905" s="1224"/>
      <c r="Q905" s="979"/>
      <c r="R905" s="979"/>
    </row>
    <row r="906" spans="1:18" s="1001" customFormat="1" ht="24.6">
      <c r="A906" s="1019"/>
      <c r="B906" s="1020"/>
      <c r="C906" s="792" t="s">
        <v>347</v>
      </c>
      <c r="D906" s="979"/>
      <c r="E906" s="986"/>
      <c r="F906" s="986">
        <f>ROUND(0.1*(I901+I902),2)</f>
        <v>1182</v>
      </c>
      <c r="G906" s="986">
        <f>ROUND(0.2*(I901+I902),2)</f>
        <v>2364</v>
      </c>
      <c r="H906" s="986">
        <f>ROUND(0.3*(I901+I902),2)</f>
        <v>3546</v>
      </c>
      <c r="I906" s="986">
        <f>ROUND(0.4*($I$901+$I$902),2)</f>
        <v>4728</v>
      </c>
      <c r="J906" s="986">
        <f>ROUND(0.5*($I$901+$I$902),2)</f>
        <v>5910</v>
      </c>
      <c r="K906" s="979"/>
      <c r="L906" s="1224"/>
      <c r="M906" s="979"/>
      <c r="N906" s="1224"/>
      <c r="O906" s="979"/>
      <c r="P906" s="1224"/>
      <c r="Q906" s="979"/>
      <c r="R906" s="979"/>
    </row>
    <row r="907" spans="1:18" s="1001" customFormat="1">
      <c r="A907" s="1019"/>
      <c r="B907" s="1020"/>
      <c r="C907" s="792"/>
      <c r="D907" s="979"/>
      <c r="E907" s="986">
        <f>SUM(E902:E906)</f>
        <v>92715</v>
      </c>
      <c r="F907" s="986">
        <f>SUM(F902:F906)</f>
        <v>94455</v>
      </c>
      <c r="G907" s="986">
        <f>SUM(G902:G906)</f>
        <v>95080</v>
      </c>
      <c r="H907" s="986">
        <f>SUM(H902:H906)</f>
        <v>96261</v>
      </c>
      <c r="I907" s="986">
        <f>SUM(I905:I906)</f>
        <v>97443</v>
      </c>
      <c r="J907" s="986">
        <f>SUM(J905:J906)</f>
        <v>98625</v>
      </c>
      <c r="K907" s="979"/>
      <c r="L907" s="1224"/>
      <c r="M907" s="979"/>
      <c r="N907" s="1224"/>
      <c r="O907" s="979"/>
      <c r="P907" s="1224"/>
      <c r="Q907" s="979"/>
      <c r="R907" s="979"/>
    </row>
    <row r="908" spans="1:18" s="1001" customFormat="1">
      <c r="A908" s="1019"/>
      <c r="B908" s="1020"/>
      <c r="C908" s="1220" t="s">
        <v>1014</v>
      </c>
      <c r="D908" s="1026">
        <f>$D$3</f>
        <v>0</v>
      </c>
      <c r="E908" s="986">
        <f t="shared" ref="E908:J908" si="119">ROUND(E907*$D$908,2)</f>
        <v>0</v>
      </c>
      <c r="F908" s="986">
        <f t="shared" si="119"/>
        <v>0</v>
      </c>
      <c r="G908" s="986">
        <f t="shared" si="119"/>
        <v>0</v>
      </c>
      <c r="H908" s="986">
        <f t="shared" si="119"/>
        <v>0</v>
      </c>
      <c r="I908" s="986">
        <f t="shared" si="119"/>
        <v>0</v>
      </c>
      <c r="J908" s="986">
        <f t="shared" si="119"/>
        <v>0</v>
      </c>
      <c r="K908" s="979"/>
      <c r="L908" s="1224"/>
      <c r="M908" s="979"/>
      <c r="N908" s="1224"/>
      <c r="O908" s="979"/>
      <c r="P908" s="1224"/>
      <c r="Q908" s="979"/>
      <c r="R908" s="979"/>
    </row>
    <row r="909" spans="1:18">
      <c r="A909" s="1019"/>
      <c r="B909" s="1020"/>
      <c r="C909" s="980" t="s">
        <v>232</v>
      </c>
      <c r="D909" s="980" t="s">
        <v>466</v>
      </c>
      <c r="E909" s="1012">
        <f t="shared" ref="E909:J909" si="120">CEILING(SUM(E907:E908),0.05)</f>
        <v>92715</v>
      </c>
      <c r="F909" s="1012">
        <f t="shared" si="120"/>
        <v>94455</v>
      </c>
      <c r="G909" s="1012">
        <f t="shared" si="120"/>
        <v>95080</v>
      </c>
      <c r="H909" s="1012">
        <f t="shared" si="120"/>
        <v>96261</v>
      </c>
      <c r="I909" s="1012">
        <f t="shared" si="120"/>
        <v>97443</v>
      </c>
      <c r="J909" s="1012">
        <f t="shared" si="120"/>
        <v>98625</v>
      </c>
    </row>
    <row r="910" spans="1:18" ht="12.75" customHeight="1">
      <c r="A910" s="1019"/>
      <c r="B910" s="1020"/>
      <c r="C910" s="980"/>
      <c r="D910" s="980"/>
      <c r="E910" s="1012"/>
      <c r="F910" s="1012"/>
      <c r="G910" s="1012"/>
      <c r="H910" s="1012"/>
      <c r="I910" s="1012"/>
    </row>
    <row r="911" spans="1:18" ht="94.5" customHeight="1">
      <c r="A911" s="1019">
        <f>+A896+1</f>
        <v>20</v>
      </c>
      <c r="B911" s="1020"/>
      <c r="C911" s="1493" t="s">
        <v>715</v>
      </c>
      <c r="D911" s="1493"/>
      <c r="E911" s="1493"/>
      <c r="F911" s="1493"/>
      <c r="G911" s="1493"/>
      <c r="H911" s="1493"/>
      <c r="I911" s="1493"/>
    </row>
    <row r="912" spans="1:18">
      <c r="A912" s="1019"/>
      <c r="B912" s="1020"/>
      <c r="C912" s="1220" t="s">
        <v>557</v>
      </c>
      <c r="D912" s="1021"/>
      <c r="E912" s="1003"/>
      <c r="F912" s="986"/>
      <c r="G912" s="1023"/>
      <c r="H912" s="1213"/>
      <c r="I912" s="986"/>
    </row>
    <row r="913" spans="1:10">
      <c r="A913" s="1019"/>
      <c r="B913" s="1020"/>
      <c r="C913" s="1212" t="s">
        <v>566</v>
      </c>
      <c r="D913" s="1021"/>
      <c r="E913" s="1003"/>
      <c r="F913" s="986"/>
      <c r="G913" s="1023"/>
      <c r="H913" s="1213"/>
      <c r="I913" s="986"/>
    </row>
    <row r="914" spans="1:10">
      <c r="A914" s="1019"/>
      <c r="B914" s="1020"/>
      <c r="C914" s="1212" t="s">
        <v>235</v>
      </c>
      <c r="D914" s="1021">
        <v>3.17</v>
      </c>
      <c r="E914" s="1003" t="s">
        <v>462</v>
      </c>
      <c r="F914" s="986">
        <f>LEAD!$P$28</f>
        <v>7168</v>
      </c>
      <c r="G914" s="1023">
        <v>1000</v>
      </c>
      <c r="H914" s="991" t="str">
        <f>IF(E914="","",IF(E914="No.","Each",IF(E914="Nos.","Each",E914)))</f>
        <v>kgs</v>
      </c>
      <c r="I914" s="986">
        <f>IF(G914="",D914*F914,(D914*F914/G914))</f>
        <v>22.722559999999998</v>
      </c>
    </row>
    <row r="915" spans="1:10">
      <c r="A915" s="1019"/>
      <c r="B915" s="1020"/>
      <c r="C915" s="1212" t="s">
        <v>348</v>
      </c>
      <c r="D915" s="1021">
        <f>0.011</f>
        <v>1.0999999999999999E-2</v>
      </c>
      <c r="E915" s="1003" t="s">
        <v>529</v>
      </c>
      <c r="F915" s="986">
        <f>LEAD!$P$9</f>
        <v>437.11999999999983</v>
      </c>
      <c r="G915" s="1023">
        <v>1</v>
      </c>
      <c r="H915" s="991" t="str">
        <f>IF(E915="","",IF(E915="No.","Each",IF(E915="Nos.","Each",E915)))</f>
        <v>cu.m.</v>
      </c>
      <c r="I915" s="986">
        <f>IF(G915="",D915*F915,(D915*F915/G915))</f>
        <v>4.8083199999999975</v>
      </c>
    </row>
    <row r="916" spans="1:10">
      <c r="A916" s="1019"/>
      <c r="B916" s="1020"/>
      <c r="C916" s="1212" t="s">
        <v>312</v>
      </c>
      <c r="D916" s="1021"/>
      <c r="E916" s="1003"/>
      <c r="F916" s="986"/>
      <c r="G916" s="1023"/>
      <c r="H916" s="1213"/>
      <c r="I916" s="986"/>
    </row>
    <row r="917" spans="1:10">
      <c r="A917" s="1019"/>
      <c r="B917" s="1020"/>
      <c r="C917" s="1212" t="s">
        <v>235</v>
      </c>
      <c r="D917" s="1021">
        <v>1.92</v>
      </c>
      <c r="E917" s="1003" t="s">
        <v>462</v>
      </c>
      <c r="F917" s="986">
        <f>LEAD!$P$28</f>
        <v>7168</v>
      </c>
      <c r="G917" s="1023">
        <v>1000</v>
      </c>
      <c r="H917" s="991" t="str">
        <f>IF(E917="","",IF(E917="No.","Each",IF(E917="Nos.","Each",E917)))</f>
        <v>kgs</v>
      </c>
      <c r="I917" s="986">
        <f>IF(G917="",D917*F917,(D917*F917/G917))</f>
        <v>13.762559999999999</v>
      </c>
    </row>
    <row r="918" spans="1:10">
      <c r="A918" s="1019"/>
      <c r="B918" s="1020"/>
      <c r="C918" s="1212" t="s">
        <v>348</v>
      </c>
      <c r="D918" s="1021">
        <f>0.004</f>
        <v>4.0000000000000001E-3</v>
      </c>
      <c r="E918" s="1003" t="s">
        <v>529</v>
      </c>
      <c r="F918" s="986">
        <f>LEAD!$P$9</f>
        <v>437.11999999999983</v>
      </c>
      <c r="G918" s="1023">
        <v>1</v>
      </c>
      <c r="H918" s="991" t="str">
        <f>IF(E918="","",IF(E918="No.","Each",IF(E918="Nos.","Each",E918)))</f>
        <v>cu.m.</v>
      </c>
      <c r="I918" s="986">
        <f>IF(G918="",D918*F918,(D918*F918/G918))</f>
        <v>1.7484799999999994</v>
      </c>
    </row>
    <row r="919" spans="1:10">
      <c r="A919" s="1019"/>
      <c r="B919" s="1020"/>
      <c r="C919" s="1220" t="s">
        <v>690</v>
      </c>
      <c r="D919" s="1021"/>
      <c r="E919" s="1003"/>
      <c r="F919" s="986"/>
      <c r="G919" s="1023"/>
      <c r="H919" s="991"/>
      <c r="I919" s="986"/>
    </row>
    <row r="920" spans="1:10">
      <c r="A920" s="1019"/>
      <c r="B920" s="1020"/>
      <c r="C920" s="792" t="s">
        <v>377</v>
      </c>
      <c r="D920" s="1021">
        <v>6.3E-2</v>
      </c>
      <c r="E920" s="1008" t="s">
        <v>499</v>
      </c>
      <c r="F920" s="986">
        <f>$F$9</f>
        <v>624</v>
      </c>
      <c r="G920" s="1023">
        <v>1</v>
      </c>
      <c r="H920" s="991" t="str">
        <f>IF(E920="","",IF(E920="No.","Each",IF(E920="Nos.","Each",E920)))</f>
        <v>Each</v>
      </c>
      <c r="I920" s="986">
        <f>IF(G920="",D920*F920,(D920*F920/G920))</f>
        <v>39.311999999999998</v>
      </c>
    </row>
    <row r="921" spans="1:10">
      <c r="A921" s="1019"/>
      <c r="B921" s="1020"/>
      <c r="C921" s="792" t="s">
        <v>378</v>
      </c>
      <c r="D921" s="1021">
        <v>0.14699999999999999</v>
      </c>
      <c r="E921" s="1008" t="s">
        <v>499</v>
      </c>
      <c r="F921" s="986">
        <f>$F$10</f>
        <v>588</v>
      </c>
      <c r="G921" s="1023">
        <v>1</v>
      </c>
      <c r="H921" s="991" t="str">
        <f>IF(E921="","",IF(E921="No.","Each",IF(E921="Nos.","Each",E921)))</f>
        <v>Each</v>
      </c>
      <c r="I921" s="986">
        <f>IF(G921="",D921*F921,(D921*F921/G921))</f>
        <v>86.435999999999993</v>
      </c>
    </row>
    <row r="922" spans="1:10">
      <c r="A922" s="1019"/>
      <c r="B922" s="1020"/>
      <c r="C922" s="792" t="s">
        <v>346</v>
      </c>
      <c r="D922" s="1021">
        <v>0.39</v>
      </c>
      <c r="E922" s="1003" t="s">
        <v>499</v>
      </c>
      <c r="F922" s="986">
        <f>$F$22</f>
        <v>558</v>
      </c>
      <c r="G922" s="1023">
        <v>1</v>
      </c>
      <c r="H922" s="991" t="str">
        <f>IF(E922="","",IF(E922="No.","Each",IF(E922="Nos.","Each",E922)))</f>
        <v>Each</v>
      </c>
      <c r="I922" s="986">
        <f>IF(G922="",D922*F922,(D922*F922/G922))</f>
        <v>217.62</v>
      </c>
    </row>
    <row r="923" spans="1:10">
      <c r="A923" s="1019"/>
      <c r="B923" s="1020"/>
      <c r="D923" s="1021"/>
      <c r="E923" s="1008"/>
      <c r="F923" s="986"/>
      <c r="G923" s="1023"/>
      <c r="H923" s="991"/>
      <c r="I923" s="986">
        <f>SUM(I914:I922)</f>
        <v>386.40992</v>
      </c>
    </row>
    <row r="924" spans="1:10" ht="24.6">
      <c r="A924" s="1019"/>
      <c r="B924" s="1020"/>
      <c r="C924" s="1213" t="s">
        <v>719</v>
      </c>
      <c r="D924" s="1050">
        <f>I923</f>
        <v>386.40992</v>
      </c>
      <c r="E924" s="1003"/>
      <c r="F924" s="986">
        <v>0.01</v>
      </c>
      <c r="G924" s="1023"/>
      <c r="I924" s="986">
        <f>ROUND(D924*F924,2)</f>
        <v>3.86</v>
      </c>
    </row>
    <row r="925" spans="1:10">
      <c r="A925" s="1019"/>
      <c r="B925" s="1020"/>
      <c r="C925" s="980" t="s">
        <v>368</v>
      </c>
      <c r="D925" s="1021"/>
      <c r="E925" s="1003"/>
      <c r="F925" s="986"/>
      <c r="G925" s="1023"/>
      <c r="H925" s="1213"/>
      <c r="I925" s="1012">
        <f>SUM(I923:I924)</f>
        <v>390.26992000000001</v>
      </c>
    </row>
    <row r="926" spans="1:10">
      <c r="A926" s="1019"/>
      <c r="B926" s="1020"/>
      <c r="C926" s="1214" t="s">
        <v>428</v>
      </c>
      <c r="E926" s="1227" t="s">
        <v>501</v>
      </c>
      <c r="F926" s="1048" t="s">
        <v>502</v>
      </c>
      <c r="G926" s="1227" t="s">
        <v>503</v>
      </c>
      <c r="H926" s="1048" t="s">
        <v>709</v>
      </c>
      <c r="I926" s="1048" t="s">
        <v>502</v>
      </c>
      <c r="J926" s="1048" t="s">
        <v>502</v>
      </c>
    </row>
    <row r="927" spans="1:10">
      <c r="A927" s="1019"/>
      <c r="B927" s="1020"/>
      <c r="C927" s="792" t="s">
        <v>368</v>
      </c>
      <c r="E927" s="986">
        <f>I925</f>
        <v>390.26992000000001</v>
      </c>
      <c r="F927" s="986">
        <f>I925</f>
        <v>390.26992000000001</v>
      </c>
      <c r="G927" s="986">
        <f>I925</f>
        <v>390.26992000000001</v>
      </c>
      <c r="H927" s="986">
        <f>I925</f>
        <v>390.26992000000001</v>
      </c>
      <c r="I927" s="986">
        <f>H927</f>
        <v>390.26992000000001</v>
      </c>
      <c r="J927" s="986">
        <f>I927</f>
        <v>390.26992000000001</v>
      </c>
    </row>
    <row r="928" spans="1:10">
      <c r="A928" s="1019"/>
      <c r="B928" s="1020"/>
      <c r="C928" s="792" t="s">
        <v>372</v>
      </c>
      <c r="E928" s="986">
        <f>$F$85</f>
        <v>2.46</v>
      </c>
      <c r="F928" s="986">
        <f>$F$86</f>
        <v>2.46</v>
      </c>
      <c r="G928" s="986">
        <f>$F$87</f>
        <v>2.46</v>
      </c>
      <c r="H928" s="986">
        <f>$F$88</f>
        <v>2.46</v>
      </c>
      <c r="I928" s="986">
        <f>$F$88</f>
        <v>2.46</v>
      </c>
      <c r="J928" s="986">
        <f>$F$88</f>
        <v>2.46</v>
      </c>
    </row>
    <row r="929" spans="1:12">
      <c r="A929" s="1019"/>
      <c r="B929" s="1020"/>
      <c r="C929" s="792" t="s">
        <v>373</v>
      </c>
      <c r="E929" s="986">
        <f>$H$85</f>
        <v>17.46</v>
      </c>
      <c r="F929" s="986">
        <f>$H$86</f>
        <v>24.77</v>
      </c>
      <c r="G929" s="986">
        <f>$H$87</f>
        <v>32.07</v>
      </c>
      <c r="H929" s="986">
        <f>$H$88</f>
        <v>39.4</v>
      </c>
      <c r="I929" s="986">
        <f>$H$89</f>
        <v>46.7</v>
      </c>
      <c r="J929" s="986">
        <f>$H$90</f>
        <v>54.01</v>
      </c>
    </row>
    <row r="930" spans="1:12">
      <c r="A930" s="1019"/>
      <c r="B930" s="1020"/>
      <c r="C930" s="792" t="s">
        <v>338</v>
      </c>
      <c r="D930" s="1049">
        <f>$E$5</f>
        <v>0.2</v>
      </c>
      <c r="E930" s="986">
        <f t="shared" ref="E930:J930" si="121">ROUND($D$930*E929,2)</f>
        <v>3.49</v>
      </c>
      <c r="F930" s="986">
        <f t="shared" si="121"/>
        <v>4.95</v>
      </c>
      <c r="G930" s="986">
        <f t="shared" si="121"/>
        <v>6.41</v>
      </c>
      <c r="H930" s="986">
        <f t="shared" si="121"/>
        <v>7.88</v>
      </c>
      <c r="I930" s="986">
        <f t="shared" si="121"/>
        <v>9.34</v>
      </c>
      <c r="J930" s="986">
        <f t="shared" si="121"/>
        <v>10.8</v>
      </c>
    </row>
    <row r="931" spans="1:12">
      <c r="A931" s="1019"/>
      <c r="B931" s="1020"/>
      <c r="C931" s="792" t="s">
        <v>418</v>
      </c>
      <c r="E931" s="986"/>
      <c r="F931" s="986">
        <f>ROUND(0.1*($I$920+$I$921+$I$922),2)</f>
        <v>34.340000000000003</v>
      </c>
      <c r="G931" s="986">
        <f>ROUND(0.2*($I$920+$I$921+$I$922),2)</f>
        <v>68.67</v>
      </c>
      <c r="H931" s="986">
        <f>ROUND(0.3*($I$920+$I$921+$I$922),2)</f>
        <v>103.01</v>
      </c>
      <c r="I931" s="986">
        <f>ROUND(0.4*($I$920+$I$921+$I$922),2)</f>
        <v>137.35</v>
      </c>
      <c r="J931" s="986">
        <f>ROUND(0.5*($I$920+$I$921+$I$922),2)</f>
        <v>171.68</v>
      </c>
    </row>
    <row r="932" spans="1:12">
      <c r="A932" s="1019"/>
      <c r="B932" s="1020"/>
      <c r="E932" s="986">
        <f t="shared" ref="E932:J932" si="122">SUM(E927:E931)</f>
        <v>413.67991999999998</v>
      </c>
      <c r="F932" s="986">
        <f t="shared" si="122"/>
        <v>456.78991999999994</v>
      </c>
      <c r="G932" s="986">
        <f t="shared" si="122"/>
        <v>499.87992000000003</v>
      </c>
      <c r="H932" s="986">
        <f t="shared" si="122"/>
        <v>543.01991999999996</v>
      </c>
      <c r="I932" s="986">
        <f t="shared" si="122"/>
        <v>586.11991999999998</v>
      </c>
      <c r="J932" s="986">
        <f t="shared" si="122"/>
        <v>629.21992</v>
      </c>
    </row>
    <row r="933" spans="1:12">
      <c r="A933" s="1019"/>
      <c r="B933" s="1020"/>
      <c r="C933" s="1220" t="s">
        <v>1014</v>
      </c>
      <c r="D933" s="1026">
        <f>$D$3</f>
        <v>0</v>
      </c>
      <c r="E933" s="986">
        <f t="shared" ref="E933:J933" si="123">ROUND(E932*$D$933,2)</f>
        <v>0</v>
      </c>
      <c r="F933" s="986">
        <f t="shared" si="123"/>
        <v>0</v>
      </c>
      <c r="G933" s="986">
        <f t="shared" si="123"/>
        <v>0</v>
      </c>
      <c r="H933" s="986">
        <f t="shared" si="123"/>
        <v>0</v>
      </c>
      <c r="I933" s="986">
        <f t="shared" si="123"/>
        <v>0</v>
      </c>
      <c r="J933" s="986">
        <f t="shared" si="123"/>
        <v>0</v>
      </c>
    </row>
    <row r="934" spans="1:12">
      <c r="A934" s="1019"/>
      <c r="B934" s="1020"/>
      <c r="C934" s="980" t="s">
        <v>349</v>
      </c>
      <c r="D934" s="980" t="s">
        <v>466</v>
      </c>
      <c r="E934" s="1012">
        <f t="shared" ref="E934:J934" si="124">SUM(E932:E933)</f>
        <v>413.67991999999998</v>
      </c>
      <c r="F934" s="1012">
        <f t="shared" si="124"/>
        <v>456.78991999999994</v>
      </c>
      <c r="G934" s="1012">
        <f t="shared" si="124"/>
        <v>499.87992000000003</v>
      </c>
      <c r="H934" s="1012">
        <f t="shared" si="124"/>
        <v>543.01991999999996</v>
      </c>
      <c r="I934" s="1012">
        <f t="shared" si="124"/>
        <v>586.11991999999998</v>
      </c>
      <c r="J934" s="1012">
        <f t="shared" si="124"/>
        <v>629.21992</v>
      </c>
    </row>
    <row r="935" spans="1:12" ht="97.5" customHeight="1">
      <c r="A935" s="1019">
        <f>A911+1</f>
        <v>21</v>
      </c>
      <c r="B935" s="1020"/>
      <c r="C935" s="1493" t="s">
        <v>1198</v>
      </c>
      <c r="D935" s="1493"/>
      <c r="E935" s="1493"/>
      <c r="F935" s="1493"/>
      <c r="G935" s="1493"/>
      <c r="H935" s="1493"/>
      <c r="I935" s="1493"/>
    </row>
    <row r="936" spans="1:12">
      <c r="A936" s="1019"/>
      <c r="B936" s="1020"/>
      <c r="C936" s="1220" t="s">
        <v>557</v>
      </c>
      <c r="D936" s="1021"/>
      <c r="E936" s="1003"/>
      <c r="F936" s="986"/>
      <c r="G936" s="1023"/>
      <c r="H936" s="1213"/>
      <c r="I936" s="986"/>
    </row>
    <row r="937" spans="1:12">
      <c r="A937" s="1019"/>
      <c r="B937" s="1020"/>
      <c r="C937" s="1220" t="s">
        <v>491</v>
      </c>
      <c r="D937" s="1021"/>
      <c r="E937" s="1003"/>
      <c r="F937" s="986"/>
      <c r="G937" s="1023"/>
      <c r="H937" s="1213"/>
      <c r="I937" s="986"/>
    </row>
    <row r="938" spans="1:12">
      <c r="A938" s="1019"/>
      <c r="B938" s="1020"/>
      <c r="C938" s="979" t="s">
        <v>235</v>
      </c>
      <c r="D938" s="1021">
        <v>2.64</v>
      </c>
      <c r="E938" s="1008" t="s">
        <v>462</v>
      </c>
      <c r="F938" s="986">
        <f>LEAD!$P$28</f>
        <v>7168</v>
      </c>
      <c r="G938" s="1023">
        <v>1000</v>
      </c>
      <c r="H938" s="991" t="str">
        <f>IF(E938="","",IF(E938="No.","Each",IF(E938="Nos.","Each",E938)))</f>
        <v>kgs</v>
      </c>
      <c r="I938" s="986">
        <f>IF(G938="",D938*F938,(D938*F938/G938))</f>
        <v>18.92352</v>
      </c>
      <c r="L938" s="979"/>
    </row>
    <row r="939" spans="1:12">
      <c r="A939" s="1019"/>
      <c r="B939" s="1020"/>
      <c r="C939" s="1212" t="s">
        <v>348</v>
      </c>
      <c r="D939" s="1021">
        <f>0.011</f>
        <v>1.0999999999999999E-2</v>
      </c>
      <c r="E939" s="1003" t="s">
        <v>529</v>
      </c>
      <c r="F939" s="986">
        <f>LEAD!$P$9</f>
        <v>437.11999999999983</v>
      </c>
      <c r="G939" s="1023">
        <v>1</v>
      </c>
      <c r="H939" s="991" t="str">
        <f>IF(E939="","",IF(E939="No.","Each",IF(E939="Nos.","Each",E939)))</f>
        <v>cu.m.</v>
      </c>
      <c r="I939" s="986">
        <f>IF(G939="",D939*F939,(D939*F939/G939))</f>
        <v>4.8083199999999975</v>
      </c>
      <c r="L939" s="979"/>
    </row>
    <row r="940" spans="1:12">
      <c r="A940" s="1019"/>
      <c r="B940" s="1020"/>
      <c r="C940" s="1220" t="s">
        <v>492</v>
      </c>
      <c r="D940" s="1021"/>
      <c r="E940" s="1003"/>
      <c r="F940" s="986"/>
      <c r="G940" s="1023"/>
      <c r="H940" s="1213"/>
      <c r="I940" s="986"/>
      <c r="L940" s="979"/>
    </row>
    <row r="941" spans="1:12">
      <c r="A941" s="1019"/>
      <c r="B941" s="1020"/>
      <c r="C941" s="979" t="s">
        <v>235</v>
      </c>
      <c r="D941" s="1021">
        <v>1.44</v>
      </c>
      <c r="E941" s="1008" t="s">
        <v>462</v>
      </c>
      <c r="F941" s="986">
        <f>LEAD!$P$28</f>
        <v>7168</v>
      </c>
      <c r="G941" s="1023">
        <v>1000</v>
      </c>
      <c r="H941" s="991" t="str">
        <f>IF(E941="","",IF(E941="No.","Each",IF(E941="Nos.","Each",E941)))</f>
        <v>kgs</v>
      </c>
      <c r="I941" s="986">
        <f>IF(G941="",D941*F941,(D941*F941/G941))</f>
        <v>10.32192</v>
      </c>
      <c r="L941" s="979"/>
    </row>
    <row r="942" spans="1:12">
      <c r="A942" s="1019"/>
      <c r="B942" s="1020"/>
      <c r="C942" s="1212" t="s">
        <v>348</v>
      </c>
      <c r="D942" s="1021">
        <f>0.004</f>
        <v>4.0000000000000001E-3</v>
      </c>
      <c r="E942" s="1003" t="s">
        <v>529</v>
      </c>
      <c r="F942" s="986">
        <f>F939</f>
        <v>437.11999999999983</v>
      </c>
      <c r="G942" s="1023">
        <v>1</v>
      </c>
      <c r="H942" s="991" t="str">
        <f>IF(E942="","",IF(E942="No.","Each",IF(E942="Nos.","Each",E942)))</f>
        <v>cu.m.</v>
      </c>
      <c r="I942" s="986">
        <f>IF(G942="",D942*F942,(D942*F942/G942))</f>
        <v>1.7484799999999994</v>
      </c>
    </row>
    <row r="943" spans="1:12">
      <c r="A943" s="1019"/>
      <c r="B943" s="1020"/>
      <c r="C943" s="1220" t="s">
        <v>690</v>
      </c>
      <c r="D943" s="1021"/>
      <c r="E943" s="1003"/>
      <c r="F943" s="986"/>
      <c r="G943" s="1023"/>
      <c r="H943" s="991"/>
      <c r="I943" s="986"/>
    </row>
    <row r="944" spans="1:12">
      <c r="A944" s="1019"/>
      <c r="B944" s="1020"/>
      <c r="C944" s="792" t="s">
        <v>377</v>
      </c>
      <c r="D944" s="1021">
        <f>ROUND(0.063*1,3)</f>
        <v>6.3E-2</v>
      </c>
      <c r="E944" s="1008" t="s">
        <v>499</v>
      </c>
      <c r="F944" s="986">
        <f>$F$9</f>
        <v>624</v>
      </c>
      <c r="G944" s="1023">
        <v>1</v>
      </c>
      <c r="H944" s="991" t="str">
        <f>IF(E944="","",IF(E944="No.","Each",IF(E944="Nos.","Each",E944)))</f>
        <v>Each</v>
      </c>
      <c r="I944" s="986">
        <f>IF(G944="",D944*F944,(D944*F944/G944))</f>
        <v>39.311999999999998</v>
      </c>
    </row>
    <row r="945" spans="1:10">
      <c r="A945" s="1019"/>
      <c r="B945" s="1020"/>
      <c r="C945" s="792" t="s">
        <v>378</v>
      </c>
      <c r="D945" s="1021">
        <f>ROUND(0.147*1,2)</f>
        <v>0.15</v>
      </c>
      <c r="E945" s="1008" t="s">
        <v>499</v>
      </c>
      <c r="F945" s="986">
        <f>$F$10</f>
        <v>588</v>
      </c>
      <c r="G945" s="1023">
        <v>1</v>
      </c>
      <c r="H945" s="991" t="str">
        <f>IF(E945="","",IF(E945="No.","Each",IF(E945="Nos.","Each",E945)))</f>
        <v>Each</v>
      </c>
      <c r="I945" s="986">
        <f>IF(G945="",D945*F945,(D945*F945/G945))</f>
        <v>88.2</v>
      </c>
    </row>
    <row r="946" spans="1:10">
      <c r="A946" s="1019"/>
      <c r="B946" s="1020"/>
      <c r="C946" s="792" t="s">
        <v>346</v>
      </c>
      <c r="D946" s="1021">
        <f>ROUND(0.39*1,2)</f>
        <v>0.39</v>
      </c>
      <c r="E946" s="1003" t="s">
        <v>499</v>
      </c>
      <c r="F946" s="986">
        <f>$F$22</f>
        <v>558</v>
      </c>
      <c r="G946" s="1023">
        <v>1</v>
      </c>
      <c r="H946" s="991" t="str">
        <f>IF(E946="","",IF(E946="No.","Each",IF(E946="Nos.","Each",E946)))</f>
        <v>Each</v>
      </c>
      <c r="I946" s="986">
        <f>IF(G946="",D946*F946,(D946*F946/G946))</f>
        <v>217.62</v>
      </c>
    </row>
    <row r="947" spans="1:10">
      <c r="A947" s="1019"/>
      <c r="B947" s="1020"/>
      <c r="D947" s="1021"/>
      <c r="E947" s="1008"/>
      <c r="F947" s="986"/>
      <c r="G947" s="1023"/>
      <c r="H947" s="991"/>
      <c r="I947" s="986">
        <f>SUM(I938:I946)</f>
        <v>380.93423999999999</v>
      </c>
    </row>
    <row r="948" spans="1:10" ht="24.6">
      <c r="A948" s="1019"/>
      <c r="B948" s="1020"/>
      <c r="C948" s="1213" t="s">
        <v>719</v>
      </c>
      <c r="D948" s="1050">
        <f>I947</f>
        <v>380.93423999999999</v>
      </c>
      <c r="E948" s="1003"/>
      <c r="F948" s="986">
        <v>0.01</v>
      </c>
      <c r="G948" s="1023"/>
      <c r="I948" s="986">
        <f>ROUND(D948*F948,2)</f>
        <v>3.81</v>
      </c>
    </row>
    <row r="949" spans="1:10">
      <c r="A949" s="1019"/>
      <c r="B949" s="1020"/>
      <c r="C949" s="980" t="s">
        <v>368</v>
      </c>
      <c r="D949" s="1021"/>
      <c r="E949" s="1003"/>
      <c r="F949" s="986"/>
      <c r="G949" s="1023"/>
      <c r="H949" s="1213"/>
      <c r="I949" s="1012">
        <f>SUM(I947:I948)</f>
        <v>384.74423999999999</v>
      </c>
    </row>
    <row r="950" spans="1:10">
      <c r="A950" s="1019"/>
      <c r="B950" s="1020"/>
      <c r="C950" s="1214" t="s">
        <v>428</v>
      </c>
      <c r="E950" s="1227" t="s">
        <v>501</v>
      </c>
      <c r="F950" s="1048" t="s">
        <v>502</v>
      </c>
      <c r="G950" s="1227" t="s">
        <v>503</v>
      </c>
      <c r="H950" s="1048" t="s">
        <v>709</v>
      </c>
      <c r="I950" s="1048" t="s">
        <v>502</v>
      </c>
      <c r="J950" s="1048" t="s">
        <v>502</v>
      </c>
    </row>
    <row r="951" spans="1:10">
      <c r="A951" s="1019"/>
      <c r="B951" s="1020"/>
      <c r="C951" s="792" t="s">
        <v>368</v>
      </c>
      <c r="E951" s="986">
        <f>I949</f>
        <v>384.74423999999999</v>
      </c>
      <c r="F951" s="986">
        <f>I949</f>
        <v>384.74423999999999</v>
      </c>
      <c r="G951" s="986">
        <f>I949</f>
        <v>384.74423999999999</v>
      </c>
      <c r="H951" s="986">
        <f>I949</f>
        <v>384.74423999999999</v>
      </c>
      <c r="I951" s="986">
        <f>H951</f>
        <v>384.74423999999999</v>
      </c>
      <c r="J951" s="986">
        <f>I951</f>
        <v>384.74423999999999</v>
      </c>
    </row>
    <row r="952" spans="1:10">
      <c r="A952" s="1019"/>
      <c r="B952" s="1020"/>
      <c r="C952" s="792" t="s">
        <v>370</v>
      </c>
      <c r="E952" s="986">
        <f>$F$78</f>
        <v>1.03</v>
      </c>
      <c r="F952" s="986">
        <f>$F$79</f>
        <v>1.03</v>
      </c>
      <c r="G952" s="986">
        <f>$F$80</f>
        <v>1.03</v>
      </c>
      <c r="H952" s="986">
        <f>$F$81</f>
        <v>1.03</v>
      </c>
      <c r="I952" s="986">
        <f>$F$81</f>
        <v>1.03</v>
      </c>
      <c r="J952" s="986">
        <f>$F$81</f>
        <v>1.03</v>
      </c>
    </row>
    <row r="953" spans="1:10">
      <c r="A953" s="1019"/>
      <c r="B953" s="1020"/>
      <c r="C953" s="792" t="s">
        <v>371</v>
      </c>
      <c r="E953" s="986">
        <f>$H$78</f>
        <v>8.73</v>
      </c>
      <c r="F953" s="986">
        <f>$H$79</f>
        <v>12.49</v>
      </c>
      <c r="G953" s="986">
        <f>$H$80</f>
        <v>16.239999999999998</v>
      </c>
      <c r="H953" s="986">
        <f>$H$81</f>
        <v>20.010000000000002</v>
      </c>
      <c r="I953" s="986">
        <f>$H$82</f>
        <v>23.77</v>
      </c>
      <c r="J953" s="986">
        <f>$H$83</f>
        <v>27.56</v>
      </c>
    </row>
    <row r="954" spans="1:10">
      <c r="A954" s="1019"/>
      <c r="B954" s="1020"/>
      <c r="C954" s="792" t="s">
        <v>338</v>
      </c>
      <c r="D954" s="1049">
        <f>$E$5</f>
        <v>0.2</v>
      </c>
      <c r="E954" s="986">
        <f t="shared" ref="E954:J954" si="125">ROUND($D$954*E953,2)</f>
        <v>1.75</v>
      </c>
      <c r="F954" s="986">
        <f t="shared" si="125"/>
        <v>2.5</v>
      </c>
      <c r="G954" s="986">
        <f t="shared" si="125"/>
        <v>3.25</v>
      </c>
      <c r="H954" s="986">
        <f t="shared" si="125"/>
        <v>4</v>
      </c>
      <c r="I954" s="986">
        <f t="shared" si="125"/>
        <v>4.75</v>
      </c>
      <c r="J954" s="986">
        <f t="shared" si="125"/>
        <v>5.51</v>
      </c>
    </row>
    <row r="955" spans="1:10">
      <c r="A955" s="1019"/>
      <c r="B955" s="1020"/>
      <c r="C955" s="792" t="s">
        <v>418</v>
      </c>
      <c r="E955" s="986"/>
      <c r="F955" s="986">
        <f>ROUND(0.1*($I$920+$I$921+$I$922),2)</f>
        <v>34.340000000000003</v>
      </c>
      <c r="G955" s="986">
        <f>ROUND(0.2*($I$920+$I$921+$I$922),2)</f>
        <v>68.67</v>
      </c>
      <c r="H955" s="986">
        <f>ROUND(0.3*($I$920+$I$921+$I$922),2)</f>
        <v>103.01</v>
      </c>
      <c r="I955" s="986">
        <f>ROUND(0.4*($I$920+$I$921+$I$922),2)</f>
        <v>137.35</v>
      </c>
      <c r="J955" s="986">
        <f>ROUND(0.5*($I$920+$I$921+$I$922),2)</f>
        <v>171.68</v>
      </c>
    </row>
    <row r="956" spans="1:10">
      <c r="A956" s="1019"/>
      <c r="B956" s="1020"/>
      <c r="E956" s="986">
        <f t="shared" ref="E956:J956" si="126">SUM(E951:E955)</f>
        <v>396.25423999999998</v>
      </c>
      <c r="F956" s="986">
        <f t="shared" si="126"/>
        <v>435.10424</v>
      </c>
      <c r="G956" s="986">
        <f t="shared" si="126"/>
        <v>473.93423999999999</v>
      </c>
      <c r="H956" s="986">
        <f t="shared" si="126"/>
        <v>512.79423999999995</v>
      </c>
      <c r="I956" s="986">
        <f t="shared" si="126"/>
        <v>551.64423999999997</v>
      </c>
      <c r="J956" s="986">
        <f t="shared" si="126"/>
        <v>590.52423999999996</v>
      </c>
    </row>
    <row r="957" spans="1:10">
      <c r="A957" s="1019"/>
      <c r="B957" s="1020"/>
      <c r="C957" s="1220" t="s">
        <v>1014</v>
      </c>
      <c r="D957" s="1026">
        <f>$D$3</f>
        <v>0</v>
      </c>
      <c r="E957" s="986">
        <f t="shared" ref="E957:J957" si="127">ROUND(E956*$D$933,2)</f>
        <v>0</v>
      </c>
      <c r="F957" s="986">
        <f t="shared" si="127"/>
        <v>0</v>
      </c>
      <c r="G957" s="986">
        <f t="shared" si="127"/>
        <v>0</v>
      </c>
      <c r="H957" s="986">
        <f t="shared" si="127"/>
        <v>0</v>
      </c>
      <c r="I957" s="986">
        <f t="shared" si="127"/>
        <v>0</v>
      </c>
      <c r="J957" s="986">
        <f t="shared" si="127"/>
        <v>0</v>
      </c>
    </row>
    <row r="958" spans="1:10">
      <c r="A958" s="1019"/>
      <c r="B958" s="1020"/>
      <c r="C958" s="980" t="s">
        <v>349</v>
      </c>
      <c r="D958" s="980" t="s">
        <v>466</v>
      </c>
      <c r="E958" s="1012">
        <f t="shared" ref="E958:J958" si="128">CEILING(SUM(E956:E957),0.05)</f>
        <v>396.3</v>
      </c>
      <c r="F958" s="1012">
        <f t="shared" si="128"/>
        <v>435.15000000000003</v>
      </c>
      <c r="G958" s="1012">
        <f t="shared" si="128"/>
        <v>473.95000000000005</v>
      </c>
      <c r="H958" s="1012">
        <f t="shared" si="128"/>
        <v>512.80000000000007</v>
      </c>
      <c r="I958" s="1012">
        <f t="shared" si="128"/>
        <v>551.65</v>
      </c>
      <c r="J958" s="1012">
        <f t="shared" si="128"/>
        <v>590.55000000000007</v>
      </c>
    </row>
    <row r="959" spans="1:10" ht="82.5" customHeight="1">
      <c r="A959" s="1019">
        <f>A935+1</f>
        <v>22</v>
      </c>
      <c r="B959" s="1020"/>
      <c r="C959" s="1502" t="s">
        <v>2296</v>
      </c>
      <c r="D959" s="1502"/>
      <c r="E959" s="1502"/>
      <c r="F959" s="1502"/>
      <c r="G959" s="1502"/>
      <c r="H959" s="1502"/>
      <c r="I959" s="1502"/>
    </row>
    <row r="960" spans="1:10" ht="12.75" customHeight="1">
      <c r="A960" s="1019"/>
      <c r="B960" s="1020"/>
      <c r="C960" s="1220" t="s">
        <v>369</v>
      </c>
      <c r="D960" s="1021"/>
      <c r="E960" s="1003"/>
      <c r="F960" s="986"/>
      <c r="G960" s="1023"/>
      <c r="H960" s="1213"/>
      <c r="I960" s="986"/>
    </row>
    <row r="961" spans="1:10" ht="12.75" customHeight="1">
      <c r="A961" s="1019"/>
      <c r="B961" s="1020"/>
      <c r="C961" s="979" t="s">
        <v>235</v>
      </c>
      <c r="D961" s="1021">
        <v>4.32</v>
      </c>
      <c r="E961" s="1008" t="s">
        <v>462</v>
      </c>
      <c r="F961" s="986">
        <f>LEAD!$P$28</f>
        <v>7168</v>
      </c>
      <c r="G961" s="1023">
        <v>1000</v>
      </c>
      <c r="H961" s="991" t="str">
        <f>IF(E961="","",IF(E961="No.","Each",IF(E961="Nos.","Each",E961)))</f>
        <v>kgs</v>
      </c>
      <c r="I961" s="986">
        <f>IF(G961="",D961*F961,(D961*F961/G961))</f>
        <v>30.965760000000003</v>
      </c>
    </row>
    <row r="962" spans="1:10" ht="12.75" customHeight="1">
      <c r="A962" s="1019"/>
      <c r="B962" s="1020"/>
      <c r="C962" s="1212" t="s">
        <v>348</v>
      </c>
      <c r="D962" s="1021">
        <v>1.7999999999999999E-2</v>
      </c>
      <c r="E962" s="1003" t="s">
        <v>529</v>
      </c>
      <c r="F962" s="986">
        <f>LEAD!$P$9</f>
        <v>437.11999999999983</v>
      </c>
      <c r="G962" s="1023">
        <v>1</v>
      </c>
      <c r="H962" s="991" t="str">
        <f>IF(E962="","",IF(E962="No.","Each",IF(E962="Nos.","Each",E962)))</f>
        <v>cu.m.</v>
      </c>
      <c r="I962" s="986">
        <f>IF(G962="",D962*F962,(D962*F962/G962))</f>
        <v>7.868159999999996</v>
      </c>
    </row>
    <row r="963" spans="1:10" ht="12.75" customHeight="1">
      <c r="A963" s="1019"/>
      <c r="B963" s="1020"/>
      <c r="C963" s="1220" t="s">
        <v>492</v>
      </c>
      <c r="D963" s="1021"/>
      <c r="E963" s="1003"/>
      <c r="F963" s="986"/>
      <c r="G963" s="1023"/>
      <c r="H963" s="1213"/>
      <c r="I963" s="986"/>
    </row>
    <row r="964" spans="1:10" ht="12.75" customHeight="1">
      <c r="A964" s="1019"/>
      <c r="B964" s="1020"/>
      <c r="C964" s="979" t="s">
        <v>235</v>
      </c>
      <c r="D964" s="1021">
        <v>1.44</v>
      </c>
      <c r="E964" s="1008" t="s">
        <v>462</v>
      </c>
      <c r="F964" s="986">
        <f>LEAD!$P$28</f>
        <v>7168</v>
      </c>
      <c r="G964" s="1023">
        <v>1000</v>
      </c>
      <c r="H964" s="991" t="str">
        <f>IF(E964="","",IF(E964="No.","Each",IF(E964="Nos.","Each",E964)))</f>
        <v>kgs</v>
      </c>
      <c r="I964" s="986">
        <f>IF(G964="",D964*F964,(D964*F964/G964))</f>
        <v>10.32192</v>
      </c>
    </row>
    <row r="965" spans="1:10" ht="12.75" customHeight="1">
      <c r="A965" s="1019"/>
      <c r="B965" s="1020"/>
      <c r="C965" s="1212" t="s">
        <v>348</v>
      </c>
      <c r="D965" s="1021">
        <v>4.0000000000000001E-3</v>
      </c>
      <c r="E965" s="1003" t="s">
        <v>529</v>
      </c>
      <c r="F965" s="986">
        <f>F962</f>
        <v>437.11999999999983</v>
      </c>
      <c r="G965" s="1023">
        <v>1</v>
      </c>
      <c r="H965" s="991" t="str">
        <f>IF(E965="","",IF(E965="No.","Each",IF(E965="Nos.","Each",E965)))</f>
        <v>cu.m.</v>
      </c>
      <c r="I965" s="986">
        <f>IF(G965="",D965*F965,(D965*F965/G965))</f>
        <v>1.7484799999999994</v>
      </c>
    </row>
    <row r="966" spans="1:10" ht="12.75" customHeight="1">
      <c r="A966" s="1019"/>
      <c r="B966" s="1020"/>
      <c r="C966" s="1220" t="s">
        <v>690</v>
      </c>
      <c r="D966" s="1021"/>
      <c r="E966" s="1003"/>
      <c r="F966" s="986"/>
      <c r="G966" s="1023"/>
      <c r="H966" s="991"/>
      <c r="I966" s="986"/>
    </row>
    <row r="967" spans="1:10" ht="12.75" customHeight="1">
      <c r="A967" s="1019"/>
      <c r="B967" s="1020"/>
      <c r="C967" s="792" t="s">
        <v>377</v>
      </c>
      <c r="D967" s="1021">
        <v>6.3E-2</v>
      </c>
      <c r="E967" s="1008" t="s">
        <v>499</v>
      </c>
      <c r="F967" s="986">
        <f>$F$9</f>
        <v>624</v>
      </c>
      <c r="G967" s="1023">
        <v>1</v>
      </c>
      <c r="H967" s="991" t="str">
        <f>IF(E967="","",IF(E967="No.","Each",IF(E967="Nos.","Each",E967)))</f>
        <v>Each</v>
      </c>
      <c r="I967" s="986">
        <f>IF(G967="",D967*F967,(D967*F967/G967))</f>
        <v>39.311999999999998</v>
      </c>
    </row>
    <row r="968" spans="1:10" ht="12.75" customHeight="1">
      <c r="A968" s="1019"/>
      <c r="B968" s="1020"/>
      <c r="C968" s="792" t="s">
        <v>378</v>
      </c>
      <c r="D968" s="1021">
        <v>0.14699999999999999</v>
      </c>
      <c r="E968" s="1008" t="s">
        <v>499</v>
      </c>
      <c r="F968" s="986">
        <f>$F$10</f>
        <v>588</v>
      </c>
      <c r="G968" s="1023">
        <v>1</v>
      </c>
      <c r="H968" s="991" t="str">
        <f>IF(E968="","",IF(E968="No.","Each",IF(E968="Nos.","Each",E968)))</f>
        <v>Each</v>
      </c>
      <c r="I968" s="986">
        <f>IF(G968="",D968*F968,(D968*F968/G968))</f>
        <v>86.435999999999993</v>
      </c>
    </row>
    <row r="969" spans="1:10" ht="12.75" customHeight="1">
      <c r="A969" s="1019"/>
      <c r="B969" s="1020"/>
      <c r="C969" s="792" t="s">
        <v>346</v>
      </c>
      <c r="D969" s="1021">
        <v>0.39</v>
      </c>
      <c r="E969" s="1003" t="s">
        <v>499</v>
      </c>
      <c r="F969" s="986">
        <f>$F$22</f>
        <v>558</v>
      </c>
      <c r="G969" s="1023">
        <v>1</v>
      </c>
      <c r="H969" s="991" t="str">
        <f>IF(E969="","",IF(E969="No.","Each",IF(E969="Nos.","Each",E969)))</f>
        <v>Each</v>
      </c>
      <c r="I969" s="986">
        <f>IF(G969="",D969*F969,(D969*F969/G969))</f>
        <v>217.62</v>
      </c>
    </row>
    <row r="970" spans="1:10" ht="12.75" customHeight="1">
      <c r="A970" s="1019"/>
      <c r="B970" s="1020"/>
      <c r="D970" s="1021"/>
      <c r="E970" s="1008"/>
      <c r="F970" s="986"/>
      <c r="G970" s="1023"/>
      <c r="H970" s="991"/>
      <c r="I970" s="986">
        <f>SUM(I961:I969)</f>
        <v>394.27231999999998</v>
      </c>
    </row>
    <row r="971" spans="1:10" ht="25.5" customHeight="1">
      <c r="A971" s="1019"/>
      <c r="B971" s="1020"/>
      <c r="C971" s="792" t="s">
        <v>719</v>
      </c>
      <c r="D971" s="1050">
        <f>I970</f>
        <v>394.27231999999998</v>
      </c>
      <c r="E971" s="1003"/>
      <c r="F971" s="986">
        <v>0.01</v>
      </c>
      <c r="G971" s="1023"/>
      <c r="I971" s="986">
        <f>ROUND(D971*F971,2)</f>
        <v>3.94</v>
      </c>
    </row>
    <row r="972" spans="1:10" ht="12.75" customHeight="1">
      <c r="A972" s="1019"/>
      <c r="B972" s="1020"/>
      <c r="C972" s="980" t="s">
        <v>368</v>
      </c>
      <c r="D972" s="1021"/>
      <c r="E972" s="1003"/>
      <c r="F972" s="986"/>
      <c r="G972" s="1023"/>
      <c r="H972" s="1213"/>
      <c r="I972" s="1012">
        <f>SUM(I970:I971)</f>
        <v>398.21231999999998</v>
      </c>
    </row>
    <row r="973" spans="1:10" ht="12.75" customHeight="1">
      <c r="A973" s="1019"/>
      <c r="B973" s="1020"/>
      <c r="C973" s="1214" t="s">
        <v>428</v>
      </c>
      <c r="E973" s="1227" t="s">
        <v>501</v>
      </c>
      <c r="F973" s="1048" t="s">
        <v>502</v>
      </c>
      <c r="G973" s="1227" t="s">
        <v>503</v>
      </c>
      <c r="H973" s="1048" t="s">
        <v>709</v>
      </c>
      <c r="I973" s="1048" t="s">
        <v>502</v>
      </c>
      <c r="J973" s="1048" t="s">
        <v>502</v>
      </c>
    </row>
    <row r="974" spans="1:10" ht="12.75" customHeight="1">
      <c r="A974" s="1019"/>
      <c r="B974" s="1020"/>
      <c r="C974" s="792" t="s">
        <v>368</v>
      </c>
      <c r="E974" s="986">
        <f>I972</f>
        <v>398.21231999999998</v>
      </c>
      <c r="F974" s="986">
        <f>I972</f>
        <v>398.21231999999998</v>
      </c>
      <c r="G974" s="986">
        <f>I972</f>
        <v>398.21231999999998</v>
      </c>
      <c r="H974" s="986">
        <f>I972</f>
        <v>398.21231999999998</v>
      </c>
      <c r="I974" s="986">
        <f>I972</f>
        <v>398.21231999999998</v>
      </c>
      <c r="J974" s="986">
        <f>I972</f>
        <v>398.21231999999998</v>
      </c>
    </row>
    <row r="975" spans="1:10" ht="12.75" customHeight="1">
      <c r="A975" s="1019"/>
      <c r="B975" s="1020"/>
      <c r="C975" s="792" t="s">
        <v>370</v>
      </c>
      <c r="E975" s="986">
        <f>$F$78</f>
        <v>1.03</v>
      </c>
      <c r="F975" s="986">
        <f>$F$79</f>
        <v>1.03</v>
      </c>
      <c r="G975" s="986">
        <f>$F$80</f>
        <v>1.03</v>
      </c>
      <c r="H975" s="986">
        <f>$F$81</f>
        <v>1.03</v>
      </c>
      <c r="I975" s="986">
        <f>$F$81</f>
        <v>1.03</v>
      </c>
      <c r="J975" s="986">
        <f>$F$81</f>
        <v>1.03</v>
      </c>
    </row>
    <row r="976" spans="1:10" ht="25.5" customHeight="1">
      <c r="A976" s="1019"/>
      <c r="B976" s="1020"/>
      <c r="C976" s="792" t="s">
        <v>371</v>
      </c>
      <c r="E976" s="986">
        <f>$H$78</f>
        <v>8.73</v>
      </c>
      <c r="F976" s="986">
        <f>$H$79</f>
        <v>12.49</v>
      </c>
      <c r="G976" s="986">
        <f>$H$80</f>
        <v>16.239999999999998</v>
      </c>
      <c r="H976" s="986">
        <f>$H$81</f>
        <v>20.010000000000002</v>
      </c>
      <c r="I976" s="986">
        <f>$H$82</f>
        <v>23.77</v>
      </c>
      <c r="J976" s="986">
        <f>$H$83</f>
        <v>27.56</v>
      </c>
    </row>
    <row r="977" spans="1:11" ht="12.75" customHeight="1">
      <c r="A977" s="1019"/>
      <c r="B977" s="1020"/>
      <c r="C977" s="792" t="s">
        <v>338</v>
      </c>
      <c r="D977" s="1049">
        <f>$E$5</f>
        <v>0.2</v>
      </c>
      <c r="E977" s="986">
        <f t="shared" ref="E977:J977" si="129">ROUND($D$977*E976,2)</f>
        <v>1.75</v>
      </c>
      <c r="F977" s="986">
        <f t="shared" si="129"/>
        <v>2.5</v>
      </c>
      <c r="G977" s="986">
        <f t="shared" si="129"/>
        <v>3.25</v>
      </c>
      <c r="H977" s="986">
        <f t="shared" si="129"/>
        <v>4</v>
      </c>
      <c r="I977" s="986">
        <f t="shared" si="129"/>
        <v>4.75</v>
      </c>
      <c r="J977" s="986">
        <f t="shared" si="129"/>
        <v>5.51</v>
      </c>
    </row>
    <row r="978" spans="1:11" ht="12.75" customHeight="1">
      <c r="A978" s="1019"/>
      <c r="B978" s="1020"/>
      <c r="C978" s="792" t="s">
        <v>418</v>
      </c>
      <c r="E978" s="986"/>
      <c r="F978" s="986">
        <f>ROUND(0.1*($I$920+$I$921+$I$922),2)</f>
        <v>34.340000000000003</v>
      </c>
      <c r="G978" s="986">
        <f>ROUND(0.2*($I$920+$I$921+$I$922),2)</f>
        <v>68.67</v>
      </c>
      <c r="H978" s="986">
        <f>ROUND(0.3*($I$920+$I$921+$I$922),2)</f>
        <v>103.01</v>
      </c>
      <c r="I978" s="986">
        <f>ROUND(0.4*($I$920+$I$921+$I$922),2)</f>
        <v>137.35</v>
      </c>
      <c r="J978" s="986">
        <f>ROUND(0.5*($I$920+$I$921+$I$922),2)</f>
        <v>171.68</v>
      </c>
    </row>
    <row r="979" spans="1:11" ht="12.75" customHeight="1">
      <c r="A979" s="1019"/>
      <c r="B979" s="1020"/>
      <c r="E979" s="986">
        <f t="shared" ref="E979:J979" si="130">SUM(E974:E978)</f>
        <v>409.72231999999997</v>
      </c>
      <c r="F979" s="986">
        <f t="shared" si="130"/>
        <v>448.57231999999999</v>
      </c>
      <c r="G979" s="986">
        <f t="shared" si="130"/>
        <v>487.40231999999997</v>
      </c>
      <c r="H979" s="986">
        <f t="shared" si="130"/>
        <v>526.26231999999993</v>
      </c>
      <c r="I979" s="986">
        <f t="shared" si="130"/>
        <v>565.11231999999995</v>
      </c>
      <c r="J979" s="986">
        <f t="shared" si="130"/>
        <v>603.99231999999995</v>
      </c>
    </row>
    <row r="980" spans="1:11" ht="12.75" customHeight="1">
      <c r="A980" s="1019"/>
      <c r="B980" s="1020"/>
      <c r="C980" s="1220" t="s">
        <v>1014</v>
      </c>
      <c r="D980" s="1026">
        <f>$D$3</f>
        <v>0</v>
      </c>
      <c r="E980" s="986">
        <f t="shared" ref="E980:J980" si="131">ROUND(E979*$D$980,2)</f>
        <v>0</v>
      </c>
      <c r="F980" s="986">
        <f t="shared" si="131"/>
        <v>0</v>
      </c>
      <c r="G980" s="986">
        <f t="shared" si="131"/>
        <v>0</v>
      </c>
      <c r="H980" s="986">
        <f t="shared" si="131"/>
        <v>0</v>
      </c>
      <c r="I980" s="986">
        <f t="shared" si="131"/>
        <v>0</v>
      </c>
      <c r="J980" s="986">
        <f t="shared" si="131"/>
        <v>0</v>
      </c>
    </row>
    <row r="981" spans="1:11" ht="12.75" customHeight="1">
      <c r="A981" s="1019"/>
      <c r="B981" s="1020"/>
      <c r="C981" s="980" t="s">
        <v>349</v>
      </c>
      <c r="D981" s="980" t="s">
        <v>466</v>
      </c>
      <c r="E981" s="1012">
        <f t="shared" ref="E981:J981" si="132">CEILING(SUM(E979:E980),0.05)</f>
        <v>409.75</v>
      </c>
      <c r="F981" s="1012">
        <f t="shared" si="132"/>
        <v>448.6</v>
      </c>
      <c r="G981" s="1012">
        <f t="shared" si="132"/>
        <v>487.45000000000005</v>
      </c>
      <c r="H981" s="1012">
        <f t="shared" si="132"/>
        <v>526.30000000000007</v>
      </c>
      <c r="I981" s="1012">
        <f t="shared" si="132"/>
        <v>565.15</v>
      </c>
      <c r="J981" s="1012">
        <f t="shared" si="132"/>
        <v>604</v>
      </c>
    </row>
    <row r="982" spans="1:11" ht="12.75" customHeight="1">
      <c r="A982" s="1019">
        <f>A959+1</f>
        <v>23</v>
      </c>
      <c r="B982" s="1020"/>
      <c r="C982" s="1493" t="s">
        <v>2297</v>
      </c>
      <c r="D982" s="1493"/>
      <c r="E982" s="1493"/>
      <c r="F982" s="1493"/>
      <c r="G982" s="1493"/>
      <c r="H982" s="1493"/>
      <c r="I982" s="1493"/>
      <c r="J982" s="1215"/>
    </row>
    <row r="983" spans="1:11">
      <c r="A983" s="1019"/>
      <c r="B983" s="1020"/>
      <c r="C983" s="792" t="s">
        <v>1059</v>
      </c>
      <c r="D983" s="1021">
        <f>0.015*240</f>
        <v>3.5999999999999996</v>
      </c>
      <c r="E983" s="1022" t="s">
        <v>236</v>
      </c>
      <c r="F983" s="986">
        <f>ROUND(LEAD!P28/1000,2)</f>
        <v>7.17</v>
      </c>
      <c r="G983" s="1023">
        <v>1</v>
      </c>
      <c r="H983" s="991" t="str">
        <f>IF(E983="","",IF(E983="No.","Each",IF(E983="Nos.","Each",E983)))</f>
        <v>kg</v>
      </c>
      <c r="I983" s="986">
        <f>IF(G983="",D983*F983,(D983*F983/G983))</f>
        <v>25.811999999999998</v>
      </c>
      <c r="J983" s="1215"/>
    </row>
    <row r="984" spans="1:11">
      <c r="A984" s="1019"/>
      <c r="B984" s="1020"/>
      <c r="C984" s="792" t="s">
        <v>1060</v>
      </c>
      <c r="D984" s="1021">
        <f>0.015</f>
        <v>1.4999999999999999E-2</v>
      </c>
      <c r="E984" s="1022" t="s">
        <v>529</v>
      </c>
      <c r="F984" s="986">
        <f>LEAD!P9</f>
        <v>437.11999999999983</v>
      </c>
      <c r="G984" s="1023">
        <v>1</v>
      </c>
      <c r="H984" s="991" t="str">
        <f>IF(E984="","",IF(E984="No.","Each",IF(E984="Nos.","Each",E984)))</f>
        <v>cu.m.</v>
      </c>
      <c r="I984" s="986">
        <f>IF(G984="",D984*F984,(D984*F984/G984))</f>
        <v>6.5567999999999973</v>
      </c>
    </row>
    <row r="985" spans="1:11">
      <c r="A985" s="1019"/>
      <c r="B985" s="1020"/>
      <c r="C985" s="792" t="s">
        <v>377</v>
      </c>
      <c r="D985" s="1021">
        <v>0.06</v>
      </c>
      <c r="E985" s="1008" t="s">
        <v>499</v>
      </c>
      <c r="F985" s="986">
        <f>$F$9</f>
        <v>624</v>
      </c>
      <c r="G985" s="1023">
        <v>1</v>
      </c>
      <c r="H985" s="991" t="str">
        <f>IF(E985="","",IF(E985="No.","Each",IF(E985="Nos.","Each",E985)))</f>
        <v>Each</v>
      </c>
      <c r="I985" s="986">
        <f>IF(G985="",D985*F985,(D985*F985/G985))</f>
        <v>37.44</v>
      </c>
    </row>
    <row r="986" spans="1:11">
      <c r="A986" s="1019"/>
      <c r="B986" s="1020"/>
      <c r="C986" s="792" t="s">
        <v>621</v>
      </c>
      <c r="D986" s="1021">
        <v>9.6000000000000002E-2</v>
      </c>
      <c r="E986" s="1022" t="s">
        <v>499</v>
      </c>
      <c r="F986" s="986">
        <f>$F$22</f>
        <v>558</v>
      </c>
      <c r="G986" s="1023">
        <v>1</v>
      </c>
      <c r="H986" s="991" t="str">
        <f>IF(E986="","",IF(E986="No.","Each",IF(E986="Nos.","Each",E986)))</f>
        <v>Each</v>
      </c>
      <c r="I986" s="986">
        <f>IF(G986="",D986*F986,(D986*F986/G986))</f>
        <v>53.567999999999998</v>
      </c>
    </row>
    <row r="987" spans="1:11">
      <c r="A987" s="1019"/>
      <c r="B987" s="1020"/>
      <c r="D987" s="1021"/>
      <c r="E987" s="1008"/>
      <c r="F987" s="986"/>
      <c r="G987" s="1023"/>
      <c r="H987" s="991"/>
      <c r="I987" s="986">
        <f>SUM(I983:I986)</f>
        <v>123.37679999999999</v>
      </c>
    </row>
    <row r="988" spans="1:11" ht="24.6">
      <c r="A988" s="1019"/>
      <c r="B988" s="1020"/>
      <c r="C988" s="792" t="s">
        <v>719</v>
      </c>
      <c r="D988" s="1050">
        <f>I987</f>
        <v>123.37679999999999</v>
      </c>
      <c r="E988" s="1003"/>
      <c r="F988" s="986">
        <v>0.01</v>
      </c>
      <c r="G988" s="1023"/>
      <c r="I988" s="986">
        <f>ROUND(D988*F988,2)</f>
        <v>1.23</v>
      </c>
    </row>
    <row r="989" spans="1:11">
      <c r="A989" s="1019"/>
      <c r="B989" s="1020"/>
      <c r="C989" s="980" t="s">
        <v>368</v>
      </c>
      <c r="D989" s="1021"/>
      <c r="E989" s="1003"/>
      <c r="F989" s="986"/>
      <c r="G989" s="1023"/>
      <c r="H989" s="1213"/>
      <c r="I989" s="1012">
        <f>SUM(I987:I988)</f>
        <v>124.60679999999999</v>
      </c>
      <c r="K989" s="979">
        <f>I989*D997</f>
        <v>0</v>
      </c>
    </row>
    <row r="990" spans="1:11">
      <c r="A990" s="1019"/>
      <c r="B990" s="1020"/>
      <c r="C990" s="1214" t="s">
        <v>428</v>
      </c>
      <c r="E990" s="1227" t="s">
        <v>501</v>
      </c>
      <c r="F990" s="1048" t="s">
        <v>502</v>
      </c>
      <c r="G990" s="1227" t="s">
        <v>503</v>
      </c>
      <c r="H990" s="1048" t="s">
        <v>709</v>
      </c>
      <c r="I990" s="1048" t="s">
        <v>502</v>
      </c>
      <c r="J990" s="1048" t="s">
        <v>502</v>
      </c>
      <c r="K990" s="997">
        <f>K989+I989</f>
        <v>124.60679999999999</v>
      </c>
    </row>
    <row r="991" spans="1:11">
      <c r="A991" s="1019"/>
      <c r="B991" s="1020"/>
      <c r="C991" s="792" t="s">
        <v>368</v>
      </c>
      <c r="E991" s="986">
        <f t="shared" ref="E991:J991" si="133">$I$989</f>
        <v>124.60679999999999</v>
      </c>
      <c r="F991" s="986">
        <f t="shared" si="133"/>
        <v>124.60679999999999</v>
      </c>
      <c r="G991" s="986">
        <f t="shared" si="133"/>
        <v>124.60679999999999</v>
      </c>
      <c r="H991" s="986">
        <f t="shared" si="133"/>
        <v>124.60679999999999</v>
      </c>
      <c r="I991" s="986">
        <f t="shared" si="133"/>
        <v>124.60679999999999</v>
      </c>
      <c r="J991" s="986">
        <f t="shared" si="133"/>
        <v>124.60679999999999</v>
      </c>
    </row>
    <row r="992" spans="1:11">
      <c r="A992" s="1019"/>
      <c r="B992" s="1020"/>
      <c r="C992" s="792" t="s">
        <v>370</v>
      </c>
      <c r="E992" s="986">
        <f>$F$78</f>
        <v>1.03</v>
      </c>
      <c r="F992" s="986">
        <f>$F$79</f>
        <v>1.03</v>
      </c>
      <c r="G992" s="986">
        <f>$F$80</f>
        <v>1.03</v>
      </c>
      <c r="H992" s="986">
        <f>$F$81</f>
        <v>1.03</v>
      </c>
      <c r="I992" s="986">
        <f>$F$81</f>
        <v>1.03</v>
      </c>
      <c r="J992" s="986">
        <f>$F$81</f>
        <v>1.03</v>
      </c>
    </row>
    <row r="993" spans="1:10">
      <c r="A993" s="1019"/>
      <c r="B993" s="1020"/>
      <c r="C993" s="792" t="s">
        <v>371</v>
      </c>
      <c r="E993" s="986">
        <f>$H$78</f>
        <v>8.73</v>
      </c>
      <c r="F993" s="986">
        <f>$H$79</f>
        <v>12.49</v>
      </c>
      <c r="G993" s="986">
        <f>$H$80</f>
        <v>16.239999999999998</v>
      </c>
      <c r="H993" s="986">
        <f>$H$81</f>
        <v>20.010000000000002</v>
      </c>
      <c r="I993" s="986">
        <f>$H$82</f>
        <v>23.77</v>
      </c>
      <c r="J993" s="986">
        <f>$H$83</f>
        <v>27.56</v>
      </c>
    </row>
    <row r="994" spans="1:10">
      <c r="A994" s="1019"/>
      <c r="B994" s="1020"/>
      <c r="C994" s="792" t="s">
        <v>338</v>
      </c>
      <c r="D994" s="1049">
        <f>$E$5</f>
        <v>0.2</v>
      </c>
      <c r="E994" s="986">
        <f t="shared" ref="E994:J994" si="134">ROUND($D$994*E993,2)</f>
        <v>1.75</v>
      </c>
      <c r="F994" s="986">
        <f t="shared" si="134"/>
        <v>2.5</v>
      </c>
      <c r="G994" s="986">
        <f t="shared" si="134"/>
        <v>3.25</v>
      </c>
      <c r="H994" s="986">
        <f t="shared" si="134"/>
        <v>4</v>
      </c>
      <c r="I994" s="986">
        <f t="shared" si="134"/>
        <v>4.75</v>
      </c>
      <c r="J994" s="986">
        <f t="shared" si="134"/>
        <v>5.51</v>
      </c>
    </row>
    <row r="995" spans="1:10">
      <c r="A995" s="1019"/>
      <c r="B995" s="1020"/>
      <c r="C995" s="792" t="s">
        <v>418</v>
      </c>
      <c r="E995" s="986"/>
      <c r="F995" s="986">
        <f>ROUND(0.1*(I985+I986),2)</f>
        <v>9.1</v>
      </c>
      <c r="G995" s="986">
        <f>ROUND(0.2*(I985+I986),2)</f>
        <v>18.2</v>
      </c>
      <c r="H995" s="986">
        <f>ROUND(0.3*($I$985+$I$986),2)</f>
        <v>27.3</v>
      </c>
      <c r="I995" s="986">
        <f>ROUND(0.4*($I$985+$I$986),2)</f>
        <v>36.4</v>
      </c>
      <c r="J995" s="986">
        <f>ROUND(0.5*($I$985+$I$986),2)</f>
        <v>45.5</v>
      </c>
    </row>
    <row r="996" spans="1:10">
      <c r="A996" s="1019"/>
      <c r="B996" s="1020"/>
      <c r="E996" s="986">
        <f t="shared" ref="E996:J996" si="135">SUM(E991:E995)</f>
        <v>136.11679999999998</v>
      </c>
      <c r="F996" s="986">
        <f t="shared" si="135"/>
        <v>149.7268</v>
      </c>
      <c r="G996" s="986">
        <f t="shared" si="135"/>
        <v>163.32679999999999</v>
      </c>
      <c r="H996" s="986">
        <f t="shared" si="135"/>
        <v>176.9468</v>
      </c>
      <c r="I996" s="986">
        <f t="shared" si="135"/>
        <v>190.55680000000001</v>
      </c>
      <c r="J996" s="986">
        <f t="shared" si="135"/>
        <v>204.20679999999999</v>
      </c>
    </row>
    <row r="997" spans="1:10">
      <c r="A997" s="1019"/>
      <c r="B997" s="1020"/>
      <c r="C997" s="1220" t="s">
        <v>1014</v>
      </c>
      <c r="D997" s="1026">
        <f>$D$3</f>
        <v>0</v>
      </c>
      <c r="E997" s="986">
        <f t="shared" ref="E997:J997" si="136">ROUND(E996*$D$997,2)</f>
        <v>0</v>
      </c>
      <c r="F997" s="986">
        <f t="shared" si="136"/>
        <v>0</v>
      </c>
      <c r="G997" s="986">
        <f t="shared" si="136"/>
        <v>0</v>
      </c>
      <c r="H997" s="986">
        <f t="shared" si="136"/>
        <v>0</v>
      </c>
      <c r="I997" s="986">
        <f t="shared" si="136"/>
        <v>0</v>
      </c>
      <c r="J997" s="986">
        <f t="shared" si="136"/>
        <v>0</v>
      </c>
    </row>
    <row r="998" spans="1:10">
      <c r="A998" s="1019"/>
      <c r="B998" s="1020"/>
      <c r="C998" s="980" t="s">
        <v>349</v>
      </c>
      <c r="D998" s="980" t="s">
        <v>466</v>
      </c>
      <c r="E998" s="1012">
        <f t="shared" ref="E998:J998" si="137">CEILING(SUM(E996:E997),0.05)</f>
        <v>136.15</v>
      </c>
      <c r="F998" s="1012">
        <f t="shared" si="137"/>
        <v>149.75</v>
      </c>
      <c r="G998" s="1012">
        <f t="shared" si="137"/>
        <v>163.35000000000002</v>
      </c>
      <c r="H998" s="1012">
        <f t="shared" si="137"/>
        <v>176.95000000000002</v>
      </c>
      <c r="I998" s="1012">
        <f t="shared" si="137"/>
        <v>190.60000000000002</v>
      </c>
      <c r="J998" s="1012">
        <f t="shared" si="137"/>
        <v>204.25</v>
      </c>
    </row>
    <row r="999" spans="1:10" ht="12.75" customHeight="1">
      <c r="A999" s="1019">
        <f>A982+1</f>
        <v>24</v>
      </c>
      <c r="B999" s="1020"/>
      <c r="C999" s="1502" t="s">
        <v>2298</v>
      </c>
      <c r="D999" s="1502"/>
      <c r="E999" s="1502"/>
      <c r="F999" s="1502"/>
      <c r="G999" s="1502"/>
      <c r="H999" s="1502"/>
      <c r="I999" s="1502"/>
      <c r="J999" s="1215"/>
    </row>
    <row r="1000" spans="1:10">
      <c r="A1000" s="1019"/>
      <c r="B1000" s="1020"/>
      <c r="C1000" s="792" t="s">
        <v>660</v>
      </c>
      <c r="D1000" s="1021">
        <f>0.021*360</f>
        <v>7.5600000000000005</v>
      </c>
      <c r="E1000" s="1022" t="s">
        <v>236</v>
      </c>
      <c r="F1000" s="986">
        <f>ROUND(LEAD!P28/1000,2)</f>
        <v>7.17</v>
      </c>
      <c r="G1000" s="1023">
        <v>1</v>
      </c>
      <c r="H1000" s="991" t="str">
        <f>IF(E1000="","",IF(E1000="No.","Each",IF(E1000="Nos.","Each",E1000)))</f>
        <v>kg</v>
      </c>
      <c r="I1000" s="986">
        <f>IF(G1000="",D1000*F1000,(D1000*F1000/G1000))</f>
        <v>54.205200000000005</v>
      </c>
      <c r="J1000" s="1215"/>
    </row>
    <row r="1001" spans="1:10">
      <c r="A1001" s="1019"/>
      <c r="B1001" s="1020"/>
      <c r="C1001" s="792" t="s">
        <v>661</v>
      </c>
      <c r="D1001" s="1021">
        <v>2.1000000000000001E-2</v>
      </c>
      <c r="E1001" s="1022" t="s">
        <v>529</v>
      </c>
      <c r="F1001" s="986">
        <f>LEAD!P9</f>
        <v>437.11999999999983</v>
      </c>
      <c r="G1001" s="1023">
        <v>1</v>
      </c>
      <c r="H1001" s="991" t="str">
        <f>IF(E1001="","",IF(E1001="No.","Each",IF(E1001="Nos.","Each",E1001)))</f>
        <v>cu.m.</v>
      </c>
      <c r="I1001" s="986">
        <f>IF(G1001="",D1001*F1001,(D1001*F1001/G1001))</f>
        <v>9.1795199999999966</v>
      </c>
    </row>
    <row r="1002" spans="1:10">
      <c r="A1002" s="1019"/>
      <c r="B1002" s="1020"/>
      <c r="C1002" s="792" t="s">
        <v>377</v>
      </c>
      <c r="D1002" s="1021">
        <v>9.4E-2</v>
      </c>
      <c r="E1002" s="1008" t="s">
        <v>499</v>
      </c>
      <c r="F1002" s="986">
        <f>$F$9</f>
        <v>624</v>
      </c>
      <c r="G1002" s="1023">
        <v>1</v>
      </c>
      <c r="H1002" s="991" t="str">
        <f>IF(E1002="","",IF(E1002="No.","Each",IF(E1002="Nos.","Each",E1002)))</f>
        <v>Each</v>
      </c>
      <c r="I1002" s="986">
        <f>IF(G1002="",D1002*F1002,(D1002*F1002/G1002))</f>
        <v>58.655999999999999</v>
      </c>
    </row>
    <row r="1003" spans="1:10">
      <c r="A1003" s="1019"/>
      <c r="B1003" s="1020"/>
      <c r="C1003" s="792" t="s">
        <v>621</v>
      </c>
      <c r="D1003" s="1021">
        <v>0.16</v>
      </c>
      <c r="E1003" s="1022" t="s">
        <v>499</v>
      </c>
      <c r="F1003" s="986">
        <f>$F$22</f>
        <v>558</v>
      </c>
      <c r="G1003" s="1023">
        <v>1</v>
      </c>
      <c r="H1003" s="991" t="str">
        <f>IF(E1003="","",IF(E1003="No.","Each",IF(E1003="Nos.","Each",E1003)))</f>
        <v>Each</v>
      </c>
      <c r="I1003" s="986">
        <f>IF(G1003="",D1003*F1003,(D1003*F1003/G1003))</f>
        <v>89.28</v>
      </c>
    </row>
    <row r="1004" spans="1:10">
      <c r="A1004" s="1019"/>
      <c r="B1004" s="1020"/>
      <c r="D1004" s="1021"/>
      <c r="E1004" s="1008"/>
      <c r="F1004" s="986"/>
      <c r="G1004" s="1023"/>
      <c r="H1004" s="991"/>
      <c r="I1004" s="986">
        <f>SUM(I1000:I1003)</f>
        <v>211.32071999999999</v>
      </c>
    </row>
    <row r="1005" spans="1:10" ht="24.6">
      <c r="A1005" s="1019"/>
      <c r="B1005" s="1020"/>
      <c r="C1005" s="792" t="s">
        <v>719</v>
      </c>
      <c r="D1005" s="1050">
        <f>I1004</f>
        <v>211.32071999999999</v>
      </c>
      <c r="E1005" s="1003"/>
      <c r="F1005" s="986">
        <v>0.01</v>
      </c>
      <c r="G1005" s="1023"/>
      <c r="I1005" s="986">
        <f>ROUND(D1005*F1005,2)</f>
        <v>2.11</v>
      </c>
    </row>
    <row r="1006" spans="1:10">
      <c r="A1006" s="1019"/>
      <c r="B1006" s="1020"/>
      <c r="C1006" s="980" t="s">
        <v>368</v>
      </c>
      <c r="D1006" s="1021"/>
      <c r="E1006" s="1003"/>
      <c r="F1006" s="986"/>
      <c r="G1006" s="1023"/>
      <c r="H1006" s="1213"/>
      <c r="I1006" s="1012">
        <f>SUM(I1004:I1005)</f>
        <v>213.43072000000001</v>
      </c>
    </row>
    <row r="1007" spans="1:10">
      <c r="A1007" s="1019"/>
      <c r="B1007" s="1020"/>
      <c r="C1007" s="1214" t="s">
        <v>428</v>
      </c>
      <c r="E1007" s="1227" t="s">
        <v>501</v>
      </c>
      <c r="F1007" s="1048" t="s">
        <v>502</v>
      </c>
      <c r="G1007" s="1227" t="s">
        <v>503</v>
      </c>
      <c r="H1007" s="1048" t="s">
        <v>709</v>
      </c>
      <c r="I1007" s="1012"/>
    </row>
    <row r="1008" spans="1:10">
      <c r="A1008" s="1019"/>
      <c r="B1008" s="1020"/>
      <c r="C1008" s="792" t="s">
        <v>368</v>
      </c>
      <c r="E1008" s="986">
        <f>$I$1006</f>
        <v>213.43072000000001</v>
      </c>
      <c r="F1008" s="986">
        <f>$I$1006</f>
        <v>213.43072000000001</v>
      </c>
      <c r="G1008" s="986">
        <f>$I$1006</f>
        <v>213.43072000000001</v>
      </c>
      <c r="H1008" s="986">
        <f>$I$1006</f>
        <v>213.43072000000001</v>
      </c>
      <c r="I1008" s="1012"/>
    </row>
    <row r="1009" spans="1:9">
      <c r="A1009" s="1019"/>
      <c r="B1009" s="1020"/>
      <c r="C1009" s="792" t="s">
        <v>370</v>
      </c>
      <c r="E1009" s="986">
        <f>$F$78</f>
        <v>1.03</v>
      </c>
      <c r="F1009" s="986">
        <f>$F$79</f>
        <v>1.03</v>
      </c>
      <c r="G1009" s="986">
        <f>$F$80</f>
        <v>1.03</v>
      </c>
      <c r="H1009" s="986">
        <f>$F$81</f>
        <v>1.03</v>
      </c>
      <c r="I1009" s="1012"/>
    </row>
    <row r="1010" spans="1:9">
      <c r="A1010" s="1019"/>
      <c r="B1010" s="1020"/>
      <c r="C1010" s="792" t="s">
        <v>371</v>
      </c>
      <c r="E1010" s="986">
        <f>$H$78</f>
        <v>8.73</v>
      </c>
      <c r="F1010" s="986">
        <f>$H$79</f>
        <v>12.49</v>
      </c>
      <c r="G1010" s="986">
        <f>$H$80</f>
        <v>16.239999999999998</v>
      </c>
      <c r="H1010" s="986">
        <f>$H$81</f>
        <v>20.010000000000002</v>
      </c>
      <c r="I1010" s="1012"/>
    </row>
    <row r="1011" spans="1:9">
      <c r="A1011" s="1019"/>
      <c r="B1011" s="1020"/>
      <c r="C1011" s="792" t="s">
        <v>338</v>
      </c>
      <c r="D1011" s="1049">
        <f>$E$5</f>
        <v>0.2</v>
      </c>
      <c r="E1011" s="986">
        <f>ROUND($D$1011*E1010,2)</f>
        <v>1.75</v>
      </c>
      <c r="F1011" s="986">
        <f>ROUND($D$1011*F1010,2)</f>
        <v>2.5</v>
      </c>
      <c r="G1011" s="986">
        <f>ROUND($D$1011*G1010,2)</f>
        <v>3.25</v>
      </c>
      <c r="H1011" s="986">
        <f>ROUND($D$1011*H1010,2)</f>
        <v>4</v>
      </c>
      <c r="I1011" s="1012"/>
    </row>
    <row r="1012" spans="1:9">
      <c r="A1012" s="1019"/>
      <c r="B1012" s="1020"/>
      <c r="C1012" s="792" t="s">
        <v>418</v>
      </c>
      <c r="E1012" s="986"/>
      <c r="F1012" s="986">
        <f>ROUND(0.1*(I1002+I1003),2)</f>
        <v>14.79</v>
      </c>
      <c r="G1012" s="986">
        <f>ROUND(0.2*(I1002+I1003),2)</f>
        <v>29.59</v>
      </c>
      <c r="H1012" s="986">
        <f>ROUND(0.3*(I1002+I1003),2)</f>
        <v>44.38</v>
      </c>
      <c r="I1012" s="1012"/>
    </row>
    <row r="1013" spans="1:9">
      <c r="A1013" s="1019"/>
      <c r="B1013" s="1020"/>
      <c r="E1013" s="986">
        <f>SUM(E1008:E1012)</f>
        <v>224.94072</v>
      </c>
      <c r="F1013" s="986">
        <f>SUM(F1008:F1012)</f>
        <v>244.24072000000001</v>
      </c>
      <c r="G1013" s="986">
        <f>SUM(G1008:G1012)</f>
        <v>263.54072000000002</v>
      </c>
      <c r="H1013" s="986">
        <f>SUM(H1008:H1012)</f>
        <v>282.85072000000002</v>
      </c>
      <c r="I1013" s="1012"/>
    </row>
    <row r="1014" spans="1:9">
      <c r="A1014" s="1019"/>
      <c r="B1014" s="1020"/>
      <c r="C1014" s="1220" t="s">
        <v>1014</v>
      </c>
      <c r="D1014" s="1026">
        <f>$D$3</f>
        <v>0</v>
      </c>
      <c r="E1014" s="986">
        <f>ROUND(E1013*$D$1014,2)</f>
        <v>0</v>
      </c>
      <c r="F1014" s="986">
        <f>ROUND(F1013*$D$1014,2)</f>
        <v>0</v>
      </c>
      <c r="G1014" s="986">
        <f>ROUND(G1013*$D$1014,2)</f>
        <v>0</v>
      </c>
      <c r="H1014" s="986">
        <f>ROUND(H1013*$D$1014,2)</f>
        <v>0</v>
      </c>
      <c r="I1014" s="1012"/>
    </row>
    <row r="1015" spans="1:9">
      <c r="A1015" s="1019"/>
      <c r="B1015" s="1020"/>
      <c r="C1015" s="980" t="s">
        <v>349</v>
      </c>
      <c r="D1015" s="980" t="s">
        <v>466</v>
      </c>
      <c r="E1015" s="1012">
        <f>CEILING(SUM(E1013:E1014),0.05)</f>
        <v>224.95000000000002</v>
      </c>
      <c r="F1015" s="1012">
        <f>CEILING(SUM(F1013:F1014),0.05)</f>
        <v>244.25</v>
      </c>
      <c r="G1015" s="1012">
        <f>CEILING(SUM(G1013:G1014),0.05)</f>
        <v>263.55</v>
      </c>
      <c r="H1015" s="1012">
        <f>CEILING(SUM(H1013:H1014),0.05)</f>
        <v>282.90000000000003</v>
      </c>
      <c r="I1015" s="1012"/>
    </row>
    <row r="1016" spans="1:9" ht="113.25" customHeight="1">
      <c r="A1016" s="1019">
        <f>A935+1</f>
        <v>22</v>
      </c>
      <c r="B1016" s="1020"/>
      <c r="C1016" s="1493" t="s">
        <v>2406</v>
      </c>
      <c r="D1016" s="1493"/>
      <c r="E1016" s="1493"/>
      <c r="F1016" s="1493"/>
      <c r="G1016" s="1493"/>
      <c r="H1016" s="1493"/>
      <c r="I1016" s="1493"/>
    </row>
    <row r="1017" spans="1:9" ht="15" customHeight="1">
      <c r="A1017" s="1019"/>
      <c r="B1017" s="1020"/>
      <c r="C1017" s="792" t="s">
        <v>79</v>
      </c>
      <c r="D1017" s="1021">
        <v>10.08</v>
      </c>
      <c r="E1017" s="1022" t="s">
        <v>236</v>
      </c>
      <c r="F1017" s="986">
        <f>ROUND(LEAD!P28/1000,2)</f>
        <v>7.17</v>
      </c>
      <c r="G1017" s="1023">
        <v>1</v>
      </c>
      <c r="H1017" s="991" t="str">
        <f t="shared" ref="H1017:H1022" si="138">IF(E1017="","",IF(E1017="No.","Each",IF(E1017="Nos.","Each",E1017)))</f>
        <v>kg</v>
      </c>
      <c r="I1017" s="986">
        <f t="shared" ref="I1017:I1022" si="139">IF(G1017="",D1017*F1017,(D1017*F1017/G1017))</f>
        <v>72.273600000000002</v>
      </c>
    </row>
    <row r="1018" spans="1:9" ht="15" customHeight="1">
      <c r="A1018" s="1019"/>
      <c r="B1018" s="1020"/>
      <c r="C1018" s="792" t="s">
        <v>295</v>
      </c>
      <c r="D1018" s="1021">
        <v>2.1000000000000001E-2</v>
      </c>
      <c r="E1018" s="1022" t="s">
        <v>529</v>
      </c>
      <c r="F1018" s="986">
        <f>LEAD!P9</f>
        <v>437.11999999999983</v>
      </c>
      <c r="G1018" s="1023">
        <v>1</v>
      </c>
      <c r="H1018" s="991" t="str">
        <f t="shared" si="138"/>
        <v>cu.m.</v>
      </c>
      <c r="I1018" s="986">
        <f t="shared" si="139"/>
        <v>9.1795199999999966</v>
      </c>
    </row>
    <row r="1019" spans="1:9" ht="15" customHeight="1">
      <c r="A1019" s="1019"/>
      <c r="B1019" s="1020"/>
      <c r="C1019" s="792" t="s">
        <v>313</v>
      </c>
      <c r="D1019" s="1021">
        <v>0.2</v>
      </c>
      <c r="E1019" s="1003" t="s">
        <v>364</v>
      </c>
      <c r="F1019" s="986">
        <f>F135</f>
        <v>73</v>
      </c>
      <c r="G1019" s="1023">
        <v>1</v>
      </c>
      <c r="H1019" s="991" t="str">
        <f t="shared" si="138"/>
        <v>Kgs</v>
      </c>
      <c r="I1019" s="986">
        <f t="shared" si="139"/>
        <v>14.600000000000001</v>
      </c>
    </row>
    <row r="1020" spans="1:9" ht="15" customHeight="1">
      <c r="A1020" s="1019"/>
      <c r="B1020" s="1020"/>
      <c r="C1020" s="1212" t="s">
        <v>377</v>
      </c>
      <c r="D1020" s="1021">
        <v>6.6000000000000003E-2</v>
      </c>
      <c r="E1020" s="1003" t="s">
        <v>499</v>
      </c>
      <c r="F1020" s="986">
        <f>$F$9</f>
        <v>624</v>
      </c>
      <c r="G1020" s="1023">
        <v>1</v>
      </c>
      <c r="H1020" s="991" t="str">
        <f t="shared" si="138"/>
        <v>Each</v>
      </c>
      <c r="I1020" s="986">
        <f t="shared" si="139"/>
        <v>41.184000000000005</v>
      </c>
    </row>
    <row r="1021" spans="1:9" ht="15" customHeight="1">
      <c r="A1021" s="1019"/>
      <c r="B1021" s="1020"/>
      <c r="C1021" s="1212" t="s">
        <v>378</v>
      </c>
      <c r="D1021" s="1021">
        <v>0.154</v>
      </c>
      <c r="E1021" s="1003" t="s">
        <v>499</v>
      </c>
      <c r="F1021" s="986">
        <f>$F$10</f>
        <v>588</v>
      </c>
      <c r="G1021" s="1023">
        <v>1</v>
      </c>
      <c r="H1021" s="991" t="str">
        <f t="shared" si="138"/>
        <v>Each</v>
      </c>
      <c r="I1021" s="986">
        <f t="shared" si="139"/>
        <v>90.551999999999992</v>
      </c>
    </row>
    <row r="1022" spans="1:9" ht="15" customHeight="1">
      <c r="A1022" s="1019"/>
      <c r="B1022" s="1020"/>
      <c r="C1022" s="792" t="s">
        <v>396</v>
      </c>
      <c r="D1022" s="1021">
        <v>0.37</v>
      </c>
      <c r="E1022" s="1003" t="s">
        <v>499</v>
      </c>
      <c r="F1022" s="986">
        <f>$F$22</f>
        <v>558</v>
      </c>
      <c r="G1022" s="1023">
        <v>1</v>
      </c>
      <c r="H1022" s="991" t="str">
        <f t="shared" si="138"/>
        <v>Each</v>
      </c>
      <c r="I1022" s="986">
        <f t="shared" si="139"/>
        <v>206.46</v>
      </c>
    </row>
    <row r="1023" spans="1:9" ht="15" customHeight="1">
      <c r="A1023" s="1019"/>
      <c r="B1023" s="1020"/>
      <c r="D1023" s="1021"/>
      <c r="E1023" s="1008"/>
      <c r="F1023" s="986"/>
      <c r="G1023" s="1023"/>
      <c r="H1023" s="991"/>
      <c r="I1023" s="986">
        <f>SUM(I1017:I1022)</f>
        <v>434.24912</v>
      </c>
    </row>
    <row r="1024" spans="1:9" ht="15" customHeight="1">
      <c r="A1024" s="1019"/>
      <c r="B1024" s="1020"/>
      <c r="C1024" s="792" t="s">
        <v>719</v>
      </c>
      <c r="D1024" s="1050">
        <f>I1023</f>
        <v>434.24912</v>
      </c>
      <c r="E1024" s="1003"/>
      <c r="F1024" s="986">
        <v>0.01</v>
      </c>
      <c r="G1024" s="1023"/>
      <c r="I1024" s="986">
        <f>ROUND(D1024*F1024,2)</f>
        <v>4.34</v>
      </c>
    </row>
    <row r="1025" spans="1:15" ht="15" customHeight="1">
      <c r="A1025" s="1019"/>
      <c r="B1025" s="1020"/>
      <c r="C1025" s="980" t="s">
        <v>368</v>
      </c>
      <c r="D1025" s="1021"/>
      <c r="E1025" s="1003"/>
      <c r="F1025" s="986"/>
      <c r="G1025" s="1023"/>
      <c r="H1025" s="1213"/>
      <c r="I1025" s="1012">
        <f>SUM(I1023:I1024)</f>
        <v>438.58911999999998</v>
      </c>
    </row>
    <row r="1026" spans="1:15" ht="15" customHeight="1">
      <c r="A1026" s="1019"/>
      <c r="B1026" s="1020"/>
      <c r="C1026" s="1214" t="s">
        <v>428</v>
      </c>
      <c r="E1026" s="1227" t="s">
        <v>501</v>
      </c>
      <c r="F1026" s="1048" t="s">
        <v>502</v>
      </c>
      <c r="G1026" s="1227" t="s">
        <v>503</v>
      </c>
      <c r="H1026" s="1048" t="s">
        <v>709</v>
      </c>
      <c r="I1026" s="1048" t="s">
        <v>502</v>
      </c>
      <c r="J1026" s="1048" t="s">
        <v>502</v>
      </c>
    </row>
    <row r="1027" spans="1:15" ht="15" customHeight="1">
      <c r="A1027" s="1019"/>
      <c r="B1027" s="1020"/>
      <c r="C1027" s="792" t="s">
        <v>368</v>
      </c>
      <c r="E1027" s="986">
        <f>I1025</f>
        <v>438.58911999999998</v>
      </c>
      <c r="F1027" s="986">
        <f>E1027</f>
        <v>438.58911999999998</v>
      </c>
      <c r="G1027" s="986">
        <f>F1027</f>
        <v>438.58911999999998</v>
      </c>
      <c r="H1027" s="986">
        <f>G1027</f>
        <v>438.58911999999998</v>
      </c>
      <c r="I1027" s="986">
        <f>H1027</f>
        <v>438.58911999999998</v>
      </c>
      <c r="J1027" s="986">
        <f>I1027</f>
        <v>438.58911999999998</v>
      </c>
    </row>
    <row r="1028" spans="1:15" ht="15" customHeight="1">
      <c r="A1028" s="1019"/>
      <c r="B1028" s="1020"/>
      <c r="C1028" s="792" t="s">
        <v>418</v>
      </c>
      <c r="E1028" s="986"/>
      <c r="F1028" s="986">
        <f>ROUND(0.1*(I1020+I1021+I1022),2)</f>
        <v>33.82</v>
      </c>
      <c r="G1028" s="986">
        <f>ROUND(0.2*(I1020+I1021+I1022),2)</f>
        <v>67.64</v>
      </c>
      <c r="H1028" s="986">
        <f>ROUND(0.3*(I1020+I1021+I1022),2)</f>
        <v>101.46</v>
      </c>
      <c r="I1028" s="986">
        <f>ROUND(0.4*(I1020+I1021+I1022),2)</f>
        <v>135.28</v>
      </c>
      <c r="J1028" s="986">
        <f>ROUND(0.5*(I1020+I1021+I1022),2)</f>
        <v>169.1</v>
      </c>
    </row>
    <row r="1029" spans="1:15" ht="15" customHeight="1">
      <c r="A1029" s="1019"/>
      <c r="B1029" s="1020"/>
      <c r="E1029" s="986">
        <f t="shared" ref="E1029:J1029" si="140">SUM(E1027:E1028)</f>
        <v>438.58911999999998</v>
      </c>
      <c r="F1029" s="986">
        <f t="shared" si="140"/>
        <v>472.40911999999997</v>
      </c>
      <c r="G1029" s="986">
        <f t="shared" si="140"/>
        <v>506.22911999999997</v>
      </c>
      <c r="H1029" s="986">
        <f t="shared" si="140"/>
        <v>540.04912000000002</v>
      </c>
      <c r="I1029" s="986">
        <f t="shared" si="140"/>
        <v>573.86911999999995</v>
      </c>
      <c r="J1029" s="986">
        <f t="shared" si="140"/>
        <v>607.68912</v>
      </c>
    </row>
    <row r="1030" spans="1:15" ht="15" customHeight="1">
      <c r="A1030" s="1019"/>
      <c r="B1030" s="1020"/>
      <c r="C1030" s="1220" t="s">
        <v>1014</v>
      </c>
      <c r="D1030" s="1026">
        <f>$D$3</f>
        <v>0</v>
      </c>
      <c r="E1030" s="986">
        <f t="shared" ref="E1030:J1030" si="141">ROUND(E1029*$D$1030,2)</f>
        <v>0</v>
      </c>
      <c r="F1030" s="986">
        <f t="shared" si="141"/>
        <v>0</v>
      </c>
      <c r="G1030" s="986">
        <f t="shared" si="141"/>
        <v>0</v>
      </c>
      <c r="H1030" s="986">
        <f t="shared" si="141"/>
        <v>0</v>
      </c>
      <c r="I1030" s="986">
        <f t="shared" si="141"/>
        <v>0</v>
      </c>
      <c r="J1030" s="986">
        <f t="shared" si="141"/>
        <v>0</v>
      </c>
    </row>
    <row r="1031" spans="1:15" ht="15" customHeight="1">
      <c r="A1031" s="1019"/>
      <c r="B1031" s="1020"/>
      <c r="C1031" s="980" t="s">
        <v>349</v>
      </c>
      <c r="D1031" s="980" t="s">
        <v>467</v>
      </c>
      <c r="E1031" s="1012">
        <f t="shared" ref="E1031:J1031" si="142">CEILING(SUM(E1029:E1030),0.05)</f>
        <v>438.6</v>
      </c>
      <c r="F1031" s="1012">
        <f t="shared" si="142"/>
        <v>472.45000000000005</v>
      </c>
      <c r="G1031" s="1012">
        <f t="shared" si="142"/>
        <v>506.25</v>
      </c>
      <c r="H1031" s="1012">
        <f t="shared" si="142"/>
        <v>540.05000000000007</v>
      </c>
      <c r="I1031" s="1012">
        <f t="shared" si="142"/>
        <v>573.9</v>
      </c>
      <c r="J1031" s="1012">
        <f t="shared" si="142"/>
        <v>607.70000000000005</v>
      </c>
    </row>
    <row r="1032" spans="1:15" ht="267.75" customHeight="1">
      <c r="A1032" s="1019"/>
      <c r="B1032" s="1020"/>
      <c r="C1032" s="792" t="s">
        <v>2299</v>
      </c>
      <c r="D1032" s="980" t="s">
        <v>304</v>
      </c>
      <c r="E1032" s="1012"/>
      <c r="F1032" s="1012"/>
      <c r="G1032" s="1012"/>
      <c r="H1032" s="1012"/>
      <c r="I1032" s="986"/>
    </row>
    <row r="1033" spans="1:15" ht="131.25" customHeight="1">
      <c r="A1033" s="1019">
        <f>A1016+1</f>
        <v>23</v>
      </c>
      <c r="B1033" s="1020"/>
      <c r="C1033" s="1493" t="s">
        <v>1199</v>
      </c>
      <c r="D1033" s="1493"/>
      <c r="E1033" s="1493"/>
      <c r="F1033" s="1493"/>
      <c r="G1033" s="1493"/>
      <c r="H1033" s="1493"/>
      <c r="I1033" s="1493"/>
      <c r="M1033" s="1224"/>
      <c r="O1033" s="1224"/>
    </row>
    <row r="1034" spans="1:15" ht="14.25" customHeight="1">
      <c r="A1034" s="1019"/>
      <c r="B1034" s="1020"/>
      <c r="C1034" s="1214" t="s">
        <v>557</v>
      </c>
    </row>
    <row r="1035" spans="1:15" ht="14.25" customHeight="1">
      <c r="A1035" s="1019"/>
      <c r="B1035" s="1020"/>
      <c r="C1035" s="792" t="str">
        <f>CONCATENATE("Cost of ",LEAD!B23)</f>
        <v>Cost of Polished Shabad/Tandur blue Slabas 15 to 18 mm thick  (0.457M x 0.457M)</v>
      </c>
      <c r="D1035" s="1021">
        <v>1.1000000000000001</v>
      </c>
      <c r="E1035" s="1022" t="s">
        <v>623</v>
      </c>
      <c r="F1035" s="986">
        <f>LEAD!P23</f>
        <v>198.706175</v>
      </c>
      <c r="G1035" s="1023">
        <v>1</v>
      </c>
      <c r="H1035" s="991" t="str">
        <f t="shared" ref="H1035:H1044" si="143">IF(E1035="","",IF(E1035="No.","Each",IF(E1035="Nos.","Each",E1035)))</f>
        <v>Sqmt.</v>
      </c>
      <c r="I1035" s="986">
        <f t="shared" ref="I1035:I1045" si="144">IF(G1035="",D1035*F1035,(D1035*F1035/G1035))</f>
        <v>218.57679250000001</v>
      </c>
    </row>
    <row r="1036" spans="1:15" ht="20.25" customHeight="1">
      <c r="A1036" s="1019"/>
      <c r="B1036" s="1020"/>
      <c r="C1036" s="792" t="s">
        <v>662</v>
      </c>
      <c r="D1036" s="1021">
        <v>7.46</v>
      </c>
      <c r="E1036" s="1022" t="s">
        <v>364</v>
      </c>
      <c r="F1036" s="986">
        <f>LEAD!P28</f>
        <v>7168</v>
      </c>
      <c r="G1036" s="1023">
        <v>1000</v>
      </c>
      <c r="H1036" s="991" t="str">
        <f t="shared" si="143"/>
        <v>Kgs</v>
      </c>
      <c r="I1036" s="986">
        <f>IF(G1036="",D1036*F1036,(D1036*F1036/G1036))</f>
        <v>53.473279999999995</v>
      </c>
    </row>
    <row r="1037" spans="1:15" ht="23.25" customHeight="1">
      <c r="A1037" s="1019"/>
      <c r="B1037" s="1020"/>
      <c r="C1037" s="792" t="s">
        <v>292</v>
      </c>
      <c r="D1037" s="1021">
        <f>0.012</f>
        <v>1.2E-2</v>
      </c>
      <c r="E1037" s="1022" t="s">
        <v>644</v>
      </c>
      <c r="F1037" s="986">
        <f>LEAD!P7</f>
        <v>437.11999999999983</v>
      </c>
      <c r="G1037" s="1023">
        <v>1</v>
      </c>
      <c r="H1037" s="991" t="str">
        <f>IF(E1037="","",IF(E1037="No.","Each",IF(E1037="Nos.","Each",E1037)))</f>
        <v>cum</v>
      </c>
      <c r="I1037" s="986">
        <f>IF(G1037="",D1037*F1037,(D1037*F1037/G1037))</f>
        <v>5.2454399999999985</v>
      </c>
    </row>
    <row r="1038" spans="1:15" ht="14.25" customHeight="1">
      <c r="A1038" s="1019"/>
      <c r="B1038" s="1020"/>
      <c r="C1038" s="1214" t="s">
        <v>424</v>
      </c>
      <c r="D1038" s="1021"/>
      <c r="E1038" s="1022"/>
      <c r="F1038" s="986"/>
      <c r="G1038" s="1023"/>
      <c r="H1038" s="991"/>
      <c r="I1038" s="986"/>
    </row>
    <row r="1039" spans="1:15" ht="14.25" customHeight="1">
      <c r="A1039" s="1019"/>
      <c r="B1039" s="1020"/>
      <c r="C1039" s="792" t="s">
        <v>293</v>
      </c>
      <c r="D1039" s="1021">
        <v>0.1</v>
      </c>
      <c r="E1039" s="1022" t="s">
        <v>594</v>
      </c>
      <c r="F1039" s="986">
        <v>0</v>
      </c>
      <c r="G1039" s="1023">
        <v>1</v>
      </c>
      <c r="H1039" s="991" t="s">
        <v>594</v>
      </c>
      <c r="I1039" s="986">
        <f>IF(G1039="",D1039*F1039,(D1039*F1039/G1039))</f>
        <v>0</v>
      </c>
    </row>
    <row r="1040" spans="1:15" ht="14.25" customHeight="1">
      <c r="A1040" s="1019"/>
      <c r="B1040" s="1020"/>
      <c r="C1040" s="792" t="s">
        <v>294</v>
      </c>
      <c r="D1040" s="1049">
        <f>$E$5</f>
        <v>0.2</v>
      </c>
      <c r="E1040" s="1022"/>
      <c r="F1040" s="986"/>
      <c r="G1040" s="1023"/>
      <c r="H1040" s="991"/>
      <c r="I1040" s="986">
        <f>IF(G1040="",D1040*F1040,(D1040*F1040/G1040))</f>
        <v>0</v>
      </c>
    </row>
    <row r="1041" spans="1:9" ht="14.25" customHeight="1">
      <c r="A1041" s="1019"/>
      <c r="B1041" s="1020"/>
      <c r="C1041" s="1214" t="s">
        <v>690</v>
      </c>
      <c r="D1041" s="1021"/>
      <c r="E1041" s="1022"/>
      <c r="F1041" s="986"/>
      <c r="G1041" s="1023"/>
      <c r="H1041" s="991"/>
      <c r="I1041" s="986"/>
    </row>
    <row r="1042" spans="1:9" ht="14.25" customHeight="1">
      <c r="A1042" s="1019"/>
      <c r="B1042" s="1020"/>
      <c r="C1042" s="1212" t="s">
        <v>377</v>
      </c>
      <c r="D1042" s="1021">
        <v>0.31</v>
      </c>
      <c r="E1042" s="1003" t="s">
        <v>499</v>
      </c>
      <c r="F1042" s="986">
        <f>$F$9</f>
        <v>624</v>
      </c>
      <c r="G1042" s="1023">
        <v>1</v>
      </c>
      <c r="H1042" s="991" t="str">
        <f t="shared" si="143"/>
        <v>Each</v>
      </c>
      <c r="I1042" s="986">
        <f t="shared" si="144"/>
        <v>193.44</v>
      </c>
    </row>
    <row r="1043" spans="1:9" ht="14.25" customHeight="1">
      <c r="A1043" s="1019"/>
      <c r="B1043" s="1020"/>
      <c r="C1043" s="1212" t="s">
        <v>378</v>
      </c>
      <c r="D1043" s="1021">
        <v>0.11</v>
      </c>
      <c r="E1043" s="1003" t="s">
        <v>499</v>
      </c>
      <c r="F1043" s="986">
        <f>$F$10</f>
        <v>588</v>
      </c>
      <c r="G1043" s="1023">
        <v>1</v>
      </c>
      <c r="H1043" s="991" t="str">
        <f t="shared" si="143"/>
        <v>Each</v>
      </c>
      <c r="I1043" s="986">
        <f t="shared" si="144"/>
        <v>64.680000000000007</v>
      </c>
    </row>
    <row r="1044" spans="1:9" ht="14.25" customHeight="1">
      <c r="A1044" s="1019"/>
      <c r="B1044" s="1020"/>
      <c r="C1044" s="792" t="s">
        <v>396</v>
      </c>
      <c r="D1044" s="1021">
        <v>8.5999999999999993E-2</v>
      </c>
      <c r="E1044" s="1022" t="s">
        <v>499</v>
      </c>
      <c r="F1044" s="986">
        <f>$F$22</f>
        <v>558</v>
      </c>
      <c r="G1044" s="1023">
        <v>1</v>
      </c>
      <c r="H1044" s="991" t="str">
        <f t="shared" si="143"/>
        <v>Each</v>
      </c>
      <c r="I1044" s="986">
        <f t="shared" si="144"/>
        <v>47.988</v>
      </c>
    </row>
    <row r="1045" spans="1:9" ht="14.25" customHeight="1">
      <c r="A1045" s="1019"/>
      <c r="B1045" s="1020"/>
      <c r="C1045" s="792" t="s">
        <v>1041</v>
      </c>
      <c r="D1045" s="1053">
        <v>0.01</v>
      </c>
      <c r="E1045" s="1022"/>
      <c r="F1045" s="986">
        <f>SUM(I1035:I1044)</f>
        <v>583.40351250000003</v>
      </c>
      <c r="G1045" s="1023"/>
      <c r="H1045" s="991"/>
      <c r="I1045" s="986">
        <f t="shared" si="144"/>
        <v>5.8340351250000007</v>
      </c>
    </row>
    <row r="1046" spans="1:9" ht="14.25" customHeight="1">
      <c r="A1046" s="1019"/>
      <c r="B1046" s="1020"/>
      <c r="C1046" s="980" t="s">
        <v>368</v>
      </c>
      <c r="D1046" s="1021"/>
      <c r="E1046" s="1022"/>
      <c r="F1046" s="986"/>
      <c r="G1046" s="1023"/>
      <c r="H1046" s="1213"/>
      <c r="I1046" s="1012">
        <f>SUM(I1035:I1045)</f>
        <v>589.23754762500005</v>
      </c>
    </row>
    <row r="1047" spans="1:9" ht="14.25" customHeight="1">
      <c r="A1047" s="1019"/>
      <c r="B1047" s="1020"/>
      <c r="C1047" s="1214" t="s">
        <v>428</v>
      </c>
      <c r="E1047" s="1227" t="s">
        <v>501</v>
      </c>
      <c r="F1047" s="1048" t="s">
        <v>502</v>
      </c>
      <c r="G1047" s="1227" t="s">
        <v>503</v>
      </c>
      <c r="H1047" s="1048" t="s">
        <v>709</v>
      </c>
      <c r="I1047" s="1048" t="s">
        <v>502</v>
      </c>
    </row>
    <row r="1048" spans="1:9" ht="14.25" customHeight="1">
      <c r="A1048" s="1019"/>
      <c r="B1048" s="1020"/>
      <c r="C1048" s="1213" t="s">
        <v>368</v>
      </c>
      <c r="E1048" s="986">
        <f>$I$1046</f>
        <v>589.23754762500005</v>
      </c>
      <c r="F1048" s="986">
        <f>$I$1046</f>
        <v>589.23754762500005</v>
      </c>
      <c r="G1048" s="986">
        <f>$I$1046</f>
        <v>589.23754762500005</v>
      </c>
      <c r="H1048" s="986">
        <f>$I$1046</f>
        <v>589.23754762500005</v>
      </c>
      <c r="I1048" s="986">
        <f>$I$1046</f>
        <v>589.23754762500005</v>
      </c>
    </row>
    <row r="1049" spans="1:9" ht="14.25" customHeight="1">
      <c r="A1049" s="1019"/>
      <c r="B1049" s="1020"/>
      <c r="C1049" s="792" t="s">
        <v>418</v>
      </c>
      <c r="E1049" s="986"/>
      <c r="F1049" s="986">
        <f>ROUND(0.1*(I1044+I1043+I1042),2)</f>
        <v>30.61</v>
      </c>
      <c r="G1049" s="986">
        <f>ROUND(0.2*(I1044+I1043+I1042),2)</f>
        <v>61.22</v>
      </c>
      <c r="H1049" s="986">
        <f>ROUND(0.3*($I$1044+$I$1043+$I$1042),2)</f>
        <v>91.83</v>
      </c>
      <c r="I1049" s="986">
        <f>ROUND(0.4*($I$1044+$I$1043+$I$1042),2)</f>
        <v>122.44</v>
      </c>
    </row>
    <row r="1050" spans="1:9" ht="14.25" customHeight="1">
      <c r="A1050" s="1019"/>
      <c r="B1050" s="1020"/>
      <c r="E1050" s="986">
        <f>SUM(E1048:E1049)</f>
        <v>589.23754762500005</v>
      </c>
      <c r="F1050" s="986">
        <f>SUM(F1048:F1049)</f>
        <v>619.84754762500006</v>
      </c>
      <c r="G1050" s="986">
        <f>SUM(G1048:G1049)</f>
        <v>650.45754762500007</v>
      </c>
      <c r="H1050" s="986">
        <f>SUM(H1048:H1049)</f>
        <v>681.06754762500009</v>
      </c>
      <c r="I1050" s="986">
        <f>SUM(I1048:I1049)</f>
        <v>711.67754762499999</v>
      </c>
    </row>
    <row r="1051" spans="1:9" ht="14.25" customHeight="1">
      <c r="A1051" s="1019"/>
      <c r="B1051" s="1020"/>
      <c r="C1051" s="1220" t="s">
        <v>1014</v>
      </c>
      <c r="D1051" s="1026">
        <f>$D$3</f>
        <v>0</v>
      </c>
      <c r="E1051" s="986">
        <f>ROUND(E1050*$D$1051,2)</f>
        <v>0</v>
      </c>
      <c r="F1051" s="986">
        <f>ROUND(F1050*$D$1051,2)</f>
        <v>0</v>
      </c>
      <c r="G1051" s="986">
        <f>ROUND(G1050*$D$1051,2)</f>
        <v>0</v>
      </c>
      <c r="H1051" s="986">
        <f>ROUND(H1050*$D$1051,2)</f>
        <v>0</v>
      </c>
      <c r="I1051" s="986">
        <f>ROUND(I1050*$D$1051,2)</f>
        <v>0</v>
      </c>
    </row>
    <row r="1052" spans="1:9" ht="37.15" customHeight="1">
      <c r="A1052" s="1019"/>
      <c r="B1052" s="1020"/>
      <c r="C1052" s="980" t="s">
        <v>349</v>
      </c>
      <c r="D1052" s="980" t="s">
        <v>466</v>
      </c>
      <c r="E1052" s="1012">
        <f>CEILING(SUM(E1050:E1051),0.05)</f>
        <v>589.25</v>
      </c>
      <c r="F1052" s="1012">
        <f>CEILING(SUM(F1050:F1051),0.05)</f>
        <v>619.85</v>
      </c>
      <c r="G1052" s="1012">
        <f>CEILING(SUM(G1050:G1051),0.05)</f>
        <v>650.5</v>
      </c>
      <c r="H1052" s="1012">
        <f>CEILING(SUM(H1050:H1051),0.05)</f>
        <v>681.1</v>
      </c>
      <c r="I1052" s="1012">
        <f>CEILING(SUM(I1050:I1051),0.05)</f>
        <v>711.7</v>
      </c>
    </row>
    <row r="1053" spans="1:9" ht="165.75" customHeight="1">
      <c r="A1053" s="1019"/>
      <c r="B1053" s="1020"/>
      <c r="C1053" s="792" t="s">
        <v>2300</v>
      </c>
      <c r="D1053" s="980" t="s">
        <v>304</v>
      </c>
      <c r="E1053" s="1012"/>
      <c r="F1053" s="1012"/>
      <c r="G1053" s="1012"/>
      <c r="H1053" s="1012"/>
    </row>
    <row r="1054" spans="1:9" ht="12.75" customHeight="1">
      <c r="A1054" s="1019">
        <f>A1033+1</f>
        <v>24</v>
      </c>
      <c r="B1054" s="1020"/>
      <c r="C1054" s="1499" t="str">
        <f>CONCATENATE(D1053,LEAD!B24,'C-data'!C1053)</f>
        <v>Flooring with   Rough shabad / Tandur Stone slabs of minimum25 to  40 mm thick (0.457 x 457M)laid over existing CC bed or roof slab set over a base coat of CM (1:8), 12mm thick and pointing with CM(1:3) to full depth of flooring slabs dully filling joints neatly , including cost and conveyance of all materials like flooring stones, cement, sand, water, etc. to site,  sales and other taxes on all materials, all operational, incidental and labour charges such as mixing of cement mortar, laying, pointing, curing, lift charges etc., complete but excluding seigniorage charges for finished item of work.(APSS No.703 &amp; 701)</v>
      </c>
      <c r="D1054" s="1499"/>
      <c r="E1054" s="1499"/>
      <c r="F1054" s="1499"/>
      <c r="G1054" s="1499"/>
      <c r="H1054" s="1499"/>
      <c r="I1054" s="1499"/>
    </row>
    <row r="1055" spans="1:9" ht="12.75" customHeight="1">
      <c r="A1055" s="1019"/>
      <c r="B1055" s="1020"/>
      <c r="C1055" s="792" t="s">
        <v>152</v>
      </c>
      <c r="D1055" s="1021">
        <v>1.05</v>
      </c>
      <c r="E1055" s="1022" t="s">
        <v>623</v>
      </c>
      <c r="F1055" s="986">
        <f>LEAD!P24</f>
        <v>180.633375</v>
      </c>
      <c r="G1055" s="1023">
        <v>10</v>
      </c>
      <c r="H1055" s="991" t="str">
        <f t="shared" ref="H1055:H1062" si="145">IF(E1055="","",IF(E1055="No.","Each",IF(E1055="Nos.","Each",E1055)))</f>
        <v>Sqmt.</v>
      </c>
      <c r="I1055" s="986">
        <f t="shared" ref="I1055:I1063" si="146">IF(G1055="",D1055*F1055,(D1055*F1055/G1055))</f>
        <v>18.966504375</v>
      </c>
    </row>
    <row r="1056" spans="1:9" ht="12.75" customHeight="1">
      <c r="A1056" s="1019"/>
      <c r="B1056" s="1020"/>
      <c r="C1056" s="792" t="s">
        <v>663</v>
      </c>
      <c r="D1056" s="1021">
        <v>2.16</v>
      </c>
      <c r="E1056" s="1022" t="s">
        <v>236</v>
      </c>
      <c r="F1056" s="986">
        <f>ROUND(LEAD!P28/1000,2)</f>
        <v>7.17</v>
      </c>
      <c r="G1056" s="1023">
        <v>1</v>
      </c>
      <c r="H1056" s="991" t="str">
        <f>IF(E1056="","",IF(E1056="No.","Each",IF(E1056="Nos.","Each",E1056)))</f>
        <v>kg</v>
      </c>
      <c r="I1056" s="986">
        <f>IF(G1056="",D1056*F1056,(D1056*F1056/G1056))</f>
        <v>15.487200000000001</v>
      </c>
    </row>
    <row r="1057" spans="1:9" ht="12.75" customHeight="1">
      <c r="A1057" s="1019"/>
      <c r="B1057" s="1020"/>
      <c r="C1057" s="792" t="s">
        <v>353</v>
      </c>
      <c r="D1057" s="1021">
        <v>1.2E-2</v>
      </c>
      <c r="E1057" s="1022" t="s">
        <v>529</v>
      </c>
      <c r="F1057" s="986">
        <f>LEAD!P7</f>
        <v>437.11999999999983</v>
      </c>
      <c r="G1057" s="1023">
        <v>1</v>
      </c>
      <c r="H1057" s="991" t="str">
        <f>IF(E1057="","",IF(E1057="No.","Each",IF(E1057="Nos.","Each",E1057)))</f>
        <v>cu.m.</v>
      </c>
      <c r="I1057" s="986">
        <f>IF(G1057="",D1057*F1057,(D1057*F1057/G1057))</f>
        <v>5.2454399999999985</v>
      </c>
    </row>
    <row r="1058" spans="1:9" ht="12.75" customHeight="1">
      <c r="A1058" s="1019"/>
      <c r="B1058" s="1020"/>
      <c r="C1058" s="792" t="s">
        <v>196</v>
      </c>
      <c r="D1058" s="1021">
        <v>1</v>
      </c>
      <c r="E1058" s="1022" t="s">
        <v>623</v>
      </c>
      <c r="F1058" s="986">
        <f>$I$775</f>
        <v>191.95</v>
      </c>
      <c r="G1058" s="1023">
        <v>1</v>
      </c>
      <c r="H1058" s="991" t="str">
        <f t="shared" si="145"/>
        <v>Sqmt.</v>
      </c>
      <c r="I1058" s="986">
        <f t="shared" si="146"/>
        <v>191.95</v>
      </c>
    </row>
    <row r="1059" spans="1:9" ht="12.75" customHeight="1">
      <c r="A1059" s="1019"/>
      <c r="B1059" s="1020"/>
      <c r="C1059" s="1212" t="s">
        <v>377</v>
      </c>
      <c r="D1059" s="1021">
        <v>9.6000000000000002E-2</v>
      </c>
      <c r="E1059" s="1003" t="s">
        <v>499</v>
      </c>
      <c r="F1059" s="986">
        <f>$F$9</f>
        <v>624</v>
      </c>
      <c r="G1059" s="1023">
        <v>1</v>
      </c>
      <c r="H1059" s="991" t="str">
        <f t="shared" si="145"/>
        <v>Each</v>
      </c>
      <c r="I1059" s="986">
        <f t="shared" si="146"/>
        <v>59.904000000000003</v>
      </c>
    </row>
    <row r="1060" spans="1:9" ht="12.75" customHeight="1">
      <c r="A1060" s="1019"/>
      <c r="B1060" s="1020"/>
      <c r="C1060" s="1212" t="s">
        <v>378</v>
      </c>
      <c r="D1060" s="1021">
        <v>0.224</v>
      </c>
      <c r="E1060" s="1003" t="s">
        <v>499</v>
      </c>
      <c r="F1060" s="986">
        <f>$F$10</f>
        <v>588</v>
      </c>
      <c r="G1060" s="1023">
        <v>1</v>
      </c>
      <c r="H1060" s="991" t="str">
        <f t="shared" si="145"/>
        <v>Each</v>
      </c>
      <c r="I1060" s="986">
        <f t="shared" si="146"/>
        <v>131.71199999999999</v>
      </c>
    </row>
    <row r="1061" spans="1:9" ht="12.75" customHeight="1">
      <c r="A1061" s="1019"/>
      <c r="B1061" s="1020"/>
      <c r="C1061" s="792" t="s">
        <v>396</v>
      </c>
      <c r="D1061" s="1021">
        <v>0.22</v>
      </c>
      <c r="E1061" s="1022" t="s">
        <v>499</v>
      </c>
      <c r="F1061" s="986">
        <f>$F$22</f>
        <v>558</v>
      </c>
      <c r="G1061" s="1023">
        <v>1</v>
      </c>
      <c r="H1061" s="991" t="str">
        <f t="shared" si="145"/>
        <v>Each</v>
      </c>
      <c r="I1061" s="986">
        <f t="shared" si="146"/>
        <v>122.76</v>
      </c>
    </row>
    <row r="1062" spans="1:9" ht="12.75" customHeight="1">
      <c r="A1062" s="1019"/>
      <c r="B1062" s="1020"/>
      <c r="C1062" s="792" t="s">
        <v>397</v>
      </c>
      <c r="D1062" s="1021">
        <v>0.11</v>
      </c>
      <c r="E1062" s="1022" t="s">
        <v>499</v>
      </c>
      <c r="F1062" s="986">
        <f>$F$23</f>
        <v>558</v>
      </c>
      <c r="G1062" s="1023">
        <v>1</v>
      </c>
      <c r="H1062" s="991" t="str">
        <f t="shared" si="145"/>
        <v>Each</v>
      </c>
      <c r="I1062" s="986">
        <f t="shared" si="146"/>
        <v>61.38</v>
      </c>
    </row>
    <row r="1063" spans="1:9" ht="25.5" customHeight="1">
      <c r="A1063" s="1019"/>
      <c r="B1063" s="1020"/>
      <c r="C1063" s="792" t="s">
        <v>1041</v>
      </c>
      <c r="D1063" s="1053">
        <v>0.01</v>
      </c>
      <c r="E1063" s="1022"/>
      <c r="F1063" s="986">
        <f>SUM(I1055:I1062)</f>
        <v>607.40514437499996</v>
      </c>
      <c r="G1063" s="1023"/>
      <c r="H1063" s="991"/>
      <c r="I1063" s="986">
        <f t="shared" si="146"/>
        <v>6.0740514437500002</v>
      </c>
    </row>
    <row r="1064" spans="1:9" ht="12.75" customHeight="1">
      <c r="A1064" s="1019"/>
      <c r="B1064" s="1020"/>
      <c r="C1064" s="980" t="s">
        <v>368</v>
      </c>
      <c r="D1064" s="1021"/>
      <c r="E1064" s="1022"/>
      <c r="F1064" s="986"/>
      <c r="G1064" s="1023"/>
      <c r="H1064" s="1213"/>
      <c r="I1064" s="1012">
        <f>SUM(I1055:I1063)</f>
        <v>613.47919581874999</v>
      </c>
    </row>
    <row r="1065" spans="1:9" ht="12.75" customHeight="1">
      <c r="A1065" s="1019"/>
      <c r="B1065" s="1020"/>
      <c r="C1065" s="1214" t="s">
        <v>428</v>
      </c>
      <c r="E1065" s="1227" t="s">
        <v>501</v>
      </c>
      <c r="F1065" s="1048" t="s">
        <v>502</v>
      </c>
      <c r="G1065" s="1227" t="s">
        <v>503</v>
      </c>
      <c r="H1065" s="1048" t="s">
        <v>709</v>
      </c>
    </row>
    <row r="1066" spans="1:9" ht="12.75" customHeight="1">
      <c r="A1066" s="1019"/>
      <c r="B1066" s="1020"/>
      <c r="C1066" s="1213" t="s">
        <v>368</v>
      </c>
      <c r="E1066" s="986">
        <f>$I$1064</f>
        <v>613.47919581874999</v>
      </c>
      <c r="F1066" s="986">
        <f>$I$1064</f>
        <v>613.47919581874999</v>
      </c>
      <c r="G1066" s="986">
        <f>$I$1064</f>
        <v>613.47919581874999</v>
      </c>
      <c r="H1066" s="986">
        <f>$I$1064</f>
        <v>613.47919581874999</v>
      </c>
    </row>
    <row r="1067" spans="1:9" ht="12.75" customHeight="1">
      <c r="A1067" s="1019"/>
      <c r="B1067" s="1020"/>
      <c r="C1067" s="792" t="s">
        <v>418</v>
      </c>
      <c r="E1067" s="986"/>
      <c r="F1067" s="986">
        <f>ROUND(0.1*(I1061+I1062+I1060+I1059),2)</f>
        <v>37.58</v>
      </c>
      <c r="G1067" s="986">
        <f>ROUND(0.2*(I1061+I1062+I1060+I1059),2)</f>
        <v>75.150000000000006</v>
      </c>
      <c r="H1067" s="986">
        <f>ROUND(0.3*(I1061+I1062+I1060+I1059),2)</f>
        <v>112.73</v>
      </c>
    </row>
    <row r="1068" spans="1:9" ht="12.75" customHeight="1">
      <c r="A1068" s="1019"/>
      <c r="B1068" s="1020"/>
      <c r="E1068" s="986">
        <f>SUM(E1066:E1067)</f>
        <v>613.47919581874999</v>
      </c>
      <c r="F1068" s="986">
        <f>SUM(F1066:F1067)</f>
        <v>651.05919581875003</v>
      </c>
      <c r="G1068" s="986">
        <f>SUM(G1066:G1067)</f>
        <v>688.62919581874996</v>
      </c>
      <c r="H1068" s="986">
        <f>SUM(H1066:H1067)</f>
        <v>726.20919581875</v>
      </c>
    </row>
    <row r="1069" spans="1:9" ht="12.75" customHeight="1">
      <c r="A1069" s="1019"/>
      <c r="B1069" s="1020"/>
      <c r="C1069" s="1220" t="s">
        <v>1014</v>
      </c>
      <c r="D1069" s="1026">
        <f>$D$3</f>
        <v>0</v>
      </c>
      <c r="E1069" s="986">
        <f>ROUND(E1068*$D$1051,2)</f>
        <v>0</v>
      </c>
      <c r="F1069" s="986">
        <f>ROUND(F1068*$D$1051,2)</f>
        <v>0</v>
      </c>
      <c r="G1069" s="986">
        <f>ROUND(G1068*$D$1051,2)</f>
        <v>0</v>
      </c>
      <c r="H1069" s="986">
        <f>ROUND(H1068*$D$1051,2)</f>
        <v>0</v>
      </c>
    </row>
    <row r="1070" spans="1:9" ht="12.75" customHeight="1">
      <c r="A1070" s="1019"/>
      <c r="B1070" s="1020"/>
      <c r="C1070" s="980" t="s">
        <v>349</v>
      </c>
      <c r="D1070" s="980" t="s">
        <v>466</v>
      </c>
      <c r="E1070" s="1012">
        <f>CEILING(SUM(E1068:E1069),0.05)</f>
        <v>613.5</v>
      </c>
      <c r="F1070" s="1012">
        <f>CEILING(SUM(F1068:F1069),0.05)</f>
        <v>651.1</v>
      </c>
      <c r="G1070" s="1012">
        <f>CEILING(SUM(G1068:G1069),0.05)</f>
        <v>688.65000000000009</v>
      </c>
      <c r="H1070" s="1012">
        <f>CEILING(SUM(H1068:H1069),0.05)</f>
        <v>726.25</v>
      </c>
    </row>
    <row r="1071" spans="1:9" ht="216.75" customHeight="1">
      <c r="A1071" s="1019"/>
      <c r="B1071" s="1020"/>
      <c r="C1071" s="792" t="s">
        <v>2301</v>
      </c>
      <c r="D1071" s="980" t="s">
        <v>656</v>
      </c>
      <c r="E1071" s="1012"/>
      <c r="F1071" s="1012"/>
      <c r="G1071" s="1012"/>
      <c r="H1071" s="1012"/>
    </row>
    <row r="1072" spans="1:9" ht="137.25" customHeight="1">
      <c r="A1072" s="1019">
        <f>+A1033+1</f>
        <v>24</v>
      </c>
      <c r="B1072" s="1020"/>
      <c r="C1072" s="1493" t="str">
        <f>CONCATENATE(D1071,LEAD!B23,'C-data'!C1071)</f>
        <v xml:space="preserve">Providing skirting to internal  walls 12.5 Cm high withPolished Shabad/Tandur blue Slabas 15 to 18 mm thick  (0.457M x 0.457M) with length equal to flooring stones set over a base coat of CM (1:3) using  12mm thick with cement slurry of honey like consistency spread @ 3.3 Kgs per sqm and jointed with neat cement paste mixed with pigment of matching shade to full depth (joints of stone should be flushed),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work.(APSS No.701 &amp; 707) </v>
      </c>
      <c r="D1072" s="1493"/>
      <c r="E1072" s="1493"/>
      <c r="F1072" s="1493"/>
      <c r="G1072" s="1493"/>
      <c r="H1072" s="1493"/>
      <c r="I1072" s="1493"/>
    </row>
    <row r="1073" spans="1:9" ht="15.75" customHeight="1">
      <c r="A1073" s="1019"/>
      <c r="B1073" s="1020"/>
      <c r="C1073" s="1214" t="s">
        <v>557</v>
      </c>
      <c r="D1073" s="980"/>
      <c r="E1073" s="980"/>
      <c r="F1073" s="980"/>
      <c r="G1073" s="980"/>
      <c r="H1073" s="980"/>
      <c r="I1073" s="980"/>
    </row>
    <row r="1074" spans="1:9" ht="15.75" customHeight="1">
      <c r="A1074" s="1019"/>
      <c r="B1074" s="1020"/>
      <c r="C1074" s="792" t="str">
        <f>C1035</f>
        <v>Cost of Polished Shabad/Tandur blue Slabas 15 to 18 mm thick  (0.457M x 0.457M)</v>
      </c>
      <c r="D1074" s="1021">
        <v>1.1000000000000001</v>
      </c>
      <c r="E1074" s="1022" t="s">
        <v>623</v>
      </c>
      <c r="F1074" s="986">
        <f>LEAD!$P$23</f>
        <v>198.706175</v>
      </c>
      <c r="G1074" s="1023">
        <v>1</v>
      </c>
      <c r="H1074" s="991" t="str">
        <f>IF(E1074="","",IF(E1074="No.","Each",IF(E1074="Nos.","Each",E1074)))</f>
        <v>Sqmt.</v>
      </c>
      <c r="I1074" s="986">
        <f>IF(G1074="",D1074*F1074,(D1074*F1074/G1074))</f>
        <v>218.57679250000001</v>
      </c>
    </row>
    <row r="1075" spans="1:9" ht="15.75" customHeight="1">
      <c r="A1075" s="1019"/>
      <c r="B1075" s="1020"/>
      <c r="C1075" s="792" t="s">
        <v>295</v>
      </c>
      <c r="D1075" s="1021">
        <v>1.2E-2</v>
      </c>
      <c r="E1075" s="1022" t="s">
        <v>529</v>
      </c>
      <c r="F1075" s="986">
        <f>LEAD!$P$7</f>
        <v>437.11999999999983</v>
      </c>
      <c r="G1075" s="1023">
        <v>1</v>
      </c>
      <c r="H1075" s="991" t="str">
        <f>IF(E1075="","",IF(E1075="No.","Each",IF(E1075="Nos.","Each",E1075)))</f>
        <v>cu.m.</v>
      </c>
      <c r="I1075" s="986">
        <f>IF(G1075="",D1075*F1075,(D1075*F1075/G1075))</f>
        <v>5.2454399999999985</v>
      </c>
    </row>
    <row r="1076" spans="1:9" ht="15.75" customHeight="1">
      <c r="A1076" s="1019"/>
      <c r="B1076" s="1020"/>
      <c r="C1076" s="792" t="s">
        <v>296</v>
      </c>
      <c r="D1076" s="1021">
        <v>5.76</v>
      </c>
      <c r="E1076" s="1022" t="s">
        <v>364</v>
      </c>
      <c r="F1076" s="986">
        <f>LEAD!$P$28</f>
        <v>7168</v>
      </c>
      <c r="G1076" s="1023">
        <v>1000</v>
      </c>
      <c r="H1076" s="991" t="str">
        <f>IF(E1076="","",IF(E1076="No.","Each",IF(E1076="Nos.","Each",E1076)))</f>
        <v>Kgs</v>
      </c>
      <c r="I1076" s="986">
        <f>IF(G1076="",D1076*F1076,(D1076*F1076/G1076))</f>
        <v>41.287680000000002</v>
      </c>
    </row>
    <row r="1077" spans="1:9" ht="15.75" customHeight="1">
      <c r="A1077" s="1019"/>
      <c r="B1077" s="1020"/>
      <c r="C1077" s="792" t="s">
        <v>153</v>
      </c>
      <c r="D1077" s="1021">
        <v>3.3</v>
      </c>
      <c r="E1077" s="1022" t="s">
        <v>364</v>
      </c>
      <c r="F1077" s="986">
        <f>LEAD!$P$28</f>
        <v>7168</v>
      </c>
      <c r="G1077" s="1023">
        <v>1000</v>
      </c>
      <c r="H1077" s="991" t="str">
        <f>IF(E1077="","",IF(E1077="No.","Each",IF(E1077="Nos.","Each",E1077)))</f>
        <v>Kgs</v>
      </c>
      <c r="I1077" s="986">
        <f>IF(G1077="",D1077*F1077,(D1077*F1077/G1077))</f>
        <v>23.654399999999999</v>
      </c>
    </row>
    <row r="1078" spans="1:9" ht="15.75" customHeight="1">
      <c r="A1078" s="1019"/>
      <c r="B1078" s="1020"/>
      <c r="C1078" s="1214" t="s">
        <v>690</v>
      </c>
      <c r="D1078" s="1021"/>
      <c r="E1078" s="1022"/>
      <c r="F1078" s="986"/>
      <c r="G1078" s="1023"/>
      <c r="H1078" s="991"/>
      <c r="I1078" s="986"/>
    </row>
    <row r="1079" spans="1:9" ht="15.75" customHeight="1">
      <c r="A1079" s="1019"/>
      <c r="B1079" s="1020"/>
      <c r="C1079" s="1212" t="s">
        <v>377</v>
      </c>
      <c r="D1079" s="1021">
        <v>9.6000000000000002E-2</v>
      </c>
      <c r="E1079" s="1003" t="s">
        <v>499</v>
      </c>
      <c r="F1079" s="986">
        <f>$F$9</f>
        <v>624</v>
      </c>
      <c r="G1079" s="1023">
        <v>1</v>
      </c>
      <c r="H1079" s="991" t="str">
        <f>IF(E1079="","",IF(E1079="No.","Each",IF(E1079="Nos.","Each",E1079)))</f>
        <v>Each</v>
      </c>
      <c r="I1079" s="986">
        <f>IF(G1079="",D1079*F1079,(D1079*F1079/G1079))</f>
        <v>59.904000000000003</v>
      </c>
    </row>
    <row r="1080" spans="1:9" ht="15.75" customHeight="1">
      <c r="A1080" s="1019"/>
      <c r="B1080" s="1020"/>
      <c r="C1080" s="1212" t="s">
        <v>378</v>
      </c>
      <c r="D1080" s="1021">
        <v>0.224</v>
      </c>
      <c r="E1080" s="1003" t="s">
        <v>499</v>
      </c>
      <c r="F1080" s="986">
        <f>$F$10</f>
        <v>588</v>
      </c>
      <c r="G1080" s="1023">
        <v>1</v>
      </c>
      <c r="H1080" s="991" t="str">
        <f>IF(E1080="","",IF(E1080="No.","Each",IF(E1080="Nos.","Each",E1080)))</f>
        <v>Each</v>
      </c>
      <c r="I1080" s="986">
        <f>IF(G1080="",D1080*F1080,(D1080*F1080/G1080))</f>
        <v>131.71199999999999</v>
      </c>
    </row>
    <row r="1081" spans="1:9" ht="15.75" customHeight="1">
      <c r="A1081" s="1019"/>
      <c r="B1081" s="1020"/>
      <c r="C1081" s="792" t="s">
        <v>396</v>
      </c>
      <c r="D1081" s="1021">
        <v>0.31</v>
      </c>
      <c r="E1081" s="1022" t="s">
        <v>499</v>
      </c>
      <c r="F1081" s="986">
        <f>$F$22</f>
        <v>558</v>
      </c>
      <c r="G1081" s="1023">
        <v>1</v>
      </c>
      <c r="H1081" s="991" t="str">
        <f>IF(E1081="","",IF(E1081="No.","Each",IF(E1081="Nos.","Each",E1081)))</f>
        <v>Each</v>
      </c>
      <c r="I1081" s="986">
        <f>IF(G1081="",D1081*F1081,(D1081*F1081/G1081))</f>
        <v>172.98</v>
      </c>
    </row>
    <row r="1082" spans="1:9" ht="15.75" customHeight="1">
      <c r="A1082" s="1019"/>
      <c r="B1082" s="1020"/>
      <c r="C1082" s="792" t="s">
        <v>1041</v>
      </c>
      <c r="D1082" s="1053">
        <v>0.01</v>
      </c>
      <c r="E1082" s="1022"/>
      <c r="F1082" s="986">
        <f>SUM(I1074:I1081)</f>
        <v>653.36031249999996</v>
      </c>
      <c r="G1082" s="1023"/>
      <c r="H1082" s="991"/>
      <c r="I1082" s="986">
        <f>IF(G1082="",D1082*F1082,(D1082*F1082/G1082))</f>
        <v>6.533603125</v>
      </c>
    </row>
    <row r="1083" spans="1:9" ht="15.75" customHeight="1">
      <c r="A1083" s="1019"/>
      <c r="B1083" s="1020"/>
      <c r="C1083" s="980" t="s">
        <v>368</v>
      </c>
      <c r="D1083" s="1021"/>
      <c r="E1083" s="1022"/>
      <c r="F1083" s="986"/>
      <c r="G1083" s="1023"/>
      <c r="H1083" s="1213"/>
      <c r="I1083" s="1012">
        <f>SUM(I1074:I1082)</f>
        <v>659.89391562499998</v>
      </c>
    </row>
    <row r="1084" spans="1:9" ht="15.75" customHeight="1">
      <c r="A1084" s="1019"/>
      <c r="B1084" s="1020"/>
      <c r="C1084" s="1214" t="s">
        <v>428</v>
      </c>
      <c r="E1084" s="1227" t="s">
        <v>501</v>
      </c>
      <c r="F1084" s="1048" t="s">
        <v>502</v>
      </c>
      <c r="G1084" s="1227" t="s">
        <v>503</v>
      </c>
      <c r="H1084" s="1048" t="s">
        <v>709</v>
      </c>
      <c r="I1084" s="1048" t="s">
        <v>502</v>
      </c>
    </row>
    <row r="1085" spans="1:9" ht="15.75" customHeight="1">
      <c r="A1085" s="1019"/>
      <c r="B1085" s="1020"/>
      <c r="C1085" s="1213" t="s">
        <v>368</v>
      </c>
      <c r="E1085" s="986">
        <f>I1083</f>
        <v>659.89391562499998</v>
      </c>
      <c r="F1085" s="986">
        <f>E1085</f>
        <v>659.89391562499998</v>
      </c>
      <c r="G1085" s="986">
        <f>F1085</f>
        <v>659.89391562499998</v>
      </c>
      <c r="H1085" s="986">
        <f>G1085</f>
        <v>659.89391562499998</v>
      </c>
      <c r="I1085" s="986">
        <f>H1085</f>
        <v>659.89391562499998</v>
      </c>
    </row>
    <row r="1086" spans="1:9" ht="15.75" customHeight="1">
      <c r="A1086" s="1019"/>
      <c r="B1086" s="1020"/>
      <c r="C1086" s="792" t="s">
        <v>418</v>
      </c>
      <c r="E1086" s="986"/>
      <c r="F1086" s="986">
        <f>ROUND(0.1*(I1079+I1080+I1081),2)</f>
        <v>36.46</v>
      </c>
      <c r="G1086" s="986">
        <f>ROUND(0.2*(I1079+I1080+I1081),2)</f>
        <v>72.92</v>
      </c>
      <c r="H1086" s="986">
        <f>ROUND(0.3*($I$1079+$I$1080+$I$1081),2)</f>
        <v>109.38</v>
      </c>
      <c r="I1086" s="986">
        <f>ROUND(0.4*($I$1079+$I$1080+$I$1081),2)</f>
        <v>145.84</v>
      </c>
    </row>
    <row r="1087" spans="1:9" ht="15.75" customHeight="1">
      <c r="A1087" s="1019"/>
      <c r="B1087" s="1020"/>
      <c r="E1087" s="986">
        <f>SUM(E1085:E1086)</f>
        <v>659.89391562499998</v>
      </c>
      <c r="F1087" s="986">
        <f>SUM(F1085:F1086)</f>
        <v>696.35391562500001</v>
      </c>
      <c r="G1087" s="986">
        <f>SUM(G1085:G1086)</f>
        <v>732.81391562499994</v>
      </c>
      <c r="H1087" s="986">
        <f>SUM(H1085:H1086)</f>
        <v>769.27391562499997</v>
      </c>
      <c r="I1087" s="986">
        <f>SUM(I1085:I1086)</f>
        <v>805.73391562500001</v>
      </c>
    </row>
    <row r="1088" spans="1:9" ht="15.75" customHeight="1">
      <c r="A1088" s="1019"/>
      <c r="B1088" s="1020"/>
      <c r="C1088" s="1220" t="s">
        <v>1014</v>
      </c>
      <c r="D1088" s="1026">
        <f>$D$3</f>
        <v>0</v>
      </c>
      <c r="E1088" s="986">
        <f>ROUND(E1087*$D$1088,2)</f>
        <v>0</v>
      </c>
      <c r="F1088" s="986">
        <f>ROUND(F1087*$D$1088,2)</f>
        <v>0</v>
      </c>
      <c r="G1088" s="986">
        <f>ROUND(G1087*$D$1088,2)</f>
        <v>0</v>
      </c>
      <c r="H1088" s="986">
        <f>ROUND(H1087*$D$1088,2)</f>
        <v>0</v>
      </c>
      <c r="I1088" s="986">
        <f>ROUND(I1087*$D$1088,2)</f>
        <v>0</v>
      </c>
    </row>
    <row r="1089" spans="1:9" ht="15.75" customHeight="1">
      <c r="A1089" s="1019"/>
      <c r="B1089" s="1020"/>
      <c r="C1089" s="980" t="s">
        <v>349</v>
      </c>
      <c r="D1089" s="980" t="s">
        <v>466</v>
      </c>
      <c r="E1089" s="1012">
        <f>CEILING(SUM(E1087:E1088),0.05)</f>
        <v>659.90000000000009</v>
      </c>
      <c r="F1089" s="1012">
        <f>CEILING(SUM(F1087:F1088),0.05)</f>
        <v>696.40000000000009</v>
      </c>
      <c r="G1089" s="1012">
        <f>CEILING(SUM(G1087:G1088),0.05)</f>
        <v>732.85</v>
      </c>
      <c r="H1089" s="1012">
        <f>CEILING(SUM(H1087:H1088),0.05)</f>
        <v>769.30000000000007</v>
      </c>
      <c r="I1089" s="1012">
        <f>CEILING(SUM(I1087:I1088),0.05)</f>
        <v>805.75</v>
      </c>
    </row>
    <row r="1090" spans="1:9" ht="12.75" customHeight="1">
      <c r="A1090" s="1019">
        <f>A1072+1</f>
        <v>25</v>
      </c>
      <c r="B1090" s="1020"/>
      <c r="C1090" s="1499" t="s">
        <v>1200</v>
      </c>
      <c r="D1090" s="1499"/>
      <c r="E1090" s="1499"/>
      <c r="F1090" s="1499"/>
      <c r="G1090" s="1499"/>
      <c r="H1090" s="1499"/>
      <c r="I1090" s="1499"/>
    </row>
    <row r="1091" spans="1:9" ht="12.75" customHeight="1">
      <c r="A1091" s="1019"/>
      <c r="B1091" s="1051"/>
      <c r="C1091" s="1214" t="s">
        <v>439</v>
      </c>
      <c r="D1091" s="1021"/>
      <c r="E1091" s="1008"/>
      <c r="F1091" s="986"/>
      <c r="G1091" s="1023"/>
      <c r="H1091" s="1215"/>
      <c r="I1091" s="1012"/>
    </row>
    <row r="1092" spans="1:9" ht="12.75" customHeight="1">
      <c r="A1092" s="1019"/>
      <c r="B1092" s="1051"/>
      <c r="C1092" s="1214" t="s">
        <v>557</v>
      </c>
      <c r="D1092" s="980"/>
      <c r="E1092" s="980"/>
      <c r="F1092" s="980"/>
      <c r="G1092" s="980"/>
      <c r="H1092" s="980"/>
      <c r="I1092" s="980"/>
    </row>
    <row r="1093" spans="1:9" ht="38.25" customHeight="1">
      <c r="A1093" s="1019"/>
      <c r="B1093" s="1051"/>
      <c r="C1093" s="792" t="str">
        <f>C1074</f>
        <v>Cost of Polished Shabad/Tandur blue Slabas 15 to 18 mm thick  (0.457M x 0.457M)</v>
      </c>
      <c r="D1093" s="1021">
        <v>1.1000000000000001</v>
      </c>
      <c r="E1093" s="1022" t="s">
        <v>623</v>
      </c>
      <c r="F1093" s="986">
        <f>LEAD!$P$23</f>
        <v>198.706175</v>
      </c>
      <c r="G1093" s="1023">
        <v>1</v>
      </c>
      <c r="H1093" s="991" t="str">
        <f>IF(E1093="","",IF(E1093="No.","Each",IF(E1093="Nos.","Each",E1093)))</f>
        <v>Sqmt.</v>
      </c>
      <c r="I1093" s="986">
        <f>IF(G1093="",D1093*F1093,(D1093*F1093/G1093))</f>
        <v>218.57679250000001</v>
      </c>
    </row>
    <row r="1094" spans="1:9" ht="12.75" customHeight="1">
      <c r="A1094" s="1019"/>
      <c r="B1094" s="1051"/>
      <c r="C1094" s="792" t="s">
        <v>295</v>
      </c>
      <c r="D1094" s="1021">
        <f>0.012</f>
        <v>1.2E-2</v>
      </c>
      <c r="E1094" s="1022" t="s">
        <v>529</v>
      </c>
      <c r="F1094" s="986">
        <f>LEAD!$P$7</f>
        <v>437.11999999999983</v>
      </c>
      <c r="G1094" s="1023">
        <v>1</v>
      </c>
      <c r="H1094" s="991" t="str">
        <f>IF(E1094="","",IF(E1094="No.","Each",IF(E1094="Nos.","Each",E1094)))</f>
        <v>cu.m.</v>
      </c>
      <c r="I1094" s="986">
        <f>IF(G1094="",D1094*F1094,(D1094*F1094/G1094))</f>
        <v>5.2454399999999985</v>
      </c>
    </row>
    <row r="1095" spans="1:9" ht="12.75" customHeight="1">
      <c r="A1095" s="1019"/>
      <c r="B1095" s="1051"/>
      <c r="C1095" s="792" t="s">
        <v>296</v>
      </c>
      <c r="D1095" s="1021">
        <v>5.76</v>
      </c>
      <c r="E1095" s="1022" t="s">
        <v>364</v>
      </c>
      <c r="F1095" s="986">
        <f>LEAD!$P$28</f>
        <v>7168</v>
      </c>
      <c r="G1095" s="1023">
        <v>1000</v>
      </c>
      <c r="H1095" s="991" t="str">
        <f>IF(E1095="","",IF(E1095="No.","Each",IF(E1095="Nos.","Each",E1095)))</f>
        <v>Kgs</v>
      </c>
      <c r="I1095" s="986">
        <f>IF(G1095="",D1095*F1095,(D1095*F1095/G1095))</f>
        <v>41.287680000000002</v>
      </c>
    </row>
    <row r="1096" spans="1:9" ht="12.75" customHeight="1">
      <c r="A1096" s="1019"/>
      <c r="B1096" s="1051"/>
      <c r="C1096" s="792" t="s">
        <v>153</v>
      </c>
      <c r="D1096" s="1021">
        <v>3.3</v>
      </c>
      <c r="E1096" s="1022" t="s">
        <v>364</v>
      </c>
      <c r="F1096" s="986">
        <f>LEAD!$P$28</f>
        <v>7168</v>
      </c>
      <c r="G1096" s="1023">
        <v>1000</v>
      </c>
      <c r="H1096" s="991" t="str">
        <f>IF(E1096="","",IF(E1096="No.","Each",IF(E1096="Nos.","Each",E1096)))</f>
        <v>Kgs</v>
      </c>
      <c r="I1096" s="986">
        <f>IF(G1096="",D1096*F1096,(D1096*F1096/G1096))</f>
        <v>23.654399999999999</v>
      </c>
    </row>
    <row r="1097" spans="1:9" ht="12.75" customHeight="1">
      <c r="A1097" s="1019"/>
      <c r="B1097" s="1051"/>
      <c r="C1097" s="1214" t="s">
        <v>690</v>
      </c>
      <c r="D1097" s="1021"/>
      <c r="E1097" s="1022"/>
      <c r="F1097" s="986"/>
      <c r="G1097" s="1023"/>
      <c r="H1097" s="991"/>
      <c r="I1097" s="986"/>
    </row>
    <row r="1098" spans="1:9" ht="12.75" customHeight="1">
      <c r="A1098" s="1019"/>
      <c r="B1098" s="1051"/>
      <c r="C1098" s="1212" t="s">
        <v>377</v>
      </c>
      <c r="D1098" s="1021">
        <v>9.6000000000000002E-2</v>
      </c>
      <c r="E1098" s="1003" t="s">
        <v>499</v>
      </c>
      <c r="F1098" s="986">
        <f>$F$9</f>
        <v>624</v>
      </c>
      <c r="G1098" s="1023">
        <v>1</v>
      </c>
      <c r="H1098" s="991" t="str">
        <f>IF(E1098="","",IF(E1098="No.","Each",IF(E1098="Nos.","Each",E1098)))</f>
        <v>Each</v>
      </c>
      <c r="I1098" s="986">
        <f>IF(G1098="",D1098*F1098,(D1098*F1098/G1098))</f>
        <v>59.904000000000003</v>
      </c>
    </row>
    <row r="1099" spans="1:9" ht="12.75" customHeight="1">
      <c r="A1099" s="1019"/>
      <c r="B1099" s="1051"/>
      <c r="C1099" s="1212" t="s">
        <v>378</v>
      </c>
      <c r="D1099" s="1021">
        <v>0.224</v>
      </c>
      <c r="E1099" s="1003" t="s">
        <v>499</v>
      </c>
      <c r="F1099" s="986">
        <f>$F$10</f>
        <v>588</v>
      </c>
      <c r="G1099" s="1023">
        <v>1</v>
      </c>
      <c r="H1099" s="991" t="str">
        <f>IF(E1099="","",IF(E1099="No.","Each",IF(E1099="Nos.","Each",E1099)))</f>
        <v>Each</v>
      </c>
      <c r="I1099" s="986">
        <f>IF(G1099="",D1099*F1099,(D1099*F1099/G1099))</f>
        <v>131.71199999999999</v>
      </c>
    </row>
    <row r="1100" spans="1:9" ht="12.75" customHeight="1">
      <c r="A1100" s="1019"/>
      <c r="B1100" s="1020"/>
      <c r="C1100" s="792" t="s">
        <v>396</v>
      </c>
      <c r="D1100" s="1021">
        <v>0.31</v>
      </c>
      <c r="E1100" s="1022" t="s">
        <v>499</v>
      </c>
      <c r="F1100" s="986">
        <f>$F$22</f>
        <v>558</v>
      </c>
      <c r="G1100" s="1023">
        <v>1</v>
      </c>
      <c r="H1100" s="991" t="str">
        <f>IF(E1100="","",IF(E1100="No.","Each",IF(E1100="Nos.","Each",E1100)))</f>
        <v>Each</v>
      </c>
      <c r="I1100" s="986">
        <f>IF(G1100="",D1100*F1100,(D1100*F1100/G1100))</f>
        <v>172.98</v>
      </c>
    </row>
    <row r="1101" spans="1:9" ht="25.5" customHeight="1">
      <c r="A1101" s="1019"/>
      <c r="B1101" s="1020"/>
      <c r="C1101" s="792" t="s">
        <v>1041</v>
      </c>
      <c r="D1101" s="1053">
        <v>0.01</v>
      </c>
      <c r="E1101" s="1022"/>
      <c r="F1101" s="986">
        <f>SUM(I1093:I1100)</f>
        <v>653.36031249999996</v>
      </c>
      <c r="G1101" s="1023"/>
      <c r="H1101" s="991"/>
      <c r="I1101" s="986">
        <f>IF(G1101="",D1101*F1101,(D1101*F1101/G1101))</f>
        <v>6.533603125</v>
      </c>
    </row>
    <row r="1102" spans="1:9" ht="12.75" customHeight="1">
      <c r="A1102" s="1019"/>
      <c r="B1102" s="1020"/>
      <c r="C1102" s="980" t="s">
        <v>368</v>
      </c>
      <c r="D1102" s="1021"/>
      <c r="E1102" s="1022"/>
      <c r="F1102" s="986"/>
      <c r="G1102" s="1023"/>
      <c r="H1102" s="1213"/>
      <c r="I1102" s="1012">
        <f>SUM(I1093:I1101)</f>
        <v>659.89391562499998</v>
      </c>
    </row>
    <row r="1103" spans="1:9" ht="12.75" customHeight="1">
      <c r="A1103" s="1019"/>
      <c r="B1103" s="1020"/>
      <c r="C1103" s="1214" t="s">
        <v>428</v>
      </c>
      <c r="E1103" s="1227" t="s">
        <v>501</v>
      </c>
      <c r="F1103" s="1048" t="s">
        <v>502</v>
      </c>
      <c r="G1103" s="1227" t="s">
        <v>503</v>
      </c>
      <c r="H1103" s="1048" t="s">
        <v>709</v>
      </c>
      <c r="I1103" s="1048" t="s">
        <v>502</v>
      </c>
    </row>
    <row r="1104" spans="1:9" ht="12.75" customHeight="1">
      <c r="A1104" s="1019"/>
      <c r="B1104" s="1020"/>
      <c r="C1104" s="1213" t="s">
        <v>368</v>
      </c>
      <c r="E1104" s="986">
        <f>I1102</f>
        <v>659.89391562499998</v>
      </c>
      <c r="F1104" s="986">
        <f>E1104</f>
        <v>659.89391562499998</v>
      </c>
      <c r="G1104" s="986">
        <f>F1104</f>
        <v>659.89391562499998</v>
      </c>
      <c r="H1104" s="986">
        <f>G1104</f>
        <v>659.89391562499998</v>
      </c>
      <c r="I1104" s="986">
        <f>H1104</f>
        <v>659.89391562499998</v>
      </c>
    </row>
    <row r="1105" spans="1:9" ht="12.75" customHeight="1">
      <c r="A1105" s="1019"/>
      <c r="B1105" s="1020"/>
      <c r="C1105" s="792" t="s">
        <v>418</v>
      </c>
      <c r="E1105" s="986"/>
      <c r="F1105" s="986">
        <f>ROUND(0.1*(I1098+I1099+I1100),2)</f>
        <v>36.46</v>
      </c>
      <c r="G1105" s="986">
        <f>ROUND(0.2*(I1098+I1099+I1100),2)</f>
        <v>72.92</v>
      </c>
      <c r="H1105" s="986">
        <f>ROUND(0.3*($I$1098+$I$1099++$I$1100),2)</f>
        <v>109.38</v>
      </c>
      <c r="I1105" s="986">
        <f>ROUND(0.4*($I$1098+$I$1099++$I$1100),2)</f>
        <v>145.84</v>
      </c>
    </row>
    <row r="1106" spans="1:9" ht="12.75" customHeight="1">
      <c r="A1106" s="1019"/>
      <c r="B1106" s="1020"/>
      <c r="E1106" s="986">
        <f>SUM(E1104:E1105)</f>
        <v>659.89391562499998</v>
      </c>
      <c r="F1106" s="986">
        <f>SUM(F1104:F1105)</f>
        <v>696.35391562500001</v>
      </c>
      <c r="G1106" s="986">
        <f>SUM(G1104:G1105)</f>
        <v>732.81391562499994</v>
      </c>
      <c r="H1106" s="986">
        <f>SUM(H1104:H1105)</f>
        <v>769.27391562499997</v>
      </c>
      <c r="I1106" s="986">
        <f>SUM(I1104:I1105)</f>
        <v>805.73391562500001</v>
      </c>
    </row>
    <row r="1107" spans="1:9" ht="12.75" customHeight="1">
      <c r="A1107" s="1019"/>
      <c r="B1107" s="1020"/>
      <c r="C1107" s="1220" t="s">
        <v>1014</v>
      </c>
      <c r="D1107" s="1026">
        <f>$D$3</f>
        <v>0</v>
      </c>
      <c r="E1107" s="986">
        <f>ROUND(E1106*$D$1107,2)</f>
        <v>0</v>
      </c>
      <c r="F1107" s="986">
        <f>ROUND(F1106*$D$1107,2)</f>
        <v>0</v>
      </c>
      <c r="G1107" s="986">
        <f>ROUND(G1106*$D$1107,2)</f>
        <v>0</v>
      </c>
      <c r="H1107" s="986">
        <f>ROUND(H1106*$D$1107,2)</f>
        <v>0</v>
      </c>
      <c r="I1107" s="986">
        <f>ROUND(I1106*$D$1107,2)</f>
        <v>0</v>
      </c>
    </row>
    <row r="1108" spans="1:9" ht="12.75" customHeight="1">
      <c r="A1108" s="1019"/>
      <c r="B1108" s="1020"/>
      <c r="C1108" s="980" t="s">
        <v>198</v>
      </c>
      <c r="D1108" s="980"/>
      <c r="E1108" s="1012">
        <f>SUM(E1106:E1107)</f>
        <v>659.89391562499998</v>
      </c>
      <c r="F1108" s="1012">
        <f>SUM(F1106:F1107)</f>
        <v>696.35391562500001</v>
      </c>
      <c r="G1108" s="1012">
        <f>SUM(G1106:G1107)</f>
        <v>732.81391562499994</v>
      </c>
      <c r="H1108" s="1012">
        <f>SUM(H1106:H1107)</f>
        <v>769.27391562499997</v>
      </c>
      <c r="I1108" s="1012">
        <f>SUM(I1106:I1107)</f>
        <v>805.73391562500001</v>
      </c>
    </row>
    <row r="1109" spans="1:9" ht="204" customHeight="1">
      <c r="A1109" s="1019"/>
      <c r="B1109" s="1020"/>
      <c r="C1109" s="1214" t="s">
        <v>2302</v>
      </c>
      <c r="D1109" s="980" t="s">
        <v>398</v>
      </c>
      <c r="E1109" s="1012"/>
      <c r="F1109" s="1012"/>
      <c r="G1109" s="1012"/>
      <c r="H1109" s="1012"/>
      <c r="I1109" s="986"/>
    </row>
    <row r="1110" spans="1:9" ht="12.75" customHeight="1">
      <c r="A1110" s="1019">
        <f>+A1090+1</f>
        <v>26</v>
      </c>
      <c r="B1110" s="1020"/>
      <c r="C1110" s="1499" t="s">
        <v>1201</v>
      </c>
      <c r="D1110" s="1499"/>
      <c r="E1110" s="1499"/>
      <c r="F1110" s="1499"/>
      <c r="G1110" s="1499"/>
      <c r="H1110" s="1499"/>
      <c r="I1110" s="1499"/>
    </row>
    <row r="1111" spans="1:9" ht="12.75" customHeight="1">
      <c r="A1111" s="1019"/>
      <c r="B1111" s="1051"/>
      <c r="C1111" s="1214" t="s">
        <v>439</v>
      </c>
      <c r="D1111" s="1021"/>
      <c r="E1111" s="1008"/>
      <c r="F1111" s="986"/>
      <c r="G1111" s="1023"/>
      <c r="H1111" s="1215"/>
      <c r="I1111" s="1012"/>
    </row>
    <row r="1112" spans="1:9" ht="12.75" customHeight="1">
      <c r="A1112" s="1019"/>
      <c r="B1112" s="1051"/>
      <c r="C1112" s="1214" t="s">
        <v>557</v>
      </c>
      <c r="D1112" s="980"/>
      <c r="E1112" s="980"/>
      <c r="F1112" s="980"/>
      <c r="G1112" s="980"/>
      <c r="H1112" s="980"/>
      <c r="I1112" s="980"/>
    </row>
    <row r="1113" spans="1:9" ht="25.5" customHeight="1">
      <c r="A1113" s="1019"/>
      <c r="B1113" s="1051"/>
      <c r="C1113" s="792" t="str">
        <f>"Cost of "&amp;LEAD!B26</f>
        <v xml:space="preserve">Cost of High polished Granite 16 to 18 mm thick up to 8' 00" (2.43M)  black </v>
      </c>
      <c r="D1113" s="1021">
        <v>1.1000000000000001</v>
      </c>
      <c r="E1113" s="1022" t="s">
        <v>623</v>
      </c>
      <c r="F1113" s="986">
        <f>LEAD!$P$26</f>
        <v>2445.48515</v>
      </c>
      <c r="G1113" s="1023">
        <v>1</v>
      </c>
      <c r="H1113" s="991" t="str">
        <f>IF(E1113="","",IF(E1113="No.","Each",IF(E1113="Nos.","Each",E1113)))</f>
        <v>Sqmt.</v>
      </c>
      <c r="I1113" s="986">
        <f>IF(G1113="",D1113*F1113,(D1113*F1113/G1113))</f>
        <v>2690.0336650000004</v>
      </c>
    </row>
    <row r="1114" spans="1:9" ht="12.75" customHeight="1">
      <c r="A1114" s="1019"/>
      <c r="B1114" s="1051"/>
      <c r="C1114" s="792" t="s">
        <v>295</v>
      </c>
      <c r="D1114" s="1021">
        <v>1.2E-2</v>
      </c>
      <c r="E1114" s="1022" t="s">
        <v>529</v>
      </c>
      <c r="F1114" s="986">
        <f>LEAD!$P$7</f>
        <v>437.11999999999983</v>
      </c>
      <c r="G1114" s="1023">
        <v>1</v>
      </c>
      <c r="H1114" s="991" t="str">
        <f>IF(E1114="","",IF(E1114="No.","Each",IF(E1114="Nos.","Each",E1114)))</f>
        <v>cu.m.</v>
      </c>
      <c r="I1114" s="986">
        <f>IF(G1114="",D1114*F1114,(D1114*F1114/G1114))</f>
        <v>5.2454399999999985</v>
      </c>
    </row>
    <row r="1115" spans="1:9" ht="12.75" customHeight="1">
      <c r="A1115" s="1019"/>
      <c r="B1115" s="1051"/>
      <c r="C1115" s="792" t="s">
        <v>296</v>
      </c>
      <c r="D1115" s="1021">
        <v>5.76</v>
      </c>
      <c r="E1115" s="1022" t="s">
        <v>364</v>
      </c>
      <c r="F1115" s="986">
        <f>LEAD!$P$28</f>
        <v>7168</v>
      </c>
      <c r="G1115" s="1023">
        <v>1000</v>
      </c>
      <c r="H1115" s="991" t="str">
        <f>IF(E1115="","",IF(E1115="No.","Each",IF(E1115="Nos.","Each",E1115)))</f>
        <v>Kgs</v>
      </c>
      <c r="I1115" s="986">
        <f>IF(G1115="",D1115*F1115,(D1115*F1115/G1115))</f>
        <v>41.287680000000002</v>
      </c>
    </row>
    <row r="1116" spans="1:9" ht="12.75" customHeight="1">
      <c r="A1116" s="1019"/>
      <c r="B1116" s="1051"/>
      <c r="C1116" s="792" t="s">
        <v>153</v>
      </c>
      <c r="D1116" s="1021">
        <v>3.3</v>
      </c>
      <c r="E1116" s="1022" t="s">
        <v>364</v>
      </c>
      <c r="F1116" s="986">
        <f>LEAD!$P$28</f>
        <v>7168</v>
      </c>
      <c r="G1116" s="1023">
        <v>1000</v>
      </c>
      <c r="H1116" s="991" t="str">
        <f>IF(E1116="","",IF(E1116="No.","Each",IF(E1116="Nos.","Each",E1116)))</f>
        <v>Kgs</v>
      </c>
      <c r="I1116" s="986">
        <f>IF(G1116="",D1116*F1116,(D1116*F1116/G1116))</f>
        <v>23.654399999999999</v>
      </c>
    </row>
    <row r="1117" spans="1:9" ht="12.75" customHeight="1">
      <c r="A1117" s="1019"/>
      <c r="B1117" s="1051"/>
      <c r="C1117" s="1214" t="s">
        <v>690</v>
      </c>
      <c r="D1117" s="1021"/>
      <c r="E1117" s="1022"/>
      <c r="F1117" s="986"/>
      <c r="G1117" s="1023"/>
      <c r="H1117" s="991"/>
      <c r="I1117" s="986"/>
    </row>
    <row r="1118" spans="1:9" ht="12.75" customHeight="1">
      <c r="A1118" s="1019"/>
      <c r="B1118" s="1051"/>
      <c r="C1118" s="1212" t="s">
        <v>377</v>
      </c>
      <c r="D1118" s="1021">
        <v>9.6000000000000002E-2</v>
      </c>
      <c r="E1118" s="1003" t="s">
        <v>499</v>
      </c>
      <c r="F1118" s="986">
        <f>$F$9</f>
        <v>624</v>
      </c>
      <c r="G1118" s="1023">
        <v>1</v>
      </c>
      <c r="H1118" s="991" t="str">
        <f>IF(E1118="","",IF(E1118="No.","Each",IF(E1118="Nos.","Each",E1118)))</f>
        <v>Each</v>
      </c>
      <c r="I1118" s="986">
        <f>IF(G1118="",D1118*F1118,(D1118*F1118/G1118))</f>
        <v>59.904000000000003</v>
      </c>
    </row>
    <row r="1119" spans="1:9" ht="12.75" customHeight="1">
      <c r="A1119" s="1019"/>
      <c r="B1119" s="1051"/>
      <c r="C1119" s="1212" t="s">
        <v>378</v>
      </c>
      <c r="D1119" s="1021">
        <v>0.224</v>
      </c>
      <c r="E1119" s="1003" t="s">
        <v>499</v>
      </c>
      <c r="F1119" s="986">
        <f>$F$10</f>
        <v>588</v>
      </c>
      <c r="G1119" s="1023">
        <v>1</v>
      </c>
      <c r="H1119" s="991" t="str">
        <f>IF(E1119="","",IF(E1119="No.","Each",IF(E1119="Nos.","Each",E1119)))</f>
        <v>Each</v>
      </c>
      <c r="I1119" s="986">
        <f>IF(G1119="",D1119*F1119,(D1119*F1119/G1119))</f>
        <v>131.71199999999999</v>
      </c>
    </row>
    <row r="1120" spans="1:9" ht="12.75" customHeight="1">
      <c r="A1120" s="1019"/>
      <c r="B1120" s="1020"/>
      <c r="C1120" s="792" t="s">
        <v>396</v>
      </c>
      <c r="D1120" s="1021">
        <v>0.31</v>
      </c>
      <c r="E1120" s="1022" t="s">
        <v>499</v>
      </c>
      <c r="F1120" s="986">
        <f>$F$22</f>
        <v>558</v>
      </c>
      <c r="G1120" s="1023">
        <v>1</v>
      </c>
      <c r="H1120" s="991" t="str">
        <f>IF(E1120="","",IF(E1120="No.","Each",IF(E1120="Nos.","Each",E1120)))</f>
        <v>Each</v>
      </c>
      <c r="I1120" s="986">
        <f>IF(G1120="",D1120*F1120,(D1120*F1120/G1120))</f>
        <v>172.98</v>
      </c>
    </row>
    <row r="1121" spans="1:9" ht="25.5" customHeight="1">
      <c r="A1121" s="1019"/>
      <c r="B1121" s="1020"/>
      <c r="C1121" s="792" t="s">
        <v>1041</v>
      </c>
      <c r="D1121" s="1053">
        <v>0.01</v>
      </c>
      <c r="E1121" s="1022"/>
      <c r="F1121" s="986">
        <f>SUM(I1113:I1120)</f>
        <v>3124.8171850000003</v>
      </c>
      <c r="G1121" s="1023"/>
      <c r="H1121" s="991"/>
      <c r="I1121" s="986">
        <f>IF(G1121="",D1121*F1121,(D1121*F1121/G1121))</f>
        <v>31.248171850000006</v>
      </c>
    </row>
    <row r="1122" spans="1:9" ht="12.75" customHeight="1">
      <c r="A1122" s="1019"/>
      <c r="B1122" s="1020"/>
      <c r="C1122" s="980" t="s">
        <v>368</v>
      </c>
      <c r="D1122" s="1021"/>
      <c r="E1122" s="1022"/>
      <c r="F1122" s="986"/>
      <c r="G1122" s="1023"/>
      <c r="H1122" s="1213"/>
      <c r="I1122" s="1012">
        <f>SUM(I1113:I1121)</f>
        <v>3156.0653568500002</v>
      </c>
    </row>
    <row r="1123" spans="1:9" ht="12.75" customHeight="1">
      <c r="A1123" s="1019"/>
      <c r="B1123" s="1020"/>
      <c r="C1123" s="1214" t="s">
        <v>428</v>
      </c>
      <c r="E1123" s="1227" t="s">
        <v>501</v>
      </c>
      <c r="F1123" s="1048" t="s">
        <v>502</v>
      </c>
      <c r="G1123" s="1227" t="s">
        <v>503</v>
      </c>
      <c r="H1123" s="1048" t="s">
        <v>709</v>
      </c>
      <c r="I1123" s="1048" t="s">
        <v>502</v>
      </c>
    </row>
    <row r="1124" spans="1:9" ht="12.75" customHeight="1">
      <c r="A1124" s="1019"/>
      <c r="B1124" s="1020"/>
      <c r="C1124" s="1213" t="s">
        <v>368</v>
      </c>
      <c r="E1124" s="986">
        <f>I1122</f>
        <v>3156.0653568500002</v>
      </c>
      <c r="F1124" s="986">
        <f>E1124</f>
        <v>3156.0653568500002</v>
      </c>
      <c r="G1124" s="986">
        <f>F1124</f>
        <v>3156.0653568500002</v>
      </c>
      <c r="H1124" s="986">
        <f>G1124</f>
        <v>3156.0653568500002</v>
      </c>
      <c r="I1124" s="986">
        <f>H1124</f>
        <v>3156.0653568500002</v>
      </c>
    </row>
    <row r="1125" spans="1:9" ht="12.75" customHeight="1">
      <c r="A1125" s="1019"/>
      <c r="B1125" s="1020"/>
      <c r="C1125" s="792" t="s">
        <v>418</v>
      </c>
      <c r="E1125" s="986"/>
      <c r="F1125" s="986">
        <f>ROUND(0.1*(I1118+I1119+I1120),2)</f>
        <v>36.46</v>
      </c>
      <c r="G1125" s="986">
        <f>ROUND(0.2*(I1118+I1119+I1120),2)</f>
        <v>72.92</v>
      </c>
      <c r="H1125" s="986">
        <f>ROUND(0.3*(I1118+I1119+I1120),2)</f>
        <v>109.38</v>
      </c>
      <c r="I1125" s="986">
        <f>ROUND(0.4*(I1118+I1119+I1120),2)</f>
        <v>145.84</v>
      </c>
    </row>
    <row r="1126" spans="1:9" ht="12.75" customHeight="1">
      <c r="A1126" s="1019"/>
      <c r="B1126" s="1020"/>
      <c r="E1126" s="986">
        <f>SUM(E1124:E1125)</f>
        <v>3156.0653568500002</v>
      </c>
      <c r="F1126" s="986">
        <f>SUM(F1124:F1125)</f>
        <v>3192.5253568500002</v>
      </c>
      <c r="G1126" s="986">
        <f>SUM(G1124:G1125)</f>
        <v>3228.9853568500002</v>
      </c>
      <c r="H1126" s="986">
        <f>SUM(H1124:H1125)</f>
        <v>3265.4453568500003</v>
      </c>
      <c r="I1126" s="986">
        <f>SUM(I1124:I1125)</f>
        <v>3301.9053568500003</v>
      </c>
    </row>
    <row r="1127" spans="1:9" ht="12.75" customHeight="1">
      <c r="A1127" s="1019"/>
      <c r="B1127" s="1020"/>
      <c r="C1127" s="1220" t="s">
        <v>1014</v>
      </c>
      <c r="D1127" s="1026">
        <f>$D$3</f>
        <v>0</v>
      </c>
      <c r="E1127" s="986">
        <f>ROUND(E1126*$D$1107,2)</f>
        <v>0</v>
      </c>
      <c r="F1127" s="986">
        <f>ROUND(F1126*$D$1107,2)</f>
        <v>0</v>
      </c>
      <c r="G1127" s="986">
        <f>ROUND(G1126*$D$1107,2)</f>
        <v>0</v>
      </c>
      <c r="H1127" s="986">
        <f>ROUND(H1126*$D$1107,2)</f>
        <v>0</v>
      </c>
      <c r="I1127" s="986">
        <f>ROUND(I1126*$D$1107,2)</f>
        <v>0</v>
      </c>
    </row>
    <row r="1128" spans="1:9" ht="12.75" customHeight="1">
      <c r="A1128" s="1019"/>
      <c r="B1128" s="1020"/>
      <c r="C1128" s="980" t="s">
        <v>198</v>
      </c>
      <c r="D1128" s="980"/>
      <c r="E1128" s="1012">
        <f>SUM(E1126:E1127)</f>
        <v>3156.0653568500002</v>
      </c>
      <c r="F1128" s="1012">
        <f>SUM(F1126:F1127)</f>
        <v>3192.5253568500002</v>
      </c>
      <c r="G1128" s="1012">
        <f>SUM(G1126:G1127)</f>
        <v>3228.9853568500002</v>
      </c>
      <c r="H1128" s="1012">
        <f>SUM(H1126:H1127)</f>
        <v>3265.4453568500003</v>
      </c>
      <c r="I1128" s="1012">
        <f>SUM(I1126:I1127)</f>
        <v>3301.9053568500003</v>
      </c>
    </row>
    <row r="1129" spans="1:9" ht="12.75" customHeight="1">
      <c r="A1129" s="1019">
        <f>+A1090+1</f>
        <v>26</v>
      </c>
      <c r="B1129" s="1020"/>
      <c r="C1129" s="1493" t="s">
        <v>1202</v>
      </c>
      <c r="D1129" s="1493"/>
      <c r="E1129" s="1493"/>
      <c r="F1129" s="1493"/>
      <c r="G1129" s="1493"/>
      <c r="H1129" s="1493"/>
      <c r="I1129" s="1493"/>
    </row>
    <row r="1130" spans="1:9" ht="12.75" customHeight="1">
      <c r="A1130" s="1019"/>
      <c r="B1130" s="1051"/>
      <c r="C1130" s="1214" t="s">
        <v>197</v>
      </c>
      <c r="D1130" s="1021"/>
      <c r="E1130" s="1008"/>
      <c r="F1130" s="986"/>
      <c r="G1130" s="1023"/>
      <c r="H1130" s="1215"/>
      <c r="I1130" s="1012"/>
    </row>
    <row r="1131" spans="1:9" ht="38.25" customHeight="1">
      <c r="A1131" s="1019"/>
      <c r="B1131" s="1051"/>
      <c r="C1131" s="792" t="str">
        <f>CONCATENATE("cost of ",LEAD!B23)</f>
        <v>cost of Polished Shabad/Tandur blue Slabas 15 to 18 mm thick  (0.457M x 0.457M)</v>
      </c>
      <c r="D1131" s="1021">
        <v>1.1000000000000001</v>
      </c>
      <c r="E1131" s="1022" t="s">
        <v>623</v>
      </c>
      <c r="F1131" s="986">
        <f>LEAD!$P$23</f>
        <v>198.706175</v>
      </c>
      <c r="G1131" s="1023">
        <v>1</v>
      </c>
      <c r="H1131" s="991" t="str">
        <f>IF(E1131="","",IF(E1131="No.","Each",IF(E1131="Nos.","Each",E1131)))</f>
        <v>Sqmt.</v>
      </c>
      <c r="I1131" s="986">
        <f>IF(G1131="",D1131*F1131,(D1131*F1131/G1131))</f>
        <v>218.57679250000001</v>
      </c>
    </row>
    <row r="1132" spans="1:9" ht="12.75" customHeight="1">
      <c r="A1132" s="1019"/>
      <c r="B1132" s="1051"/>
      <c r="C1132" s="792" t="s">
        <v>314</v>
      </c>
      <c r="D1132" s="1021">
        <v>5.46</v>
      </c>
      <c r="E1132" s="1022" t="s">
        <v>364</v>
      </c>
      <c r="F1132" s="986">
        <f>LEAD!$P$28</f>
        <v>7168</v>
      </c>
      <c r="G1132" s="1023">
        <v>1000</v>
      </c>
      <c r="H1132" s="991" t="str">
        <f>IF(E1132="","",IF(E1132="No.","Each",IF(E1132="Nos.","Each",E1132)))</f>
        <v>Kgs</v>
      </c>
      <c r="I1132" s="986">
        <f>IF(G1132="",D1132*F1132,(D1132*F1132/G1132))</f>
        <v>39.137279999999997</v>
      </c>
    </row>
    <row r="1133" spans="1:9" ht="12.75" customHeight="1">
      <c r="A1133" s="1019"/>
      <c r="B1133" s="1051"/>
      <c r="C1133" s="792" t="s">
        <v>292</v>
      </c>
      <c r="D1133" s="1021">
        <f>0.012</f>
        <v>1.2E-2</v>
      </c>
      <c r="E1133" s="1022" t="s">
        <v>644</v>
      </c>
      <c r="F1133" s="986">
        <f>LEAD!$P$7</f>
        <v>437.11999999999983</v>
      </c>
      <c r="G1133" s="1023">
        <v>1</v>
      </c>
      <c r="H1133" s="991" t="str">
        <f>IF(E1133="","",IF(E1133="No.","Each",IF(E1133="Nos.","Each",E1133)))</f>
        <v>cum</v>
      </c>
      <c r="I1133" s="986">
        <f>IF(G1133="",D1133*F1133,(D1133*F1133/G1133))</f>
        <v>5.2454399999999985</v>
      </c>
    </row>
    <row r="1134" spans="1:9" ht="12.75" customHeight="1">
      <c r="A1134" s="1019"/>
      <c r="B1134" s="1051"/>
      <c r="C1134" s="1214" t="s">
        <v>424</v>
      </c>
      <c r="D1134" s="1021"/>
      <c r="E1134" s="1022"/>
      <c r="F1134" s="986"/>
      <c r="G1134" s="1023"/>
      <c r="H1134" s="991"/>
      <c r="I1134" s="986"/>
    </row>
    <row r="1135" spans="1:9" ht="25.5" customHeight="1">
      <c r="A1135" s="1019"/>
      <c r="B1135" s="1051"/>
      <c r="C1135" s="792" t="s">
        <v>293</v>
      </c>
      <c r="D1135" s="1021">
        <v>0.1</v>
      </c>
      <c r="E1135" s="1022" t="s">
        <v>594</v>
      </c>
      <c r="F1135" s="986">
        <v>0</v>
      </c>
      <c r="G1135" s="1023">
        <v>1</v>
      </c>
      <c r="H1135" s="991" t="s">
        <v>594</v>
      </c>
      <c r="I1135" s="986">
        <f>IF(G1135="",D1135*F1135,(D1135*F1135/G1135))</f>
        <v>0</v>
      </c>
    </row>
    <row r="1136" spans="1:9" ht="12.75" customHeight="1">
      <c r="A1136" s="1019"/>
      <c r="B1136" s="1051"/>
      <c r="C1136" s="792" t="s">
        <v>294</v>
      </c>
      <c r="D1136" s="1049">
        <f>$E$5</f>
        <v>0.2</v>
      </c>
      <c r="E1136" s="1022"/>
      <c r="F1136" s="986"/>
      <c r="G1136" s="1023"/>
      <c r="H1136" s="991"/>
      <c r="I1136" s="986">
        <f>IF(G1136="",D1136*F1136,(D1136*F1136/G1136))</f>
        <v>0</v>
      </c>
    </row>
    <row r="1137" spans="1:9" ht="12.75" customHeight="1">
      <c r="A1137" s="1019"/>
      <c r="B1137" s="1051"/>
      <c r="C1137" s="1214" t="s">
        <v>690</v>
      </c>
      <c r="D1137" s="1021"/>
      <c r="E1137" s="1022"/>
      <c r="F1137" s="986"/>
      <c r="G1137" s="1023"/>
      <c r="H1137" s="991"/>
      <c r="I1137" s="986"/>
    </row>
    <row r="1138" spans="1:9" ht="12.75" customHeight="1">
      <c r="A1138" s="1019"/>
      <c r="B1138" s="1020"/>
      <c r="C1138" s="1212" t="s">
        <v>377</v>
      </c>
      <c r="D1138" s="1021">
        <v>0.31</v>
      </c>
      <c r="E1138" s="1003" t="s">
        <v>499</v>
      </c>
      <c r="F1138" s="986">
        <f>$F$9</f>
        <v>624</v>
      </c>
      <c r="G1138" s="1023">
        <v>1</v>
      </c>
      <c r="H1138" s="991" t="str">
        <f>IF(E1138="","",IF(E1138="No.","Each",IF(E1138="Nos.","Each",E1138)))</f>
        <v>Each</v>
      </c>
      <c r="I1138" s="986">
        <f>IF(G1138="",D1138*F1138,(D1138*F1138/G1138))</f>
        <v>193.44</v>
      </c>
    </row>
    <row r="1139" spans="1:9" ht="12.75" customHeight="1">
      <c r="A1139" s="1019"/>
      <c r="B1139" s="1020"/>
      <c r="C1139" s="1212" t="s">
        <v>378</v>
      </c>
      <c r="D1139" s="1021">
        <v>0.11</v>
      </c>
      <c r="E1139" s="1003" t="s">
        <v>499</v>
      </c>
      <c r="F1139" s="986">
        <f>$F$10</f>
        <v>588</v>
      </c>
      <c r="G1139" s="1023">
        <v>1</v>
      </c>
      <c r="H1139" s="991" t="str">
        <f>IF(E1139="","",IF(E1139="No.","Each",IF(E1139="Nos.","Each",E1139)))</f>
        <v>Each</v>
      </c>
      <c r="I1139" s="986">
        <f>IF(G1139="",D1139*F1139,(D1139*F1139/G1139))</f>
        <v>64.680000000000007</v>
      </c>
    </row>
    <row r="1140" spans="1:9" ht="12.75" customHeight="1">
      <c r="A1140" s="1019"/>
      <c r="B1140" s="1020"/>
      <c r="C1140" s="792" t="s">
        <v>396</v>
      </c>
      <c r="D1140" s="1021">
        <v>8.5999999999999993E-2</v>
      </c>
      <c r="E1140" s="1022" t="s">
        <v>499</v>
      </c>
      <c r="F1140" s="986">
        <f>$F$22</f>
        <v>558</v>
      </c>
      <c r="G1140" s="1023">
        <v>1</v>
      </c>
      <c r="H1140" s="991" t="str">
        <f>IF(E1140="","",IF(E1140="No.","Each",IF(E1140="Nos.","Each",E1140)))</f>
        <v>Each</v>
      </c>
      <c r="I1140" s="986">
        <f>IF(G1140="",D1140*F1140,(D1140*F1140/G1140))</f>
        <v>47.988</v>
      </c>
    </row>
    <row r="1141" spans="1:9" ht="12.75" customHeight="1">
      <c r="A1141" s="1019"/>
      <c r="B1141" s="1020"/>
      <c r="C1141" s="792" t="s">
        <v>897</v>
      </c>
      <c r="D1141" s="1021">
        <f>ROUND(1/0.3,2)*0</f>
        <v>0</v>
      </c>
      <c r="E1141" s="1022" t="s">
        <v>154</v>
      </c>
      <c r="F1141" s="986"/>
      <c r="G1141" s="1023">
        <v>1</v>
      </c>
      <c r="H1141" s="991" t="str">
        <f>IF(E1141="","",IF(E1141="No.","Each",IF(E1141="Nos.","Each",E1141)))</f>
        <v>Rmt.</v>
      </c>
      <c r="I1141" s="986">
        <f>IF(G1141="",D1141*F1141,(D1141*F1141/G1141))</f>
        <v>0</v>
      </c>
    </row>
    <row r="1142" spans="1:9" ht="25.5" customHeight="1">
      <c r="A1142" s="1019"/>
      <c r="B1142" s="1020"/>
      <c r="C1142" s="792" t="s">
        <v>1041</v>
      </c>
      <c r="D1142" s="1053">
        <v>0.01</v>
      </c>
      <c r="E1142" s="1022"/>
      <c r="F1142" s="986">
        <f>SUM(I1131:I1141)</f>
        <v>569.06751250000002</v>
      </c>
      <c r="G1142" s="1023"/>
      <c r="H1142" s="991"/>
      <c r="I1142" s="986">
        <f>IF(G1142="",D1142*F1142,(D1142*F1142/G1142))</f>
        <v>5.6906751250000003</v>
      </c>
    </row>
    <row r="1143" spans="1:9" ht="12.75" customHeight="1">
      <c r="A1143" s="1019"/>
      <c r="B1143" s="1020"/>
      <c r="C1143" s="980" t="s">
        <v>368</v>
      </c>
      <c r="D1143" s="1021"/>
      <c r="E1143" s="1022"/>
      <c r="F1143" s="986"/>
      <c r="G1143" s="1023"/>
      <c r="H1143" s="1213"/>
      <c r="I1143" s="1012">
        <f>SUM(I1131:I1142)</f>
        <v>574.75818762500001</v>
      </c>
    </row>
    <row r="1144" spans="1:9" ht="12.75" customHeight="1">
      <c r="A1144" s="1019"/>
      <c r="B1144" s="1020"/>
      <c r="C1144" s="1214" t="s">
        <v>428</v>
      </c>
      <c r="E1144" s="1227" t="s">
        <v>501</v>
      </c>
      <c r="F1144" s="1048" t="s">
        <v>502</v>
      </c>
      <c r="G1144" s="1227" t="s">
        <v>503</v>
      </c>
      <c r="H1144" s="1048" t="s">
        <v>709</v>
      </c>
      <c r="I1144" s="1048" t="s">
        <v>502</v>
      </c>
    </row>
    <row r="1145" spans="1:9" ht="12.75" customHeight="1">
      <c r="A1145" s="1019"/>
      <c r="B1145" s="1020"/>
      <c r="C1145" s="1213" t="s">
        <v>368</v>
      </c>
      <c r="E1145" s="986">
        <f>I1143</f>
        <v>574.75818762500001</v>
      </c>
      <c r="F1145" s="986">
        <f>I1143</f>
        <v>574.75818762500001</v>
      </c>
      <c r="G1145" s="986">
        <f>I1143</f>
        <v>574.75818762500001</v>
      </c>
      <c r="H1145" s="986">
        <f>I1143</f>
        <v>574.75818762500001</v>
      </c>
      <c r="I1145" s="986">
        <f>I1143</f>
        <v>574.75818762500001</v>
      </c>
    </row>
    <row r="1146" spans="1:9" ht="12.75" customHeight="1">
      <c r="A1146" s="1019"/>
      <c r="B1146" s="1020"/>
      <c r="C1146" s="792" t="s">
        <v>418</v>
      </c>
      <c r="E1146" s="986"/>
      <c r="F1146" s="986">
        <f>ROUND(0.1*(I1140+I1139+I1138),2)</f>
        <v>30.61</v>
      </c>
      <c r="G1146" s="986">
        <f>ROUND(0.2*(I1140+I1139+I1138),2)</f>
        <v>61.22</v>
      </c>
      <c r="H1146" s="986">
        <f>ROUND(0.3*($I$1140+$I$1139+$I$1138),2)</f>
        <v>91.83</v>
      </c>
      <c r="I1146" s="986">
        <f>ROUND(0.4*($I$1140+$I$1139+$I$1138),2)</f>
        <v>122.44</v>
      </c>
    </row>
    <row r="1147" spans="1:9" ht="12.75" customHeight="1">
      <c r="A1147" s="1019"/>
      <c r="B1147" s="1020"/>
      <c r="E1147" s="986">
        <f>SUM(E1145:E1146)</f>
        <v>574.75818762500001</v>
      </c>
      <c r="F1147" s="986">
        <f>SUM(F1145:F1146)</f>
        <v>605.36818762500002</v>
      </c>
      <c r="G1147" s="986">
        <f>SUM(G1145:G1146)</f>
        <v>635.97818762500003</v>
      </c>
      <c r="H1147" s="986">
        <f>SUM(H1145:H1146)</f>
        <v>666.58818762500005</v>
      </c>
      <c r="I1147" s="986">
        <f>SUM(I1145:I1146)</f>
        <v>697.19818762499995</v>
      </c>
    </row>
    <row r="1148" spans="1:9" ht="12.75" customHeight="1">
      <c r="A1148" s="1019"/>
      <c r="B1148" s="1020"/>
      <c r="C1148" s="1220" t="s">
        <v>1014</v>
      </c>
      <c r="D1148" s="1026">
        <f>$D$3</f>
        <v>0</v>
      </c>
      <c r="E1148" s="986">
        <f>ROUND(E1147*$D$1148,2)</f>
        <v>0</v>
      </c>
      <c r="F1148" s="986">
        <f>ROUND(F1147*$D$1148,2)</f>
        <v>0</v>
      </c>
      <c r="G1148" s="986">
        <f>ROUND(G1147*$D$1148,2)</f>
        <v>0</v>
      </c>
      <c r="H1148" s="986">
        <f>ROUND(H1147*$D$1148,2)</f>
        <v>0</v>
      </c>
      <c r="I1148" s="986">
        <f>ROUND(I1147*$D$1148,2)</f>
        <v>0</v>
      </c>
    </row>
    <row r="1149" spans="1:9" ht="12.75" customHeight="1">
      <c r="A1149" s="1019"/>
      <c r="B1149" s="1020"/>
      <c r="C1149" s="980" t="s">
        <v>198</v>
      </c>
      <c r="D1149" s="980" t="s">
        <v>467</v>
      </c>
      <c r="E1149" s="1012">
        <f>SUM(E1147:E1148)</f>
        <v>574.75818762500001</v>
      </c>
      <c r="F1149" s="1012">
        <f>SUM(F1147:F1148)</f>
        <v>605.36818762500002</v>
      </c>
      <c r="G1149" s="1012">
        <f>SUM(G1147:G1148)</f>
        <v>635.97818762500003</v>
      </c>
      <c r="H1149" s="1012">
        <f>SUM(H1147:H1148)</f>
        <v>666.58818762500005</v>
      </c>
      <c r="I1149" s="1012">
        <f>SUM(I1147:I1148)</f>
        <v>697.19818762499995</v>
      </c>
    </row>
    <row r="1150" spans="1:9" ht="12.75" customHeight="1">
      <c r="A1150" s="1019">
        <f>+A1129+1</f>
        <v>27</v>
      </c>
      <c r="B1150" s="1020"/>
      <c r="C1150" s="1493" t="s">
        <v>1284</v>
      </c>
      <c r="D1150" s="1493"/>
      <c r="E1150" s="1493"/>
      <c r="F1150" s="1493"/>
      <c r="G1150" s="1493"/>
      <c r="H1150" s="1493"/>
      <c r="I1150" s="1493"/>
    </row>
    <row r="1151" spans="1:9" ht="12.75" customHeight="1">
      <c r="A1151" s="1019"/>
      <c r="B1151" s="1051"/>
      <c r="C1151" s="1214" t="s">
        <v>197</v>
      </c>
      <c r="D1151" s="1021"/>
      <c r="E1151" s="1008"/>
      <c r="F1151" s="986"/>
      <c r="G1151" s="1023"/>
      <c r="H1151" s="1215"/>
      <c r="I1151" s="1012"/>
    </row>
    <row r="1152" spans="1:9" ht="25.5" customHeight="1">
      <c r="A1152" s="1019"/>
      <c r="B1152" s="1051"/>
      <c r="C1152" s="1213" t="str">
        <f>CONCATENATE("cost of ",LEAD!B26)</f>
        <v xml:space="preserve">cost of High polished Granite 16 to 18 mm thick up to 8' 00" (2.43M)  black </v>
      </c>
      <c r="D1152" s="1021">
        <v>1.1000000000000001</v>
      </c>
      <c r="E1152" s="1022" t="s">
        <v>623</v>
      </c>
      <c r="F1152" s="986">
        <f>LEAD!$P$26</f>
        <v>2445.48515</v>
      </c>
      <c r="G1152" s="1023">
        <v>1</v>
      </c>
      <c r="H1152" s="991" t="str">
        <f>IF(E1152="","",IF(E1152="No.","Each",IF(E1152="Nos.","Each",E1152)))</f>
        <v>Sqmt.</v>
      </c>
      <c r="I1152" s="986">
        <f>IF(G1152="",D1152*F1152,(D1152*F1152/G1152))</f>
        <v>2690.0336650000004</v>
      </c>
    </row>
    <row r="1153" spans="1:9" ht="12.75" customHeight="1">
      <c r="A1153" s="1019"/>
      <c r="B1153" s="1051"/>
      <c r="C1153" s="792" t="s">
        <v>314</v>
      </c>
      <c r="D1153" s="1021">
        <v>5.46</v>
      </c>
      <c r="E1153" s="1022" t="s">
        <v>364</v>
      </c>
      <c r="F1153" s="986">
        <f>LEAD!$P$28</f>
        <v>7168</v>
      </c>
      <c r="G1153" s="1023">
        <v>1000</v>
      </c>
      <c r="H1153" s="991" t="str">
        <f>IF(E1153="","",IF(E1153="No.","Each",IF(E1153="Nos.","Each",E1153)))</f>
        <v>Kgs</v>
      </c>
      <c r="I1153" s="986">
        <f>IF(G1153="",D1153*F1153,(D1153*F1153/G1153))</f>
        <v>39.137279999999997</v>
      </c>
    </row>
    <row r="1154" spans="1:9" ht="12.75" customHeight="1">
      <c r="A1154" s="1019"/>
      <c r="B1154" s="1051"/>
      <c r="C1154" s="792" t="s">
        <v>292</v>
      </c>
      <c r="D1154" s="1021">
        <v>1.2E-2</v>
      </c>
      <c r="E1154" s="1022" t="s">
        <v>644</v>
      </c>
      <c r="F1154" s="986">
        <f>LEAD!$P$7</f>
        <v>437.11999999999983</v>
      </c>
      <c r="G1154" s="1023">
        <v>1</v>
      </c>
      <c r="H1154" s="991" t="str">
        <f>IF(E1154="","",IF(E1154="No.","Each",IF(E1154="Nos.","Each",E1154)))</f>
        <v>cum</v>
      </c>
      <c r="I1154" s="986">
        <f>IF(G1154="",D1154*F1154,(D1154*F1154/G1154))</f>
        <v>5.2454399999999985</v>
      </c>
    </row>
    <row r="1155" spans="1:9" ht="12.75" customHeight="1">
      <c r="A1155" s="1019"/>
      <c r="B1155" s="1051"/>
      <c r="C1155" s="1214" t="s">
        <v>424</v>
      </c>
      <c r="D1155" s="1021"/>
      <c r="E1155" s="1022"/>
      <c r="F1155" s="986"/>
      <c r="G1155" s="1023"/>
      <c r="H1155" s="991"/>
      <c r="I1155" s="986"/>
    </row>
    <row r="1156" spans="1:9" ht="25.5" customHeight="1">
      <c r="A1156" s="1019"/>
      <c r="B1156" s="1051"/>
      <c r="C1156" s="792" t="s">
        <v>293</v>
      </c>
      <c r="D1156" s="1021">
        <v>0.1</v>
      </c>
      <c r="E1156" s="1022" t="s">
        <v>594</v>
      </c>
      <c r="F1156" s="986">
        <v>0</v>
      </c>
      <c r="G1156" s="1023">
        <v>1</v>
      </c>
      <c r="H1156" s="991" t="s">
        <v>594</v>
      </c>
      <c r="I1156" s="986">
        <f>IF(G1156="",D1156*F1156,(D1156*F1156/G1156))</f>
        <v>0</v>
      </c>
    </row>
    <row r="1157" spans="1:9" ht="12.75" customHeight="1">
      <c r="A1157" s="1019"/>
      <c r="B1157" s="1051"/>
      <c r="C1157" s="792" t="s">
        <v>294</v>
      </c>
      <c r="D1157" s="1049">
        <f>$E$5</f>
        <v>0.2</v>
      </c>
      <c r="E1157" s="1022"/>
      <c r="F1157" s="986"/>
      <c r="G1157" s="1023"/>
      <c r="H1157" s="991"/>
      <c r="I1157" s="986">
        <f>IF(G1157="",D1157*F1157,(D1157*F1157/G1157))</f>
        <v>0</v>
      </c>
    </row>
    <row r="1158" spans="1:9" ht="12.75" customHeight="1">
      <c r="A1158" s="1019"/>
      <c r="B1158" s="1051"/>
      <c r="C1158" s="1214" t="s">
        <v>690</v>
      </c>
      <c r="D1158" s="1021"/>
      <c r="E1158" s="1022"/>
      <c r="F1158" s="986"/>
      <c r="G1158" s="1023"/>
      <c r="H1158" s="991"/>
      <c r="I1158" s="986"/>
    </row>
    <row r="1159" spans="1:9" ht="12.75" customHeight="1">
      <c r="A1159" s="1019"/>
      <c r="B1159" s="1020"/>
      <c r="C1159" s="1212" t="s">
        <v>377</v>
      </c>
      <c r="D1159" s="1021">
        <v>0.31</v>
      </c>
      <c r="E1159" s="1003" t="s">
        <v>499</v>
      </c>
      <c r="F1159" s="986">
        <f>$F$9</f>
        <v>624</v>
      </c>
      <c r="G1159" s="1023">
        <v>1</v>
      </c>
      <c r="H1159" s="991" t="str">
        <f>IF(E1159="","",IF(E1159="No.","Each",IF(E1159="Nos.","Each",E1159)))</f>
        <v>Each</v>
      </c>
      <c r="I1159" s="986">
        <f>IF(G1159="",D1159*F1159,(D1159*F1159/G1159))</f>
        <v>193.44</v>
      </c>
    </row>
    <row r="1160" spans="1:9" ht="12.75" customHeight="1">
      <c r="A1160" s="1019"/>
      <c r="B1160" s="1020"/>
      <c r="C1160" s="1212" t="s">
        <v>378</v>
      </c>
      <c r="D1160" s="1021">
        <v>0.11</v>
      </c>
      <c r="E1160" s="1003" t="s">
        <v>499</v>
      </c>
      <c r="F1160" s="986">
        <f>$F$10</f>
        <v>588</v>
      </c>
      <c r="G1160" s="1023">
        <v>1</v>
      </c>
      <c r="H1160" s="991" t="str">
        <f>IF(E1160="","",IF(E1160="No.","Each",IF(E1160="Nos.","Each",E1160)))</f>
        <v>Each</v>
      </c>
      <c r="I1160" s="986">
        <f>IF(G1160="",D1160*F1160,(D1160*F1160/G1160))</f>
        <v>64.680000000000007</v>
      </c>
    </row>
    <row r="1161" spans="1:9" ht="12.75" customHeight="1">
      <c r="A1161" s="1019"/>
      <c r="B1161" s="1020"/>
      <c r="C1161" s="792" t="s">
        <v>396</v>
      </c>
      <c r="D1161" s="1021">
        <v>8.5999999999999993E-2</v>
      </c>
      <c r="E1161" s="1022" t="s">
        <v>499</v>
      </c>
      <c r="F1161" s="986">
        <f>$F$22</f>
        <v>558</v>
      </c>
      <c r="G1161" s="1023">
        <v>1</v>
      </c>
      <c r="H1161" s="991" t="str">
        <f>IF(E1161="","",IF(E1161="No.","Each",IF(E1161="Nos.","Each",E1161)))</f>
        <v>Each</v>
      </c>
      <c r="I1161" s="986">
        <f>IF(G1161="",D1161*F1161,(D1161*F1161/G1161))</f>
        <v>47.988</v>
      </c>
    </row>
    <row r="1162" spans="1:9" ht="25.5" customHeight="1">
      <c r="A1162" s="1019"/>
      <c r="B1162" s="1020"/>
      <c r="C1162" s="792" t="s">
        <v>1041</v>
      </c>
      <c r="D1162" s="1053">
        <v>0.01</v>
      </c>
      <c r="E1162" s="1022"/>
      <c r="F1162" s="986">
        <f>SUM(I1152:I1161)</f>
        <v>3040.5243850000002</v>
      </c>
      <c r="G1162" s="1023"/>
      <c r="H1162" s="991"/>
      <c r="I1162" s="986">
        <f>IF(G1162="",D1162*F1162,(D1162*F1162/G1162))</f>
        <v>30.405243850000002</v>
      </c>
    </row>
    <row r="1163" spans="1:9" ht="12.75" customHeight="1">
      <c r="A1163" s="1019"/>
      <c r="B1163" s="1020"/>
      <c r="C1163" s="980" t="s">
        <v>368</v>
      </c>
      <c r="D1163" s="1021"/>
      <c r="E1163" s="1022"/>
      <c r="F1163" s="986"/>
      <c r="G1163" s="1023"/>
      <c r="H1163" s="1213"/>
      <c r="I1163" s="1012">
        <f>SUM(I1152:I1162)</f>
        <v>3070.92962885</v>
      </c>
    </row>
    <row r="1164" spans="1:9" ht="12.75" customHeight="1">
      <c r="A1164" s="1019"/>
      <c r="B1164" s="1020"/>
      <c r="C1164" s="1214" t="s">
        <v>428</v>
      </c>
      <c r="E1164" s="1227" t="s">
        <v>501</v>
      </c>
      <c r="F1164" s="1048" t="s">
        <v>502</v>
      </c>
      <c r="G1164" s="1227" t="s">
        <v>503</v>
      </c>
      <c r="H1164" s="1048" t="s">
        <v>709</v>
      </c>
      <c r="I1164" s="1048" t="s">
        <v>502</v>
      </c>
    </row>
    <row r="1165" spans="1:9" ht="12.75" customHeight="1">
      <c r="A1165" s="1019"/>
      <c r="B1165" s="1020"/>
      <c r="C1165" s="1213" t="s">
        <v>368</v>
      </c>
      <c r="E1165" s="986">
        <f>I1163</f>
        <v>3070.92962885</v>
      </c>
      <c r="F1165" s="986">
        <f>I1163</f>
        <v>3070.92962885</v>
      </c>
      <c r="G1165" s="986">
        <f>I1163</f>
        <v>3070.92962885</v>
      </c>
      <c r="H1165" s="986">
        <f>I1163</f>
        <v>3070.92962885</v>
      </c>
      <c r="I1165" s="986">
        <f>I1163</f>
        <v>3070.92962885</v>
      </c>
    </row>
    <row r="1166" spans="1:9" ht="12.75" customHeight="1">
      <c r="A1166" s="1019"/>
      <c r="B1166" s="1020"/>
      <c r="C1166" s="792" t="s">
        <v>418</v>
      </c>
      <c r="E1166" s="986"/>
      <c r="F1166" s="986">
        <f>ROUND(0.1*(I1161+I1160+I1159),2)</f>
        <v>30.61</v>
      </c>
      <c r="G1166" s="986">
        <f>ROUND(0.2*(I1161+I1160+I1159),2)</f>
        <v>61.22</v>
      </c>
      <c r="H1166" s="986">
        <f>ROUND(0.3*(I1161+I1160+I1159),2)</f>
        <v>91.83</v>
      </c>
      <c r="I1166" s="986">
        <f>ROUND(0.4*(I1161+I1160+I1159),2)</f>
        <v>122.44</v>
      </c>
    </row>
    <row r="1167" spans="1:9" ht="12.75" customHeight="1">
      <c r="A1167" s="1019"/>
      <c r="B1167" s="1020"/>
      <c r="E1167" s="986">
        <f>SUM(E1165:E1166)</f>
        <v>3070.92962885</v>
      </c>
      <c r="F1167" s="986">
        <f>SUM(F1165:F1166)</f>
        <v>3101.5396288500001</v>
      </c>
      <c r="G1167" s="986">
        <f>SUM(G1165:G1166)</f>
        <v>3132.1496288499998</v>
      </c>
      <c r="H1167" s="986">
        <f>SUM(H1165:H1166)</f>
        <v>3162.7596288499999</v>
      </c>
      <c r="I1167" s="986">
        <f>SUM(I1165:I1166)</f>
        <v>3193.36962885</v>
      </c>
    </row>
    <row r="1168" spans="1:9" ht="12.75" customHeight="1">
      <c r="A1168" s="1019"/>
      <c r="B1168" s="1020"/>
      <c r="C1168" s="1220" t="s">
        <v>1014</v>
      </c>
      <c r="D1168" s="1026">
        <f>$D$3</f>
        <v>0</v>
      </c>
      <c r="E1168" s="986">
        <f>ROUND(E1167*$D$1148,2)</f>
        <v>0</v>
      </c>
      <c r="F1168" s="986">
        <f>ROUND(F1167*$D$1148,2)</f>
        <v>0</v>
      </c>
      <c r="G1168" s="986">
        <f>ROUND(G1167*$D$1148,2)</f>
        <v>0</v>
      </c>
      <c r="H1168" s="986">
        <f>ROUND(H1167*$D$1148,2)</f>
        <v>0</v>
      </c>
      <c r="I1168" s="986">
        <f>ROUND(I1167*$D$1148,2)</f>
        <v>0</v>
      </c>
    </row>
    <row r="1169" spans="1:9" ht="12.75" customHeight="1">
      <c r="A1169" s="1019"/>
      <c r="B1169" s="1020"/>
      <c r="C1169" s="980" t="s">
        <v>198</v>
      </c>
      <c r="D1169" s="980" t="s">
        <v>467</v>
      </c>
      <c r="E1169" s="1012">
        <f>SUM(E1167:E1168)</f>
        <v>3070.92962885</v>
      </c>
      <c r="F1169" s="1012">
        <f>SUM(F1167:F1168)</f>
        <v>3101.5396288500001</v>
      </c>
      <c r="G1169" s="1012">
        <f>SUM(G1167:G1168)</f>
        <v>3132.1496288499998</v>
      </c>
      <c r="H1169" s="1012">
        <f>SUM(H1167:H1168)</f>
        <v>3162.7596288499999</v>
      </c>
      <c r="I1169" s="1012">
        <f>SUM(I1167:I1168)</f>
        <v>3193.36962885</v>
      </c>
    </row>
    <row r="1170" spans="1:9" ht="12.75" customHeight="1">
      <c r="A1170" s="1019">
        <f>+A1150+1</f>
        <v>28</v>
      </c>
      <c r="B1170" s="1020"/>
      <c r="C1170" s="1493" t="s">
        <v>1162</v>
      </c>
      <c r="D1170" s="1493"/>
      <c r="E1170" s="1493"/>
      <c r="F1170" s="1493"/>
      <c r="G1170" s="1493"/>
      <c r="H1170" s="1493"/>
      <c r="I1170" s="1493"/>
    </row>
    <row r="1171" spans="1:9" ht="12.75" customHeight="1">
      <c r="A1171" s="1019"/>
      <c r="B1171" s="1020"/>
      <c r="C1171" s="1213" t="s">
        <v>155</v>
      </c>
      <c r="D1171" s="984">
        <v>1.7000000000000001E-2</v>
      </c>
      <c r="E1171" s="986" t="s">
        <v>644</v>
      </c>
      <c r="F1171" s="986">
        <f>(LEAD!$P$19+LEAD!$P$18+LEAD!$P$17)/3</f>
        <v>1426.0033333333331</v>
      </c>
      <c r="G1171" s="1054">
        <v>1</v>
      </c>
      <c r="H1171" s="991" t="str">
        <f t="shared" ref="H1171:H1177" si="147">IF(E1171="","",IF(E1171="No.","Each",IF(E1171="Nos.","Each",E1171)))</f>
        <v>cum</v>
      </c>
      <c r="I1171" s="986">
        <f t="shared" ref="I1171:I1177" si="148">IF(G1171="",D1171*F1171,(D1171*F1171/G1171))</f>
        <v>24.242056666666663</v>
      </c>
    </row>
    <row r="1172" spans="1:9" ht="12.75" customHeight="1">
      <c r="A1172" s="1019"/>
      <c r="B1172" s="1020"/>
      <c r="C1172" s="1213" t="s">
        <v>519</v>
      </c>
      <c r="D1172" s="984">
        <f>0.0085</f>
        <v>8.5000000000000006E-3</v>
      </c>
      <c r="E1172" s="986" t="s">
        <v>644</v>
      </c>
      <c r="F1172" s="986">
        <f>LEAD!$P$7</f>
        <v>437.11999999999983</v>
      </c>
      <c r="G1172" s="1054">
        <v>1</v>
      </c>
      <c r="H1172" s="991" t="str">
        <f t="shared" si="147"/>
        <v>cum</v>
      </c>
      <c r="I1172" s="986">
        <f t="shared" si="148"/>
        <v>3.7155199999999988</v>
      </c>
    </row>
    <row r="1173" spans="1:9" ht="12.75" customHeight="1">
      <c r="A1173" s="1019"/>
      <c r="B1173" s="1020"/>
      <c r="C1173" s="1213" t="s">
        <v>235</v>
      </c>
      <c r="D1173" s="984">
        <v>12</v>
      </c>
      <c r="E1173" s="986" t="s">
        <v>364</v>
      </c>
      <c r="F1173" s="986">
        <f>LEAD!$P$28</f>
        <v>7168</v>
      </c>
      <c r="G1173" s="1054">
        <v>1000</v>
      </c>
      <c r="H1173" s="991" t="str">
        <f t="shared" si="147"/>
        <v>Kgs</v>
      </c>
      <c r="I1173" s="986">
        <f t="shared" si="148"/>
        <v>86.016000000000005</v>
      </c>
    </row>
    <row r="1174" spans="1:9" ht="12.75" customHeight="1">
      <c r="A1174" s="1019"/>
      <c r="B1174" s="1020"/>
      <c r="C1174" s="1213" t="s">
        <v>156</v>
      </c>
      <c r="D1174" s="987">
        <v>0.1</v>
      </c>
      <c r="E1174" s="986" t="s">
        <v>644</v>
      </c>
      <c r="F1174" s="986">
        <f>D275</f>
        <v>3649.1397999999995</v>
      </c>
      <c r="G1174" s="1054">
        <v>1</v>
      </c>
      <c r="H1174" s="991" t="str">
        <f>IF(E1174="","",IF(E1174="No.","Each",IF(E1174="Nos.","Each",E1174)))</f>
        <v>cum</v>
      </c>
      <c r="I1174" s="986">
        <f>IF(G1174="",D1174*F1174,(D1174*F1174/G1174))</f>
        <v>364.91397999999998</v>
      </c>
    </row>
    <row r="1175" spans="1:9" ht="12.75" customHeight="1">
      <c r="A1175" s="1019"/>
      <c r="B1175" s="1020"/>
      <c r="C1175" s="1212" t="s">
        <v>377</v>
      </c>
      <c r="D1175" s="1021">
        <v>0.125</v>
      </c>
      <c r="E1175" s="1003" t="s">
        <v>499</v>
      </c>
      <c r="F1175" s="986">
        <f>$F$9</f>
        <v>624</v>
      </c>
      <c r="G1175" s="1023">
        <v>1</v>
      </c>
      <c r="H1175" s="991" t="str">
        <f t="shared" si="147"/>
        <v>Each</v>
      </c>
      <c r="I1175" s="986">
        <f t="shared" si="148"/>
        <v>78</v>
      </c>
    </row>
    <row r="1176" spans="1:9" ht="12.75" customHeight="1">
      <c r="A1176" s="1019"/>
      <c r="B1176" s="1020"/>
      <c r="C1176" s="1212" t="s">
        <v>378</v>
      </c>
      <c r="D1176" s="1021">
        <v>6.0000000000000001E-3</v>
      </c>
      <c r="E1176" s="1003" t="s">
        <v>499</v>
      </c>
      <c r="F1176" s="986">
        <f>$F$10</f>
        <v>588</v>
      </c>
      <c r="G1176" s="1023">
        <v>1</v>
      </c>
      <c r="H1176" s="991" t="str">
        <f t="shared" si="147"/>
        <v>Each</v>
      </c>
      <c r="I1176" s="986">
        <f t="shared" si="148"/>
        <v>3.528</v>
      </c>
    </row>
    <row r="1177" spans="1:9" ht="12.75" customHeight="1">
      <c r="A1177" s="1019"/>
      <c r="B1177" s="1020"/>
      <c r="C1177" s="792" t="s">
        <v>657</v>
      </c>
      <c r="D1177" s="1021">
        <v>0.3</v>
      </c>
      <c r="E1177" s="1022" t="s">
        <v>499</v>
      </c>
      <c r="F1177" s="986">
        <f>$F$22</f>
        <v>558</v>
      </c>
      <c r="G1177" s="1023">
        <v>1</v>
      </c>
      <c r="H1177" s="991" t="str">
        <f t="shared" si="147"/>
        <v>Each</v>
      </c>
      <c r="I1177" s="986">
        <f t="shared" si="148"/>
        <v>167.4</v>
      </c>
    </row>
    <row r="1178" spans="1:9" ht="12.75" customHeight="1">
      <c r="A1178" s="1019"/>
      <c r="B1178" s="1020"/>
      <c r="C1178" s="979"/>
      <c r="E1178" s="1022"/>
      <c r="F1178" s="986"/>
      <c r="G1178" s="1023"/>
      <c r="H1178" s="991"/>
      <c r="I1178" s="986">
        <f>SUM(I1171:I1177)</f>
        <v>727.81555666666668</v>
      </c>
    </row>
    <row r="1179" spans="1:9" ht="12.75" customHeight="1">
      <c r="A1179" s="1019"/>
      <c r="B1179" s="1020"/>
      <c r="C1179" s="1220" t="s">
        <v>1014</v>
      </c>
      <c r="D1179" s="1026">
        <f>$D$3</f>
        <v>0</v>
      </c>
      <c r="E1179" s="1022"/>
      <c r="F1179" s="986">
        <f>I1178</f>
        <v>727.81555666666668</v>
      </c>
      <c r="G1179" s="1023"/>
      <c r="H1179" s="991"/>
      <c r="I1179" s="986">
        <f>F1179*D1179</f>
        <v>0</v>
      </c>
    </row>
    <row r="1180" spans="1:9" ht="12.75" customHeight="1">
      <c r="A1180" s="1019"/>
      <c r="B1180" s="1020"/>
      <c r="C1180" s="980" t="s">
        <v>425</v>
      </c>
      <c r="D1180" s="1021"/>
      <c r="E1180" s="1003"/>
      <c r="F1180" s="986"/>
      <c r="G1180" s="1023"/>
      <c r="H1180" s="980" t="s">
        <v>466</v>
      </c>
      <c r="I1180" s="1012">
        <f>CEILING(SUM(I1178:I1179),0.05)</f>
        <v>727.85</v>
      </c>
    </row>
    <row r="1181" spans="1:9" ht="12.75" customHeight="1">
      <c r="A1181" s="1019">
        <f>+A1129+1</f>
        <v>27</v>
      </c>
      <c r="B1181" s="1020"/>
      <c r="C1181" s="1493" t="s">
        <v>1203</v>
      </c>
      <c r="D1181" s="1493"/>
      <c r="E1181" s="1493"/>
      <c r="F1181" s="1493"/>
      <c r="G1181" s="1493"/>
      <c r="H1181" s="1493"/>
      <c r="I1181" s="1493"/>
    </row>
    <row r="1182" spans="1:9">
      <c r="A1182" s="1019"/>
      <c r="B1182" s="1020"/>
      <c r="C1182" s="1214" t="s">
        <v>557</v>
      </c>
      <c r="D1182" s="1021"/>
      <c r="E1182" s="1022"/>
      <c r="F1182" s="986"/>
      <c r="G1182" s="1023"/>
      <c r="H1182" s="1213"/>
      <c r="I1182" s="1012"/>
    </row>
    <row r="1183" spans="1:9">
      <c r="A1183" s="1019"/>
      <c r="B1183" s="1020"/>
      <c r="C1183" s="792" t="s">
        <v>157</v>
      </c>
      <c r="D1183" s="1021">
        <v>1.05</v>
      </c>
      <c r="E1183" s="1022" t="s">
        <v>623</v>
      </c>
      <c r="F1183" s="986">
        <f>F140</f>
        <v>300</v>
      </c>
      <c r="G1183" s="1023">
        <v>1</v>
      </c>
      <c r="H1183" s="991" t="str">
        <f t="shared" ref="H1183:H1191" si="149">IF(E1183="","",IF(E1183="No.","Each",IF(E1183="Nos.","Each",E1183)))</f>
        <v>Sqmt.</v>
      </c>
      <c r="I1183" s="986">
        <f t="shared" ref="I1183:I1192" si="150">IF(G1183="",D1183*F1183,(D1183*F1183/G1183))</f>
        <v>315</v>
      </c>
    </row>
    <row r="1184" spans="1:9">
      <c r="A1184" s="1019"/>
      <c r="B1184" s="1020"/>
      <c r="C1184" s="1213" t="s">
        <v>519</v>
      </c>
      <c r="D1184" s="984">
        <f>0.012</f>
        <v>1.2E-2</v>
      </c>
      <c r="E1184" s="986" t="s">
        <v>644</v>
      </c>
      <c r="F1184" s="986">
        <f>LEAD!$P$7</f>
        <v>437.11999999999983</v>
      </c>
      <c r="G1184" s="1054">
        <v>1</v>
      </c>
      <c r="H1184" s="991" t="str">
        <f t="shared" si="149"/>
        <v>cum</v>
      </c>
      <c r="I1184" s="986">
        <f t="shared" si="150"/>
        <v>5.2454399999999985</v>
      </c>
    </row>
    <row r="1185" spans="1:9">
      <c r="A1185" s="1019"/>
      <c r="B1185" s="1020"/>
      <c r="C1185" s="1213" t="s">
        <v>235</v>
      </c>
      <c r="D1185" s="984">
        <v>2.16</v>
      </c>
      <c r="E1185" s="986" t="s">
        <v>364</v>
      </c>
      <c r="F1185" s="986">
        <f>LEAD!$P$28</f>
        <v>7168</v>
      </c>
      <c r="G1185" s="1054">
        <v>1000</v>
      </c>
      <c r="H1185" s="991" t="str">
        <f t="shared" si="149"/>
        <v>Kgs</v>
      </c>
      <c r="I1185" s="986">
        <f t="shared" si="150"/>
        <v>15.482880000000002</v>
      </c>
    </row>
    <row r="1186" spans="1:9">
      <c r="A1186" s="1019"/>
      <c r="B1186" s="1020"/>
      <c r="C1186" s="792" t="s">
        <v>158</v>
      </c>
      <c r="D1186" s="1021">
        <v>3.3</v>
      </c>
      <c r="E1186" s="1022" t="s">
        <v>364</v>
      </c>
      <c r="F1186" s="986">
        <f>LEAD!P28</f>
        <v>7168</v>
      </c>
      <c r="G1186" s="1023">
        <v>1000</v>
      </c>
      <c r="H1186" s="991" t="str">
        <f t="shared" si="149"/>
        <v>Kgs</v>
      </c>
      <c r="I1186" s="986">
        <f t="shared" si="150"/>
        <v>23.654399999999999</v>
      </c>
    </row>
    <row r="1187" spans="1:9">
      <c r="A1187" s="1019"/>
      <c r="B1187" s="1020"/>
      <c r="C1187" s="792" t="s">
        <v>159</v>
      </c>
      <c r="D1187" s="1021">
        <v>0.2</v>
      </c>
      <c r="E1187" s="1022" t="s">
        <v>364</v>
      </c>
      <c r="F1187" s="986">
        <f>F122</f>
        <v>29</v>
      </c>
      <c r="G1187" s="1023">
        <v>1</v>
      </c>
      <c r="H1187" s="991" t="str">
        <f t="shared" si="149"/>
        <v>Kgs</v>
      </c>
      <c r="I1187" s="986">
        <f t="shared" si="150"/>
        <v>5.8000000000000007</v>
      </c>
    </row>
    <row r="1188" spans="1:9">
      <c r="A1188" s="1019"/>
      <c r="B1188" s="1020"/>
      <c r="C1188" s="1214" t="s">
        <v>690</v>
      </c>
      <c r="D1188" s="1021"/>
      <c r="E1188" s="1022"/>
      <c r="F1188" s="986"/>
      <c r="G1188" s="1023"/>
      <c r="H1188" s="991"/>
      <c r="I1188" s="986"/>
    </row>
    <row r="1189" spans="1:9">
      <c r="A1189" s="1019"/>
      <c r="B1189" s="1020"/>
      <c r="C1189" s="1212" t="s">
        <v>377</v>
      </c>
      <c r="D1189" s="1021">
        <v>9.6000000000000002E-2</v>
      </c>
      <c r="E1189" s="1003" t="s">
        <v>499</v>
      </c>
      <c r="F1189" s="986">
        <f>$F$9</f>
        <v>624</v>
      </c>
      <c r="G1189" s="1023">
        <v>1</v>
      </c>
      <c r="H1189" s="991" t="str">
        <f t="shared" si="149"/>
        <v>Each</v>
      </c>
      <c r="I1189" s="986">
        <f t="shared" si="150"/>
        <v>59.904000000000003</v>
      </c>
    </row>
    <row r="1190" spans="1:9">
      <c r="A1190" s="1019"/>
      <c r="B1190" s="1020"/>
      <c r="C1190" s="1212" t="s">
        <v>378</v>
      </c>
      <c r="D1190" s="1021">
        <v>0.224</v>
      </c>
      <c r="E1190" s="1003" t="s">
        <v>499</v>
      </c>
      <c r="F1190" s="986">
        <f>$F$10</f>
        <v>588</v>
      </c>
      <c r="G1190" s="1023">
        <v>1</v>
      </c>
      <c r="H1190" s="991" t="str">
        <f t="shared" si="149"/>
        <v>Each</v>
      </c>
      <c r="I1190" s="986">
        <f t="shared" si="150"/>
        <v>131.71199999999999</v>
      </c>
    </row>
    <row r="1191" spans="1:9">
      <c r="A1191" s="1019"/>
      <c r="B1191" s="1020"/>
      <c r="C1191" s="792" t="s">
        <v>396</v>
      </c>
      <c r="D1191" s="1021">
        <v>0.33</v>
      </c>
      <c r="E1191" s="1022" t="s">
        <v>499</v>
      </c>
      <c r="F1191" s="986">
        <f>$F$22</f>
        <v>558</v>
      </c>
      <c r="G1191" s="1023">
        <v>1</v>
      </c>
      <c r="H1191" s="991" t="str">
        <f t="shared" si="149"/>
        <v>Each</v>
      </c>
      <c r="I1191" s="986">
        <f t="shared" si="150"/>
        <v>184.14000000000001</v>
      </c>
    </row>
    <row r="1192" spans="1:9">
      <c r="A1192" s="1019"/>
      <c r="B1192" s="1020"/>
      <c r="C1192" s="792" t="s">
        <v>1041</v>
      </c>
      <c r="D1192" s="1053">
        <v>0.01</v>
      </c>
      <c r="E1192" s="1022"/>
      <c r="F1192" s="986">
        <f>SUM(I1183:I1191)</f>
        <v>740.93871999999999</v>
      </c>
      <c r="G1192" s="1023"/>
      <c r="H1192" s="991"/>
      <c r="I1192" s="986">
        <f t="shared" si="150"/>
        <v>7.4093872000000003</v>
      </c>
    </row>
    <row r="1193" spans="1:9">
      <c r="A1193" s="1019"/>
      <c r="B1193" s="1020"/>
      <c r="C1193" s="980" t="s">
        <v>368</v>
      </c>
      <c r="D1193" s="1021"/>
      <c r="E1193" s="1022"/>
      <c r="F1193" s="986"/>
      <c r="G1193" s="1023"/>
      <c r="H1193" s="1213"/>
      <c r="I1193" s="1012">
        <f>SUM(I1183:I1192)</f>
        <v>748.34810719999996</v>
      </c>
    </row>
    <row r="1194" spans="1:9">
      <c r="A1194" s="1019"/>
      <c r="B1194" s="1020"/>
      <c r="C1194" s="1214" t="s">
        <v>428</v>
      </c>
      <c r="E1194" s="1227" t="s">
        <v>501</v>
      </c>
      <c r="F1194" s="1048" t="s">
        <v>502</v>
      </c>
      <c r="G1194" s="1227" t="s">
        <v>503</v>
      </c>
      <c r="H1194" s="1048" t="s">
        <v>709</v>
      </c>
      <c r="I1194" s="1048" t="s">
        <v>502</v>
      </c>
    </row>
    <row r="1195" spans="1:9">
      <c r="A1195" s="1019"/>
      <c r="B1195" s="1020"/>
      <c r="C1195" s="1213" t="s">
        <v>368</v>
      </c>
      <c r="E1195" s="986">
        <f>I1193</f>
        <v>748.34810719999996</v>
      </c>
      <c r="F1195" s="986">
        <f>I1193</f>
        <v>748.34810719999996</v>
      </c>
      <c r="G1195" s="986">
        <f>I1193</f>
        <v>748.34810719999996</v>
      </c>
      <c r="H1195" s="986">
        <f>I1193</f>
        <v>748.34810719999996</v>
      </c>
      <c r="I1195" s="986">
        <f>I1193</f>
        <v>748.34810719999996</v>
      </c>
    </row>
    <row r="1196" spans="1:9">
      <c r="A1196" s="1019"/>
      <c r="B1196" s="1020"/>
      <c r="C1196" s="792" t="s">
        <v>418</v>
      </c>
      <c r="E1196" s="986"/>
      <c r="F1196" s="986">
        <f>ROUND(0.1*(I1190+I1191+I1189),2)</f>
        <v>37.58</v>
      </c>
      <c r="G1196" s="986">
        <f>ROUND(0.2*(I1190+I1191+I1189),2)</f>
        <v>75.150000000000006</v>
      </c>
      <c r="H1196" s="986">
        <f>ROUND(0.3*(I1190+I1191+I1189),2)</f>
        <v>112.73</v>
      </c>
      <c r="I1196" s="986">
        <f>ROUND(0.4*(I1190+I1191+I1189),2)</f>
        <v>150.30000000000001</v>
      </c>
    </row>
    <row r="1197" spans="1:9">
      <c r="A1197" s="1019"/>
      <c r="B1197" s="1020"/>
      <c r="E1197" s="986">
        <f>SUM(E1195:E1196)</f>
        <v>748.34810719999996</v>
      </c>
      <c r="F1197" s="986">
        <f>SUM(F1195:F1196)</f>
        <v>785.9281072</v>
      </c>
      <c r="G1197" s="986">
        <f>SUM(G1195:G1196)</f>
        <v>823.49810719999994</v>
      </c>
      <c r="H1197" s="986">
        <f>SUM(H1195:H1196)</f>
        <v>861.07810719999998</v>
      </c>
      <c r="I1197" s="986">
        <f>SUM(I1195:I1196)</f>
        <v>898.64810719999991</v>
      </c>
    </row>
    <row r="1198" spans="1:9">
      <c r="A1198" s="1019"/>
      <c r="B1198" s="1020"/>
      <c r="C1198" s="1220" t="s">
        <v>1014</v>
      </c>
      <c r="D1198" s="1026">
        <f>$D$3</f>
        <v>0</v>
      </c>
      <c r="E1198" s="986">
        <f>ROUND(E1197*$D$1198,2)</f>
        <v>0</v>
      </c>
      <c r="F1198" s="986">
        <f>ROUND(F1197*$D$1198,2)</f>
        <v>0</v>
      </c>
      <c r="G1198" s="986">
        <f>ROUND(G1197*$D$1198,2)</f>
        <v>0</v>
      </c>
      <c r="H1198" s="986">
        <f>ROUND(H1197*$D$1198,2)</f>
        <v>0</v>
      </c>
      <c r="I1198" s="986">
        <f>ROUND(I1197*$D$1198,2)</f>
        <v>0</v>
      </c>
    </row>
    <row r="1199" spans="1:9">
      <c r="A1199" s="1019"/>
      <c r="B1199" s="1020"/>
      <c r="C1199" s="980" t="s">
        <v>198</v>
      </c>
      <c r="D1199" s="980"/>
      <c r="E1199" s="1012">
        <f>CEILING(SUM(E1197:E1198),0.05)</f>
        <v>748.35</v>
      </c>
      <c r="F1199" s="1012">
        <f>CEILING(SUM(F1197:F1198),0.05)</f>
        <v>785.95</v>
      </c>
      <c r="G1199" s="1012">
        <f>CEILING(SUM(G1197:G1198),0.05)</f>
        <v>823.5</v>
      </c>
      <c r="H1199" s="1012">
        <f>CEILING(SUM(H1197:H1198),0.05)</f>
        <v>861.1</v>
      </c>
      <c r="I1199" s="1012">
        <f>CEILING(SUM(I1197:I1198),0.05)</f>
        <v>898.65000000000009</v>
      </c>
    </row>
    <row r="1200" spans="1:9" ht="12.75" customHeight="1">
      <c r="A1200" s="1019">
        <f>A1181+1</f>
        <v>28</v>
      </c>
      <c r="B1200" s="1020"/>
      <c r="C1200" s="1493" t="s">
        <v>1204</v>
      </c>
      <c r="D1200" s="1493"/>
      <c r="E1200" s="1493"/>
      <c r="F1200" s="1493"/>
      <c r="G1200" s="1493"/>
      <c r="H1200" s="1493"/>
      <c r="I1200" s="1493"/>
    </row>
    <row r="1201" spans="1:9">
      <c r="A1201" s="1019"/>
      <c r="B1201" s="1020"/>
      <c r="C1201" s="792" t="s">
        <v>1205</v>
      </c>
      <c r="D1201" s="1021">
        <v>1.05</v>
      </c>
      <c r="E1201" s="1022" t="s">
        <v>186</v>
      </c>
      <c r="F1201" s="986">
        <f>F138</f>
        <v>300</v>
      </c>
      <c r="G1201" s="1023">
        <v>1</v>
      </c>
      <c r="H1201" s="991" t="str">
        <f>IF(E1201="","",IF(E1201="No.","Each",IF(E1201="Nos.","Each",E1201)))</f>
        <v>Sqmt</v>
      </c>
      <c r="I1201" s="986">
        <f>IF(G1201="",D1201*F1201,(D1201*F1201/G1201))</f>
        <v>315</v>
      </c>
    </row>
    <row r="1202" spans="1:9">
      <c r="A1202" s="1019"/>
      <c r="B1202" s="1020"/>
      <c r="C1202" s="792" t="s">
        <v>160</v>
      </c>
      <c r="D1202" s="1021">
        <v>0.33</v>
      </c>
      <c r="E1202" s="1022" t="s">
        <v>364</v>
      </c>
      <c r="F1202" s="986">
        <f>LEAD!$P$28</f>
        <v>7168</v>
      </c>
      <c r="G1202" s="1023">
        <v>1000</v>
      </c>
      <c r="H1202" s="991" t="str">
        <f>IF(E1202="","",IF(E1202="No.","Each",IF(E1202="Nos.","Each",E1202)))</f>
        <v>Kgs</v>
      </c>
      <c r="I1202" s="986">
        <f>IF(G1202="",D1202*F1202,(D1202*F1202/G1202))</f>
        <v>2.36544</v>
      </c>
    </row>
    <row r="1203" spans="1:9">
      <c r="A1203" s="1019"/>
      <c r="B1203" s="1020"/>
      <c r="C1203" s="792" t="s">
        <v>161</v>
      </c>
      <c r="D1203" s="1021">
        <v>0.6</v>
      </c>
      <c r="E1203" s="1022" t="s">
        <v>364</v>
      </c>
      <c r="F1203" s="986">
        <f>F122</f>
        <v>29</v>
      </c>
      <c r="G1203" s="1023">
        <v>1</v>
      </c>
      <c r="H1203" s="991" t="str">
        <f>IF(E1203="","",IF(E1203="No.","Each",IF(E1203="Nos.","Each",E1203)))</f>
        <v>Kgs</v>
      </c>
      <c r="I1203" s="986">
        <f>IF(G1203="",D1203*F1203,(D1203*F1203/G1203))</f>
        <v>17.399999999999999</v>
      </c>
    </row>
    <row r="1204" spans="1:9">
      <c r="A1204" s="1019"/>
      <c r="B1204" s="1020"/>
      <c r="C1204" s="792" t="s">
        <v>354</v>
      </c>
      <c r="D1204" s="1021">
        <v>3.45</v>
      </c>
      <c r="E1204" s="1022" t="s">
        <v>364</v>
      </c>
      <c r="F1204" s="986">
        <f>ROUND(F1202/1000,2)</f>
        <v>7.17</v>
      </c>
      <c r="G1204" s="1023">
        <v>1</v>
      </c>
      <c r="H1204" s="991" t="str">
        <f>IF(E1204="","",IF(E1204="No.","Each",IF(E1204="Nos.","Each",E1204)))</f>
        <v>Kgs</v>
      </c>
      <c r="I1204" s="986">
        <f>IF(G1204="",D1204*F1204,(D1204*F1204/G1204))</f>
        <v>24.736499999999999</v>
      </c>
    </row>
    <row r="1205" spans="1:9">
      <c r="A1205" s="1019"/>
      <c r="B1205" s="1020"/>
      <c r="C1205" s="792" t="s">
        <v>355</v>
      </c>
      <c r="D1205" s="1021">
        <f>0.012</f>
        <v>1.2E-2</v>
      </c>
      <c r="E1205" s="1022" t="s">
        <v>465</v>
      </c>
      <c r="F1205" s="986">
        <f>LEAD!P7</f>
        <v>437.11999999999983</v>
      </c>
      <c r="G1205" s="1023">
        <v>1</v>
      </c>
      <c r="H1205" s="991" t="str">
        <f>IF(E1205="","",IF(E1205="No.","Each",IF(E1205="Nos.","Each",E1205)))</f>
        <v>Cum</v>
      </c>
      <c r="I1205" s="986">
        <f>IF(G1205="",D1205*F1205,(D1205*F1205/G1205))</f>
        <v>5.2454399999999985</v>
      </c>
    </row>
    <row r="1206" spans="1:9">
      <c r="A1206" s="1019"/>
      <c r="B1206" s="1020"/>
      <c r="C1206" s="1214" t="s">
        <v>690</v>
      </c>
      <c r="D1206" s="1021"/>
      <c r="E1206" s="1022"/>
      <c r="F1206" s="986"/>
      <c r="G1206" s="1023"/>
      <c r="H1206" s="991"/>
      <c r="I1206" s="986"/>
    </row>
    <row r="1207" spans="1:9">
      <c r="A1207" s="1019"/>
      <c r="B1207" s="1020"/>
      <c r="C1207" s="1212" t="s">
        <v>377</v>
      </c>
      <c r="D1207" s="1021">
        <v>7.6999999999999999E-2</v>
      </c>
      <c r="E1207" s="1003" t="s">
        <v>499</v>
      </c>
      <c r="F1207" s="986">
        <f>$F$9</f>
        <v>624</v>
      </c>
      <c r="G1207" s="1023">
        <v>1</v>
      </c>
      <c r="H1207" s="991" t="str">
        <f>IF(E1207="","",IF(E1207="No.","Each",IF(E1207="Nos.","Each",E1207)))</f>
        <v>Each</v>
      </c>
      <c r="I1207" s="986">
        <f>IF(G1207="",D1207*F1207,(D1207*F1207/G1207))</f>
        <v>48.048000000000002</v>
      </c>
    </row>
    <row r="1208" spans="1:9">
      <c r="A1208" s="1019"/>
      <c r="B1208" s="1020"/>
      <c r="C1208" s="792" t="s">
        <v>396</v>
      </c>
      <c r="D1208" s="1021">
        <v>0.08</v>
      </c>
      <c r="E1208" s="1022" t="s">
        <v>499</v>
      </c>
      <c r="F1208" s="986">
        <f>$F$22</f>
        <v>558</v>
      </c>
      <c r="G1208" s="1023">
        <v>1</v>
      </c>
      <c r="H1208" s="991" t="str">
        <f>IF(E1208="","",IF(E1208="No.","Each",IF(E1208="Nos.","Each",E1208)))</f>
        <v>Each</v>
      </c>
      <c r="I1208" s="986">
        <f>IF(G1208="",D1208*F1208,(D1208*F1208/G1208))</f>
        <v>44.64</v>
      </c>
    </row>
    <row r="1209" spans="1:9">
      <c r="A1209" s="1019"/>
      <c r="B1209" s="1020"/>
      <c r="C1209" s="792" t="s">
        <v>1041</v>
      </c>
      <c r="D1209" s="1053">
        <v>0.01</v>
      </c>
      <c r="E1209" s="1022"/>
      <c r="F1209" s="986">
        <f>SUM(I1201:I1208)</f>
        <v>457.4353799999999</v>
      </c>
      <c r="G1209" s="1023"/>
      <c r="H1209" s="991"/>
      <c r="I1209" s="986">
        <f>IF(G1209="",D1209*F1209,(D1209*F1209/G1209))</f>
        <v>4.574353799999999</v>
      </c>
    </row>
    <row r="1210" spans="1:9">
      <c r="A1210" s="1019"/>
      <c r="B1210" s="1020"/>
      <c r="C1210" s="980" t="s">
        <v>368</v>
      </c>
      <c r="D1210" s="1021"/>
      <c r="E1210" s="1022"/>
      <c r="F1210" s="986"/>
      <c r="G1210" s="1023"/>
      <c r="H1210" s="1213"/>
      <c r="I1210" s="1012">
        <f>ROUND(SUM(I1201:I1209),2)</f>
        <v>462.01</v>
      </c>
    </row>
    <row r="1211" spans="1:9">
      <c r="A1211" s="1019"/>
      <c r="B1211" s="1020"/>
      <c r="C1211" s="1214" t="s">
        <v>428</v>
      </c>
      <c r="E1211" s="1227" t="s">
        <v>501</v>
      </c>
      <c r="F1211" s="1048" t="s">
        <v>502</v>
      </c>
      <c r="G1211" s="1227" t="s">
        <v>503</v>
      </c>
      <c r="H1211" s="1048" t="s">
        <v>709</v>
      </c>
      <c r="I1211" s="1048" t="s">
        <v>709</v>
      </c>
    </row>
    <row r="1212" spans="1:9">
      <c r="A1212" s="1019"/>
      <c r="B1212" s="1020"/>
      <c r="C1212" s="1213" t="s">
        <v>368</v>
      </c>
      <c r="E1212" s="986">
        <f>I1210</f>
        <v>462.01</v>
      </c>
      <c r="F1212" s="986">
        <f>I1210</f>
        <v>462.01</v>
      </c>
      <c r="G1212" s="986">
        <f>I1210</f>
        <v>462.01</v>
      </c>
      <c r="H1212" s="986">
        <f>I1210</f>
        <v>462.01</v>
      </c>
      <c r="I1212" s="986">
        <f>I1210</f>
        <v>462.01</v>
      </c>
    </row>
    <row r="1213" spans="1:9">
      <c r="A1213" s="1019"/>
      <c r="B1213" s="1020"/>
      <c r="C1213" s="792" t="s">
        <v>418</v>
      </c>
      <c r="E1213" s="986"/>
      <c r="F1213" s="986">
        <f>ROUND(0.1*(I1207+I1208),2)</f>
        <v>9.27</v>
      </c>
      <c r="G1213" s="986">
        <f>ROUND(0.2*(I1207+I1208),2)</f>
        <v>18.54</v>
      </c>
      <c r="H1213" s="986">
        <f>ROUND(0.3*(I1207+I1208),2)</f>
        <v>27.81</v>
      </c>
      <c r="I1213" s="986">
        <f>ROUND(0.4*(I1207+I1208),2)</f>
        <v>37.08</v>
      </c>
    </row>
    <row r="1214" spans="1:9">
      <c r="A1214" s="1019"/>
      <c r="B1214" s="1020"/>
      <c r="E1214" s="986">
        <f>SUM(E1212:E1213)</f>
        <v>462.01</v>
      </c>
      <c r="F1214" s="986">
        <f>SUM(F1212:F1213)</f>
        <v>471.28</v>
      </c>
      <c r="G1214" s="986">
        <f>SUM(G1212:G1213)</f>
        <v>480.55</v>
      </c>
      <c r="H1214" s="986">
        <f>SUM(H1212:H1213)</f>
        <v>489.82</v>
      </c>
      <c r="I1214" s="986">
        <f>SUM(I1212:I1213)</f>
        <v>499.09</v>
      </c>
    </row>
    <row r="1215" spans="1:9">
      <c r="A1215" s="1019"/>
      <c r="B1215" s="1020"/>
      <c r="C1215" s="1220" t="s">
        <v>1014</v>
      </c>
      <c r="D1215" s="1026">
        <f>$D$3</f>
        <v>0</v>
      </c>
      <c r="E1215" s="986">
        <f>ROUND(E1214*$D$1215,2)</f>
        <v>0</v>
      </c>
      <c r="F1215" s="986">
        <f>ROUND(F1214*$D$1215,2)</f>
        <v>0</v>
      </c>
      <c r="G1215" s="986">
        <f>ROUND(G1214*$D$1215,2)</f>
        <v>0</v>
      </c>
      <c r="H1215" s="986">
        <f>ROUND(H1214*$D$1215,2)</f>
        <v>0</v>
      </c>
      <c r="I1215" s="986">
        <f>ROUND(I1214*$D$1215,2)</f>
        <v>0</v>
      </c>
    </row>
    <row r="1216" spans="1:9">
      <c r="A1216" s="1019"/>
      <c r="B1216" s="1020"/>
      <c r="C1216" s="980" t="s">
        <v>198</v>
      </c>
      <c r="D1216" s="980"/>
      <c r="E1216" s="1012">
        <f>CEILING(SUM(E1214:E1215),0.05)</f>
        <v>462.05</v>
      </c>
      <c r="F1216" s="1012">
        <f>CEILING(SUM(F1214:F1215),0.05)</f>
        <v>471.3</v>
      </c>
      <c r="G1216" s="1012">
        <f>CEILING(SUM(G1214:G1215),0.05)</f>
        <v>480.55</v>
      </c>
      <c r="H1216" s="1012">
        <f>CEILING(SUM(H1214:H1215),0.05)</f>
        <v>489.85</v>
      </c>
      <c r="I1216" s="1012">
        <f>CEILING(SUM(I1214:I1215),0.05)</f>
        <v>499.1</v>
      </c>
    </row>
    <row r="1217" spans="1:9" ht="12.75" customHeight="1">
      <c r="A1217" s="1019">
        <f>A1200+1</f>
        <v>29</v>
      </c>
      <c r="C1217" s="1493" t="s">
        <v>2407</v>
      </c>
      <c r="D1217" s="1493"/>
      <c r="E1217" s="1493"/>
      <c r="F1217" s="1493"/>
      <c r="G1217" s="1493"/>
      <c r="H1217" s="1493"/>
      <c r="I1217" s="1493"/>
    </row>
    <row r="1218" spans="1:9" ht="12.75" customHeight="1">
      <c r="A1218" s="1019"/>
      <c r="C1218" s="792" t="s">
        <v>162</v>
      </c>
      <c r="D1218" s="1023">
        <v>0.2</v>
      </c>
      <c r="E1218" s="1213" t="s">
        <v>462</v>
      </c>
      <c r="F1218" s="997">
        <f>F122</f>
        <v>29</v>
      </c>
      <c r="G1218" s="1023">
        <v>1</v>
      </c>
      <c r="H1218" s="991" t="str">
        <f>IF(E1218="","",IF(E1218="No.","Each",IF(E1218="Nos.","Each",E1218)))</f>
        <v>kgs</v>
      </c>
      <c r="I1218" s="997">
        <f>IF(G1218="",D1218*F1218,(D1218*F1218/G1218))</f>
        <v>5.8000000000000007</v>
      </c>
    </row>
    <row r="1219" spans="1:9" ht="12.75" customHeight="1">
      <c r="A1219" s="1019"/>
      <c r="C1219" s="792" t="s">
        <v>163</v>
      </c>
      <c r="D1219" s="1023">
        <v>2.1000000000000001E-2</v>
      </c>
      <c r="E1219" s="1213" t="s">
        <v>499</v>
      </c>
      <c r="F1219" s="997">
        <f>(F19*0.3+F20*0.7)</f>
        <v>625.79999999999995</v>
      </c>
      <c r="G1219" s="1023">
        <v>1</v>
      </c>
      <c r="H1219" s="991" t="str">
        <f>IF(E1219="","",IF(E1219="No.","Each",IF(E1219="Nos.","Each",E1219)))</f>
        <v>Each</v>
      </c>
      <c r="I1219" s="997">
        <f>IF(G1219="",D1219*F1219,(D1219*F1219/G1219))</f>
        <v>13.1418</v>
      </c>
    </row>
    <row r="1220" spans="1:9" ht="12.75" customHeight="1">
      <c r="A1220" s="1019"/>
      <c r="C1220" s="792" t="s">
        <v>396</v>
      </c>
      <c r="D1220" s="1023">
        <v>3.2000000000000001E-2</v>
      </c>
      <c r="E1220" s="1213" t="s">
        <v>499</v>
      </c>
      <c r="F1220" s="997">
        <f>$F$22</f>
        <v>558</v>
      </c>
      <c r="G1220" s="1023">
        <v>1</v>
      </c>
      <c r="H1220" s="991" t="str">
        <f>IF(E1220="","",IF(E1220="No.","Each",IF(E1220="Nos.","Each",E1220)))</f>
        <v>Each</v>
      </c>
      <c r="I1220" s="997">
        <f>IF(G1220="",D1220*F1220,(D1220*F1220/G1220))</f>
        <v>17.856000000000002</v>
      </c>
    </row>
    <row r="1221" spans="1:9" ht="12.75" customHeight="1">
      <c r="A1221" s="1019"/>
      <c r="C1221" s="792" t="s">
        <v>506</v>
      </c>
      <c r="D1221" s="1049">
        <v>0.01</v>
      </c>
      <c r="E1221" s="1213"/>
      <c r="F1221" s="997">
        <f>I1220+I1219+I1218</f>
        <v>36.797800000000002</v>
      </c>
      <c r="G1221" s="1023"/>
      <c r="H1221" s="991"/>
      <c r="I1221" s="997">
        <f>IF(G1221="",D1221*F1221,(D1221*F1221/G1221))</f>
        <v>0.36797800000000003</v>
      </c>
    </row>
    <row r="1222" spans="1:9" ht="12.75" customHeight="1">
      <c r="A1222" s="1019"/>
      <c r="D1222" s="1023"/>
      <c r="E1222" s="1213"/>
      <c r="F1222" s="997"/>
      <c r="G1222" s="1023"/>
      <c r="H1222" s="991"/>
      <c r="I1222" s="997">
        <f>SUM(I1218:I1221)</f>
        <v>37.165778000000003</v>
      </c>
    </row>
    <row r="1223" spans="1:9" ht="12.75" customHeight="1">
      <c r="A1223" s="1019"/>
      <c r="C1223" s="1220" t="s">
        <v>1014</v>
      </c>
      <c r="D1223" s="1026">
        <f>$D$3</f>
        <v>0</v>
      </c>
      <c r="E1223" s="1213"/>
      <c r="F1223" s="997">
        <f>I1222</f>
        <v>37.165778000000003</v>
      </c>
      <c r="G1223" s="1023"/>
      <c r="H1223" s="991"/>
      <c r="I1223" s="997">
        <f>ROUND(D1223*F1223,2)</f>
        <v>0</v>
      </c>
    </row>
    <row r="1224" spans="1:9" ht="12.75" customHeight="1">
      <c r="A1224" s="1019"/>
      <c r="B1224" s="1020"/>
      <c r="C1224" s="980" t="s">
        <v>505</v>
      </c>
      <c r="D1224" s="1021"/>
      <c r="E1224" s="1003"/>
      <c r="F1224" s="986"/>
      <c r="G1224" s="1023"/>
      <c r="H1224" s="980" t="s">
        <v>466</v>
      </c>
      <c r="I1224" s="1012">
        <f>CEILING(SUM(I1222:I1223),0.05)</f>
        <v>37.200000000000003</v>
      </c>
    </row>
    <row r="1225" spans="1:9" ht="12.75" customHeight="1">
      <c r="A1225" s="1019"/>
      <c r="B1225" s="1020"/>
      <c r="C1225" s="980"/>
      <c r="D1225" s="1021"/>
      <c r="E1225" s="1003"/>
      <c r="F1225" s="986"/>
      <c r="G1225" s="1023"/>
      <c r="H1225" s="980"/>
      <c r="I1225" s="1012"/>
    </row>
    <row r="1226" spans="1:9" ht="51" customHeight="1">
      <c r="A1226" s="1019">
        <f>A1200+1</f>
        <v>29</v>
      </c>
      <c r="B1226" s="1020"/>
      <c r="C1226" s="1493" t="s">
        <v>2408</v>
      </c>
      <c r="D1226" s="1493"/>
      <c r="E1226" s="1493"/>
      <c r="F1226" s="1493"/>
      <c r="G1226" s="1493"/>
      <c r="H1226" s="1493"/>
      <c r="I1226" s="1493"/>
    </row>
    <row r="1227" spans="1:9">
      <c r="A1227" s="1019"/>
      <c r="B1227" s="1020"/>
      <c r="C1227" s="792" t="s">
        <v>226</v>
      </c>
      <c r="D1227" s="1021">
        <v>0.11</v>
      </c>
      <c r="E1227" s="1022" t="s">
        <v>133</v>
      </c>
      <c r="F1227" s="986">
        <f>F132</f>
        <v>251</v>
      </c>
      <c r="G1227" s="1023">
        <v>1</v>
      </c>
      <c r="H1227" s="991" t="str">
        <f>IF(E1227="","",IF(E1227="No.","Each",IF(E1227="Nos.","Each",E1227)))</f>
        <v>Ltr</v>
      </c>
      <c r="I1227" s="986">
        <f>IF(G1227="",D1227*F1227,(D1227*F1227/G1227))</f>
        <v>27.61</v>
      </c>
    </row>
    <row r="1228" spans="1:9">
      <c r="A1228" s="1019"/>
      <c r="B1228" s="1020"/>
      <c r="C1228" s="792" t="s">
        <v>403</v>
      </c>
      <c r="D1228" s="1021">
        <v>3.3000000000000002E-2</v>
      </c>
      <c r="E1228" s="1022" t="s">
        <v>499</v>
      </c>
      <c r="F1228" s="986">
        <f>$F$19</f>
        <v>714</v>
      </c>
      <c r="G1228" s="1023">
        <v>1</v>
      </c>
      <c r="H1228" s="991" t="str">
        <f>IF(E1228="","",IF(E1228="No.","Each",IF(E1228="Nos.","Each",E1228)))</f>
        <v>Each</v>
      </c>
      <c r="I1228" s="986">
        <f>IF(G1228="",D1228*F1228,(D1228*F1228/G1228))</f>
        <v>23.562000000000001</v>
      </c>
    </row>
    <row r="1229" spans="1:9">
      <c r="A1229" s="1019"/>
      <c r="B1229" s="1020"/>
      <c r="C1229" s="792" t="s">
        <v>404</v>
      </c>
      <c r="D1229" s="1021">
        <v>7.6999999999999999E-2</v>
      </c>
      <c r="E1229" s="1022" t="s">
        <v>499</v>
      </c>
      <c r="F1229" s="986">
        <f>$F$20</f>
        <v>588</v>
      </c>
      <c r="G1229" s="1023">
        <v>1</v>
      </c>
      <c r="H1229" s="991" t="str">
        <f>IF(E1229="","",IF(E1229="No.","Each",IF(E1229="Nos.","Each",E1229)))</f>
        <v>Each</v>
      </c>
      <c r="I1229" s="986">
        <f>IF(G1229="",D1229*F1229,(D1229*F1229/G1229))</f>
        <v>45.275999999999996</v>
      </c>
    </row>
    <row r="1230" spans="1:9">
      <c r="A1230" s="1019"/>
      <c r="B1230" s="1020"/>
      <c r="D1230" s="1021"/>
      <c r="E1230" s="1022"/>
      <c r="F1230" s="986"/>
      <c r="G1230" s="1023"/>
      <c r="H1230" s="991"/>
      <c r="I1230" s="986">
        <f>SUM(I1227:I1229)</f>
        <v>96.447999999999993</v>
      </c>
    </row>
    <row r="1231" spans="1:9">
      <c r="A1231" s="1019"/>
      <c r="B1231" s="1020"/>
      <c r="C1231" s="1220" t="s">
        <v>1014</v>
      </c>
      <c r="D1231" s="1026">
        <f>$D$3</f>
        <v>0</v>
      </c>
      <c r="E1231" s="1213"/>
      <c r="F1231" s="997">
        <f>I1230</f>
        <v>96.447999999999993</v>
      </c>
      <c r="G1231" s="1023"/>
      <c r="H1231" s="991"/>
      <c r="I1231" s="997">
        <f>ROUND(D1231*F1231,2)</f>
        <v>0</v>
      </c>
    </row>
    <row r="1232" spans="1:9">
      <c r="A1232" s="1019"/>
      <c r="B1232" s="1020"/>
      <c r="C1232" s="980" t="s">
        <v>505</v>
      </c>
      <c r="D1232" s="1021"/>
      <c r="E1232" s="1003"/>
      <c r="F1232" s="986"/>
      <c r="G1232" s="1023"/>
      <c r="H1232" s="980" t="s">
        <v>466</v>
      </c>
      <c r="I1232" s="1012">
        <f>CEILING(SUM(I1230:I1231),0.05)</f>
        <v>96.45</v>
      </c>
    </row>
    <row r="1233" spans="1:9" ht="15.75" customHeight="1">
      <c r="A1233" s="1019"/>
      <c r="B1233" s="1020"/>
      <c r="C1233" s="980"/>
      <c r="D1233" s="1021"/>
      <c r="E1233" s="1003"/>
      <c r="F1233" s="986"/>
      <c r="G1233" s="1023"/>
      <c r="H1233" s="980"/>
      <c r="I1233" s="1012"/>
    </row>
    <row r="1234" spans="1:9" ht="12.75" customHeight="1">
      <c r="A1234" s="1019">
        <f>A1226+1</f>
        <v>30</v>
      </c>
      <c r="B1234" s="984"/>
      <c r="C1234" s="1493" t="s">
        <v>1379</v>
      </c>
      <c r="D1234" s="1493"/>
      <c r="E1234" s="1493"/>
      <c r="F1234" s="1493"/>
      <c r="G1234" s="1493"/>
      <c r="H1234" s="1493"/>
      <c r="I1234" s="1493"/>
    </row>
    <row r="1235" spans="1:9">
      <c r="A1235" s="1019"/>
      <c r="B1235" s="984"/>
      <c r="C1235" s="1214" t="s">
        <v>143</v>
      </c>
      <c r="D1235" s="997"/>
      <c r="E1235" s="1213"/>
      <c r="F1235" s="997"/>
      <c r="G1235" s="1023"/>
      <c r="H1235" s="991"/>
      <c r="I1235" s="997"/>
    </row>
    <row r="1236" spans="1:9">
      <c r="A1236" s="1019"/>
      <c r="B1236" s="984"/>
      <c r="C1236" s="792" t="s">
        <v>407</v>
      </c>
      <c r="D1236" s="997">
        <v>1.33</v>
      </c>
      <c r="E1236" s="1213" t="s">
        <v>186</v>
      </c>
      <c r="F1236" s="997">
        <f>$F$136</f>
        <v>19</v>
      </c>
      <c r="G1236" s="1023">
        <v>1</v>
      </c>
      <c r="H1236" s="991" t="s">
        <v>186</v>
      </c>
      <c r="I1236" s="986">
        <f>D1236*F1236</f>
        <v>25.270000000000003</v>
      </c>
    </row>
    <row r="1237" spans="1:9">
      <c r="A1237" s="1019"/>
      <c r="B1237" s="984"/>
      <c r="C1237" s="792" t="s">
        <v>1341</v>
      </c>
      <c r="D1237" s="1021">
        <v>31.91</v>
      </c>
      <c r="E1237" s="1022" t="s">
        <v>364</v>
      </c>
      <c r="F1237" s="986">
        <f>LEAD!$P$28</f>
        <v>7168</v>
      </c>
      <c r="G1237" s="1023">
        <v>1000</v>
      </c>
      <c r="H1237" s="991" t="str">
        <f>IF(E1237="","",IF(E1237="No.","Each",IF(E1237="Nos.","Each",E1237)))</f>
        <v>Kgs</v>
      </c>
      <c r="I1237" s="986">
        <f>IF(G1237="",D1237*F1237,(D1237*F1237/G1237))</f>
        <v>228.73088000000001</v>
      </c>
    </row>
    <row r="1238" spans="1:9">
      <c r="A1238" s="1019"/>
      <c r="B1238" s="984"/>
      <c r="C1238" s="792" t="s">
        <v>356</v>
      </c>
      <c r="D1238" s="997">
        <v>5.8000000000000003E-2</v>
      </c>
      <c r="E1238" s="1213" t="s">
        <v>465</v>
      </c>
      <c r="F1238" s="986">
        <f>LEAD!$P$7</f>
        <v>437.11999999999983</v>
      </c>
      <c r="G1238" s="1023">
        <v>1</v>
      </c>
      <c r="H1238" s="991" t="s">
        <v>465</v>
      </c>
      <c r="I1238" s="986">
        <f>D1238*F1238</f>
        <v>25.352959999999992</v>
      </c>
    </row>
    <row r="1239" spans="1:9">
      <c r="A1239" s="1019"/>
      <c r="B1239" s="984"/>
      <c r="C1239" s="1214" t="s">
        <v>690</v>
      </c>
      <c r="D1239" s="997"/>
      <c r="E1239" s="1213"/>
      <c r="F1239" s="986"/>
      <c r="G1239" s="1023"/>
      <c r="H1239" s="991"/>
      <c r="I1239" s="986"/>
    </row>
    <row r="1240" spans="1:9">
      <c r="A1240" s="1019"/>
      <c r="B1240" s="984"/>
      <c r="C1240" s="1212" t="s">
        <v>377</v>
      </c>
      <c r="D1240" s="986">
        <v>0.8</v>
      </c>
      <c r="E1240" s="1003" t="s">
        <v>499</v>
      </c>
      <c r="F1240" s="986">
        <f>$F$9</f>
        <v>624</v>
      </c>
      <c r="G1240" s="1023">
        <v>1</v>
      </c>
      <c r="H1240" s="991" t="str">
        <f>IF(E1240="","",IF(E1240="No.","Each",IF(E1240="Nos.","Each",E1240)))</f>
        <v>Each</v>
      </c>
      <c r="I1240" s="986">
        <f>IF(G1240="",D1240*F1240,(D1240*F1240/G1240))</f>
        <v>499.20000000000005</v>
      </c>
    </row>
    <row r="1241" spans="1:9">
      <c r="A1241" s="1019"/>
      <c r="B1241" s="984"/>
      <c r="C1241" s="1212" t="s">
        <v>357</v>
      </c>
      <c r="D1241" s="986">
        <v>0.1</v>
      </c>
      <c r="E1241" s="1003" t="s">
        <v>499</v>
      </c>
      <c r="F1241" s="986">
        <f>$F$9</f>
        <v>624</v>
      </c>
      <c r="G1241" s="1023">
        <v>1</v>
      </c>
      <c r="H1241" s="991" t="str">
        <f>IF(E1241="","",IF(E1241="No.","Each",IF(E1241="Nos.","Each",E1241)))</f>
        <v>Each</v>
      </c>
      <c r="I1241" s="986">
        <f>IF(G1241="",D1241*F1241,(D1241*F1241/G1241))</f>
        <v>62.400000000000006</v>
      </c>
    </row>
    <row r="1242" spans="1:9">
      <c r="A1242" s="1019"/>
      <c r="B1242" s="984"/>
      <c r="C1242" s="792" t="s">
        <v>396</v>
      </c>
      <c r="D1242" s="986">
        <v>1</v>
      </c>
      <c r="E1242" s="1022" t="s">
        <v>499</v>
      </c>
      <c r="F1242" s="986">
        <f>$F$22</f>
        <v>558</v>
      </c>
      <c r="G1242" s="1023">
        <v>1</v>
      </c>
      <c r="H1242" s="991" t="str">
        <f>IF(E1242="","",IF(E1242="No.","Each",IF(E1242="Nos.","Each",E1242)))</f>
        <v>Each</v>
      </c>
      <c r="I1242" s="986">
        <f>IF(G1242="",D1242*F1242,(D1242*F1242/G1242))</f>
        <v>558</v>
      </c>
    </row>
    <row r="1243" spans="1:9">
      <c r="A1243" s="1019"/>
      <c r="B1243" s="984"/>
      <c r="C1243" s="792" t="s">
        <v>358</v>
      </c>
      <c r="D1243" s="986">
        <v>0.2</v>
      </c>
      <c r="E1243" s="1003" t="s">
        <v>692</v>
      </c>
      <c r="F1243" s="986">
        <v>397.5</v>
      </c>
      <c r="G1243" s="1023">
        <v>1</v>
      </c>
      <c r="H1243" s="991" t="str">
        <f>IF(E1243="","",IF(E1243="No.","Each",IF(E1243="Nos.","Each",E1243)))</f>
        <v>Hour</v>
      </c>
      <c r="I1243" s="986">
        <f>IF(G1243="",D1243*F1243,(D1243*F1243/G1243))</f>
        <v>79.5</v>
      </c>
    </row>
    <row r="1244" spans="1:9">
      <c r="A1244" s="1019"/>
      <c r="B1244" s="984"/>
      <c r="D1244" s="1021"/>
      <c r="E1244" s="1008"/>
      <c r="F1244" s="986"/>
      <c r="G1244" s="1023"/>
      <c r="H1244" s="991"/>
      <c r="I1244" s="986">
        <f>SUM(I1236:I1243)</f>
        <v>1478.4538400000001</v>
      </c>
    </row>
    <row r="1245" spans="1:9" ht="25.5" customHeight="1">
      <c r="A1245" s="1019"/>
      <c r="B1245" s="984"/>
      <c r="C1245" s="792" t="s">
        <v>719</v>
      </c>
      <c r="D1245" s="1050">
        <f>I1244</f>
        <v>1478.4538400000001</v>
      </c>
      <c r="E1245" s="1003"/>
      <c r="F1245" s="986">
        <v>0.01</v>
      </c>
      <c r="G1245" s="1023"/>
      <c r="I1245" s="986">
        <f>ROUND(D1245*F1245,2)</f>
        <v>14.78</v>
      </c>
    </row>
    <row r="1246" spans="1:9">
      <c r="A1246" s="1019"/>
      <c r="B1246" s="1020"/>
      <c r="C1246" s="980" t="s">
        <v>368</v>
      </c>
      <c r="D1246" s="1021"/>
      <c r="E1246" s="1003"/>
      <c r="F1246" s="986"/>
      <c r="G1246" s="1023"/>
      <c r="H1246" s="1213"/>
      <c r="I1246" s="1012">
        <f>SUM(I1244:I1245)</f>
        <v>1493.2338400000001</v>
      </c>
    </row>
    <row r="1247" spans="1:9">
      <c r="A1247" s="1019"/>
      <c r="B1247" s="1020"/>
      <c r="C1247" s="1214" t="s">
        <v>428</v>
      </c>
      <c r="E1247" s="1227" t="s">
        <v>501</v>
      </c>
      <c r="F1247" s="1048" t="s">
        <v>502</v>
      </c>
      <c r="G1247" s="1227" t="s">
        <v>503</v>
      </c>
      <c r="H1247" s="1048" t="s">
        <v>709</v>
      </c>
      <c r="I1247" s="1048" t="s">
        <v>502</v>
      </c>
    </row>
    <row r="1248" spans="1:9">
      <c r="A1248" s="1019"/>
      <c r="B1248" s="1020"/>
      <c r="C1248" s="1213" t="s">
        <v>368</v>
      </c>
      <c r="E1248" s="986">
        <f>I1246</f>
        <v>1493.2338400000001</v>
      </c>
      <c r="F1248" s="986">
        <f>I1246</f>
        <v>1493.2338400000001</v>
      </c>
      <c r="G1248" s="986">
        <f>I1246</f>
        <v>1493.2338400000001</v>
      </c>
      <c r="H1248" s="986">
        <f>I1246</f>
        <v>1493.2338400000001</v>
      </c>
      <c r="I1248" s="986">
        <f>I1246</f>
        <v>1493.2338400000001</v>
      </c>
    </row>
    <row r="1249" spans="1:9">
      <c r="A1249" s="1019"/>
      <c r="B1249" s="1020"/>
      <c r="C1249" s="792" t="s">
        <v>418</v>
      </c>
      <c r="E1249" s="986"/>
      <c r="F1249" s="986">
        <f>ROUND(0.1*(I1241+I1242+I1240+I1243),2)</f>
        <v>119.91</v>
      </c>
      <c r="G1249" s="986">
        <f>ROUND(0.2*(I1241+I1242+I1240+I1243),2)</f>
        <v>239.82</v>
      </c>
      <c r="H1249" s="986">
        <f>ROUND(0.3*(I1241+I1242+I1240+I1243),2)</f>
        <v>359.73</v>
      </c>
      <c r="I1249" s="986">
        <f>ROUND(0.4*(I1241+I1242+I1240+I1243),2)</f>
        <v>479.64</v>
      </c>
    </row>
    <row r="1250" spans="1:9">
      <c r="A1250" s="1019"/>
      <c r="B1250" s="1020"/>
      <c r="E1250" s="986">
        <f>SUM(E1248:E1249)</f>
        <v>1493.2338400000001</v>
      </c>
      <c r="F1250" s="986">
        <f>SUM(F1248:F1249)</f>
        <v>1613.1438400000002</v>
      </c>
      <c r="G1250" s="986">
        <f>SUM(G1248:G1249)</f>
        <v>1733.05384</v>
      </c>
      <c r="H1250" s="986">
        <f>SUM(H1248:H1249)</f>
        <v>1852.9638400000001</v>
      </c>
      <c r="I1250" s="986">
        <f>SUM(I1248:I1249)</f>
        <v>1972.8738400000002</v>
      </c>
    </row>
    <row r="1251" spans="1:9">
      <c r="A1251" s="1019"/>
      <c r="B1251" s="1020"/>
      <c r="C1251" s="1220" t="s">
        <v>1014</v>
      </c>
      <c r="D1251" s="1026">
        <f>$D$3</f>
        <v>0</v>
      </c>
      <c r="E1251" s="986">
        <f>ROUND(E1250*$D$1251,2)</f>
        <v>0</v>
      </c>
      <c r="F1251" s="986">
        <f>ROUND(F1250*$D$1251,2)</f>
        <v>0</v>
      </c>
      <c r="G1251" s="986">
        <f>ROUND(G1250*$D$1251,2)</f>
        <v>0</v>
      </c>
      <c r="H1251" s="986">
        <f>ROUND(H1250*$D$1251,2)</f>
        <v>0</v>
      </c>
      <c r="I1251" s="986">
        <f>ROUND(I1250*$D$1251,2)</f>
        <v>0</v>
      </c>
    </row>
    <row r="1252" spans="1:9">
      <c r="A1252" s="1019"/>
      <c r="B1252" s="1020"/>
      <c r="C1252" s="980" t="s">
        <v>198</v>
      </c>
      <c r="D1252" s="980"/>
      <c r="E1252" s="1012">
        <f>CEILING(SUM(E1250:E1251),0.05)</f>
        <v>1493.25</v>
      </c>
      <c r="F1252" s="1012">
        <f>CEILING(SUM(F1250:F1251),0.05)</f>
        <v>1613.15</v>
      </c>
      <c r="G1252" s="1012">
        <f>CEILING(SUM(G1250:G1251),0.05)</f>
        <v>1733.1000000000001</v>
      </c>
      <c r="H1252" s="1012">
        <f>CEILING(SUM(H1250:H1251),0.05)</f>
        <v>1853</v>
      </c>
      <c r="I1252" s="1012">
        <f>CEILING(SUM(I1250:I1251),0.05)</f>
        <v>1972.9</v>
      </c>
    </row>
    <row r="1253" spans="1:9" ht="85.5" customHeight="1">
      <c r="A1253" s="1019">
        <f>A1234+1</f>
        <v>31</v>
      </c>
      <c r="B1253" s="984"/>
      <c r="C1253" s="1493" t="s">
        <v>2409</v>
      </c>
      <c r="D1253" s="1493"/>
      <c r="E1253" s="1493"/>
      <c r="F1253" s="1493"/>
      <c r="G1253" s="1493"/>
      <c r="H1253" s="1493"/>
      <c r="I1253" s="1493"/>
    </row>
    <row r="1254" spans="1:9">
      <c r="A1254" s="1019"/>
      <c r="B1254" s="984"/>
      <c r="C1254" s="1214" t="s">
        <v>408</v>
      </c>
      <c r="D1254" s="1021"/>
      <c r="E1254" s="1022"/>
      <c r="F1254" s="986"/>
      <c r="G1254" s="1023"/>
      <c r="H1254" s="1215"/>
      <c r="I1254" s="1012"/>
    </row>
    <row r="1255" spans="1:9">
      <c r="A1255" s="1019"/>
      <c r="B1255" s="984"/>
      <c r="C1255" s="792" t="s">
        <v>1206</v>
      </c>
      <c r="D1255" s="1021">
        <v>0.1</v>
      </c>
      <c r="E1255" s="1022" t="s">
        <v>409</v>
      </c>
      <c r="F1255" s="986">
        <f>F128</f>
        <v>144</v>
      </c>
      <c r="G1255" s="1023">
        <v>1</v>
      </c>
      <c r="H1255" s="1213" t="s">
        <v>328</v>
      </c>
      <c r="I1255" s="986">
        <f>F1255*D1255</f>
        <v>14.4</v>
      </c>
    </row>
    <row r="1256" spans="1:9">
      <c r="A1256" s="1019"/>
      <c r="B1256" s="984"/>
      <c r="C1256" s="792" t="s">
        <v>410</v>
      </c>
      <c r="D1256" s="1021">
        <v>7.0000000000000007E-2</v>
      </c>
      <c r="E1256" s="1022" t="s">
        <v>411</v>
      </c>
      <c r="F1256" s="986">
        <f>$F$127</f>
        <v>144</v>
      </c>
      <c r="G1256" s="1023">
        <v>1</v>
      </c>
      <c r="H1256" s="1213" t="s">
        <v>412</v>
      </c>
      <c r="I1256" s="986">
        <f>F1256*D1256</f>
        <v>10.080000000000002</v>
      </c>
    </row>
    <row r="1257" spans="1:9">
      <c r="A1257" s="1019"/>
      <c r="B1257" s="984"/>
      <c r="C1257" s="792" t="s">
        <v>413</v>
      </c>
      <c r="D1257" s="1021">
        <v>2.1000000000000001E-2</v>
      </c>
      <c r="E1257" s="1022" t="s">
        <v>499</v>
      </c>
      <c r="F1257" s="986">
        <f>$F$19</f>
        <v>714</v>
      </c>
      <c r="G1257" s="1023">
        <v>1</v>
      </c>
      <c r="H1257" s="1213" t="s">
        <v>268</v>
      </c>
      <c r="I1257" s="986">
        <f>F1257*D1257</f>
        <v>14.994000000000002</v>
      </c>
    </row>
    <row r="1258" spans="1:9">
      <c r="A1258" s="1019"/>
      <c r="B1258" s="984"/>
      <c r="C1258" s="792" t="s">
        <v>167</v>
      </c>
      <c r="D1258" s="1021">
        <v>4.9000000000000002E-2</v>
      </c>
      <c r="E1258" s="1022" t="s">
        <v>499</v>
      </c>
      <c r="F1258" s="986">
        <f>$F$20</f>
        <v>588</v>
      </c>
      <c r="G1258" s="1023">
        <v>1</v>
      </c>
      <c r="H1258" s="1213" t="s">
        <v>268</v>
      </c>
      <c r="I1258" s="986">
        <f>F1258*D1258</f>
        <v>28.812000000000001</v>
      </c>
    </row>
    <row r="1259" spans="1:9">
      <c r="A1259" s="1019"/>
      <c r="B1259" s="984"/>
      <c r="C1259" s="1214" t="s">
        <v>414</v>
      </c>
      <c r="D1259" s="1021"/>
      <c r="E1259" s="1022"/>
      <c r="F1259" s="986"/>
      <c r="G1259" s="1023"/>
      <c r="H1259" s="1215"/>
      <c r="I1259" s="986"/>
    </row>
    <row r="1260" spans="1:9">
      <c r="A1260" s="1019"/>
      <c r="B1260" s="984"/>
      <c r="C1260" s="792" t="s">
        <v>415</v>
      </c>
      <c r="D1260" s="1023">
        <v>0.12</v>
      </c>
      <c r="E1260" s="1213" t="s">
        <v>411</v>
      </c>
      <c r="F1260" s="997">
        <f>F132</f>
        <v>251</v>
      </c>
      <c r="G1260" s="1023">
        <v>1</v>
      </c>
      <c r="H1260" s="1213" t="str">
        <f>E1260</f>
        <v>lit</v>
      </c>
      <c r="I1260" s="997">
        <f>F1260*D1260</f>
        <v>30.119999999999997</v>
      </c>
    </row>
    <row r="1261" spans="1:9">
      <c r="A1261" s="1019"/>
      <c r="B1261" s="984"/>
      <c r="C1261" s="792" t="s">
        <v>166</v>
      </c>
      <c r="D1261" s="1023">
        <v>3.5999999999999997E-2</v>
      </c>
      <c r="E1261" s="1213" t="s">
        <v>499</v>
      </c>
      <c r="F1261" s="986">
        <f>$F$19</f>
        <v>714</v>
      </c>
      <c r="G1261" s="1023">
        <v>1</v>
      </c>
      <c r="H1261" s="1213" t="s">
        <v>268</v>
      </c>
      <c r="I1261" s="997">
        <f>F1261*D1261</f>
        <v>25.703999999999997</v>
      </c>
    </row>
    <row r="1262" spans="1:9">
      <c r="A1262" s="1019"/>
      <c r="B1262" s="984"/>
      <c r="C1262" s="792" t="s">
        <v>167</v>
      </c>
      <c r="D1262" s="1023">
        <v>8.4000000000000005E-2</v>
      </c>
      <c r="E1262" s="1213" t="s">
        <v>499</v>
      </c>
      <c r="F1262" s="986">
        <f>$F$20</f>
        <v>588</v>
      </c>
      <c r="G1262" s="1023">
        <v>1</v>
      </c>
      <c r="H1262" s="1213" t="s">
        <v>268</v>
      </c>
      <c r="I1262" s="997">
        <f>F1262*D1262</f>
        <v>49.392000000000003</v>
      </c>
    </row>
    <row r="1263" spans="1:9">
      <c r="A1263" s="1019"/>
      <c r="B1263" s="984"/>
      <c r="D1263" s="1023"/>
      <c r="E1263" s="1213"/>
      <c r="F1263" s="986"/>
      <c r="G1263" s="1023"/>
      <c r="H1263" s="1213"/>
      <c r="I1263" s="997">
        <f>SUM(I1255:I1262)</f>
        <v>173.50200000000001</v>
      </c>
    </row>
    <row r="1264" spans="1:9">
      <c r="A1264" s="1019"/>
      <c r="B1264" s="984"/>
      <c r="C1264" s="1220" t="s">
        <v>1014</v>
      </c>
      <c r="D1264" s="1026">
        <f>$D$3</f>
        <v>0</v>
      </c>
      <c r="E1264" s="1213"/>
      <c r="F1264" s="997">
        <f>I1263</f>
        <v>173.50200000000001</v>
      </c>
      <c r="G1264" s="1023"/>
      <c r="H1264" s="991"/>
      <c r="I1264" s="997">
        <f>ROUND(D1264*F1264,2)</f>
        <v>0</v>
      </c>
    </row>
    <row r="1265" spans="1:9">
      <c r="A1265" s="1019"/>
      <c r="B1265" s="1020"/>
      <c r="C1265" s="980" t="s">
        <v>508</v>
      </c>
      <c r="D1265" s="1021"/>
      <c r="E1265" s="1003"/>
      <c r="F1265" s="986"/>
      <c r="G1265" s="1023"/>
      <c r="H1265" s="980" t="s">
        <v>466</v>
      </c>
      <c r="I1265" s="1012">
        <f>CEILING(SUM(I1263:I1264),0.05)</f>
        <v>173.55</v>
      </c>
    </row>
    <row r="1266" spans="1:9" ht="12.75" customHeight="1">
      <c r="A1266" s="1019">
        <f>A1253+1</f>
        <v>32</v>
      </c>
      <c r="B1266" s="984"/>
      <c r="C1266" s="1499" t="s">
        <v>2303</v>
      </c>
      <c r="D1266" s="1499"/>
      <c r="E1266" s="1499"/>
      <c r="F1266" s="1499"/>
      <c r="G1266" s="1499"/>
      <c r="H1266" s="1499"/>
      <c r="I1266" s="1499"/>
    </row>
    <row r="1267" spans="1:9" ht="12.75" customHeight="1">
      <c r="A1267" s="1019"/>
      <c r="B1267" s="984"/>
      <c r="C1267" s="792" t="s">
        <v>416</v>
      </c>
      <c r="D1267" s="1023">
        <v>1</v>
      </c>
      <c r="E1267" s="1213" t="s">
        <v>186</v>
      </c>
      <c r="F1267" s="997">
        <f>$F$137</f>
        <v>573</v>
      </c>
      <c r="G1267" s="1023">
        <v>1</v>
      </c>
      <c r="H1267" s="991" t="str">
        <f>IF(E1267="","",IF(E1267="No.","Each",IF(E1267="Nos.","Each",E1267)))</f>
        <v>Sqmt</v>
      </c>
      <c r="I1267" s="997">
        <f>IF(G1267="",D1267*F1267,(D1267*F1267/G1267))</f>
        <v>573</v>
      </c>
    </row>
    <row r="1268" spans="1:9" ht="12.75" customHeight="1">
      <c r="A1268" s="1019"/>
      <c r="B1268" s="984"/>
      <c r="C1268" s="1220" t="s">
        <v>1014</v>
      </c>
      <c r="D1268" s="1026">
        <f>$D$3</f>
        <v>0</v>
      </c>
      <c r="E1268" s="1213"/>
      <c r="F1268" s="997">
        <f>I1267</f>
        <v>573</v>
      </c>
      <c r="G1268" s="1023"/>
      <c r="H1268" s="991"/>
      <c r="I1268" s="997">
        <f>ROUND(D1268*F1268,2)</f>
        <v>0</v>
      </c>
    </row>
    <row r="1269" spans="1:9" ht="12.75" customHeight="1">
      <c r="A1269" s="1019"/>
      <c r="B1269" s="1020"/>
      <c r="C1269" s="980" t="s">
        <v>187</v>
      </c>
      <c r="D1269" s="1021"/>
      <c r="E1269" s="1003"/>
      <c r="F1269" s="986"/>
      <c r="G1269" s="1023"/>
      <c r="H1269" s="980" t="s">
        <v>466</v>
      </c>
      <c r="I1269" s="1012">
        <f>CEILING(SUM(I1267:I1268),0.05)</f>
        <v>573</v>
      </c>
    </row>
    <row r="1270" spans="1:9" ht="12.75" customHeight="1">
      <c r="A1270" s="1019">
        <f>A1266+1</f>
        <v>33</v>
      </c>
      <c r="C1270" s="1499" t="s">
        <v>1207</v>
      </c>
      <c r="D1270" s="1499"/>
      <c r="E1270" s="1499"/>
      <c r="F1270" s="1499"/>
      <c r="G1270" s="1499"/>
      <c r="H1270" s="1499"/>
      <c r="I1270" s="1499"/>
    </row>
    <row r="1271" spans="1:9">
      <c r="C1271" s="792" t="s">
        <v>898</v>
      </c>
      <c r="D1271" s="979">
        <v>5.0999999999999996</v>
      </c>
      <c r="E1271" s="979" t="s">
        <v>700</v>
      </c>
      <c r="F1271" s="997">
        <v>61</v>
      </c>
      <c r="G1271" s="1023">
        <v>1</v>
      </c>
      <c r="H1271" s="991" t="str">
        <f>IF(E1271="","",IF(E1271="No.","Each",IF(E1271="Nos.","Each",E1271)))</f>
        <v>Kgs.</v>
      </c>
      <c r="I1271" s="986">
        <f>IF(G1271="",D1271*F1271,(D1271*F1271/G1271))</f>
        <v>311.09999999999997</v>
      </c>
    </row>
    <row r="1272" spans="1:9" ht="24.6">
      <c r="C1272" s="792" t="s">
        <v>899</v>
      </c>
      <c r="D1272" s="979">
        <v>5.0999999999999996</v>
      </c>
      <c r="E1272" s="979" t="s">
        <v>700</v>
      </c>
      <c r="F1272" s="997">
        <v>28</v>
      </c>
      <c r="G1272" s="1023">
        <v>1</v>
      </c>
      <c r="H1272" s="991" t="str">
        <f>IF(E1272="","",IF(E1272="No.","Each",IF(E1272="Nos.","Each",E1272)))</f>
        <v>Kgs.</v>
      </c>
      <c r="I1272" s="986">
        <f>IF(G1272="",D1272*F1272,(D1272*F1272/G1272))</f>
        <v>142.79999999999998</v>
      </c>
    </row>
    <row r="1273" spans="1:9">
      <c r="F1273" s="997"/>
      <c r="G1273" s="1023"/>
      <c r="H1273" s="991"/>
      <c r="I1273" s="986">
        <f>SUM(I1271:I1272)</f>
        <v>453.9</v>
      </c>
    </row>
    <row r="1274" spans="1:9">
      <c r="C1274" s="1220" t="s">
        <v>1014</v>
      </c>
      <c r="D1274" s="1026">
        <f>$D$3</f>
        <v>0</v>
      </c>
      <c r="E1274" s="1213"/>
      <c r="F1274" s="997">
        <f>I1273</f>
        <v>453.9</v>
      </c>
      <c r="G1274" s="1023"/>
      <c r="H1274" s="991"/>
      <c r="I1274" s="997">
        <f>ROUND(D1274*F1274,2)</f>
        <v>0</v>
      </c>
    </row>
    <row r="1275" spans="1:9">
      <c r="C1275" s="980" t="s">
        <v>406</v>
      </c>
      <c r="I1275" s="998">
        <f>CEILING(SUM(I1273:I1274),0.05)</f>
        <v>453.90000000000003</v>
      </c>
    </row>
    <row r="1276" spans="1:9">
      <c r="C1276" s="980"/>
      <c r="I1276" s="998"/>
    </row>
    <row r="1277" spans="1:9">
      <c r="C1277" s="980"/>
      <c r="I1277" s="998"/>
    </row>
    <row r="1278" spans="1:9" ht="98.25" customHeight="1">
      <c r="A1278" s="1019">
        <f>A1253+1</f>
        <v>32</v>
      </c>
      <c r="B1278" s="984"/>
      <c r="C1278" s="1493" t="s">
        <v>2410</v>
      </c>
      <c r="D1278" s="1493"/>
      <c r="E1278" s="1493"/>
      <c r="F1278" s="1493"/>
      <c r="G1278" s="1493"/>
      <c r="H1278" s="1493"/>
      <c r="I1278" s="1493"/>
    </row>
    <row r="1279" spans="1:9">
      <c r="A1279" s="1019"/>
      <c r="B1279" s="984"/>
      <c r="C1279" s="792" t="s">
        <v>164</v>
      </c>
      <c r="D1279" s="1023">
        <v>0.1</v>
      </c>
      <c r="E1279" s="1213" t="s">
        <v>364</v>
      </c>
      <c r="F1279" s="997">
        <f>$F$130</f>
        <v>150</v>
      </c>
      <c r="G1279" s="1023">
        <v>1</v>
      </c>
      <c r="H1279" s="991" t="str">
        <f>IF(E1279="","",IF(E1279="No.","Each",IF(E1279="Nos.","Each",E1279)))</f>
        <v>Kgs</v>
      </c>
      <c r="I1279" s="997">
        <f>IF(G1279="",D1279*F1279,(D1279*F1279/G1279))</f>
        <v>15</v>
      </c>
    </row>
    <row r="1280" spans="1:9">
      <c r="A1280" s="1019"/>
      <c r="B1280" s="984"/>
      <c r="C1280" s="792" t="s">
        <v>1064</v>
      </c>
      <c r="D1280" s="1023">
        <v>0.08</v>
      </c>
      <c r="E1280" s="1213" t="s">
        <v>133</v>
      </c>
      <c r="F1280" s="997">
        <f>$F$133</f>
        <v>195</v>
      </c>
      <c r="G1280" s="1023">
        <v>1</v>
      </c>
      <c r="H1280" s="991" t="str">
        <f>IF(E1280="","",IF(E1280="No.","Each",IF(E1280="Nos.","Each",E1280)))</f>
        <v>Ltr</v>
      </c>
      <c r="I1280" s="997">
        <f>IF(G1280="",D1280*F1280,(D1280*F1280/G1280))</f>
        <v>15.6</v>
      </c>
    </row>
    <row r="1281" spans="1:9">
      <c r="A1281" s="1019"/>
      <c r="B1281" s="984"/>
      <c r="C1281" s="1214" t="s">
        <v>165</v>
      </c>
      <c r="D1281" s="1023"/>
      <c r="E1281" s="1213"/>
      <c r="F1281" s="997"/>
      <c r="G1281" s="1023"/>
      <c r="H1281" s="991"/>
      <c r="I1281" s="997"/>
    </row>
    <row r="1282" spans="1:9">
      <c r="A1282" s="1019"/>
      <c r="B1282" s="984"/>
      <c r="C1282" s="792" t="s">
        <v>166</v>
      </c>
      <c r="D1282" s="1023">
        <v>2.1000000000000001E-2</v>
      </c>
      <c r="E1282" s="1213" t="s">
        <v>499</v>
      </c>
      <c r="F1282" s="997">
        <f>$F$19</f>
        <v>714</v>
      </c>
      <c r="G1282" s="1023">
        <v>1</v>
      </c>
      <c r="H1282" s="991" t="str">
        <f>IF(E1282="","",IF(E1282="No.","Each",IF(E1282="Nos.","Each",E1282)))</f>
        <v>Each</v>
      </c>
      <c r="I1282" s="997">
        <f>IF(G1282="",D1282*F1282,(D1282*F1282/G1282))</f>
        <v>14.994000000000002</v>
      </c>
    </row>
    <row r="1283" spans="1:9">
      <c r="A1283" s="1019"/>
      <c r="B1283" s="984"/>
      <c r="C1283" s="792" t="s">
        <v>167</v>
      </c>
      <c r="D1283" s="1023">
        <v>4.9000000000000002E-2</v>
      </c>
      <c r="E1283" s="1213" t="s">
        <v>499</v>
      </c>
      <c r="F1283" s="997">
        <f>$F$20</f>
        <v>588</v>
      </c>
      <c r="G1283" s="1023">
        <v>1</v>
      </c>
      <c r="H1283" s="991" t="str">
        <f>IF(E1283="","",IF(E1283="No.","Each",IF(E1283="Nos.","Each",E1283)))</f>
        <v>Each</v>
      </c>
      <c r="I1283" s="997">
        <f>IF(G1283="",D1283*F1283,(D1283*F1283/G1283))</f>
        <v>28.812000000000001</v>
      </c>
    </row>
    <row r="1284" spans="1:9">
      <c r="A1284" s="1019"/>
      <c r="B1284" s="984"/>
      <c r="C1284" s="1214" t="s">
        <v>168</v>
      </c>
      <c r="D1284" s="1023"/>
      <c r="E1284" s="1213"/>
      <c r="F1284" s="997"/>
      <c r="G1284" s="1023"/>
      <c r="H1284" s="991"/>
      <c r="I1284" s="997"/>
    </row>
    <row r="1285" spans="1:9">
      <c r="A1285" s="1019"/>
      <c r="B1285" s="984"/>
      <c r="C1285" s="792" t="s">
        <v>166</v>
      </c>
      <c r="D1285" s="1023">
        <v>3.5999999999999997E-2</v>
      </c>
      <c r="E1285" s="1213" t="s">
        <v>499</v>
      </c>
      <c r="F1285" s="997">
        <f>F1282</f>
        <v>714</v>
      </c>
      <c r="G1285" s="1023">
        <v>1</v>
      </c>
      <c r="H1285" s="991" t="str">
        <f>IF(E1285="","",IF(E1285="No.","Each",IF(E1285="Nos.","Each",E1285)))</f>
        <v>Each</v>
      </c>
      <c r="I1285" s="997">
        <f>IF(G1285="",D1285*F1285,(D1285*F1285/G1285))</f>
        <v>25.703999999999997</v>
      </c>
    </row>
    <row r="1286" spans="1:9">
      <c r="A1286" s="1019"/>
      <c r="B1286" s="984"/>
      <c r="C1286" s="792" t="s">
        <v>167</v>
      </c>
      <c r="D1286" s="1023">
        <v>8.4000000000000005E-2</v>
      </c>
      <c r="E1286" s="1213" t="s">
        <v>499</v>
      </c>
      <c r="F1286" s="997">
        <f>F1283</f>
        <v>588</v>
      </c>
      <c r="G1286" s="1023">
        <v>1</v>
      </c>
      <c r="H1286" s="991" t="str">
        <f>IF(E1286="","",IF(E1286="No.","Each",IF(E1286="Nos.","Each",E1286)))</f>
        <v>Each</v>
      </c>
      <c r="I1286" s="997">
        <f>IF(G1286="",D1286*F1286,(D1286*F1286/G1286))</f>
        <v>49.392000000000003</v>
      </c>
    </row>
    <row r="1287" spans="1:9">
      <c r="A1287" s="1019"/>
      <c r="B1287" s="984"/>
      <c r="D1287" s="1023"/>
      <c r="E1287" s="1213"/>
      <c r="F1287" s="997"/>
      <c r="G1287" s="1023"/>
      <c r="H1287" s="991"/>
      <c r="I1287" s="997">
        <f>SUM(I1279:I1286)</f>
        <v>149.50200000000001</v>
      </c>
    </row>
    <row r="1288" spans="1:9">
      <c r="A1288" s="1019"/>
      <c r="B1288" s="984"/>
      <c r="C1288" s="1220" t="s">
        <v>1014</v>
      </c>
      <c r="D1288" s="1026">
        <f>$D$3</f>
        <v>0</v>
      </c>
      <c r="E1288" s="1213"/>
      <c r="F1288" s="997">
        <f>I1287</f>
        <v>149.50200000000001</v>
      </c>
      <c r="G1288" s="1023"/>
      <c r="H1288" s="991"/>
      <c r="I1288" s="997">
        <f>ROUND(D1288*F1288,2)</f>
        <v>0</v>
      </c>
    </row>
    <row r="1289" spans="1:9">
      <c r="A1289" s="1019"/>
      <c r="B1289" s="1020"/>
      <c r="C1289" s="980" t="s">
        <v>505</v>
      </c>
      <c r="D1289" s="1021"/>
      <c r="E1289" s="1003"/>
      <c r="F1289" s="986"/>
      <c r="G1289" s="1023"/>
      <c r="H1289" s="980" t="s">
        <v>466</v>
      </c>
      <c r="I1289" s="998">
        <f>CEILING(SUM(I1287:I1288),0.05)</f>
        <v>149.55000000000001</v>
      </c>
    </row>
    <row r="1290" spans="1:9" ht="12.75" customHeight="1">
      <c r="A1290" s="1019">
        <f>+A1278+1</f>
        <v>33</v>
      </c>
      <c r="B1290" s="984"/>
      <c r="C1290" s="1493" t="s">
        <v>1208</v>
      </c>
      <c r="D1290" s="1493"/>
      <c r="E1290" s="1493"/>
      <c r="F1290" s="1493"/>
      <c r="G1290" s="1493"/>
      <c r="H1290" s="1493"/>
      <c r="I1290" s="1493"/>
    </row>
    <row r="1291" spans="1:9">
      <c r="A1291" s="1019"/>
      <c r="B1291" s="984"/>
      <c r="C1291" s="1503" t="s">
        <v>1209</v>
      </c>
      <c r="D1291" s="1503"/>
      <c r="E1291" s="1215"/>
      <c r="F1291" s="1215"/>
      <c r="G1291" s="1215"/>
      <c r="H1291" s="1215"/>
      <c r="I1291" s="1215"/>
    </row>
    <row r="1292" spans="1:9">
      <c r="A1292" s="1019"/>
      <c r="B1292" s="984"/>
      <c r="C1292" s="642" t="s">
        <v>1051</v>
      </c>
      <c r="D1292" s="1219"/>
      <c r="E1292" s="1215"/>
      <c r="F1292" s="1215"/>
      <c r="G1292" s="1215"/>
      <c r="H1292" s="1215"/>
      <c r="I1292" s="1215"/>
    </row>
    <row r="1293" spans="1:9">
      <c r="A1293" s="1019"/>
      <c r="B1293" s="984"/>
      <c r="C1293" s="642" t="s">
        <v>1210</v>
      </c>
      <c r="D1293" s="1055">
        <v>23</v>
      </c>
      <c r="E1293" s="642" t="s">
        <v>364</v>
      </c>
      <c r="F1293" s="997">
        <v>35</v>
      </c>
      <c r="G1293" s="1023">
        <v>1</v>
      </c>
      <c r="H1293" s="991" t="str">
        <f>IF(E1293="","",IF(E1293="No.","Each",IF(E1293="Nos.","Each",E1293)))</f>
        <v>Kgs</v>
      </c>
      <c r="I1293" s="997">
        <f>IF(G1293="",D1293*F1293,(D1293*F1293/G1293))</f>
        <v>805</v>
      </c>
    </row>
    <row r="1294" spans="1:9">
      <c r="A1294" s="1019"/>
      <c r="B1294" s="984"/>
      <c r="C1294" s="642" t="s">
        <v>771</v>
      </c>
      <c r="D1294" s="549">
        <v>0.27300000000000002</v>
      </c>
      <c r="E1294" s="642" t="s">
        <v>499</v>
      </c>
      <c r="F1294" s="997">
        <f>$F$19</f>
        <v>714</v>
      </c>
      <c r="G1294" s="1023">
        <v>1</v>
      </c>
      <c r="H1294" s="991" t="str">
        <f>IF(E1294="","",IF(E1294="No.","Each",IF(E1294="Nos.","Each",E1294)))</f>
        <v>Each</v>
      </c>
      <c r="I1294" s="997">
        <f>IF(G1294="",D1294*F1294,(D1294*F1294/G1294))</f>
        <v>194.92200000000003</v>
      </c>
    </row>
    <row r="1295" spans="1:9">
      <c r="A1295" s="1019"/>
      <c r="B1295" s="984"/>
      <c r="C1295" s="642" t="s">
        <v>772</v>
      </c>
      <c r="D1295" s="549">
        <v>0.63700000000000001</v>
      </c>
      <c r="E1295" s="642" t="s">
        <v>499</v>
      </c>
      <c r="F1295" s="997">
        <f>$F$20</f>
        <v>588</v>
      </c>
      <c r="G1295" s="1023">
        <v>1</v>
      </c>
      <c r="H1295" s="991" t="str">
        <f>IF(E1295="","",IF(E1295="No.","Each",IF(E1295="Nos.","Each",E1295)))</f>
        <v>Each</v>
      </c>
      <c r="I1295" s="997">
        <f>IF(G1295="",D1295*F1295,(D1295*F1295/G1295))</f>
        <v>374.55599999999998</v>
      </c>
    </row>
    <row r="1296" spans="1:9">
      <c r="A1296" s="1019"/>
      <c r="B1296" s="984"/>
      <c r="C1296" s="642" t="s">
        <v>839</v>
      </c>
      <c r="D1296" s="1055">
        <v>0.91</v>
      </c>
      <c r="E1296" s="642" t="s">
        <v>499</v>
      </c>
      <c r="F1296" s="997">
        <f>F22</f>
        <v>558</v>
      </c>
      <c r="G1296" s="1023">
        <v>1</v>
      </c>
      <c r="H1296" s="991" t="str">
        <f>IF(E1296="","",IF(E1296="No.","Each",IF(E1296="Nos.","Each",E1296)))</f>
        <v>Each</v>
      </c>
      <c r="I1296" s="997">
        <f>IF(G1296="",D1296*F1296,(D1296*F1296/G1296))</f>
        <v>507.78000000000003</v>
      </c>
    </row>
    <row r="1297" spans="1:9" ht="24.6">
      <c r="A1297" s="1019"/>
      <c r="B1297" s="984"/>
      <c r="C1297" s="642" t="s">
        <v>1211</v>
      </c>
      <c r="D1297" s="1055">
        <v>0.01</v>
      </c>
      <c r="F1297" s="1056">
        <f>SUM(I1293:I1296)</f>
        <v>1882.258</v>
      </c>
      <c r="G1297" s="1023"/>
      <c r="H1297" s="991"/>
      <c r="I1297" s="997">
        <f>D1297*F1297</f>
        <v>18.822580000000002</v>
      </c>
    </row>
    <row r="1298" spans="1:9">
      <c r="A1298" s="1019"/>
      <c r="B1298" s="984"/>
      <c r="D1298" s="1023"/>
      <c r="E1298" s="1213"/>
      <c r="F1298" s="997"/>
      <c r="G1298" s="1023"/>
      <c r="H1298" s="991"/>
      <c r="I1298" s="997">
        <f>SUM(I1293:I1297)</f>
        <v>1901.0805800000001</v>
      </c>
    </row>
    <row r="1299" spans="1:9">
      <c r="A1299" s="1019"/>
      <c r="B1299" s="984"/>
      <c r="C1299" s="1220" t="s">
        <v>1014</v>
      </c>
      <c r="D1299" s="1026">
        <f>$D$3</f>
        <v>0</v>
      </c>
      <c r="E1299" s="1213"/>
      <c r="F1299" s="997">
        <f>I1298</f>
        <v>1901.0805800000001</v>
      </c>
      <c r="G1299" s="1023"/>
      <c r="H1299" s="991"/>
      <c r="I1299" s="997">
        <f>ROUND(D1299*F1299,2)</f>
        <v>0</v>
      </c>
    </row>
    <row r="1300" spans="1:9">
      <c r="A1300" s="1019"/>
      <c r="B1300" s="1020"/>
      <c r="C1300" s="980" t="s">
        <v>1212</v>
      </c>
      <c r="D1300" s="1021"/>
      <c r="E1300" s="1003"/>
      <c r="F1300" s="986"/>
      <c r="G1300" s="1023"/>
      <c r="H1300" s="980" t="s">
        <v>466</v>
      </c>
      <c r="I1300" s="998">
        <f>CEILING(SUM(I1298:I1299),0.05)</f>
        <v>1901.1000000000001</v>
      </c>
    </row>
    <row r="1301" spans="1:9">
      <c r="A1301" s="1019"/>
      <c r="B1301" s="1020"/>
      <c r="C1301" s="980"/>
      <c r="D1301" s="1021"/>
      <c r="E1301" s="1003"/>
      <c r="F1301" s="986"/>
      <c r="G1301" s="1023"/>
      <c r="H1301" s="980"/>
      <c r="I1301" s="998">
        <f>I1300/10</f>
        <v>190.11</v>
      </c>
    </row>
    <row r="1302" spans="1:9">
      <c r="A1302" s="1019"/>
      <c r="B1302" s="1020"/>
      <c r="C1302" s="980" t="s">
        <v>505</v>
      </c>
      <c r="D1302" s="1021"/>
      <c r="E1302" s="1003"/>
      <c r="F1302" s="986"/>
      <c r="G1302" s="1023"/>
      <c r="H1302" s="980"/>
      <c r="I1302" s="1039">
        <f>ROUND(I1301,1)</f>
        <v>190.1</v>
      </c>
    </row>
    <row r="1303" spans="1:9" ht="94.5" customHeight="1">
      <c r="A1303" s="1019">
        <f>+A1278+1</f>
        <v>33</v>
      </c>
      <c r="B1303" s="984"/>
      <c r="C1303" s="1493" t="s">
        <v>2496</v>
      </c>
      <c r="D1303" s="1493"/>
      <c r="E1303" s="1493"/>
      <c r="F1303" s="1493"/>
      <c r="G1303" s="1493"/>
      <c r="H1303" s="1493"/>
      <c r="I1303" s="1493"/>
    </row>
    <row r="1304" spans="1:9" ht="15.75" customHeight="1">
      <c r="A1304" s="1019"/>
      <c r="B1304" s="984"/>
      <c r="C1304" s="792" t="s">
        <v>1066</v>
      </c>
      <c r="D1304" s="1023">
        <v>0.1</v>
      </c>
      <c r="E1304" s="1213" t="s">
        <v>364</v>
      </c>
      <c r="F1304" s="997">
        <f>$F$131</f>
        <v>191</v>
      </c>
      <c r="G1304" s="1023">
        <v>1</v>
      </c>
      <c r="H1304" s="991" t="str">
        <f>IF(E1304="","",IF(E1304="No.","Each",IF(E1304="Nos.","Each",E1304)))</f>
        <v>Kgs</v>
      </c>
      <c r="I1304" s="997">
        <v>0</v>
      </c>
    </row>
    <row r="1305" spans="1:9" ht="15.75" customHeight="1">
      <c r="A1305" s="1019"/>
      <c r="B1305" s="984"/>
      <c r="C1305" s="792" t="s">
        <v>1064</v>
      </c>
      <c r="D1305" s="1023">
        <v>0.08</v>
      </c>
      <c r="E1305" s="1213" t="s">
        <v>133</v>
      </c>
      <c r="F1305" s="997">
        <f>$F$134</f>
        <v>204</v>
      </c>
      <c r="G1305" s="1023">
        <v>1</v>
      </c>
      <c r="H1305" s="991" t="str">
        <f>IF(E1305="","",IF(E1305="No.","Each",IF(E1305="Nos.","Each",E1305)))</f>
        <v>Ltr</v>
      </c>
      <c r="I1305" s="997">
        <f>IF(G1305="",D1305*F1305,(D1305*F1305/G1305))</f>
        <v>16.32</v>
      </c>
    </row>
    <row r="1306" spans="1:9" ht="15.75" customHeight="1">
      <c r="A1306" s="1019"/>
      <c r="B1306" s="984"/>
      <c r="C1306" s="1214" t="s">
        <v>165</v>
      </c>
      <c r="D1306" s="1023"/>
      <c r="E1306" s="1213"/>
      <c r="F1306" s="997"/>
      <c r="G1306" s="1023"/>
      <c r="H1306" s="991"/>
      <c r="I1306" s="997"/>
    </row>
    <row r="1307" spans="1:9" ht="15.75" customHeight="1">
      <c r="A1307" s="1019"/>
      <c r="B1307" s="984"/>
      <c r="C1307" s="792" t="s">
        <v>166</v>
      </c>
      <c r="D1307" s="1023">
        <v>2.1000000000000001E-2</v>
      </c>
      <c r="E1307" s="1213" t="s">
        <v>499</v>
      </c>
      <c r="F1307" s="997">
        <f>$F$19</f>
        <v>714</v>
      </c>
      <c r="G1307" s="1023">
        <v>1</v>
      </c>
      <c r="H1307" s="991" t="str">
        <f>IF(E1307="","",IF(E1307="No.","Each",IF(E1307="Nos.","Each",E1307)))</f>
        <v>Each</v>
      </c>
      <c r="I1307" s="997">
        <v>0</v>
      </c>
    </row>
    <row r="1308" spans="1:9" ht="15.75" customHeight="1">
      <c r="A1308" s="1019"/>
      <c r="B1308" s="984"/>
      <c r="C1308" s="792" t="s">
        <v>167</v>
      </c>
      <c r="D1308" s="1023">
        <v>4.9000000000000002E-2</v>
      </c>
      <c r="E1308" s="1213" t="s">
        <v>499</v>
      </c>
      <c r="F1308" s="997">
        <f>$F$20</f>
        <v>588</v>
      </c>
      <c r="G1308" s="1023">
        <v>1</v>
      </c>
      <c r="H1308" s="991" t="str">
        <f>IF(E1308="","",IF(E1308="No.","Each",IF(E1308="Nos.","Each",E1308)))</f>
        <v>Each</v>
      </c>
      <c r="I1308" s="997">
        <v>0</v>
      </c>
    </row>
    <row r="1309" spans="1:9" ht="15.75" customHeight="1">
      <c r="A1309" s="1019"/>
      <c r="B1309" s="984"/>
      <c r="C1309" s="1214" t="s">
        <v>168</v>
      </c>
      <c r="D1309" s="1023"/>
      <c r="E1309" s="1213"/>
      <c r="F1309" s="997"/>
      <c r="G1309" s="1023"/>
      <c r="H1309" s="991"/>
      <c r="I1309" s="997"/>
    </row>
    <row r="1310" spans="1:9" ht="15.75" customHeight="1">
      <c r="A1310" s="1019"/>
      <c r="B1310" s="984"/>
      <c r="C1310" s="792" t="s">
        <v>166</v>
      </c>
      <c r="D1310" s="1023">
        <v>2.1000000000000001E-2</v>
      </c>
      <c r="E1310" s="1213" t="s">
        <v>499</v>
      </c>
      <c r="F1310" s="997">
        <f>F1307</f>
        <v>714</v>
      </c>
      <c r="G1310" s="1023">
        <v>1</v>
      </c>
      <c r="H1310" s="991" t="str">
        <f>IF(E1310="","",IF(E1310="No.","Each",IF(E1310="Nos.","Each",E1310)))</f>
        <v>Each</v>
      </c>
      <c r="I1310" s="997">
        <f>IF(G1310="",D1310*F1310,(D1310*F1310/G1310))</f>
        <v>14.994000000000002</v>
      </c>
    </row>
    <row r="1311" spans="1:9" ht="15.75" customHeight="1">
      <c r="A1311" s="1019"/>
      <c r="B1311" s="984"/>
      <c r="C1311" s="792" t="s">
        <v>167</v>
      </c>
      <c r="D1311" s="1023">
        <v>4.9000000000000002E-2</v>
      </c>
      <c r="E1311" s="1213" t="s">
        <v>499</v>
      </c>
      <c r="F1311" s="997">
        <f>F1308</f>
        <v>588</v>
      </c>
      <c r="G1311" s="1023">
        <v>1</v>
      </c>
      <c r="H1311" s="991" t="str">
        <f>IF(E1311="","",IF(E1311="No.","Each",IF(E1311="Nos.","Each",E1311)))</f>
        <v>Each</v>
      </c>
      <c r="I1311" s="997">
        <f>IF(G1311="",D1311*F1311,(D1311*F1311/G1311))</f>
        <v>28.812000000000001</v>
      </c>
    </row>
    <row r="1312" spans="1:9" ht="15.75" customHeight="1">
      <c r="A1312" s="1019"/>
      <c r="B1312" s="984"/>
      <c r="C1312" s="642" t="s">
        <v>839</v>
      </c>
      <c r="D1312" s="1032">
        <f>1.5/10</f>
        <v>0.15</v>
      </c>
      <c r="E1312" s="1057" t="s">
        <v>499</v>
      </c>
      <c r="F1312" s="1032">
        <f>F22</f>
        <v>558</v>
      </c>
      <c r="G1312" s="1033">
        <v>1</v>
      </c>
      <c r="H1312" s="1034" t="str">
        <f>IF(E1312="","",IF(E1312="No.","Each",IF(E1312="Nos.","Each",E1312)))</f>
        <v>Each</v>
      </c>
      <c r="I1312" s="1032">
        <f>IF(G1312="",D1312*F1312,(D1312*F1312/G1312))</f>
        <v>83.7</v>
      </c>
    </row>
    <row r="1313" spans="1:11" ht="15.75" customHeight="1">
      <c r="A1313" s="1019"/>
      <c r="B1313" s="984"/>
      <c r="D1313" s="1023"/>
      <c r="E1313" s="1213"/>
      <c r="F1313" s="997"/>
      <c r="G1313" s="1023"/>
      <c r="H1313" s="991"/>
      <c r="I1313" s="997">
        <f>SUM(I1304:I1312)</f>
        <v>143.82600000000002</v>
      </c>
    </row>
    <row r="1314" spans="1:11" ht="15.75" customHeight="1">
      <c r="A1314" s="1019"/>
      <c r="B1314" s="984"/>
      <c r="C1314" s="1220" t="s">
        <v>1014</v>
      </c>
      <c r="D1314" s="1026">
        <f>$D$3</f>
        <v>0</v>
      </c>
      <c r="E1314" s="1213"/>
      <c r="F1314" s="997">
        <f>I1313</f>
        <v>143.82600000000002</v>
      </c>
      <c r="G1314" s="1023"/>
      <c r="H1314" s="991"/>
      <c r="I1314" s="997">
        <f>ROUND(D1314*F1314,2)</f>
        <v>0</v>
      </c>
    </row>
    <row r="1315" spans="1:11" ht="15.75" customHeight="1">
      <c r="A1315" s="1019"/>
      <c r="B1315" s="1020"/>
      <c r="C1315" s="980" t="s">
        <v>505</v>
      </c>
      <c r="D1315" s="1021"/>
      <c r="E1315" s="1003"/>
      <c r="F1315" s="986"/>
      <c r="G1315" s="1023"/>
      <c r="H1315" s="980" t="s">
        <v>466</v>
      </c>
      <c r="I1315" s="998">
        <f>CEILING(SUM(I1313:I1314),0.05)</f>
        <v>143.85</v>
      </c>
    </row>
    <row r="1316" spans="1:11" ht="15.75" customHeight="1">
      <c r="A1316" s="1019"/>
      <c r="B1316" s="1020"/>
      <c r="C1316" s="980"/>
      <c r="D1316" s="1021"/>
      <c r="E1316" s="1003"/>
      <c r="F1316" s="986"/>
      <c r="G1316" s="1023"/>
      <c r="H1316" s="980"/>
      <c r="I1316" s="1012"/>
    </row>
    <row r="1317" spans="1:11" ht="12.75" customHeight="1">
      <c r="A1317" s="1019"/>
      <c r="B1317" s="1020"/>
      <c r="C1317" s="980"/>
      <c r="D1317" s="1021"/>
      <c r="E1317" s="1003"/>
      <c r="F1317" s="986"/>
      <c r="G1317" s="1023"/>
      <c r="H1317" s="980"/>
      <c r="I1317" s="1012"/>
    </row>
    <row r="1318" spans="1:11" ht="12.75" customHeight="1">
      <c r="A1318" s="979">
        <f>+A1303+1</f>
        <v>34</v>
      </c>
      <c r="C1318" s="1499" t="s">
        <v>1285</v>
      </c>
      <c r="D1318" s="1499"/>
      <c r="E1318" s="1499"/>
      <c r="F1318" s="1499"/>
      <c r="G1318" s="1499"/>
      <c r="H1318" s="1499"/>
      <c r="I1318" s="1499"/>
    </row>
    <row r="1319" spans="1:11">
      <c r="C1319" s="792" t="s">
        <v>1061</v>
      </c>
      <c r="D1319" s="997">
        <v>1</v>
      </c>
      <c r="E1319" s="979" t="s">
        <v>647</v>
      </c>
      <c r="F1319" s="997">
        <v>687</v>
      </c>
      <c r="G1319" s="1023">
        <v>1</v>
      </c>
      <c r="H1319" s="991" t="str">
        <f>IF(E1319="","",IF(E1319="No.","Each",IF(E1319="Nos.","Each",E1319)))</f>
        <v xml:space="preserve">RM </v>
      </c>
      <c r="I1319" s="986">
        <f>IF(G1319="",D1319*F1319,(D1319*F1319/G1319))</f>
        <v>687</v>
      </c>
      <c r="K1319" s="979" t="s">
        <v>1018</v>
      </c>
    </row>
    <row r="1320" spans="1:11">
      <c r="C1320" s="1220" t="s">
        <v>1014</v>
      </c>
      <c r="D1320" s="1026">
        <f>$D$3</f>
        <v>0</v>
      </c>
      <c r="E1320" s="1213"/>
      <c r="F1320" s="997">
        <f>I1319</f>
        <v>687</v>
      </c>
      <c r="G1320" s="1023"/>
      <c r="H1320" s="991"/>
      <c r="I1320" s="997">
        <f>ROUND(D1320*F1320,2)</f>
        <v>0</v>
      </c>
    </row>
    <row r="1321" spans="1:11">
      <c r="C1321" s="1214" t="s">
        <v>668</v>
      </c>
      <c r="H1321" s="1224"/>
      <c r="I1321" s="998">
        <f>CEILING(SUM(I1319:I1320),0.05)</f>
        <v>687</v>
      </c>
    </row>
    <row r="1322" spans="1:11" ht="12.75" customHeight="1">
      <c r="A1322" s="979">
        <f>A1318+1</f>
        <v>35</v>
      </c>
      <c r="C1322" s="1499" t="s">
        <v>282</v>
      </c>
      <c r="D1322" s="1499"/>
      <c r="E1322" s="1499"/>
      <c r="F1322" s="1499"/>
      <c r="G1322" s="1499"/>
      <c r="H1322" s="1499"/>
      <c r="I1322" s="1499"/>
    </row>
    <row r="1323" spans="1:11" ht="24.6">
      <c r="C1323" s="792" t="s">
        <v>1062</v>
      </c>
      <c r="D1323" s="997">
        <v>1</v>
      </c>
      <c r="E1323" s="979" t="s">
        <v>461</v>
      </c>
      <c r="F1323" s="997">
        <v>274</v>
      </c>
      <c r="G1323" s="979">
        <v>1</v>
      </c>
      <c r="H1323" s="979" t="s">
        <v>461</v>
      </c>
      <c r="I1323" s="986">
        <f>IF(G1323="",D1323*F1323,(D1323*F1323/G1323))</f>
        <v>274</v>
      </c>
      <c r="K1323" s="979" t="s">
        <v>1019</v>
      </c>
    </row>
    <row r="1324" spans="1:11">
      <c r="I1324" s="997">
        <f>SUM(I1323:I1323)</f>
        <v>274</v>
      </c>
    </row>
    <row r="1325" spans="1:11">
      <c r="C1325" s="1220" t="s">
        <v>1014</v>
      </c>
      <c r="D1325" s="1026">
        <f>$D$3</f>
        <v>0</v>
      </c>
      <c r="E1325" s="1213"/>
      <c r="F1325" s="997">
        <f>I1324</f>
        <v>274</v>
      </c>
      <c r="G1325" s="1023"/>
      <c r="H1325" s="991"/>
      <c r="I1325" s="997">
        <f>ROUND(D1325*F1325,2)</f>
        <v>0</v>
      </c>
    </row>
    <row r="1326" spans="1:11">
      <c r="C1326" s="1214" t="s">
        <v>645</v>
      </c>
      <c r="H1326" s="1224"/>
      <c r="I1326" s="998">
        <f>CEILING(SUM(I1324:I1325),0.05)</f>
        <v>274</v>
      </c>
    </row>
    <row r="1327" spans="1:11" ht="12.75" customHeight="1">
      <c r="A1327" s="979">
        <f>A1322+1</f>
        <v>36</v>
      </c>
      <c r="C1327" s="1499" t="s">
        <v>89</v>
      </c>
      <c r="D1327" s="1499"/>
      <c r="E1327" s="1499"/>
      <c r="F1327" s="1499"/>
      <c r="G1327" s="1499"/>
      <c r="H1327" s="1499"/>
      <c r="I1327" s="1499"/>
    </row>
    <row r="1328" spans="1:11" ht="12.75" customHeight="1">
      <c r="C1328" s="792" t="s">
        <v>900</v>
      </c>
      <c r="D1328" s="997">
        <v>1</v>
      </c>
      <c r="E1328" s="979" t="s">
        <v>461</v>
      </c>
      <c r="F1328" s="997">
        <v>366</v>
      </c>
      <c r="G1328" s="979">
        <v>1</v>
      </c>
      <c r="H1328" s="979" t="s">
        <v>461</v>
      </c>
      <c r="I1328" s="986">
        <f>IF(G1328="",D1328*F1328,(D1328*F1328/G1328))</f>
        <v>366</v>
      </c>
    </row>
    <row r="1329" spans="1:9" ht="12.75" customHeight="1">
      <c r="C1329" s="1220" t="s">
        <v>1014</v>
      </c>
      <c r="D1329" s="1026">
        <f>$D$3</f>
        <v>0</v>
      </c>
      <c r="E1329" s="1213"/>
      <c r="F1329" s="997">
        <f>I1328</f>
        <v>366</v>
      </c>
      <c r="G1329" s="1023"/>
      <c r="H1329" s="991"/>
      <c r="I1329" s="997">
        <f>ROUND(D1329*F1329,2)</f>
        <v>0</v>
      </c>
    </row>
    <row r="1330" spans="1:9" ht="12.75" customHeight="1">
      <c r="C1330" s="1214" t="s">
        <v>645</v>
      </c>
      <c r="H1330" s="979" t="s">
        <v>105</v>
      </c>
      <c r="I1330" s="998">
        <f>CEILING(SUM(I1328:I1329),0.05)</f>
        <v>366</v>
      </c>
    </row>
    <row r="1331" spans="1:9" ht="12.75" customHeight="1"/>
    <row r="1332" spans="1:9" ht="12.75" customHeight="1">
      <c r="A1332" s="979">
        <f>A1303+1</f>
        <v>34</v>
      </c>
      <c r="C1332" s="1493" t="s">
        <v>1305</v>
      </c>
      <c r="D1332" s="1493"/>
      <c r="E1332" s="1493"/>
      <c r="F1332" s="1493"/>
      <c r="G1332" s="1493"/>
      <c r="H1332" s="1493"/>
      <c r="I1332" s="1493"/>
    </row>
    <row r="1333" spans="1:9" ht="12.75" customHeight="1">
      <c r="C1333" s="792" t="s">
        <v>975</v>
      </c>
      <c r="D1333" s="987">
        <v>1</v>
      </c>
      <c r="E1333" s="979" t="s">
        <v>644</v>
      </c>
      <c r="F1333" s="987">
        <v>808</v>
      </c>
      <c r="G1333" s="979">
        <v>1</v>
      </c>
      <c r="H1333" s="993" t="s">
        <v>644</v>
      </c>
      <c r="I1333" s="986">
        <f>IF(G1333="",D1333*F1333,(D1333*F1333/G1333))</f>
        <v>808</v>
      </c>
    </row>
    <row r="1334" spans="1:9" ht="12.75" customHeight="1">
      <c r="C1334" s="792" t="s">
        <v>144</v>
      </c>
      <c r="D1334" s="985">
        <v>95</v>
      </c>
      <c r="E1334" s="1022" t="s">
        <v>364</v>
      </c>
      <c r="F1334" s="985">
        <f>LEAD!$P$28</f>
        <v>7168</v>
      </c>
      <c r="G1334" s="1023">
        <v>1000</v>
      </c>
      <c r="H1334" s="991" t="str">
        <f>IF(E1334="","",IF(E1334="No.","Each",IF(E1334="Nos.","Each",E1334)))</f>
        <v>Kgs</v>
      </c>
      <c r="I1334" s="986">
        <f>IF(G1334="",D1334*F1334,(D1334*F1334/G1334))</f>
        <v>680.96</v>
      </c>
    </row>
    <row r="1335" spans="1:9" ht="12.75" customHeight="1">
      <c r="C1335" s="792" t="s">
        <v>377</v>
      </c>
      <c r="D1335" s="987">
        <v>0.1</v>
      </c>
      <c r="E1335" s="979" t="s">
        <v>499</v>
      </c>
      <c r="F1335" s="987">
        <f>$F$9</f>
        <v>624</v>
      </c>
      <c r="G1335" s="979">
        <v>1</v>
      </c>
      <c r="H1335" s="1213" t="s">
        <v>268</v>
      </c>
      <c r="I1335" s="986">
        <f>IF(G1335="",D1335*F1335,(D1335*F1335/G1335))</f>
        <v>62.400000000000006</v>
      </c>
    </row>
    <row r="1336" spans="1:9" ht="12.75" customHeight="1">
      <c r="C1336" s="792" t="s">
        <v>621</v>
      </c>
      <c r="D1336" s="987">
        <v>2.36</v>
      </c>
      <c r="E1336" s="979" t="s">
        <v>499</v>
      </c>
      <c r="F1336" s="987">
        <f>$F$22</f>
        <v>558</v>
      </c>
      <c r="G1336" s="979">
        <v>1</v>
      </c>
      <c r="H1336" s="1213" t="s">
        <v>268</v>
      </c>
      <c r="I1336" s="986">
        <f>IF(G1336="",D1336*F1336,(D1336*F1336/G1336))</f>
        <v>1316.8799999999999</v>
      </c>
    </row>
    <row r="1337" spans="1:9" ht="12.75" customHeight="1">
      <c r="H1337" s="997"/>
      <c r="I1337" s="997">
        <f>SUM(I1333:I1336)</f>
        <v>2868.24</v>
      </c>
    </row>
    <row r="1338" spans="1:9" ht="12.75" customHeight="1">
      <c r="C1338" s="1220" t="s">
        <v>1014</v>
      </c>
      <c r="D1338" s="1026">
        <f>$D$3</f>
        <v>0</v>
      </c>
      <c r="H1338" s="997"/>
      <c r="I1338" s="997">
        <f>ROUND(I1337*D1338,2)</f>
        <v>0</v>
      </c>
    </row>
    <row r="1339" spans="1:9" ht="12.75" customHeight="1">
      <c r="C1339" s="979" t="s">
        <v>399</v>
      </c>
      <c r="G1339" s="1224"/>
      <c r="H1339" s="998"/>
      <c r="I1339" s="1058">
        <f>CEILING(SUM(I1337:I1338),0.05)</f>
        <v>2868.25</v>
      </c>
    </row>
    <row r="1340" spans="1:9" ht="12.75" customHeight="1">
      <c r="C1340" s="979"/>
      <c r="G1340" s="1224"/>
      <c r="H1340" s="998"/>
      <c r="I1340" s="1058"/>
    </row>
    <row r="1341" spans="1:9" ht="12.75" customHeight="1">
      <c r="A1341" s="979">
        <f>A1332+1</f>
        <v>35</v>
      </c>
      <c r="C1341" s="1493" t="s">
        <v>2304</v>
      </c>
      <c r="D1341" s="1493"/>
      <c r="E1341" s="1493"/>
      <c r="F1341" s="1493"/>
      <c r="G1341" s="1493"/>
      <c r="H1341" s="1493"/>
      <c r="I1341" s="1493"/>
    </row>
    <row r="1342" spans="1:9" ht="12.75" customHeight="1">
      <c r="C1342" s="979"/>
      <c r="G1342" s="1224"/>
      <c r="H1342" s="998"/>
      <c r="I1342" s="1058"/>
    </row>
    <row r="1343" spans="1:9" ht="12.75" customHeight="1">
      <c r="C1343" s="979" t="s">
        <v>747</v>
      </c>
      <c r="G1343" s="1224"/>
      <c r="H1343" s="998"/>
      <c r="I1343" s="1058"/>
    </row>
    <row r="1344" spans="1:9" ht="12.75" customHeight="1">
      <c r="C1344" s="979" t="s">
        <v>748</v>
      </c>
      <c r="G1344" s="1224"/>
      <c r="H1344" s="998"/>
      <c r="I1344" s="1058"/>
    </row>
    <row r="1345" spans="1:9" ht="12.75" customHeight="1">
      <c r="C1345" s="979" t="s">
        <v>1020</v>
      </c>
      <c r="D1345" s="979">
        <v>6.5000000000000002E-2</v>
      </c>
      <c r="E1345" s="979" t="s">
        <v>32</v>
      </c>
      <c r="F1345" s="979">
        <v>317</v>
      </c>
      <c r="G1345" s="1224">
        <v>1</v>
      </c>
      <c r="H1345" s="998" t="s">
        <v>32</v>
      </c>
      <c r="I1345" s="1058">
        <f>ROUND(D1345*F1345,2)</f>
        <v>20.61</v>
      </c>
    </row>
    <row r="1346" spans="1:9" ht="12.75" customHeight="1">
      <c r="C1346" s="979" t="s">
        <v>749</v>
      </c>
      <c r="G1346" s="1224"/>
      <c r="H1346" s="998"/>
      <c r="I1346" s="1058"/>
    </row>
    <row r="1347" spans="1:9" ht="12.75" customHeight="1">
      <c r="C1347" s="979" t="s">
        <v>771</v>
      </c>
      <c r="D1347" s="979">
        <v>0.24</v>
      </c>
      <c r="E1347" s="979" t="s">
        <v>594</v>
      </c>
      <c r="F1347" s="997">
        <f>F19</f>
        <v>714</v>
      </c>
      <c r="G1347" s="1224">
        <v>1</v>
      </c>
      <c r="H1347" s="998" t="s">
        <v>594</v>
      </c>
      <c r="I1347" s="1058">
        <f>ROUND(D1347*F1347,2)</f>
        <v>171.36</v>
      </c>
    </row>
    <row r="1348" spans="1:9" ht="12.75" customHeight="1">
      <c r="C1348" s="979" t="s">
        <v>772</v>
      </c>
      <c r="D1348" s="979">
        <v>0.56000000000000005</v>
      </c>
      <c r="E1348" s="979" t="s">
        <v>594</v>
      </c>
      <c r="F1348" s="997">
        <f>F20</f>
        <v>588</v>
      </c>
      <c r="G1348" s="1224">
        <v>1</v>
      </c>
      <c r="H1348" s="998" t="s">
        <v>594</v>
      </c>
      <c r="I1348" s="1058">
        <f>ROUND(D1348*F1348,2)</f>
        <v>329.28</v>
      </c>
    </row>
    <row r="1349" spans="1:9" ht="12.75" customHeight="1">
      <c r="C1349" s="979" t="s">
        <v>330</v>
      </c>
      <c r="D1349" s="979">
        <v>0.8</v>
      </c>
      <c r="E1349" s="979" t="s">
        <v>594</v>
      </c>
      <c r="F1349" s="997">
        <f>F22</f>
        <v>558</v>
      </c>
      <c r="G1349" s="1224">
        <v>1</v>
      </c>
      <c r="H1349" s="998" t="s">
        <v>594</v>
      </c>
      <c r="I1349" s="1058">
        <f>ROUND(D1349*F1349,2)</f>
        <v>446.4</v>
      </c>
    </row>
    <row r="1350" spans="1:9" ht="12.75" customHeight="1">
      <c r="G1350" s="1224"/>
      <c r="H1350" s="998"/>
      <c r="I1350" s="1058">
        <f>SUM(I1345:I1349)</f>
        <v>967.65</v>
      </c>
    </row>
    <row r="1351" spans="1:9" ht="12.75" customHeight="1">
      <c r="C1351" s="979" t="s">
        <v>751</v>
      </c>
      <c r="D1351" s="1059">
        <f>D1338</f>
        <v>0</v>
      </c>
      <c r="F1351" s="997">
        <f>I1350</f>
        <v>967.65</v>
      </c>
      <c r="G1351" s="1224"/>
      <c r="H1351" s="998"/>
      <c r="I1351" s="1058">
        <f>ROUND(D1351*F1351,2)</f>
        <v>0</v>
      </c>
    </row>
    <row r="1352" spans="1:9" ht="12.75" customHeight="1">
      <c r="C1352" s="979"/>
      <c r="G1352" s="1224"/>
      <c r="H1352" s="998"/>
      <c r="I1352" s="1058">
        <f>SUM(I1350:I1351)</f>
        <v>967.65</v>
      </c>
    </row>
    <row r="1353" spans="1:9" ht="12.75" customHeight="1">
      <c r="C1353" s="979" t="s">
        <v>362</v>
      </c>
      <c r="G1353" s="1224"/>
      <c r="H1353" s="998"/>
      <c r="I1353" s="1058">
        <f>I1352/10</f>
        <v>96.765000000000001</v>
      </c>
    </row>
    <row r="1354" spans="1:9" ht="12.75" customHeight="1">
      <c r="C1354" s="979"/>
      <c r="G1354" s="1224"/>
      <c r="H1354" s="998" t="s">
        <v>81</v>
      </c>
      <c r="I1354" s="1058">
        <f>CEILING(I1352,0.05)</f>
        <v>967.65000000000009</v>
      </c>
    </row>
    <row r="1355" spans="1:9" ht="12.75" customHeight="1">
      <c r="A1355" s="979">
        <f>A1341+1</f>
        <v>36</v>
      </c>
      <c r="C1355" s="1502" t="s">
        <v>752</v>
      </c>
      <c r="D1355" s="1502"/>
      <c r="E1355" s="1502"/>
      <c r="F1355" s="1502"/>
      <c r="G1355" s="1502"/>
      <c r="H1355" s="1502"/>
      <c r="I1355" s="1502"/>
    </row>
    <row r="1356" spans="1:9" ht="12.75" customHeight="1">
      <c r="C1356" s="979" t="s">
        <v>753</v>
      </c>
      <c r="G1356" s="1224"/>
      <c r="H1356" s="998"/>
      <c r="I1356" s="1058"/>
    </row>
    <row r="1357" spans="1:9" ht="12.75" customHeight="1">
      <c r="C1357" s="979" t="s">
        <v>1021</v>
      </c>
      <c r="D1357" s="979">
        <v>0.22800000000000001</v>
      </c>
      <c r="E1357" s="979" t="s">
        <v>328</v>
      </c>
      <c r="F1357" s="979">
        <v>188</v>
      </c>
      <c r="G1357" s="1224">
        <v>1</v>
      </c>
      <c r="H1357" s="998" t="s">
        <v>328</v>
      </c>
      <c r="I1357" s="1058">
        <f>ROUND(D1357*F1357,2)</f>
        <v>42.86</v>
      </c>
    </row>
    <row r="1358" spans="1:9" ht="12.75" customHeight="1">
      <c r="C1358" s="979" t="s">
        <v>1022</v>
      </c>
      <c r="D1358" s="979">
        <v>1.63</v>
      </c>
      <c r="E1358" s="979" t="s">
        <v>32</v>
      </c>
      <c r="F1358" s="979">
        <v>101</v>
      </c>
      <c r="G1358" s="1224">
        <v>1</v>
      </c>
      <c r="H1358" s="998" t="s">
        <v>32</v>
      </c>
      <c r="I1358" s="1058">
        <f>ROUND(D1358*F1358,2)</f>
        <v>164.63</v>
      </c>
    </row>
    <row r="1359" spans="1:9" ht="12.75" customHeight="1">
      <c r="C1359" s="979" t="s">
        <v>754</v>
      </c>
      <c r="G1359" s="1224"/>
      <c r="H1359" s="998"/>
      <c r="I1359" s="1058"/>
    </row>
    <row r="1360" spans="1:9" ht="12.75" customHeight="1">
      <c r="C1360" s="979" t="s">
        <v>755</v>
      </c>
      <c r="D1360" s="979">
        <v>3.2</v>
      </c>
      <c r="E1360" s="979" t="s">
        <v>594</v>
      </c>
      <c r="F1360" s="997">
        <f>F19</f>
        <v>714</v>
      </c>
      <c r="G1360" s="1224">
        <v>1</v>
      </c>
      <c r="H1360" s="998" t="s">
        <v>594</v>
      </c>
      <c r="I1360" s="1058">
        <f>ROUND(D1360*F1360,2)</f>
        <v>2284.8000000000002</v>
      </c>
    </row>
    <row r="1361" spans="1:18" ht="38.25" customHeight="1">
      <c r="C1361" s="979" t="s">
        <v>756</v>
      </c>
      <c r="D1361" s="979" t="s">
        <v>758</v>
      </c>
      <c r="G1361" s="1224"/>
      <c r="H1361" s="998"/>
      <c r="I1361" s="1058">
        <v>0</v>
      </c>
    </row>
    <row r="1362" spans="1:18" ht="12.75" customHeight="1">
      <c r="C1362" s="979" t="s">
        <v>757</v>
      </c>
      <c r="G1362" s="1224"/>
      <c r="H1362" s="998"/>
      <c r="I1362" s="1058">
        <f>SUM(I1357:I1361)</f>
        <v>2492.29</v>
      </c>
    </row>
    <row r="1363" spans="1:18" ht="12.75" customHeight="1">
      <c r="C1363" s="979" t="s">
        <v>751</v>
      </c>
      <c r="D1363" s="1059">
        <f>D1351</f>
        <v>0</v>
      </c>
      <c r="F1363" s="997">
        <f>I1362</f>
        <v>2492.29</v>
      </c>
      <c r="G1363" s="1224"/>
      <c r="H1363" s="998"/>
      <c r="I1363" s="1058">
        <f>ROUND(D1363*F1363,2)</f>
        <v>0</v>
      </c>
    </row>
    <row r="1364" spans="1:18" ht="12.75" customHeight="1">
      <c r="C1364" s="979"/>
      <c r="G1364" s="1224"/>
      <c r="H1364" s="998"/>
      <c r="I1364" s="1058">
        <f>SUM(I1362:I1363)</f>
        <v>2492.29</v>
      </c>
    </row>
    <row r="1365" spans="1:18" ht="12.75" customHeight="1">
      <c r="C1365" s="979"/>
      <c r="G1365" s="1224"/>
      <c r="H1365" s="998"/>
      <c r="I1365" s="1058">
        <f>I1364/10</f>
        <v>249.22899999999998</v>
      </c>
    </row>
    <row r="1366" spans="1:18" ht="12.75" customHeight="1">
      <c r="C1366" s="979" t="s">
        <v>750</v>
      </c>
      <c r="G1366" s="1224"/>
      <c r="H1366" s="998" t="s">
        <v>81</v>
      </c>
      <c r="I1366" s="1058">
        <f>CEILING(I1365,1)</f>
        <v>250</v>
      </c>
    </row>
    <row r="1367" spans="1:18" ht="12.75" customHeight="1">
      <c r="C1367" s="979" t="s">
        <v>759</v>
      </c>
      <c r="G1367" s="1224"/>
      <c r="H1367" s="998"/>
      <c r="I1367" s="1058">
        <f>I1366+I1354</f>
        <v>1217.6500000000001</v>
      </c>
    </row>
    <row r="1368" spans="1:18" ht="12.75" customHeight="1">
      <c r="C1368" s="979"/>
      <c r="G1368" s="1224"/>
      <c r="H1368" s="998"/>
      <c r="I1368" s="1058"/>
    </row>
    <row r="1369" spans="1:18" ht="12.75" customHeight="1">
      <c r="A1369" s="979">
        <f>A1355+1</f>
        <v>37</v>
      </c>
      <c r="C1369" s="1501" t="s">
        <v>599</v>
      </c>
      <c r="D1369" s="1501"/>
      <c r="E1369" s="1501"/>
      <c r="F1369" s="1501"/>
      <c r="G1369" s="1501"/>
      <c r="H1369" s="1501"/>
      <c r="I1369" s="1501"/>
      <c r="J1369" s="1031"/>
    </row>
    <row r="1370" spans="1:18" ht="12.75" customHeight="1">
      <c r="C1370" s="979" t="s">
        <v>760</v>
      </c>
      <c r="G1370" s="1224"/>
      <c r="H1370" s="998"/>
      <c r="I1370" s="1058"/>
    </row>
    <row r="1371" spans="1:18" ht="12.75" customHeight="1">
      <c r="C1371" s="792" t="s">
        <v>1213</v>
      </c>
      <c r="D1371" s="979">
        <v>10</v>
      </c>
      <c r="E1371" s="979" t="s">
        <v>222</v>
      </c>
      <c r="F1371" s="987">
        <v>450</v>
      </c>
      <c r="G1371" s="1224">
        <v>1</v>
      </c>
      <c r="H1371" s="998" t="s">
        <v>222</v>
      </c>
      <c r="I1371" s="1058">
        <f>ROUND(D1371*F1371,2)</f>
        <v>4500</v>
      </c>
    </row>
    <row r="1372" spans="1:18" ht="12.75" customHeight="1">
      <c r="C1372" s="792" t="s">
        <v>1214</v>
      </c>
      <c r="D1372" s="979">
        <v>3</v>
      </c>
      <c r="E1372" s="979" t="s">
        <v>327</v>
      </c>
      <c r="F1372" s="987">
        <v>111</v>
      </c>
      <c r="G1372" s="1224">
        <v>1</v>
      </c>
      <c r="H1372" s="998" t="s">
        <v>327</v>
      </c>
      <c r="I1372" s="1058">
        <f>ROUND(D1372*F1372,2)</f>
        <v>333</v>
      </c>
    </row>
    <row r="1373" spans="1:18" s="1001" customFormat="1" ht="12.75" customHeight="1">
      <c r="A1373" s="979"/>
      <c r="B1373" s="979"/>
      <c r="C1373" s="792" t="s">
        <v>1342</v>
      </c>
      <c r="D1373" s="979">
        <v>10</v>
      </c>
      <c r="E1373" s="979" t="s">
        <v>222</v>
      </c>
      <c r="F1373" s="987">
        <v>305</v>
      </c>
      <c r="G1373" s="1224">
        <v>1</v>
      </c>
      <c r="H1373" s="998" t="s">
        <v>222</v>
      </c>
      <c r="I1373" s="1058">
        <f>ROUND(D1373*F1373,2)</f>
        <v>3050</v>
      </c>
      <c r="J1373" s="979"/>
      <c r="K1373" s="979"/>
      <c r="L1373" s="1224"/>
      <c r="M1373" s="979"/>
      <c r="N1373" s="1224"/>
      <c r="O1373" s="979"/>
      <c r="P1373" s="1224"/>
      <c r="Q1373" s="979"/>
      <c r="R1373" s="979"/>
    </row>
    <row r="1374" spans="1:18" ht="12.75" customHeight="1">
      <c r="C1374" s="792" t="s">
        <v>276</v>
      </c>
      <c r="I1374" s="997">
        <f>SUM(I1371:I1373)</f>
        <v>7883</v>
      </c>
    </row>
    <row r="1375" spans="1:18" ht="12.75" customHeight="1">
      <c r="C1375" s="792" t="s">
        <v>277</v>
      </c>
      <c r="I1375" s="997">
        <f>I1374/10</f>
        <v>788.3</v>
      </c>
    </row>
    <row r="1376" spans="1:18" ht="12.75" customHeight="1">
      <c r="C1376" s="1220" t="s">
        <v>1014</v>
      </c>
      <c r="D1376" s="1026">
        <f>$D$3</f>
        <v>0</v>
      </c>
      <c r="I1376" s="987">
        <f>ROUND(I1375*D1376,2)</f>
        <v>0</v>
      </c>
    </row>
    <row r="1377" spans="1:9" ht="12.75" customHeight="1">
      <c r="C1377" s="979"/>
      <c r="G1377" s="1224"/>
      <c r="H1377" s="998"/>
      <c r="I1377" s="1058">
        <f>CEILING(SUM(I1375:I1376),0.05)</f>
        <v>788.30000000000007</v>
      </c>
    </row>
    <row r="1378" spans="1:9" ht="12.75" customHeight="1">
      <c r="C1378" s="979" t="s">
        <v>1008</v>
      </c>
      <c r="G1378" s="1224"/>
      <c r="H1378" s="998" t="s">
        <v>81</v>
      </c>
      <c r="I1378" s="1058">
        <f>CEILING(I1377,1)</f>
        <v>789</v>
      </c>
    </row>
    <row r="1379" spans="1:9" ht="12.75" customHeight="1">
      <c r="C1379" s="979"/>
      <c r="G1379" s="1224"/>
      <c r="H1379" s="998"/>
      <c r="I1379" s="1058"/>
    </row>
    <row r="1380" spans="1:9" ht="12.75" customHeight="1">
      <c r="A1380" s="979">
        <f>A1369+1</f>
        <v>38</v>
      </c>
      <c r="C1380" s="1501" t="s">
        <v>761</v>
      </c>
      <c r="D1380" s="1501"/>
      <c r="E1380" s="1501"/>
      <c r="F1380" s="1501"/>
      <c r="G1380" s="1501"/>
      <c r="H1380" s="1501"/>
      <c r="I1380" s="1501"/>
    </row>
    <row r="1381" spans="1:9" ht="12.75" customHeight="1">
      <c r="C1381" s="979"/>
      <c r="G1381" s="1224"/>
      <c r="H1381" s="998"/>
      <c r="I1381" s="1058"/>
    </row>
    <row r="1382" spans="1:9" ht="12.75" customHeight="1">
      <c r="C1382" s="979" t="s">
        <v>762</v>
      </c>
      <c r="D1382" s="979">
        <v>1</v>
      </c>
      <c r="E1382" s="979" t="s">
        <v>328</v>
      </c>
      <c r="F1382" s="979">
        <f>ROUND(LEAD!P31/1000,2)</f>
        <v>74.34</v>
      </c>
      <c r="G1382" s="1224">
        <v>1</v>
      </c>
      <c r="H1382" s="998" t="s">
        <v>328</v>
      </c>
      <c r="I1382" s="1058">
        <f>ROUND(D1382*F1382,2)</f>
        <v>74.34</v>
      </c>
    </row>
    <row r="1383" spans="1:9" ht="12.75" customHeight="1">
      <c r="C1383" s="979" t="s">
        <v>1023</v>
      </c>
      <c r="D1383" s="979">
        <v>1</v>
      </c>
      <c r="E1383" s="979" t="s">
        <v>328</v>
      </c>
      <c r="F1383" s="997">
        <v>31</v>
      </c>
      <c r="G1383" s="1224">
        <v>1</v>
      </c>
      <c r="H1383" s="998" t="s">
        <v>328</v>
      </c>
      <c r="I1383" s="1058">
        <f>ROUND(D1383*F1383,2)</f>
        <v>31</v>
      </c>
    </row>
    <row r="1384" spans="1:9" ht="25.5" customHeight="1">
      <c r="C1384" s="979" t="s">
        <v>1024</v>
      </c>
      <c r="D1384" s="979">
        <v>1</v>
      </c>
      <c r="E1384" s="979" t="s">
        <v>328</v>
      </c>
      <c r="F1384" s="997">
        <v>4</v>
      </c>
      <c r="G1384" s="1224">
        <v>1</v>
      </c>
      <c r="H1384" s="998" t="s">
        <v>328</v>
      </c>
      <c r="I1384" s="1058">
        <f>ROUND(D1384*F1384,2)</f>
        <v>4</v>
      </c>
    </row>
    <row r="1385" spans="1:9" ht="12.75" customHeight="1">
      <c r="C1385" s="979"/>
      <c r="G1385" s="1224"/>
      <c r="H1385" s="998"/>
      <c r="I1385" s="1058">
        <f>SUM(I1382:I1384)</f>
        <v>109.34</v>
      </c>
    </row>
    <row r="1386" spans="1:9" ht="12.75" customHeight="1">
      <c r="C1386" s="979" t="s">
        <v>751</v>
      </c>
      <c r="D1386" s="1059">
        <f>D1376</f>
        <v>0</v>
      </c>
      <c r="F1386" s="997">
        <f>I1385</f>
        <v>109.34</v>
      </c>
      <c r="G1386" s="1224"/>
      <c r="H1386" s="998"/>
      <c r="I1386" s="1058">
        <f>ROUND(D1386*F1386,2)</f>
        <v>0</v>
      </c>
    </row>
    <row r="1387" spans="1:9" ht="12.75" customHeight="1">
      <c r="C1387" s="979"/>
      <c r="G1387" s="1224"/>
      <c r="H1387" s="998"/>
      <c r="I1387" s="1058">
        <f>SUM(I1385:I1386)</f>
        <v>109.34</v>
      </c>
    </row>
    <row r="1388" spans="1:9" ht="12.75" customHeight="1">
      <c r="C1388" s="979"/>
      <c r="G1388" s="1224" t="s">
        <v>236</v>
      </c>
      <c r="H1388" s="998" t="s">
        <v>81</v>
      </c>
      <c r="I1388" s="1058">
        <f>CEILING(I1387,0.1)</f>
        <v>109.4</v>
      </c>
    </row>
    <row r="1389" spans="1:9" ht="12.75" customHeight="1">
      <c r="C1389" s="979"/>
      <c r="G1389" s="1224"/>
      <c r="H1389" s="998"/>
      <c r="I1389" s="1058"/>
    </row>
    <row r="1390" spans="1:9" ht="12.75" customHeight="1">
      <c r="A1390" s="979">
        <f>+A1380+1</f>
        <v>39</v>
      </c>
      <c r="C1390" s="1493" t="s">
        <v>16</v>
      </c>
      <c r="D1390" s="1493"/>
      <c r="E1390" s="1493"/>
      <c r="F1390" s="1493"/>
      <c r="G1390" s="1493"/>
      <c r="H1390" s="1493"/>
      <c r="I1390" s="1493"/>
    </row>
    <row r="1391" spans="1:9" ht="12.75" customHeight="1">
      <c r="C1391" s="979" t="s">
        <v>569</v>
      </c>
      <c r="D1391" s="987">
        <v>0.17</v>
      </c>
      <c r="E1391" s="979" t="s">
        <v>465</v>
      </c>
      <c r="F1391" s="986">
        <f>(LEAD!$P$19+LEAD!$P$18+LEAD!$P$17)/3</f>
        <v>1426.0033333333331</v>
      </c>
      <c r="G1391" s="979" t="s">
        <v>514</v>
      </c>
      <c r="I1391" s="984">
        <f>ROUND(F1391*D1391,2)</f>
        <v>242.42</v>
      </c>
    </row>
    <row r="1392" spans="1:9" ht="12.75" customHeight="1">
      <c r="C1392" s="792" t="s">
        <v>519</v>
      </c>
      <c r="D1392" s="979">
        <f>0.085</f>
        <v>8.5000000000000006E-2</v>
      </c>
      <c r="E1392" s="979" t="s">
        <v>465</v>
      </c>
      <c r="F1392" s="979">
        <f>LEAD!P7</f>
        <v>437.11999999999983</v>
      </c>
      <c r="G1392" s="979" t="s">
        <v>514</v>
      </c>
      <c r="I1392" s="984">
        <f>ROUND(F1392*D1392,2)</f>
        <v>37.159999999999997</v>
      </c>
    </row>
    <row r="1393" spans="1:18" ht="12.75" customHeight="1">
      <c r="C1393" s="792" t="s">
        <v>635</v>
      </c>
      <c r="D1393" s="979">
        <v>120</v>
      </c>
      <c r="E1393" s="979" t="s">
        <v>364</v>
      </c>
      <c r="F1393" s="979">
        <f>LEAD!P28</f>
        <v>7168</v>
      </c>
      <c r="G1393" s="979" t="s">
        <v>636</v>
      </c>
      <c r="I1393" s="984">
        <f>ROUND(F1393*D1393/1000,2)</f>
        <v>860.16</v>
      </c>
    </row>
    <row r="1394" spans="1:18" ht="12.75" customHeight="1">
      <c r="C1394" s="792" t="s">
        <v>637</v>
      </c>
      <c r="D1394" s="999">
        <v>1</v>
      </c>
      <c r="E1394" s="979" t="s">
        <v>465</v>
      </c>
      <c r="F1394" s="997">
        <f>D275</f>
        <v>3649.1397999999995</v>
      </c>
      <c r="G1394" s="979" t="s">
        <v>514</v>
      </c>
      <c r="I1394" s="984">
        <f>ROUND(F1394*D1394,2)</f>
        <v>3649.14</v>
      </c>
    </row>
    <row r="1395" spans="1:18" ht="12.75" customHeight="1">
      <c r="C1395" s="792" t="s">
        <v>638</v>
      </c>
      <c r="D1395" s="979">
        <v>1.25</v>
      </c>
      <c r="E1395" s="979" t="s">
        <v>327</v>
      </c>
      <c r="F1395" s="997">
        <f>$F$9</f>
        <v>624</v>
      </c>
      <c r="G1395" s="979" t="s">
        <v>331</v>
      </c>
      <c r="I1395" s="984">
        <f>ROUND(F1395*D1395,2)</f>
        <v>780</v>
      </c>
    </row>
    <row r="1396" spans="1:18" ht="12.75" customHeight="1">
      <c r="C1396" s="792" t="s">
        <v>639</v>
      </c>
      <c r="D1396" s="979">
        <v>0.06</v>
      </c>
      <c r="E1396" s="979" t="s">
        <v>327</v>
      </c>
      <c r="F1396" s="997">
        <f>$F$10</f>
        <v>588</v>
      </c>
      <c r="G1396" s="979" t="s">
        <v>331</v>
      </c>
      <c r="I1396" s="984">
        <f>ROUND(F1396*D1396,2)</f>
        <v>35.28</v>
      </c>
    </row>
    <row r="1397" spans="1:18" ht="12.75" customHeight="1">
      <c r="C1397" s="792" t="s">
        <v>621</v>
      </c>
      <c r="D1397" s="979">
        <v>2.5</v>
      </c>
      <c r="E1397" s="979" t="s">
        <v>327</v>
      </c>
      <c r="F1397" s="997">
        <f>$F$22</f>
        <v>558</v>
      </c>
      <c r="G1397" s="979" t="s">
        <v>331</v>
      </c>
      <c r="I1397" s="984">
        <f>ROUND(F1397*D1397,2)</f>
        <v>1395</v>
      </c>
    </row>
    <row r="1398" spans="1:18" ht="12.75" customHeight="1">
      <c r="C1398" s="792" t="s">
        <v>640</v>
      </c>
      <c r="D1398" s="979">
        <v>0.5</v>
      </c>
      <c r="E1398" s="979" t="s">
        <v>327</v>
      </c>
      <c r="F1398" s="997">
        <f>$F$23</f>
        <v>558</v>
      </c>
      <c r="G1398" s="979" t="s">
        <v>331</v>
      </c>
      <c r="I1398" s="984">
        <f>ROUND(F1398*D1398,2)</f>
        <v>279</v>
      </c>
    </row>
    <row r="1399" spans="1:18" ht="12.75" customHeight="1">
      <c r="C1399" s="792" t="s">
        <v>512</v>
      </c>
      <c r="I1399" s="997">
        <f>SUM(I1391:I1398)</f>
        <v>7278.16</v>
      </c>
    </row>
    <row r="1400" spans="1:18" ht="12.75" customHeight="1">
      <c r="C1400" s="792" t="s">
        <v>641</v>
      </c>
      <c r="I1400" s="997">
        <f>I1399/10</f>
        <v>727.81600000000003</v>
      </c>
    </row>
    <row r="1401" spans="1:18" ht="12.75" customHeight="1">
      <c r="C1401" s="1220" t="s">
        <v>1014</v>
      </c>
      <c r="D1401" s="1026">
        <f>$D$3</f>
        <v>0</v>
      </c>
      <c r="I1401" s="997">
        <f>ROUND(I1400*D1401,2)</f>
        <v>0</v>
      </c>
    </row>
    <row r="1402" spans="1:18" ht="12.75" customHeight="1">
      <c r="G1402" s="1492" t="s">
        <v>641</v>
      </c>
      <c r="H1402" s="1492"/>
      <c r="I1402" s="1058">
        <f>CEILING(SUM(I1400:I1401),0.05)</f>
        <v>727.85</v>
      </c>
    </row>
    <row r="1403" spans="1:18" ht="12.75" customHeight="1"/>
    <row r="1404" spans="1:18" ht="12.75" customHeight="1"/>
    <row r="1405" spans="1:18" s="1016" customFormat="1" ht="12.75" customHeight="1">
      <c r="A1405" s="1060">
        <f>A1341+1</f>
        <v>36</v>
      </c>
      <c r="B1405" s="1028"/>
      <c r="C1405" s="1493" t="s">
        <v>1215</v>
      </c>
      <c r="D1405" s="1493"/>
      <c r="E1405" s="1493"/>
      <c r="F1405" s="1493"/>
      <c r="G1405" s="1493"/>
      <c r="H1405" s="1493"/>
      <c r="I1405" s="1493"/>
      <c r="J1405" s="1031"/>
      <c r="K1405" s="1031"/>
      <c r="L1405" s="1031"/>
      <c r="M1405" s="1031"/>
      <c r="N1405" s="1031"/>
      <c r="O1405" s="1031"/>
      <c r="P1405" s="1031"/>
      <c r="Q1405" s="1031"/>
      <c r="R1405" s="1031"/>
    </row>
    <row r="1406" spans="1:18" s="1016" customFormat="1" ht="12.75" customHeight="1">
      <c r="A1406" s="1028"/>
      <c r="B1406" s="1028"/>
      <c r="C1406" s="1030" t="s">
        <v>981</v>
      </c>
      <c r="D1406" s="1031"/>
      <c r="E1406" s="1031"/>
      <c r="F1406" s="1031"/>
      <c r="G1406" s="1031"/>
      <c r="H1406" s="1031"/>
      <c r="I1406" s="1061"/>
      <c r="J1406" s="1031"/>
      <c r="K1406" s="1031"/>
      <c r="L1406" s="1031"/>
      <c r="M1406" s="1031"/>
      <c r="N1406" s="1031"/>
      <c r="O1406" s="1031"/>
      <c r="P1406" s="1031"/>
      <c r="Q1406" s="1031"/>
      <c r="R1406" s="1031"/>
    </row>
    <row r="1407" spans="1:18" s="1016" customFormat="1" ht="12.75" customHeight="1">
      <c r="A1407" s="1028"/>
      <c r="B1407" s="1028"/>
      <c r="C1407" s="642" t="s">
        <v>982</v>
      </c>
      <c r="D1407" s="1031"/>
      <c r="E1407" s="1031"/>
      <c r="F1407" s="1031"/>
      <c r="G1407" s="1031"/>
      <c r="H1407" s="1031"/>
      <c r="I1407" s="1061"/>
      <c r="J1407" s="1031"/>
      <c r="K1407" s="1031"/>
      <c r="L1407" s="1031"/>
      <c r="M1407" s="1031"/>
      <c r="N1407" s="1031"/>
      <c r="O1407" s="1031"/>
      <c r="P1407" s="1031"/>
      <c r="Q1407" s="1031"/>
      <c r="R1407" s="1031"/>
    </row>
    <row r="1408" spans="1:18" s="1016" customFormat="1" ht="12.75" customHeight="1">
      <c r="A1408" s="1028"/>
      <c r="B1408" s="1028"/>
      <c r="C1408" s="902" t="s">
        <v>983</v>
      </c>
      <c r="D1408" s="1062"/>
      <c r="E1408" s="1031"/>
      <c r="F1408" s="1062"/>
      <c r="G1408" s="1041"/>
      <c r="H1408" s="1031"/>
      <c r="I1408" s="1036"/>
      <c r="J1408" s="1031"/>
      <c r="K1408" s="1031"/>
      <c r="L1408" s="1031"/>
      <c r="M1408" s="1031"/>
      <c r="N1408" s="1031"/>
      <c r="O1408" s="1031"/>
      <c r="P1408" s="1031"/>
      <c r="Q1408" s="1031"/>
      <c r="R1408" s="1031"/>
    </row>
    <row r="1409" spans="1:18" s="1016" customFormat="1" ht="24.6">
      <c r="A1409" s="1028"/>
      <c r="B1409" s="1028"/>
      <c r="C1409" s="642" t="str">
        <f>C146</f>
        <v>Vitrified polish floor tiles 600 x 600 mm of 8 to 10 mm thickness normal colour 1 st quality</v>
      </c>
      <c r="D1409" s="1062">
        <v>10.5</v>
      </c>
      <c r="E1409" s="1031" t="s">
        <v>461</v>
      </c>
      <c r="F1409" s="1062">
        <f>F146</f>
        <v>421</v>
      </c>
      <c r="G1409" s="1041">
        <v>1</v>
      </c>
      <c r="H1409" s="1031" t="s">
        <v>461</v>
      </c>
      <c r="I1409" s="1036">
        <f>IF(G1409="",D1409*F1409,(D1409*F1409/G1409))</f>
        <v>4420.5</v>
      </c>
      <c r="J1409" s="1031"/>
      <c r="K1409" s="1031"/>
      <c r="L1409" s="1031"/>
      <c r="M1409" s="1031"/>
      <c r="N1409" s="1031"/>
      <c r="O1409" s="1031"/>
      <c r="P1409" s="1031"/>
      <c r="Q1409" s="1031"/>
      <c r="R1409" s="1031"/>
    </row>
    <row r="1410" spans="1:18" s="1016" customFormat="1">
      <c r="A1410" s="1028"/>
      <c r="B1410" s="1028"/>
      <c r="C1410" s="642" t="s">
        <v>984</v>
      </c>
      <c r="D1410" s="1062">
        <v>21.6</v>
      </c>
      <c r="E1410" s="1031" t="s">
        <v>364</v>
      </c>
      <c r="F1410" s="1062">
        <f>LEAD!P28</f>
        <v>7168</v>
      </c>
      <c r="G1410" s="1041">
        <v>1000</v>
      </c>
      <c r="H1410" s="1031" t="s">
        <v>364</v>
      </c>
      <c r="I1410" s="1036">
        <f>IF(G1410="",D1410*F1410,(D1410*F1410/G1410))</f>
        <v>154.82880000000003</v>
      </c>
      <c r="J1410" s="1031"/>
      <c r="K1410" s="1031"/>
      <c r="L1410" s="1031"/>
      <c r="M1410" s="1031"/>
      <c r="N1410" s="1031"/>
      <c r="O1410" s="1031"/>
      <c r="P1410" s="1031"/>
      <c r="Q1410" s="1031"/>
      <c r="R1410" s="1031"/>
    </row>
    <row r="1411" spans="1:18" s="1016" customFormat="1">
      <c r="A1411" s="1028"/>
      <c r="B1411" s="1028"/>
      <c r="C1411" s="642" t="s">
        <v>153</v>
      </c>
      <c r="D1411" s="1062">
        <v>33</v>
      </c>
      <c r="E1411" s="1031" t="s">
        <v>364</v>
      </c>
      <c r="F1411" s="1062">
        <f>F1410</f>
        <v>7168</v>
      </c>
      <c r="G1411" s="1041">
        <v>1000</v>
      </c>
      <c r="H1411" s="1031" t="s">
        <v>364</v>
      </c>
      <c r="I1411" s="1036">
        <f>IF(G1411="",D1411*F1411,(D1411*F1411/G1411))</f>
        <v>236.54400000000001</v>
      </c>
      <c r="J1411" s="1031"/>
      <c r="K1411" s="1031"/>
      <c r="L1411" s="1031"/>
      <c r="M1411" s="1031"/>
      <c r="N1411" s="1031"/>
      <c r="O1411" s="1031"/>
      <c r="P1411" s="1031"/>
      <c r="Q1411" s="1031"/>
      <c r="R1411" s="1031"/>
    </row>
    <row r="1412" spans="1:18" s="1016" customFormat="1">
      <c r="A1412" s="1028"/>
      <c r="B1412" s="1028"/>
      <c r="C1412" s="642" t="s">
        <v>1286</v>
      </c>
      <c r="D1412" s="1062">
        <v>6</v>
      </c>
      <c r="E1412" s="1031" t="s">
        <v>364</v>
      </c>
      <c r="F1412" s="1062">
        <f>F1411</f>
        <v>7168</v>
      </c>
      <c r="G1412" s="1041">
        <v>1000</v>
      </c>
      <c r="H1412" s="1031" t="s">
        <v>328</v>
      </c>
      <c r="I1412" s="1036">
        <f>IF(G1412="",D1412*F1412,(D1412*F1412/G1412))</f>
        <v>43.008000000000003</v>
      </c>
      <c r="J1412" s="1031"/>
      <c r="K1412" s="1031"/>
      <c r="L1412" s="1031"/>
      <c r="M1412" s="1031"/>
      <c r="N1412" s="1031"/>
      <c r="O1412" s="1031"/>
      <c r="P1412" s="1031"/>
      <c r="Q1412" s="1031"/>
      <c r="R1412" s="1031"/>
    </row>
    <row r="1413" spans="1:18" s="1016" customFormat="1">
      <c r="A1413" s="1028"/>
      <c r="B1413" s="1028"/>
      <c r="C1413" s="642" t="s">
        <v>985</v>
      </c>
      <c r="D1413" s="1062">
        <f>0.12</f>
        <v>0.12</v>
      </c>
      <c r="E1413" s="1031" t="s">
        <v>465</v>
      </c>
      <c r="F1413" s="1062">
        <f>LEAD!P7</f>
        <v>437.11999999999983</v>
      </c>
      <c r="G1413" s="1041">
        <v>1</v>
      </c>
      <c r="H1413" s="1031" t="s">
        <v>465</v>
      </c>
      <c r="I1413" s="1036">
        <f>IF(G1413="",D1413*F1413,(D1413*F1413/G1413))</f>
        <v>52.454399999999978</v>
      </c>
      <c r="J1413" s="1031"/>
      <c r="K1413" s="1031"/>
      <c r="L1413" s="1031"/>
      <c r="M1413" s="1031"/>
      <c r="N1413" s="1031"/>
      <c r="O1413" s="1031"/>
      <c r="P1413" s="1031"/>
      <c r="Q1413" s="1031"/>
      <c r="R1413" s="1031"/>
    </row>
    <row r="1414" spans="1:18" s="1016" customFormat="1">
      <c r="A1414" s="1028"/>
      <c r="B1414" s="1028"/>
      <c r="C1414" s="902" t="s">
        <v>986</v>
      </c>
      <c r="D1414" s="1062"/>
      <c r="E1414" s="1031"/>
      <c r="F1414" s="1062"/>
      <c r="G1414" s="1041"/>
      <c r="H1414" s="1031"/>
      <c r="I1414" s="1036"/>
      <c r="J1414" s="1031"/>
      <c r="K1414" s="1031"/>
      <c r="L1414" s="1031"/>
      <c r="M1414" s="1031"/>
      <c r="N1414" s="1031"/>
      <c r="O1414" s="1031"/>
      <c r="P1414" s="1031"/>
      <c r="Q1414" s="1031"/>
      <c r="R1414" s="1031"/>
    </row>
    <row r="1415" spans="1:18" s="1016" customFormat="1">
      <c r="A1415" s="1028"/>
      <c r="B1415" s="1028"/>
      <c r="C1415" s="642" t="s">
        <v>987</v>
      </c>
      <c r="D1415" s="1062">
        <v>0.96</v>
      </c>
      <c r="E1415" s="1031" t="s">
        <v>327</v>
      </c>
      <c r="F1415" s="1062">
        <f>F9</f>
        <v>624</v>
      </c>
      <c r="G1415" s="1041">
        <v>1</v>
      </c>
      <c r="H1415" s="1031" t="s">
        <v>268</v>
      </c>
      <c r="I1415" s="1036">
        <f>IF(G1415="",D1415*F1415,(D1415*F1415/G1415))</f>
        <v>599.04</v>
      </c>
      <c r="J1415" s="1031"/>
      <c r="K1415" s="1031"/>
      <c r="L1415" s="1031"/>
      <c r="M1415" s="1031"/>
      <c r="N1415" s="1031"/>
      <c r="O1415" s="1031"/>
      <c r="P1415" s="1031"/>
      <c r="Q1415" s="1031"/>
      <c r="R1415" s="1031"/>
    </row>
    <row r="1416" spans="1:18" s="1016" customFormat="1">
      <c r="A1416" s="1028"/>
      <c r="B1416" s="1028"/>
      <c r="C1416" s="642" t="s">
        <v>988</v>
      </c>
      <c r="D1416" s="1062">
        <v>2.2400000000000002</v>
      </c>
      <c r="E1416" s="1031" t="s">
        <v>327</v>
      </c>
      <c r="F1416" s="1062">
        <f>F10</f>
        <v>588</v>
      </c>
      <c r="G1416" s="1041">
        <v>1</v>
      </c>
      <c r="H1416" s="1031" t="s">
        <v>268</v>
      </c>
      <c r="I1416" s="1036">
        <f>IF(G1416="",D1416*F1416,(D1416*F1416/G1416))</f>
        <v>1317.1200000000001</v>
      </c>
      <c r="J1416" s="1031"/>
      <c r="K1416" s="1031"/>
      <c r="L1416" s="1031"/>
      <c r="M1416" s="1031"/>
      <c r="N1416" s="1031"/>
      <c r="O1416" s="1031"/>
      <c r="P1416" s="1031"/>
      <c r="Q1416" s="1031"/>
      <c r="R1416" s="1031"/>
    </row>
    <row r="1417" spans="1:18" s="1016" customFormat="1">
      <c r="A1417" s="1028"/>
      <c r="B1417" s="1028"/>
      <c r="C1417" s="642" t="s">
        <v>989</v>
      </c>
      <c r="D1417" s="1062">
        <v>3.3</v>
      </c>
      <c r="E1417" s="1031" t="s">
        <v>327</v>
      </c>
      <c r="F1417" s="1062">
        <f>F22</f>
        <v>558</v>
      </c>
      <c r="G1417" s="1041">
        <v>1</v>
      </c>
      <c r="H1417" s="1031" t="s">
        <v>268</v>
      </c>
      <c r="I1417" s="1036">
        <f>IF(G1417="",D1417*F1417,(D1417*F1417/G1417))</f>
        <v>1841.3999999999999</v>
      </c>
      <c r="J1417" s="1031"/>
      <c r="K1417" s="1031"/>
      <c r="L1417" s="1031"/>
      <c r="M1417" s="1031"/>
      <c r="N1417" s="1031"/>
      <c r="O1417" s="1031"/>
      <c r="P1417" s="1031"/>
      <c r="Q1417" s="1031"/>
      <c r="R1417" s="1031"/>
    </row>
    <row r="1418" spans="1:18" s="1016" customFormat="1">
      <c r="A1418" s="1028"/>
      <c r="B1418" s="1028"/>
      <c r="C1418" s="642" t="s">
        <v>1216</v>
      </c>
      <c r="D1418" s="1036"/>
      <c r="E1418" s="1031"/>
      <c r="F1418" s="1062">
        <f>SUM(F1415:F1417)</f>
        <v>1770</v>
      </c>
      <c r="G1418" s="1041"/>
      <c r="H1418" s="1031"/>
      <c r="I1418" s="1036">
        <f>IF(G1418="",D1418*F1418,(D1418*F1418/G1418))</f>
        <v>0</v>
      </c>
      <c r="J1418" s="1031"/>
      <c r="K1418" s="1031"/>
      <c r="L1418" s="1031"/>
      <c r="M1418" s="1031"/>
      <c r="N1418" s="1031"/>
      <c r="O1418" s="1031"/>
      <c r="P1418" s="1031"/>
      <c r="Q1418" s="1031"/>
      <c r="R1418" s="1031"/>
    </row>
    <row r="1419" spans="1:18" s="1016" customFormat="1">
      <c r="A1419" s="1028"/>
      <c r="B1419" s="1028"/>
      <c r="C1419" s="642" t="s">
        <v>1217</v>
      </c>
      <c r="D1419" s="1062">
        <v>0.01</v>
      </c>
      <c r="E1419" s="1031"/>
      <c r="F1419" s="1062">
        <f>SUM(I1409:I1418)</f>
        <v>8664.895199999999</v>
      </c>
      <c r="G1419" s="1041"/>
      <c r="H1419" s="1031"/>
      <c r="I1419" s="1036">
        <f>IF(G1419="",D1419*F1419,(D1419*F1419/G1419))</f>
        <v>86.648951999999994</v>
      </c>
      <c r="J1419" s="1031"/>
      <c r="K1419" s="1031"/>
      <c r="L1419" s="1031"/>
      <c r="M1419" s="1031"/>
      <c r="N1419" s="1031"/>
      <c r="O1419" s="1031"/>
      <c r="P1419" s="1031"/>
      <c r="Q1419" s="1031"/>
      <c r="R1419" s="1031"/>
    </row>
    <row r="1420" spans="1:18" s="1016" customFormat="1">
      <c r="A1420" s="1028"/>
      <c r="B1420" s="1028"/>
      <c r="C1420" s="902" t="s">
        <v>990</v>
      </c>
      <c r="D1420" s="1062"/>
      <c r="E1420" s="1031"/>
      <c r="F1420" s="1062"/>
      <c r="G1420" s="1041"/>
      <c r="H1420" s="1031"/>
      <c r="I1420" s="1039">
        <f>SUM(I1409:I1419)</f>
        <v>8751.5441519999986</v>
      </c>
      <c r="J1420" s="1031"/>
      <c r="K1420" s="1031"/>
      <c r="L1420" s="1031"/>
      <c r="M1420" s="1031"/>
      <c r="N1420" s="1031"/>
      <c r="O1420" s="1031"/>
      <c r="P1420" s="1031"/>
      <c r="Q1420" s="1031"/>
      <c r="R1420" s="1031"/>
    </row>
    <row r="1421" spans="1:18" s="1016" customFormat="1">
      <c r="A1421" s="1028"/>
      <c r="B1421" s="1028"/>
      <c r="C1421" s="1031"/>
      <c r="D1421" s="1062"/>
      <c r="E1421" s="1031"/>
      <c r="F1421" s="1062"/>
      <c r="G1421" s="1041"/>
      <c r="H1421" s="1031"/>
      <c r="I1421" s="1036"/>
      <c r="J1421" s="1031"/>
      <c r="K1421" s="1031"/>
      <c r="L1421" s="1031"/>
      <c r="M1421" s="1031"/>
      <c r="N1421" s="1031"/>
      <c r="O1421" s="1031"/>
      <c r="P1421" s="1031"/>
      <c r="Q1421" s="1031"/>
      <c r="R1421" s="1031"/>
    </row>
    <row r="1422" spans="1:18" s="1016" customFormat="1">
      <c r="A1422" s="1028"/>
      <c r="B1422" s="1028"/>
      <c r="C1422" s="902" t="s">
        <v>428</v>
      </c>
      <c r="D1422" s="1031"/>
      <c r="E1422" s="1063" t="s">
        <v>501</v>
      </c>
      <c r="F1422" s="1063" t="s">
        <v>502</v>
      </c>
      <c r="G1422" s="1064" t="s">
        <v>503</v>
      </c>
      <c r="H1422" s="1064" t="s">
        <v>709</v>
      </c>
      <c r="I1422" s="1064" t="s">
        <v>502</v>
      </c>
      <c r="J1422" s="1031"/>
      <c r="K1422" s="1031"/>
      <c r="L1422" s="1031"/>
      <c r="M1422" s="1031"/>
      <c r="N1422" s="1031"/>
      <c r="O1422" s="1031"/>
      <c r="P1422" s="1031"/>
      <c r="Q1422" s="1031"/>
      <c r="R1422" s="1031"/>
    </row>
    <row r="1423" spans="1:18" s="1016" customFormat="1">
      <c r="A1423" s="1028"/>
      <c r="B1423" s="1028"/>
      <c r="C1423" s="642" t="s">
        <v>991</v>
      </c>
      <c r="D1423" s="1031"/>
      <c r="E1423" s="1032">
        <f>$I$1420</f>
        <v>8751.5441519999986</v>
      </c>
      <c r="F1423" s="1032">
        <f>$I$1420</f>
        <v>8751.5441519999986</v>
      </c>
      <c r="G1423" s="1032">
        <f>$I$1420</f>
        <v>8751.5441519999986</v>
      </c>
      <c r="H1423" s="1032">
        <f>$I$1420</f>
        <v>8751.5441519999986</v>
      </c>
      <c r="I1423" s="1032">
        <f>$I$1420</f>
        <v>8751.5441519999986</v>
      </c>
      <c r="J1423" s="1031"/>
      <c r="K1423" s="1031"/>
      <c r="L1423" s="1031"/>
      <c r="M1423" s="1031"/>
      <c r="N1423" s="1031"/>
      <c r="O1423" s="1031"/>
      <c r="P1423" s="1031"/>
      <c r="Q1423" s="1031"/>
      <c r="R1423" s="1031"/>
    </row>
    <row r="1424" spans="1:18" s="1016" customFormat="1">
      <c r="A1424" s="1028"/>
      <c r="B1424" s="1028"/>
      <c r="C1424" s="642" t="s">
        <v>992</v>
      </c>
      <c r="D1424" s="1031"/>
      <c r="E1424" s="1032">
        <v>0</v>
      </c>
      <c r="F1424" s="1032">
        <f>ROUND(SUM($I$1415:$I$1417)*10%,2)</f>
        <v>375.76</v>
      </c>
      <c r="G1424" s="1032">
        <f>ROUND(SUM($I$1415:$I$1417)*20%,2)</f>
        <v>751.51</v>
      </c>
      <c r="H1424" s="1032">
        <f>ROUND(SUM($I$1415:$I$1417)*30%,2)</f>
        <v>1127.27</v>
      </c>
      <c r="I1424" s="1032">
        <f>ROUND(SUM($I$1415:$I$1417)*40%,2)</f>
        <v>1503.02</v>
      </c>
      <c r="J1424" s="1031"/>
      <c r="K1424" s="1031"/>
      <c r="L1424" s="1031"/>
      <c r="M1424" s="1031"/>
      <c r="N1424" s="1031"/>
      <c r="O1424" s="1031"/>
      <c r="P1424" s="1031"/>
      <c r="Q1424" s="1031"/>
      <c r="R1424" s="1031"/>
    </row>
    <row r="1425" spans="1:18" s="1016" customFormat="1">
      <c r="A1425" s="1028"/>
      <c r="B1425" s="1028"/>
      <c r="C1425" s="642" t="str">
        <f>"Add for MA @"&amp;E5*100&amp;"%"</f>
        <v>Add for MA @20%</v>
      </c>
      <c r="D1425" s="1065">
        <f>E5</f>
        <v>0.2</v>
      </c>
      <c r="E1425" s="1032">
        <f>E1424*D1425</f>
        <v>0</v>
      </c>
      <c r="F1425" s="1032">
        <f>F1424*D1425</f>
        <v>75.152000000000001</v>
      </c>
      <c r="G1425" s="1032">
        <f>G1424*D1425</f>
        <v>150.30199999999999</v>
      </c>
      <c r="H1425" s="1032">
        <f>H1424*D1425</f>
        <v>225.45400000000001</v>
      </c>
      <c r="I1425" s="1032">
        <f>I1424*D1425</f>
        <v>300.60399999999998</v>
      </c>
      <c r="J1425" s="1031"/>
      <c r="K1425" s="1031"/>
      <c r="L1425" s="1031"/>
      <c r="M1425" s="1031"/>
      <c r="N1425" s="1031"/>
      <c r="O1425" s="1031"/>
      <c r="P1425" s="1031"/>
      <c r="Q1425" s="1031"/>
      <c r="R1425" s="1031"/>
    </row>
    <row r="1426" spans="1:18" s="1016" customFormat="1">
      <c r="A1426" s="1028"/>
      <c r="B1426" s="1028"/>
      <c r="C1426" s="1031"/>
      <c r="D1426" s="1031"/>
      <c r="E1426" s="1032">
        <f>SUM(E1423:E1425)</f>
        <v>8751.5441519999986</v>
      </c>
      <c r="F1426" s="1032">
        <f>SUM(F1423:F1425)</f>
        <v>9202.4561519999988</v>
      </c>
      <c r="G1426" s="1032">
        <f>SUM(G1423:G1425)</f>
        <v>9653.3561519999985</v>
      </c>
      <c r="H1426" s="1032">
        <f>SUM(H1423:H1425)</f>
        <v>10104.268151999999</v>
      </c>
      <c r="I1426" s="1032">
        <f>SUM(I1423:I1425)</f>
        <v>10555.168151999998</v>
      </c>
      <c r="J1426" s="1031"/>
      <c r="K1426" s="1031"/>
      <c r="L1426" s="1031"/>
      <c r="M1426" s="1031"/>
      <c r="N1426" s="1031"/>
      <c r="O1426" s="1031"/>
      <c r="P1426" s="1031"/>
      <c r="Q1426" s="1031"/>
      <c r="R1426" s="1031"/>
    </row>
    <row r="1427" spans="1:18" s="1016" customFormat="1">
      <c r="A1427" s="1028"/>
      <c r="B1427" s="1028"/>
      <c r="C1427" s="1066" t="s">
        <v>1014</v>
      </c>
      <c r="D1427" s="1067">
        <f>D1401</f>
        <v>0</v>
      </c>
      <c r="E1427" s="1032">
        <f>ROUND(E1426*$D$1427,2)</f>
        <v>0</v>
      </c>
      <c r="F1427" s="1032">
        <f>ROUND(F1426*$D$1427,2)</f>
        <v>0</v>
      </c>
      <c r="G1427" s="1032">
        <f>ROUND(G1426*$D$1427,2)</f>
        <v>0</v>
      </c>
      <c r="H1427" s="1032">
        <f>ROUND(H1426*$D$1427,2)</f>
        <v>0</v>
      </c>
      <c r="I1427" s="1032">
        <f>ROUND(I1426*$D$1427,2)</f>
        <v>0</v>
      </c>
      <c r="J1427" s="1031"/>
      <c r="K1427" s="1031"/>
      <c r="L1427" s="1031"/>
      <c r="M1427" s="1031"/>
      <c r="N1427" s="1031"/>
      <c r="O1427" s="1031"/>
      <c r="P1427" s="1031"/>
      <c r="Q1427" s="1031"/>
      <c r="R1427" s="1031"/>
    </row>
    <row r="1428" spans="1:18" s="1016" customFormat="1">
      <c r="A1428" s="1028"/>
      <c r="B1428" s="1028"/>
      <c r="C1428" s="902" t="s">
        <v>993</v>
      </c>
      <c r="D1428" s="1031"/>
      <c r="E1428" s="1068">
        <f>SUM(E1426:E1427)</f>
        <v>8751.5441519999986</v>
      </c>
      <c r="F1428" s="1068">
        <f>SUM(F1426:F1427)</f>
        <v>9202.4561519999988</v>
      </c>
      <c r="G1428" s="1068">
        <f>SUM(G1426:G1427)</f>
        <v>9653.3561519999985</v>
      </c>
      <c r="H1428" s="1068">
        <f>SUM(H1426:H1427)</f>
        <v>10104.268151999999</v>
      </c>
      <c r="I1428" s="1068">
        <f>SUM(I1426:I1427)</f>
        <v>10555.168151999998</v>
      </c>
      <c r="J1428" s="1031"/>
      <c r="K1428" s="1031"/>
      <c r="L1428" s="1031"/>
      <c r="M1428" s="1031"/>
      <c r="N1428" s="1031"/>
      <c r="O1428" s="1031"/>
      <c r="P1428" s="1031"/>
      <c r="Q1428" s="1031"/>
      <c r="R1428" s="1031"/>
    </row>
    <row r="1429" spans="1:18" s="1016" customFormat="1">
      <c r="A1429" s="1028"/>
      <c r="B1429" s="1028"/>
      <c r="C1429" s="902" t="s">
        <v>645</v>
      </c>
      <c r="D1429" s="1031"/>
      <c r="E1429" s="1068">
        <f>E1428/10</f>
        <v>875.1544151999999</v>
      </c>
      <c r="F1429" s="1068">
        <f>F1428/10</f>
        <v>920.24561519999986</v>
      </c>
      <c r="G1429" s="1068">
        <f>G1428/10</f>
        <v>965.33561519999989</v>
      </c>
      <c r="H1429" s="1068">
        <f>H1428/10</f>
        <v>1010.4268151999999</v>
      </c>
      <c r="I1429" s="1068">
        <f>I1428/10</f>
        <v>1055.5168151999999</v>
      </c>
      <c r="J1429" s="1031"/>
      <c r="K1429" s="1031"/>
      <c r="L1429" s="1031"/>
      <c r="M1429" s="1031"/>
      <c r="N1429" s="1031"/>
      <c r="O1429" s="1031"/>
      <c r="P1429" s="1031"/>
      <c r="Q1429" s="1031"/>
      <c r="R1429" s="1031"/>
    </row>
    <row r="1430" spans="1:18" s="1016" customFormat="1">
      <c r="A1430" s="1028"/>
      <c r="B1430" s="1028"/>
      <c r="C1430" s="902" t="s">
        <v>467</v>
      </c>
      <c r="D1430" s="1031"/>
      <c r="E1430" s="1069">
        <f>ROUND(E1429,0)</f>
        <v>875</v>
      </c>
      <c r="F1430" s="1070">
        <f>ROUND(F1429,0)</f>
        <v>920</v>
      </c>
      <c r="G1430" s="1070">
        <f>ROUND(G1429,0)</f>
        <v>965</v>
      </c>
      <c r="H1430" s="1070">
        <f>ROUND(H1429,0)</f>
        <v>1010</v>
      </c>
      <c r="I1430" s="1070">
        <f>ROUND(I1429,0)</f>
        <v>1056</v>
      </c>
      <c r="J1430" s="1031"/>
      <c r="K1430" s="1031"/>
      <c r="L1430" s="1031"/>
      <c r="M1430" s="1031"/>
      <c r="N1430" s="1031"/>
      <c r="O1430" s="1031"/>
      <c r="P1430" s="1031"/>
      <c r="Q1430" s="1031"/>
      <c r="R1430" s="1031"/>
    </row>
    <row r="1431" spans="1:18" s="1016" customFormat="1">
      <c r="A1431" s="1028"/>
      <c r="B1431" s="1028"/>
      <c r="C1431" s="642"/>
      <c r="D1431" s="1036"/>
      <c r="E1431" s="1031"/>
      <c r="F1431" s="1062"/>
      <c r="G1431" s="1041"/>
      <c r="H1431" s="1031"/>
      <c r="I1431" s="1036"/>
      <c r="J1431" s="1031"/>
      <c r="K1431" s="1031"/>
      <c r="L1431" s="1031"/>
      <c r="M1431" s="1031"/>
      <c r="N1431" s="1031"/>
      <c r="O1431" s="1031"/>
      <c r="P1431" s="1031"/>
      <c r="Q1431" s="1031"/>
      <c r="R1431" s="1031"/>
    </row>
    <row r="1432" spans="1:18" s="1016" customFormat="1">
      <c r="A1432" s="1028">
        <f>A1405+1</f>
        <v>37</v>
      </c>
      <c r="B1432" s="1028"/>
      <c r="C1432" s="1493" t="s">
        <v>1218</v>
      </c>
      <c r="D1432" s="1493"/>
      <c r="E1432" s="1493"/>
      <c r="F1432" s="1493"/>
      <c r="G1432" s="1493"/>
      <c r="H1432" s="1493"/>
      <c r="I1432" s="1493"/>
      <c r="J1432" s="1031"/>
      <c r="K1432" s="1031"/>
      <c r="L1432" s="1031"/>
      <c r="M1432" s="1031"/>
      <c r="N1432" s="1031"/>
      <c r="O1432" s="1031"/>
      <c r="P1432" s="1031"/>
      <c r="Q1432" s="1031"/>
      <c r="R1432" s="1031"/>
    </row>
    <row r="1433" spans="1:18" s="1016" customFormat="1">
      <c r="A1433" s="1028"/>
      <c r="B1433" s="1028"/>
      <c r="C1433" s="1030" t="s">
        <v>994</v>
      </c>
      <c r="D1433" s="1032"/>
      <c r="E1433" s="1037"/>
      <c r="F1433" s="1032"/>
      <c r="G1433" s="1033"/>
      <c r="H1433" s="1045"/>
      <c r="I1433" s="1039"/>
      <c r="J1433" s="1031"/>
      <c r="K1433" s="1031"/>
      <c r="L1433" s="1031"/>
      <c r="M1433" s="1031"/>
      <c r="N1433" s="1031"/>
      <c r="O1433" s="1031"/>
      <c r="P1433" s="1031"/>
      <c r="Q1433" s="1031"/>
      <c r="R1433" s="1031"/>
    </row>
    <row r="1434" spans="1:18" s="1016" customFormat="1">
      <c r="A1434" s="1028"/>
      <c r="B1434" s="1028"/>
      <c r="C1434" s="642" t="s">
        <v>764</v>
      </c>
      <c r="D1434" s="1032"/>
      <c r="E1434" s="1037"/>
      <c r="F1434" s="1032"/>
      <c r="G1434" s="1033"/>
      <c r="H1434" s="1045"/>
      <c r="I1434" s="1039"/>
      <c r="J1434" s="1031"/>
      <c r="K1434" s="1031"/>
      <c r="L1434" s="1031"/>
      <c r="M1434" s="1031"/>
      <c r="N1434" s="1031"/>
      <c r="O1434" s="1031"/>
      <c r="P1434" s="1031"/>
      <c r="Q1434" s="1031"/>
      <c r="R1434" s="1031"/>
    </row>
    <row r="1435" spans="1:18" s="1016" customFormat="1">
      <c r="A1435" s="1028"/>
      <c r="B1435" s="1028"/>
      <c r="C1435" s="642" t="s">
        <v>995</v>
      </c>
      <c r="D1435" s="1032">
        <v>10.5</v>
      </c>
      <c r="E1435" s="1037" t="s">
        <v>547</v>
      </c>
      <c r="F1435" s="1032">
        <f>$F$1409</f>
        <v>421</v>
      </c>
      <c r="G1435" s="1033">
        <v>1</v>
      </c>
      <c r="H1435" s="1057" t="s">
        <v>547</v>
      </c>
      <c r="I1435" s="1036">
        <f>IF(G1435="",D1435*F1435,(D1435*F1435/G1435))</f>
        <v>4420.5</v>
      </c>
      <c r="J1435" s="1031"/>
      <c r="K1435" s="1031"/>
      <c r="L1435" s="1031"/>
      <c r="M1435" s="1031"/>
      <c r="N1435" s="1031"/>
      <c r="O1435" s="1031"/>
      <c r="P1435" s="1031"/>
      <c r="Q1435" s="1031"/>
      <c r="R1435" s="1031"/>
    </row>
    <row r="1436" spans="1:18" s="1016" customFormat="1">
      <c r="A1436" s="1028"/>
      <c r="B1436" s="1028"/>
      <c r="C1436" s="642" t="s">
        <v>996</v>
      </c>
      <c r="D1436" s="1032">
        <f>0.12</f>
        <v>0.12</v>
      </c>
      <c r="E1436" s="1037" t="s">
        <v>644</v>
      </c>
      <c r="F1436" s="1032">
        <f>$F$1413</f>
        <v>437.11999999999983</v>
      </c>
      <c r="G1436" s="1033">
        <v>1</v>
      </c>
      <c r="H1436" s="1057" t="s">
        <v>644</v>
      </c>
      <c r="I1436" s="1036">
        <f>IF(G1436="",D1436*F1436,(D1436*F1436/G1436))</f>
        <v>52.454399999999978</v>
      </c>
      <c r="J1436" s="1031"/>
      <c r="K1436" s="1031"/>
      <c r="L1436" s="1031"/>
      <c r="M1436" s="1031"/>
      <c r="N1436" s="1031"/>
      <c r="O1436" s="1031"/>
      <c r="P1436" s="1031"/>
      <c r="Q1436" s="1031"/>
      <c r="R1436" s="1031"/>
    </row>
    <row r="1437" spans="1:18" s="1016" customFormat="1">
      <c r="A1437" s="1028"/>
      <c r="B1437" s="1028"/>
      <c r="C1437" s="642" t="s">
        <v>997</v>
      </c>
      <c r="D1437" s="1032">
        <v>34.56</v>
      </c>
      <c r="E1437" s="1037" t="s">
        <v>364</v>
      </c>
      <c r="F1437" s="1032">
        <f>$F$1410</f>
        <v>7168</v>
      </c>
      <c r="G1437" s="1033">
        <v>1000</v>
      </c>
      <c r="H1437" s="1057" t="s">
        <v>364</v>
      </c>
      <c r="I1437" s="1036">
        <f>IF(G1437="",D1437*F1437,(D1437*F1437/G1437))</f>
        <v>247.72608000000002</v>
      </c>
      <c r="J1437" s="1031"/>
      <c r="K1437" s="1031"/>
      <c r="L1437" s="1031"/>
      <c r="M1437" s="1031"/>
      <c r="N1437" s="1031"/>
      <c r="O1437" s="1031"/>
      <c r="P1437" s="1031"/>
      <c r="Q1437" s="1031"/>
      <c r="R1437" s="1031"/>
    </row>
    <row r="1438" spans="1:18" s="1016" customFormat="1">
      <c r="A1438" s="1028"/>
      <c r="B1438" s="1028"/>
      <c r="C1438" s="642" t="s">
        <v>153</v>
      </c>
      <c r="D1438" s="1032">
        <v>33</v>
      </c>
      <c r="E1438" s="1037" t="s">
        <v>364</v>
      </c>
      <c r="F1438" s="1032">
        <f>F1437</f>
        <v>7168</v>
      </c>
      <c r="G1438" s="1033">
        <v>1000</v>
      </c>
      <c r="H1438" s="1057" t="s">
        <v>364</v>
      </c>
      <c r="I1438" s="1036">
        <f>IF(G1438="",D1438*F1438,(D1438*F1438/G1438))</f>
        <v>236.54400000000001</v>
      </c>
      <c r="J1438" s="1031"/>
      <c r="K1438" s="1031"/>
      <c r="L1438" s="1031"/>
      <c r="M1438" s="1031"/>
      <c r="N1438" s="1031"/>
      <c r="O1438" s="1031"/>
      <c r="P1438" s="1031"/>
      <c r="Q1438" s="1031"/>
      <c r="R1438" s="1031"/>
    </row>
    <row r="1439" spans="1:18" s="1016" customFormat="1">
      <c r="A1439" s="1028"/>
      <c r="B1439" s="1028"/>
      <c r="C1439" s="642" t="s">
        <v>998</v>
      </c>
      <c r="D1439" s="1032">
        <v>2</v>
      </c>
      <c r="E1439" s="1037" t="s">
        <v>364</v>
      </c>
      <c r="F1439" s="1032">
        <v>29</v>
      </c>
      <c r="G1439" s="1033">
        <v>1</v>
      </c>
      <c r="H1439" s="1057" t="s">
        <v>328</v>
      </c>
      <c r="I1439" s="1036">
        <f>IF(G1439="",D1439*F1439,(D1439*F1439/G1439))</f>
        <v>58</v>
      </c>
      <c r="J1439" s="1031"/>
      <c r="K1439" s="1031"/>
      <c r="L1439" s="1031"/>
      <c r="M1439" s="1031"/>
      <c r="N1439" s="1031"/>
      <c r="O1439" s="1031"/>
      <c r="P1439" s="1031"/>
      <c r="Q1439" s="1031"/>
      <c r="R1439" s="1031"/>
    </row>
    <row r="1440" spans="1:18" s="1016" customFormat="1">
      <c r="A1440" s="1028"/>
      <c r="B1440" s="1028"/>
      <c r="C1440" s="1031"/>
      <c r="D1440" s="1031"/>
      <c r="E1440" s="1031"/>
      <c r="F1440" s="1031"/>
      <c r="G1440" s="1031"/>
      <c r="H1440" s="1031"/>
      <c r="I1440" s="1061"/>
      <c r="J1440" s="1031"/>
      <c r="K1440" s="1031"/>
      <c r="L1440" s="1031"/>
      <c r="M1440" s="1031"/>
      <c r="N1440" s="1031"/>
      <c r="O1440" s="1031"/>
      <c r="P1440" s="1031"/>
      <c r="Q1440" s="1031"/>
      <c r="R1440" s="1031"/>
    </row>
    <row r="1441" spans="1:18" s="1016" customFormat="1">
      <c r="A1441" s="1028"/>
      <c r="B1441" s="1028"/>
      <c r="C1441" s="902" t="s">
        <v>999</v>
      </c>
      <c r="D1441" s="1032"/>
      <c r="E1441" s="1037"/>
      <c r="F1441" s="1032"/>
      <c r="G1441" s="1033"/>
      <c r="H1441" s="1045"/>
      <c r="I1441" s="1039"/>
      <c r="J1441" s="1031"/>
      <c r="K1441" s="1031"/>
      <c r="L1441" s="1031"/>
      <c r="M1441" s="1031"/>
      <c r="N1441" s="1031"/>
      <c r="O1441" s="1031"/>
      <c r="P1441" s="1031"/>
      <c r="Q1441" s="1031"/>
      <c r="R1441" s="1031"/>
    </row>
    <row r="1442" spans="1:18" s="1016" customFormat="1">
      <c r="A1442" s="1028"/>
      <c r="B1442" s="1028"/>
      <c r="C1442" s="642" t="s">
        <v>987</v>
      </c>
      <c r="D1442" s="1032">
        <v>0.96</v>
      </c>
      <c r="E1442" s="1037" t="s">
        <v>499</v>
      </c>
      <c r="F1442" s="1032">
        <f>$F$1415</f>
        <v>624</v>
      </c>
      <c r="G1442" s="1033">
        <v>1</v>
      </c>
      <c r="H1442" s="1057" t="s">
        <v>268</v>
      </c>
      <c r="I1442" s="1036">
        <f>IF(G1442="",D1442*F1442,(D1442*F1442/G1442))</f>
        <v>599.04</v>
      </c>
      <c r="J1442" s="1031"/>
      <c r="K1442" s="1031"/>
      <c r="L1442" s="1031"/>
      <c r="M1442" s="1031"/>
      <c r="N1442" s="1031"/>
      <c r="O1442" s="1031"/>
      <c r="P1442" s="1031"/>
      <c r="Q1442" s="1031"/>
      <c r="R1442" s="1031"/>
    </row>
    <row r="1443" spans="1:18" s="1016" customFormat="1">
      <c r="A1443" s="1028"/>
      <c r="B1443" s="1028"/>
      <c r="C1443" s="1071" t="s">
        <v>988</v>
      </c>
      <c r="D1443" s="1032">
        <v>2.2400000000000002</v>
      </c>
      <c r="E1443" s="1037" t="s">
        <v>499</v>
      </c>
      <c r="F1443" s="1032">
        <f>F1416</f>
        <v>588</v>
      </c>
      <c r="G1443" s="1033">
        <v>1</v>
      </c>
      <c r="H1443" s="1057" t="s">
        <v>268</v>
      </c>
      <c r="I1443" s="1036">
        <f>IF(G1443="",D1443*F1443,(D1443*F1443/G1443))</f>
        <v>1317.1200000000001</v>
      </c>
      <c r="J1443" s="1031"/>
      <c r="K1443" s="1031"/>
      <c r="L1443" s="1031"/>
      <c r="M1443" s="1031"/>
      <c r="N1443" s="1031"/>
      <c r="O1443" s="1031"/>
      <c r="P1443" s="1031"/>
      <c r="Q1443" s="1031"/>
      <c r="R1443" s="1031"/>
    </row>
    <row r="1444" spans="1:18" s="1016" customFormat="1">
      <c r="A1444" s="1072"/>
      <c r="B1444" s="1072"/>
      <c r="C1444" s="642" t="s">
        <v>1000</v>
      </c>
      <c r="D1444" s="529">
        <v>3.3</v>
      </c>
      <c r="E1444" s="1073" t="s">
        <v>499</v>
      </c>
      <c r="F1444" s="1074">
        <f>F1417</f>
        <v>558</v>
      </c>
      <c r="G1444" s="1075">
        <v>1</v>
      </c>
      <c r="H1444" s="1076" t="s">
        <v>268</v>
      </c>
      <c r="I1444" s="1077">
        <f>IF(G1444="",D1444*F1444,(D1444*F1444/G1444))</f>
        <v>1841.3999999999999</v>
      </c>
      <c r="J1444" s="1078"/>
      <c r="K1444" s="1078"/>
      <c r="L1444" s="1078"/>
      <c r="M1444" s="1078"/>
      <c r="N1444" s="1078"/>
      <c r="O1444" s="1078"/>
      <c r="P1444" s="1078"/>
      <c r="Q1444" s="1078"/>
      <c r="R1444" s="1078"/>
    </row>
    <row r="1445" spans="1:18" s="1016" customFormat="1">
      <c r="A1445" s="1028"/>
      <c r="B1445" s="1028"/>
      <c r="C1445" s="1031" t="s">
        <v>1216</v>
      </c>
      <c r="D1445" s="1036"/>
      <c r="E1445" s="1079"/>
      <c r="F1445" s="1032">
        <f>SUM(F1442:F1443)</f>
        <v>1212</v>
      </c>
      <c r="G1445" s="1041"/>
      <c r="H1445" s="1216"/>
      <c r="I1445" s="1036">
        <f>IF(G1445="",D1445*F1445,(D1445*F1445/G1445))</f>
        <v>0</v>
      </c>
      <c r="J1445" s="1031"/>
      <c r="K1445" s="1031"/>
      <c r="L1445" s="1031"/>
      <c r="M1445" s="1031"/>
      <c r="N1445" s="1031"/>
      <c r="O1445" s="1031"/>
      <c r="P1445" s="1031"/>
      <c r="Q1445" s="1031"/>
      <c r="R1445" s="1031"/>
    </row>
    <row r="1446" spans="1:18" s="1016" customFormat="1">
      <c r="A1446" s="1028"/>
      <c r="B1446" s="1028"/>
      <c r="C1446" s="642" t="s">
        <v>1217</v>
      </c>
      <c r="D1446" s="1032">
        <v>0.01</v>
      </c>
      <c r="E1446" s="1037"/>
      <c r="F1446" s="1032">
        <f>SUM(I1435:I1445)</f>
        <v>8772.7844800000003</v>
      </c>
      <c r="G1446" s="1033"/>
      <c r="H1446" s="1057"/>
      <c r="I1446" s="1036">
        <f>IF(G1446="",D1446*F1446,(D1446*F1446/G1446))</f>
        <v>87.7278448</v>
      </c>
      <c r="J1446" s="1031"/>
      <c r="K1446" s="1031"/>
      <c r="L1446" s="1031"/>
      <c r="M1446" s="1031"/>
      <c r="N1446" s="1031"/>
      <c r="O1446" s="1031"/>
      <c r="P1446" s="1031"/>
      <c r="Q1446" s="1031"/>
      <c r="R1446" s="1031"/>
    </row>
    <row r="1447" spans="1:18" s="1016" customFormat="1">
      <c r="A1447" s="1028"/>
      <c r="B1447" s="1028"/>
      <c r="C1447" s="902" t="s">
        <v>1001</v>
      </c>
      <c r="D1447" s="1032"/>
      <c r="E1447" s="1057"/>
      <c r="F1447" s="1032"/>
      <c r="G1447" s="1033"/>
      <c r="H1447" s="1057"/>
      <c r="I1447" s="1080">
        <f>SUM(I1435:I1446)</f>
        <v>8860.5123248</v>
      </c>
      <c r="J1447" s="1031"/>
      <c r="K1447" s="1031"/>
      <c r="L1447" s="1031"/>
      <c r="M1447" s="1031"/>
      <c r="N1447" s="1031"/>
      <c r="O1447" s="1031"/>
      <c r="P1447" s="1031"/>
      <c r="Q1447" s="1031"/>
      <c r="R1447" s="1031"/>
    </row>
    <row r="1448" spans="1:18" s="1016" customFormat="1">
      <c r="A1448" s="1028"/>
      <c r="B1448" s="1028"/>
      <c r="C1448" s="902"/>
      <c r="D1448" s="1032"/>
      <c r="E1448" s="1057"/>
      <c r="F1448" s="1032"/>
      <c r="G1448" s="1033"/>
      <c r="H1448" s="1057"/>
      <c r="I1448" s="1055"/>
      <c r="J1448" s="1031"/>
      <c r="K1448" s="1031"/>
      <c r="L1448" s="1031"/>
      <c r="M1448" s="1031"/>
      <c r="N1448" s="1031"/>
      <c r="O1448" s="1031"/>
      <c r="P1448" s="1031"/>
      <c r="Q1448" s="1031"/>
      <c r="R1448" s="1031"/>
    </row>
    <row r="1449" spans="1:18" s="1016" customFormat="1">
      <c r="A1449" s="1028"/>
      <c r="B1449" s="1028"/>
      <c r="C1449" s="902" t="s">
        <v>428</v>
      </c>
      <c r="D1449" s="1031"/>
      <c r="E1449" s="1063" t="s">
        <v>501</v>
      </c>
      <c r="F1449" s="1063" t="s">
        <v>502</v>
      </c>
      <c r="G1449" s="1064" t="s">
        <v>503</v>
      </c>
      <c r="H1449" s="1064" t="s">
        <v>709</v>
      </c>
      <c r="I1449" s="1064" t="s">
        <v>502</v>
      </c>
      <c r="J1449" s="1031"/>
      <c r="K1449" s="1031"/>
      <c r="L1449" s="1031"/>
      <c r="M1449" s="1031"/>
      <c r="N1449" s="1031"/>
      <c r="O1449" s="1031"/>
      <c r="P1449" s="1031"/>
      <c r="Q1449" s="1031"/>
      <c r="R1449" s="1031"/>
    </row>
    <row r="1450" spans="1:18" s="1016" customFormat="1">
      <c r="A1450" s="1028"/>
      <c r="B1450" s="1028"/>
      <c r="C1450" s="642" t="s">
        <v>991</v>
      </c>
      <c r="D1450" s="1031"/>
      <c r="E1450" s="1032">
        <f>$I$1447</f>
        <v>8860.5123248</v>
      </c>
      <c r="F1450" s="1032">
        <f>$I$1447</f>
        <v>8860.5123248</v>
      </c>
      <c r="G1450" s="1032">
        <f>$I$1447</f>
        <v>8860.5123248</v>
      </c>
      <c r="H1450" s="1032">
        <f>$I$1447</f>
        <v>8860.5123248</v>
      </c>
      <c r="I1450" s="1032">
        <f>$I$1447</f>
        <v>8860.5123248</v>
      </c>
      <c r="J1450" s="1031"/>
      <c r="K1450" s="1031"/>
      <c r="L1450" s="1031"/>
      <c r="M1450" s="1031"/>
      <c r="N1450" s="1031"/>
      <c r="O1450" s="1031"/>
      <c r="P1450" s="1031"/>
      <c r="Q1450" s="1031"/>
      <c r="R1450" s="1031"/>
    </row>
    <row r="1451" spans="1:18" s="1016" customFormat="1">
      <c r="A1451" s="1028"/>
      <c r="B1451" s="1028"/>
      <c r="C1451" s="642" t="s">
        <v>992</v>
      </c>
      <c r="D1451" s="1031"/>
      <c r="E1451" s="1032">
        <v>0</v>
      </c>
      <c r="F1451" s="1032">
        <f>ROUND(SUM($I$1442:$I$1444)*10%,2)</f>
        <v>375.76</v>
      </c>
      <c r="G1451" s="1032">
        <f>ROUND(SUM($I$1442:$I$1444)*20%,2)</f>
        <v>751.51</v>
      </c>
      <c r="H1451" s="1032">
        <f>ROUND(SUM($I$1442:$I$1444)*30%,2)</f>
        <v>1127.27</v>
      </c>
      <c r="I1451" s="1032">
        <f>ROUND(SUM($I$1442:$I$1444)*40%,2)</f>
        <v>1503.02</v>
      </c>
      <c r="J1451" s="1031"/>
      <c r="K1451" s="1031"/>
      <c r="L1451" s="1031"/>
      <c r="M1451" s="1031"/>
      <c r="N1451" s="1031"/>
      <c r="O1451" s="1031"/>
      <c r="P1451" s="1031"/>
      <c r="Q1451" s="1031"/>
      <c r="R1451" s="1031"/>
    </row>
    <row r="1452" spans="1:18" s="1016" customFormat="1">
      <c r="A1452" s="1028"/>
      <c r="B1452" s="1028"/>
      <c r="C1452" s="642" t="s">
        <v>1219</v>
      </c>
      <c r="D1452" s="1065">
        <f>E5</f>
        <v>0.2</v>
      </c>
      <c r="E1452" s="1032">
        <f>E1451*$E$5</f>
        <v>0</v>
      </c>
      <c r="F1452" s="1032">
        <f>F1451*$E$5</f>
        <v>75.152000000000001</v>
      </c>
      <c r="G1452" s="1032">
        <f>G1451*$E$5</f>
        <v>150.30199999999999</v>
      </c>
      <c r="H1452" s="1032">
        <f>H1451*$E$5</f>
        <v>225.45400000000001</v>
      </c>
      <c r="I1452" s="1032">
        <f>I1451*$E$5</f>
        <v>300.60399999999998</v>
      </c>
      <c r="J1452" s="1031"/>
      <c r="K1452" s="1031"/>
      <c r="L1452" s="1031"/>
      <c r="M1452" s="1031"/>
      <c r="N1452" s="1031"/>
      <c r="O1452" s="1031"/>
      <c r="P1452" s="1031"/>
      <c r="Q1452" s="1031"/>
      <c r="R1452" s="1031"/>
    </row>
    <row r="1453" spans="1:18" s="1016" customFormat="1">
      <c r="A1453" s="1028"/>
      <c r="B1453" s="1028"/>
      <c r="C1453" s="1031"/>
      <c r="D1453" s="1031"/>
      <c r="E1453" s="1032">
        <f>SUM(E1450:E1452)</f>
        <v>8860.5123248</v>
      </c>
      <c r="F1453" s="1032">
        <f>SUM(F1450:F1452)</f>
        <v>9311.4243248000002</v>
      </c>
      <c r="G1453" s="1032">
        <f>SUM(G1450:G1452)</f>
        <v>9762.3243247999999</v>
      </c>
      <c r="H1453" s="1032">
        <f>SUM(H1450:H1452)</f>
        <v>10213.2363248</v>
      </c>
      <c r="I1453" s="1032">
        <f>SUM(I1450:I1452)</f>
        <v>10664.1363248</v>
      </c>
      <c r="J1453" s="1031"/>
      <c r="K1453" s="1031"/>
      <c r="L1453" s="1031"/>
      <c r="M1453" s="1031"/>
      <c r="N1453" s="1031"/>
      <c r="O1453" s="1031"/>
      <c r="P1453" s="1031"/>
      <c r="Q1453" s="1031"/>
      <c r="R1453" s="1031"/>
    </row>
    <row r="1454" spans="1:18" s="1016" customFormat="1">
      <c r="A1454" s="1028"/>
      <c r="B1454" s="1028"/>
      <c r="C1454" s="1066" t="str">
        <f>$C$3</f>
        <v>Overheads</v>
      </c>
      <c r="D1454" s="1067">
        <f>$D$3</f>
        <v>0</v>
      </c>
      <c r="E1454" s="1032">
        <f>ROUND(E1453*$D$1454,2)</f>
        <v>0</v>
      </c>
      <c r="F1454" s="1032">
        <f>ROUND(F1453*$D$1454,2)</f>
        <v>0</v>
      </c>
      <c r="G1454" s="1032">
        <f>ROUND(G1453*$D$1454,2)</f>
        <v>0</v>
      </c>
      <c r="H1454" s="1032">
        <f>ROUND(H1453*$D$1454,2)</f>
        <v>0</v>
      </c>
      <c r="I1454" s="1032">
        <f>ROUND(I1453*$D$1454,2)</f>
        <v>0</v>
      </c>
      <c r="J1454" s="1031"/>
      <c r="K1454" s="1031"/>
      <c r="L1454" s="1031"/>
      <c r="M1454" s="1031"/>
      <c r="N1454" s="1031"/>
      <c r="O1454" s="1031"/>
      <c r="P1454" s="1031"/>
      <c r="Q1454" s="1031"/>
      <c r="R1454" s="1031"/>
    </row>
    <row r="1455" spans="1:18" s="1016" customFormat="1">
      <c r="A1455" s="1028"/>
      <c r="B1455" s="1028"/>
      <c r="C1455" s="902" t="s">
        <v>993</v>
      </c>
      <c r="D1455" s="1031"/>
      <c r="E1455" s="1068">
        <f>SUM(E1453:E1454)</f>
        <v>8860.5123248</v>
      </c>
      <c r="F1455" s="1068">
        <f>SUM(F1453:F1454)</f>
        <v>9311.4243248000002</v>
      </c>
      <c r="G1455" s="1068">
        <f>SUM(G1453:G1454)</f>
        <v>9762.3243247999999</v>
      </c>
      <c r="H1455" s="1068">
        <f>SUM(H1453:H1454)</f>
        <v>10213.2363248</v>
      </c>
      <c r="I1455" s="1068">
        <f>SUM(I1453:I1454)</f>
        <v>10664.1363248</v>
      </c>
      <c r="J1455" s="1031"/>
      <c r="K1455" s="1031"/>
      <c r="L1455" s="1031"/>
      <c r="M1455" s="1031"/>
      <c r="N1455" s="1031"/>
      <c r="O1455" s="1031"/>
      <c r="P1455" s="1031"/>
      <c r="Q1455" s="1031"/>
      <c r="R1455" s="1031"/>
    </row>
    <row r="1456" spans="1:18" s="1016" customFormat="1">
      <c r="A1456" s="1028"/>
      <c r="B1456" s="1028"/>
      <c r="C1456" s="902" t="s">
        <v>645</v>
      </c>
      <c r="D1456" s="1031"/>
      <c r="E1456" s="1068">
        <f t="shared" ref="E1456:I1457" si="151">E1455/10</f>
        <v>886.05123247999995</v>
      </c>
      <c r="F1456" s="1068">
        <f t="shared" si="151"/>
        <v>931.14243248000002</v>
      </c>
      <c r="G1456" s="1068">
        <f t="shared" si="151"/>
        <v>976.23243247999994</v>
      </c>
      <c r="H1456" s="1068">
        <f t="shared" si="151"/>
        <v>1021.32363248</v>
      </c>
      <c r="I1456" s="1068">
        <f t="shared" si="151"/>
        <v>1066.4136324799999</v>
      </c>
      <c r="J1456" s="1031"/>
      <c r="K1456" s="1031"/>
      <c r="L1456" s="1031"/>
      <c r="M1456" s="1031"/>
      <c r="N1456" s="1031"/>
      <c r="O1456" s="1031"/>
      <c r="P1456" s="1031"/>
      <c r="Q1456" s="1031"/>
      <c r="R1456" s="1031"/>
    </row>
    <row r="1457" spans="1:18" s="1016" customFormat="1" ht="12.75" customHeight="1">
      <c r="A1457" s="1028"/>
      <c r="B1457" s="1028"/>
      <c r="C1457" s="902" t="s">
        <v>1002</v>
      </c>
      <c r="D1457" s="1031"/>
      <c r="E1457" s="1068">
        <f t="shared" si="151"/>
        <v>88.605123247999998</v>
      </c>
      <c r="F1457" s="1068">
        <f t="shared" si="151"/>
        <v>93.114243248000008</v>
      </c>
      <c r="G1457" s="1068">
        <f t="shared" si="151"/>
        <v>97.623243247999994</v>
      </c>
      <c r="H1457" s="1068">
        <f t="shared" si="151"/>
        <v>102.132363248</v>
      </c>
      <c r="I1457" s="1068">
        <f t="shared" si="151"/>
        <v>106.64136324799999</v>
      </c>
      <c r="J1457" s="1031"/>
      <c r="K1457" s="1031"/>
      <c r="L1457" s="1031"/>
      <c r="M1457" s="1031"/>
      <c r="N1457" s="1031"/>
      <c r="O1457" s="1031"/>
      <c r="P1457" s="1031"/>
      <c r="Q1457" s="1031"/>
      <c r="R1457" s="1031"/>
    </row>
    <row r="1458" spans="1:18" s="1016" customFormat="1" ht="12.75" customHeight="1">
      <c r="A1458" s="1028"/>
      <c r="B1458" s="1028"/>
      <c r="C1458" s="902" t="s">
        <v>467</v>
      </c>
      <c r="D1458" s="1031"/>
      <c r="E1458" s="1070">
        <f>ROUND(E1457,0)</f>
        <v>89</v>
      </c>
      <c r="F1458" s="1070">
        <f>ROUND(F1457,0)</f>
        <v>93</v>
      </c>
      <c r="G1458" s="1070">
        <f>ROUND(G1457,0)</f>
        <v>98</v>
      </c>
      <c r="H1458" s="1070">
        <f>ROUND(H1457,0)</f>
        <v>102</v>
      </c>
      <c r="I1458" s="1070">
        <f>ROUND(I1457,1)</f>
        <v>106.6</v>
      </c>
      <c r="J1458" s="1031"/>
      <c r="K1458" s="1031"/>
      <c r="L1458" s="1031"/>
      <c r="M1458" s="1031"/>
      <c r="N1458" s="1031"/>
      <c r="O1458" s="1031"/>
      <c r="P1458" s="1031"/>
      <c r="Q1458" s="1031"/>
      <c r="R1458" s="1031"/>
    </row>
    <row r="1459" spans="1:18" s="1016" customFormat="1" ht="12.75" customHeight="1">
      <c r="A1459" s="1028"/>
      <c r="B1459" s="1028"/>
      <c r="C1459" s="1031"/>
      <c r="D1459" s="1032"/>
      <c r="E1459" s="1032"/>
      <c r="F1459" s="1032"/>
      <c r="G1459" s="1031"/>
      <c r="H1459" s="1081"/>
      <c r="I1459" s="1046"/>
      <c r="J1459" s="1031"/>
      <c r="K1459" s="1031"/>
      <c r="L1459" s="1031"/>
      <c r="M1459" s="1031"/>
      <c r="N1459" s="1031"/>
      <c r="O1459" s="1031"/>
      <c r="P1459" s="1031"/>
      <c r="Q1459" s="1031"/>
      <c r="R1459" s="1031"/>
    </row>
    <row r="1460" spans="1:18" ht="12.75" customHeight="1">
      <c r="A1460" s="1082">
        <f>A1432+1</f>
        <v>38</v>
      </c>
      <c r="B1460" s="1020"/>
      <c r="C1460" s="1499" t="s">
        <v>1048</v>
      </c>
      <c r="D1460" s="1499"/>
      <c r="E1460" s="1499"/>
      <c r="F1460" s="1499"/>
      <c r="G1460" s="1499"/>
      <c r="H1460" s="1499"/>
      <c r="I1460" s="1499"/>
    </row>
    <row r="1461" spans="1:18" ht="12.75" customHeight="1">
      <c r="A1461" s="1019"/>
      <c r="B1461" s="1020"/>
      <c r="C1461" s="792" t="s">
        <v>4</v>
      </c>
      <c r="D1461" s="1021">
        <v>1.05</v>
      </c>
      <c r="E1461" s="1022" t="s">
        <v>623</v>
      </c>
      <c r="F1461" s="986">
        <f>F143</f>
        <v>2709</v>
      </c>
      <c r="G1461" s="1023">
        <v>1</v>
      </c>
      <c r="H1461" s="991" t="str">
        <f t="shared" ref="H1461:H1468" si="152">IF(E1461="","",IF(E1461="No.","Each",IF(E1461="Nos.","Each",E1461)))</f>
        <v>Sqmt.</v>
      </c>
      <c r="I1461" s="986">
        <f>IF(G1461="",D1461*F1461,(D1461*F1461/G1461))</f>
        <v>2844.4500000000003</v>
      </c>
    </row>
    <row r="1462" spans="1:18" ht="12.75" customHeight="1">
      <c r="A1462" s="1019"/>
      <c r="B1462" s="1020"/>
      <c r="C1462" s="792" t="s">
        <v>663</v>
      </c>
      <c r="D1462" s="1021">
        <v>2.16</v>
      </c>
      <c r="E1462" s="1022" t="s">
        <v>236</v>
      </c>
      <c r="F1462" s="986">
        <f>F1437</f>
        <v>7168</v>
      </c>
      <c r="G1462" s="1023">
        <v>1000</v>
      </c>
      <c r="H1462" s="991" t="str">
        <f t="shared" si="152"/>
        <v>kg</v>
      </c>
      <c r="I1462" s="986">
        <f>IF(G1462="",D1462*F1462,(D1462*F1462/G1462))</f>
        <v>15.482880000000002</v>
      </c>
    </row>
    <row r="1463" spans="1:18" ht="12.75" customHeight="1">
      <c r="A1463" s="1019"/>
      <c r="B1463" s="1020"/>
      <c r="C1463" s="792" t="s">
        <v>353</v>
      </c>
      <c r="D1463" s="1021">
        <f>0.012</f>
        <v>1.2E-2</v>
      </c>
      <c r="E1463" s="1022" t="s">
        <v>529</v>
      </c>
      <c r="F1463" s="986">
        <f>F1436</f>
        <v>437.11999999999983</v>
      </c>
      <c r="G1463" s="1023">
        <v>1</v>
      </c>
      <c r="H1463" s="991" t="str">
        <f t="shared" si="152"/>
        <v>cu.m.</v>
      </c>
      <c r="I1463" s="986">
        <f>IF(G1463="",D1463*F1463,(D1463*F1463/G1463))</f>
        <v>5.2454399999999985</v>
      </c>
    </row>
    <row r="1464" spans="1:18" ht="12.75" customHeight="1">
      <c r="A1464" s="1019"/>
      <c r="B1464" s="1020"/>
      <c r="C1464" s="792" t="s">
        <v>196</v>
      </c>
      <c r="D1464" s="1021">
        <v>1</v>
      </c>
      <c r="E1464" s="1022" t="s">
        <v>623</v>
      </c>
      <c r="F1464" s="986">
        <f>$I$775</f>
        <v>191.95</v>
      </c>
      <c r="G1464" s="1023">
        <v>1</v>
      </c>
      <c r="H1464" s="991" t="str">
        <f t="shared" si="152"/>
        <v>Sqmt.</v>
      </c>
      <c r="I1464" s="986">
        <f t="shared" ref="I1464:I1469" si="153">IF(G1464="",D1464*F1464,(D1464*F1464/G1464))</f>
        <v>191.95</v>
      </c>
    </row>
    <row r="1465" spans="1:18" ht="12.75" customHeight="1">
      <c r="A1465" s="1019"/>
      <c r="B1465" s="1020"/>
      <c r="C1465" s="1212" t="s">
        <v>377</v>
      </c>
      <c r="D1465" s="1021">
        <v>9.6000000000000002E-2</v>
      </c>
      <c r="E1465" s="1003" t="s">
        <v>499</v>
      </c>
      <c r="F1465" s="986">
        <f>$F$9</f>
        <v>624</v>
      </c>
      <c r="G1465" s="1023">
        <v>1</v>
      </c>
      <c r="H1465" s="991" t="str">
        <f t="shared" si="152"/>
        <v>Each</v>
      </c>
      <c r="I1465" s="986">
        <f t="shared" si="153"/>
        <v>59.904000000000003</v>
      </c>
    </row>
    <row r="1466" spans="1:18" ht="12.75" customHeight="1">
      <c r="A1466" s="1019"/>
      <c r="B1466" s="1020"/>
      <c r="C1466" s="1212" t="s">
        <v>378</v>
      </c>
      <c r="D1466" s="1021">
        <v>0.224</v>
      </c>
      <c r="E1466" s="1003" t="s">
        <v>499</v>
      </c>
      <c r="F1466" s="986">
        <f>$F$10</f>
        <v>588</v>
      </c>
      <c r="G1466" s="1023">
        <v>1</v>
      </c>
      <c r="H1466" s="991" t="str">
        <f t="shared" si="152"/>
        <v>Each</v>
      </c>
      <c r="I1466" s="986">
        <f t="shared" si="153"/>
        <v>131.71199999999999</v>
      </c>
    </row>
    <row r="1467" spans="1:18" ht="12.75" customHeight="1">
      <c r="A1467" s="1019"/>
      <c r="B1467" s="1020"/>
      <c r="C1467" s="792" t="s">
        <v>396</v>
      </c>
      <c r="D1467" s="1021">
        <v>0.22</v>
      </c>
      <c r="E1467" s="1022" t="s">
        <v>499</v>
      </c>
      <c r="F1467" s="986">
        <f>$F$22</f>
        <v>558</v>
      </c>
      <c r="G1467" s="1023">
        <v>1</v>
      </c>
      <c r="H1467" s="991" t="str">
        <f t="shared" si="152"/>
        <v>Each</v>
      </c>
      <c r="I1467" s="986">
        <f t="shared" si="153"/>
        <v>122.76</v>
      </c>
    </row>
    <row r="1468" spans="1:18" ht="12.75" customHeight="1">
      <c r="A1468" s="1019"/>
      <c r="B1468" s="1020"/>
      <c r="C1468" s="792" t="s">
        <v>397</v>
      </c>
      <c r="D1468" s="1021">
        <v>0.11</v>
      </c>
      <c r="E1468" s="1022" t="s">
        <v>499</v>
      </c>
      <c r="F1468" s="986">
        <f>$F$23</f>
        <v>558</v>
      </c>
      <c r="G1468" s="1023">
        <v>1</v>
      </c>
      <c r="H1468" s="991" t="str">
        <f t="shared" si="152"/>
        <v>Each</v>
      </c>
      <c r="I1468" s="986">
        <f t="shared" si="153"/>
        <v>61.38</v>
      </c>
    </row>
    <row r="1469" spans="1:18" ht="25.5" customHeight="1">
      <c r="A1469" s="1019"/>
      <c r="B1469" s="1020"/>
      <c r="C1469" s="792" t="s">
        <v>1041</v>
      </c>
      <c r="D1469" s="1053">
        <v>0.01</v>
      </c>
      <c r="E1469" s="1022"/>
      <c r="F1469" s="986">
        <f>SUM(I1461:I1468)</f>
        <v>3432.8843200000006</v>
      </c>
      <c r="G1469" s="1023"/>
      <c r="H1469" s="991"/>
      <c r="I1469" s="986">
        <f t="shared" si="153"/>
        <v>34.328843200000009</v>
      </c>
    </row>
    <row r="1470" spans="1:18" ht="12.75" customHeight="1">
      <c r="A1470" s="1019"/>
      <c r="B1470" s="1020"/>
      <c r="C1470" s="980" t="s">
        <v>368</v>
      </c>
      <c r="D1470" s="1021"/>
      <c r="E1470" s="1022"/>
      <c r="F1470" s="986"/>
      <c r="G1470" s="1023"/>
      <c r="H1470" s="1213"/>
      <c r="I1470" s="1012">
        <f>SUM(I1461:I1469)</f>
        <v>3467.2131632000005</v>
      </c>
    </row>
    <row r="1471" spans="1:18" ht="12.75" customHeight="1">
      <c r="B1471" s="1020"/>
      <c r="C1471" s="1214" t="s">
        <v>428</v>
      </c>
      <c r="E1471" s="1227" t="s">
        <v>501</v>
      </c>
      <c r="F1471" s="1048" t="s">
        <v>502</v>
      </c>
      <c r="G1471" s="1227" t="s">
        <v>503</v>
      </c>
      <c r="H1471" s="1048" t="s">
        <v>709</v>
      </c>
    </row>
    <row r="1472" spans="1:18" ht="12.75" customHeight="1">
      <c r="A1472" s="1019"/>
      <c r="B1472" s="1020"/>
      <c r="C1472" s="1213" t="s">
        <v>368</v>
      </c>
      <c r="E1472" s="986">
        <f>$I$1470</f>
        <v>3467.2131632000005</v>
      </c>
      <c r="F1472" s="986">
        <f>$I$1470</f>
        <v>3467.2131632000005</v>
      </c>
      <c r="G1472" s="986">
        <f>$I$1470</f>
        <v>3467.2131632000005</v>
      </c>
      <c r="H1472" s="986">
        <f>$I$1470</f>
        <v>3467.2131632000005</v>
      </c>
    </row>
    <row r="1473" spans="1:9" ht="12.75" customHeight="1">
      <c r="A1473" s="1019"/>
      <c r="B1473" s="1020"/>
      <c r="C1473" s="792" t="s">
        <v>418</v>
      </c>
      <c r="E1473" s="986"/>
      <c r="F1473" s="986">
        <f>ROUND(0.1*(I1467+I1468+I1466+I1465),2)</f>
        <v>37.58</v>
      </c>
      <c r="G1473" s="986">
        <f>ROUND(0.2*(I1467+I1468+I1466+I1465),2)</f>
        <v>75.150000000000006</v>
      </c>
      <c r="H1473" s="986">
        <f>ROUND(0.3*(I1467+I1468+I1466+I1465),2)</f>
        <v>112.73</v>
      </c>
    </row>
    <row r="1474" spans="1:9" ht="12.75" customHeight="1">
      <c r="A1474" s="1019"/>
      <c r="B1474" s="1020"/>
      <c r="E1474" s="986">
        <f>SUM(E1472:E1473)</f>
        <v>3467.2131632000005</v>
      </c>
      <c r="F1474" s="986">
        <f>SUM(F1472:F1473)</f>
        <v>3504.7931632000004</v>
      </c>
      <c r="G1474" s="986">
        <f>SUM(G1472:G1473)</f>
        <v>3542.3631632000006</v>
      </c>
      <c r="H1474" s="986">
        <f>SUM(H1472:H1473)</f>
        <v>3579.9431632000005</v>
      </c>
    </row>
    <row r="1475" spans="1:9" ht="12.75" customHeight="1">
      <c r="A1475" s="1019"/>
      <c r="B1475" s="1020"/>
      <c r="C1475" s="1220" t="s">
        <v>1014</v>
      </c>
      <c r="D1475" s="1026">
        <f>$D$3</f>
        <v>0</v>
      </c>
      <c r="E1475" s="986">
        <f>ROUND(E1474*$D$1051,2)</f>
        <v>0</v>
      </c>
      <c r="F1475" s="986">
        <f>ROUND(F1474*$D$1051,2)</f>
        <v>0</v>
      </c>
      <c r="G1475" s="986">
        <f>ROUND(G1474*$D$1051,2)</f>
        <v>0</v>
      </c>
      <c r="H1475" s="986">
        <f>ROUND(H1474*$D$1051,2)</f>
        <v>0</v>
      </c>
    </row>
    <row r="1476" spans="1:9" ht="12.75" customHeight="1">
      <c r="A1476" s="1019"/>
      <c r="B1476" s="1020"/>
      <c r="C1476" s="980" t="s">
        <v>349</v>
      </c>
      <c r="D1476" s="980" t="s">
        <v>466</v>
      </c>
      <c r="E1476" s="1012">
        <f>CEILING(SUM(E1474:E1475),0.05)</f>
        <v>3467.25</v>
      </c>
      <c r="F1476" s="1012">
        <f>CEILING(SUM(F1474:F1475),0.05)</f>
        <v>3504.8</v>
      </c>
      <c r="G1476" s="1012">
        <f>CEILING(SUM(G1474:G1475),0.05)</f>
        <v>3542.4</v>
      </c>
      <c r="H1476" s="1012">
        <f>CEILING(SUM(H1474:H1475),0.05)</f>
        <v>3579.9500000000003</v>
      </c>
    </row>
    <row r="1477" spans="1:9" ht="216.75" customHeight="1">
      <c r="A1477" s="1019"/>
      <c r="B1477" s="1020"/>
      <c r="C1477" s="792" t="s">
        <v>2305</v>
      </c>
      <c r="D1477" s="980" t="s">
        <v>656</v>
      </c>
      <c r="E1477" s="1012"/>
      <c r="F1477" s="1012"/>
      <c r="G1477" s="1012"/>
      <c r="H1477" s="1012"/>
    </row>
    <row r="1478" spans="1:9" ht="12.75" customHeight="1">
      <c r="A1478" s="1019">
        <f>A1460+1</f>
        <v>39</v>
      </c>
      <c r="B1478" s="1020"/>
      <c r="C1478" s="1499" t="s">
        <v>1049</v>
      </c>
      <c r="D1478" s="1499"/>
      <c r="E1478" s="1499"/>
      <c r="F1478" s="1499"/>
      <c r="G1478" s="1499"/>
      <c r="H1478" s="1499"/>
      <c r="I1478" s="1499"/>
    </row>
    <row r="1479" spans="1:9" ht="12.75" customHeight="1">
      <c r="A1479" s="1019"/>
      <c r="B1479" s="1020"/>
      <c r="C1479" s="1214" t="s">
        <v>557</v>
      </c>
      <c r="D1479" s="980"/>
      <c r="E1479" s="980"/>
      <c r="F1479" s="980"/>
      <c r="G1479" s="980"/>
      <c r="H1479" s="980"/>
      <c r="I1479" s="980"/>
    </row>
    <row r="1480" spans="1:9" ht="12.75" customHeight="1">
      <c r="A1480" s="1019"/>
      <c r="B1480" s="1020"/>
      <c r="C1480" s="792" t="str">
        <f>C1461</f>
        <v>High polished granite 16 to 18mm thick</v>
      </c>
      <c r="D1480" s="1021">
        <v>1.1000000000000001</v>
      </c>
      <c r="E1480" s="1022" t="s">
        <v>623</v>
      </c>
      <c r="F1480" s="986">
        <f>F1461</f>
        <v>2709</v>
      </c>
      <c r="G1480" s="1023">
        <v>1</v>
      </c>
      <c r="H1480" s="991" t="str">
        <f>IF(E1480="","",IF(E1480="No.","Each",IF(E1480="Nos.","Each",E1480)))</f>
        <v>Sqmt.</v>
      </c>
      <c r="I1480" s="986">
        <f>IF(G1480="",D1480*F1480,(D1480*F1480/G1480))</f>
        <v>2979.9</v>
      </c>
    </row>
    <row r="1481" spans="1:9" ht="12.75" customHeight="1">
      <c r="A1481" s="1019"/>
      <c r="B1481" s="1020"/>
      <c r="C1481" s="792" t="s">
        <v>295</v>
      </c>
      <c r="D1481" s="1021">
        <f>0.012</f>
        <v>1.2E-2</v>
      </c>
      <c r="E1481" s="1022" t="s">
        <v>529</v>
      </c>
      <c r="F1481" s="986">
        <f>LEAD!$P$7</f>
        <v>437.11999999999983</v>
      </c>
      <c r="G1481" s="1023">
        <v>1</v>
      </c>
      <c r="H1481" s="991" t="str">
        <f>IF(E1481="","",IF(E1481="No.","Each",IF(E1481="Nos.","Each",E1481)))</f>
        <v>cu.m.</v>
      </c>
      <c r="I1481" s="986">
        <f>IF(G1481="",D1481*F1481,(D1481*F1481/G1481))</f>
        <v>5.2454399999999985</v>
      </c>
    </row>
    <row r="1482" spans="1:9" ht="12.75" customHeight="1">
      <c r="A1482" s="1019"/>
      <c r="B1482" s="1020"/>
      <c r="C1482" s="792" t="s">
        <v>296</v>
      </c>
      <c r="D1482" s="1021">
        <v>5.76</v>
      </c>
      <c r="E1482" s="1022" t="s">
        <v>364</v>
      </c>
      <c r="F1482" s="986">
        <f>LEAD!$P$28</f>
        <v>7168</v>
      </c>
      <c r="G1482" s="1023">
        <v>1000</v>
      </c>
      <c r="H1482" s="991" t="str">
        <f>IF(E1482="","",IF(E1482="No.","Each",IF(E1482="Nos.","Each",E1482)))</f>
        <v>Kgs</v>
      </c>
      <c r="I1482" s="986">
        <f>IF(G1482="",D1482*F1482,(D1482*F1482/G1482))</f>
        <v>41.287680000000002</v>
      </c>
    </row>
    <row r="1483" spans="1:9" ht="12.75" customHeight="1">
      <c r="A1483" s="1019"/>
      <c r="B1483" s="1020"/>
      <c r="C1483" s="792" t="s">
        <v>153</v>
      </c>
      <c r="D1483" s="1021">
        <v>3.3</v>
      </c>
      <c r="E1483" s="1022" t="s">
        <v>364</v>
      </c>
      <c r="F1483" s="986">
        <f>LEAD!$P$28</f>
        <v>7168</v>
      </c>
      <c r="G1483" s="1023">
        <v>1000</v>
      </c>
      <c r="H1483" s="991" t="str">
        <f>IF(E1483="","",IF(E1483="No.","Each",IF(E1483="Nos.","Each",E1483)))</f>
        <v>Kgs</v>
      </c>
      <c r="I1483" s="986">
        <f>IF(G1483="",D1483*F1483,(D1483*F1483/G1483))</f>
        <v>23.654399999999999</v>
      </c>
    </row>
    <row r="1484" spans="1:9" ht="12.75" customHeight="1">
      <c r="A1484" s="1019"/>
      <c r="B1484" s="1020"/>
      <c r="C1484" s="1214" t="s">
        <v>690</v>
      </c>
      <c r="D1484" s="1021"/>
      <c r="E1484" s="1022"/>
      <c r="F1484" s="986"/>
      <c r="G1484" s="1023"/>
      <c r="H1484" s="991"/>
      <c r="I1484" s="986"/>
    </row>
    <row r="1485" spans="1:9" ht="12.75" customHeight="1">
      <c r="A1485" s="1019"/>
      <c r="B1485" s="1020"/>
      <c r="C1485" s="1212" t="s">
        <v>377</v>
      </c>
      <c r="D1485" s="1021">
        <v>9.6000000000000002E-2</v>
      </c>
      <c r="E1485" s="1003" t="s">
        <v>499</v>
      </c>
      <c r="F1485" s="986">
        <f>$F$9</f>
        <v>624</v>
      </c>
      <c r="G1485" s="1023">
        <v>1</v>
      </c>
      <c r="H1485" s="991" t="str">
        <f>IF(E1485="","",IF(E1485="No.","Each",IF(E1485="Nos.","Each",E1485)))</f>
        <v>Each</v>
      </c>
      <c r="I1485" s="986">
        <f>IF(G1485="",D1485*F1485,(D1485*F1485/G1485))</f>
        <v>59.904000000000003</v>
      </c>
    </row>
    <row r="1486" spans="1:9" ht="12.75" customHeight="1">
      <c r="A1486" s="1019"/>
      <c r="B1486" s="1020"/>
      <c r="C1486" s="1212" t="s">
        <v>378</v>
      </c>
      <c r="D1486" s="1021">
        <v>0.224</v>
      </c>
      <c r="E1486" s="1003" t="s">
        <v>499</v>
      </c>
      <c r="F1486" s="986">
        <f>$F$10</f>
        <v>588</v>
      </c>
      <c r="G1486" s="1023">
        <v>1</v>
      </c>
      <c r="H1486" s="991" t="str">
        <f>IF(E1486="","",IF(E1486="No.","Each",IF(E1486="Nos.","Each",E1486)))</f>
        <v>Each</v>
      </c>
      <c r="I1486" s="986">
        <f>IF(G1486="",D1486*F1486,(D1486*F1486/G1486))</f>
        <v>131.71199999999999</v>
      </c>
    </row>
    <row r="1487" spans="1:9" ht="12.75" customHeight="1">
      <c r="A1487" s="1019"/>
      <c r="B1487" s="1020"/>
      <c r="C1487" s="792" t="s">
        <v>396</v>
      </c>
      <c r="D1487" s="1021">
        <v>0.31</v>
      </c>
      <c r="E1487" s="1022" t="s">
        <v>499</v>
      </c>
      <c r="F1487" s="986">
        <f>$F$22</f>
        <v>558</v>
      </c>
      <c r="G1487" s="1023">
        <v>1</v>
      </c>
      <c r="H1487" s="991" t="str">
        <f>IF(E1487="","",IF(E1487="No.","Each",IF(E1487="Nos.","Each",E1487)))</f>
        <v>Each</v>
      </c>
      <c r="I1487" s="986">
        <f>IF(G1487="",D1487*F1487,(D1487*F1487/G1487))</f>
        <v>172.98</v>
      </c>
    </row>
    <row r="1488" spans="1:9" ht="25.5" customHeight="1">
      <c r="A1488" s="1019"/>
      <c r="B1488" s="1020"/>
      <c r="C1488" s="792" t="s">
        <v>1041</v>
      </c>
      <c r="D1488" s="1053">
        <v>0.01</v>
      </c>
      <c r="E1488" s="1022"/>
      <c r="F1488" s="986">
        <f>SUM(I1480:I1487)</f>
        <v>3414.68352</v>
      </c>
      <c r="G1488" s="1023"/>
      <c r="H1488" s="991"/>
      <c r="I1488" s="986">
        <f>IF(G1488="",D1488*F1488,(D1488*F1488/G1488))</f>
        <v>34.146835199999998</v>
      </c>
    </row>
    <row r="1489" spans="1:9" ht="12.75" customHeight="1">
      <c r="A1489" s="1019"/>
      <c r="B1489" s="1020"/>
      <c r="C1489" s="980" t="s">
        <v>368</v>
      </c>
      <c r="D1489" s="1021"/>
      <c r="E1489" s="1022"/>
      <c r="F1489" s="986"/>
      <c r="G1489" s="1023"/>
      <c r="H1489" s="1213"/>
      <c r="I1489" s="1012">
        <f>SUM(I1480:I1488)</f>
        <v>3448.8303552000002</v>
      </c>
    </row>
    <row r="1490" spans="1:9" ht="12.75" customHeight="1">
      <c r="A1490" s="1019"/>
      <c r="B1490" s="1020"/>
      <c r="C1490" s="1214" t="s">
        <v>428</v>
      </c>
      <c r="E1490" s="1227" t="s">
        <v>501</v>
      </c>
      <c r="F1490" s="1048" t="s">
        <v>502</v>
      </c>
      <c r="G1490" s="1227" t="s">
        <v>503</v>
      </c>
      <c r="H1490" s="1048" t="s">
        <v>709</v>
      </c>
    </row>
    <row r="1491" spans="1:9" ht="12.75" customHeight="1">
      <c r="A1491" s="1019"/>
      <c r="B1491" s="1020"/>
      <c r="C1491" s="1213" t="s">
        <v>368</v>
      </c>
      <c r="E1491" s="986">
        <f>I1489</f>
        <v>3448.8303552000002</v>
      </c>
      <c r="F1491" s="986">
        <f>E1491</f>
        <v>3448.8303552000002</v>
      </c>
      <c r="G1491" s="986">
        <f>F1491</f>
        <v>3448.8303552000002</v>
      </c>
      <c r="H1491" s="986">
        <f>G1491</f>
        <v>3448.8303552000002</v>
      </c>
    </row>
    <row r="1492" spans="1:9" ht="12.75" customHeight="1">
      <c r="A1492" s="1019"/>
      <c r="B1492" s="1020"/>
      <c r="C1492" s="792" t="s">
        <v>418</v>
      </c>
      <c r="E1492" s="986"/>
      <c r="F1492" s="986">
        <f>ROUND(0.1*(I1485+I1486+I1488+I1487),2)</f>
        <v>39.869999999999997</v>
      </c>
      <c r="G1492" s="986">
        <f>ROUND(0.2*(I1485+I1486+I1488+I1487),2)</f>
        <v>79.75</v>
      </c>
      <c r="H1492" s="986">
        <f>ROUND(0.3*(I1485+I1486+I1488+I1487),2)</f>
        <v>119.62</v>
      </c>
    </row>
    <row r="1493" spans="1:9" ht="12.75" customHeight="1">
      <c r="A1493" s="1019"/>
      <c r="B1493" s="1020"/>
      <c r="E1493" s="986">
        <f>SUM(E1491:E1492)</f>
        <v>3448.8303552000002</v>
      </c>
      <c r="F1493" s="986">
        <f>SUM(F1491:F1492)</f>
        <v>3488.7003552000001</v>
      </c>
      <c r="G1493" s="986">
        <f>SUM(G1491:G1492)</f>
        <v>3528.5803552000002</v>
      </c>
      <c r="H1493" s="986">
        <f>SUM(H1491:H1492)</f>
        <v>3568.4503552000001</v>
      </c>
    </row>
    <row r="1494" spans="1:9" ht="12.75" customHeight="1">
      <c r="A1494" s="1019"/>
      <c r="B1494" s="1020"/>
      <c r="C1494" s="1220" t="s">
        <v>1014</v>
      </c>
      <c r="D1494" s="1026">
        <f>$D$3</f>
        <v>0</v>
      </c>
      <c r="E1494" s="986">
        <f>ROUND(E1493*$D$1088,2)</f>
        <v>0</v>
      </c>
      <c r="F1494" s="986">
        <f>ROUND(F1493*$D$1088,2)</f>
        <v>0</v>
      </c>
      <c r="G1494" s="986">
        <f>ROUND(G1493*$D$1088,2)</f>
        <v>0</v>
      </c>
      <c r="H1494" s="986">
        <f>ROUND(H1493*$D$1088,2)</f>
        <v>0</v>
      </c>
    </row>
    <row r="1495" spans="1:9" ht="12.75" customHeight="1">
      <c r="A1495" s="1019"/>
      <c r="B1495" s="1020"/>
      <c r="C1495" s="980" t="s">
        <v>349</v>
      </c>
      <c r="D1495" s="980" t="s">
        <v>466</v>
      </c>
      <c r="E1495" s="1012">
        <f>CEILING(SUM(E1493:E1494),0.05)</f>
        <v>3448.8500000000004</v>
      </c>
      <c r="F1495" s="1012">
        <f>CEILING(SUM(F1493:F1494),0.05)</f>
        <v>3488.75</v>
      </c>
      <c r="G1495" s="1012">
        <f>CEILING(SUM(G1493:G1494),0.05)</f>
        <v>3528.6000000000004</v>
      </c>
      <c r="H1495" s="1012">
        <f>CEILING(SUM(H1493:H1494),0.05)</f>
        <v>3568.5</v>
      </c>
    </row>
    <row r="1496" spans="1:9" ht="12.75" customHeight="1">
      <c r="A1496" s="1217">
        <f>+A1478+1</f>
        <v>40</v>
      </c>
      <c r="B1496" s="1217"/>
      <c r="C1496" s="1500" t="s">
        <v>2306</v>
      </c>
      <c r="D1496" s="1500"/>
      <c r="E1496" s="1500"/>
      <c r="F1496" s="1500"/>
      <c r="G1496" s="1500"/>
      <c r="H1496" s="1500"/>
      <c r="I1496" s="1500"/>
    </row>
    <row r="1497" spans="1:9" ht="12.75" customHeight="1">
      <c r="A1497" s="1217"/>
      <c r="B1497" s="1217"/>
      <c r="C1497" s="792" t="s">
        <v>1050</v>
      </c>
    </row>
    <row r="1498" spans="1:9" ht="12.75" customHeight="1">
      <c r="A1498" s="1217"/>
      <c r="B1498" s="1217"/>
      <c r="C1498" s="792" t="s">
        <v>1051</v>
      </c>
    </row>
    <row r="1499" spans="1:9" ht="12.75" customHeight="1">
      <c r="A1499" s="1217"/>
      <c r="B1499" s="1217"/>
      <c r="C1499" s="792" t="s">
        <v>1052</v>
      </c>
      <c r="D1499" s="997">
        <v>0.5</v>
      </c>
      <c r="E1499" s="979" t="s">
        <v>328</v>
      </c>
      <c r="F1499" s="997">
        <f>F122</f>
        <v>29</v>
      </c>
      <c r="G1499" s="979">
        <v>1</v>
      </c>
      <c r="H1499" s="979" t="s">
        <v>328</v>
      </c>
      <c r="I1499" s="979">
        <f t="shared" ref="I1499:I1504" si="154">ROUND(D1499*F1499/G1499,2)</f>
        <v>14.5</v>
      </c>
    </row>
    <row r="1500" spans="1:9" ht="12.75" customHeight="1">
      <c r="A1500" s="1217"/>
      <c r="B1500" s="1217"/>
      <c r="C1500" s="792" t="s">
        <v>771</v>
      </c>
      <c r="D1500" s="997">
        <v>0.08</v>
      </c>
      <c r="E1500" s="979" t="s">
        <v>499</v>
      </c>
      <c r="F1500" s="997">
        <f>F19</f>
        <v>714</v>
      </c>
      <c r="G1500" s="979">
        <v>1</v>
      </c>
      <c r="H1500" s="979" t="s">
        <v>268</v>
      </c>
      <c r="I1500" s="979">
        <f t="shared" si="154"/>
        <v>57.12</v>
      </c>
    </row>
    <row r="1501" spans="1:9" ht="12.75" customHeight="1">
      <c r="A1501" s="1217"/>
      <c r="B1501" s="1217"/>
      <c r="C1501" s="792" t="s">
        <v>772</v>
      </c>
      <c r="D1501" s="997">
        <v>0.19</v>
      </c>
      <c r="E1501" s="979" t="s">
        <v>499</v>
      </c>
      <c r="F1501" s="997">
        <f>F20</f>
        <v>588</v>
      </c>
      <c r="G1501" s="979">
        <v>1</v>
      </c>
      <c r="H1501" s="979" t="s">
        <v>268</v>
      </c>
      <c r="I1501" s="979">
        <f t="shared" si="154"/>
        <v>111.72</v>
      </c>
    </row>
    <row r="1502" spans="1:9" ht="12.75" customHeight="1">
      <c r="A1502" s="1217"/>
      <c r="B1502" s="1217"/>
      <c r="C1502" s="792" t="s">
        <v>1053</v>
      </c>
      <c r="D1502" s="997">
        <v>1.7</v>
      </c>
      <c r="E1502" s="979" t="s">
        <v>61</v>
      </c>
      <c r="F1502" s="997">
        <f>F126</f>
        <v>54</v>
      </c>
      <c r="G1502" s="979">
        <v>1</v>
      </c>
      <c r="H1502" s="979" t="s">
        <v>133</v>
      </c>
      <c r="I1502" s="979">
        <f t="shared" si="154"/>
        <v>91.8</v>
      </c>
    </row>
    <row r="1503" spans="1:9" ht="12.75" customHeight="1">
      <c r="A1503" s="1217"/>
      <c r="B1503" s="1217"/>
      <c r="C1503" s="792" t="s">
        <v>771</v>
      </c>
      <c r="D1503" s="997">
        <v>0.36</v>
      </c>
      <c r="E1503" s="979" t="s">
        <v>499</v>
      </c>
      <c r="F1503" s="997">
        <f>F1500</f>
        <v>714</v>
      </c>
      <c r="G1503" s="979">
        <v>1</v>
      </c>
      <c r="H1503" s="979" t="s">
        <v>268</v>
      </c>
      <c r="I1503" s="979">
        <f t="shared" si="154"/>
        <v>257.04000000000002</v>
      </c>
    </row>
    <row r="1504" spans="1:9" ht="12.75" customHeight="1">
      <c r="A1504" s="1217"/>
      <c r="B1504" s="1217"/>
      <c r="C1504" s="792" t="s">
        <v>772</v>
      </c>
      <c r="D1504" s="979">
        <v>0.84</v>
      </c>
      <c r="E1504" s="979" t="s">
        <v>499</v>
      </c>
      <c r="F1504" s="997">
        <f>F1501</f>
        <v>588</v>
      </c>
      <c r="G1504" s="979">
        <v>1</v>
      </c>
      <c r="H1504" s="979" t="s">
        <v>268</v>
      </c>
      <c r="I1504" s="979">
        <f t="shared" si="154"/>
        <v>493.92</v>
      </c>
    </row>
    <row r="1505" spans="1:9" ht="25.5" customHeight="1">
      <c r="A1505" s="1217"/>
      <c r="B1505" s="1217"/>
      <c r="C1505" s="792" t="s">
        <v>1054</v>
      </c>
      <c r="D1505" s="979">
        <v>0.01</v>
      </c>
      <c r="F1505" s="979">
        <f>SUM(I1499:I1504)</f>
        <v>1026.1000000000001</v>
      </c>
      <c r="I1505" s="979">
        <f>ROUND(D1505*F1505,2)</f>
        <v>10.26</v>
      </c>
    </row>
    <row r="1506" spans="1:9" ht="12.75" customHeight="1">
      <c r="A1506" s="1217"/>
      <c r="B1506" s="1217"/>
      <c r="I1506" s="979">
        <f>SUM(I1499:I1505)</f>
        <v>1036.3600000000001</v>
      </c>
    </row>
    <row r="1507" spans="1:9" ht="12.75" customHeight="1">
      <c r="A1507" s="1217"/>
      <c r="B1507" s="1217"/>
      <c r="C1507" s="1066" t="str">
        <f>$C$3</f>
        <v>Overheads</v>
      </c>
      <c r="D1507" s="1083">
        <f>D1494:D1494</f>
        <v>0</v>
      </c>
      <c r="F1507" s="979">
        <f>I1506</f>
        <v>1036.3600000000001</v>
      </c>
      <c r="I1507" s="979">
        <f>ROUND(D1507*F1507,2)</f>
        <v>0</v>
      </c>
    </row>
    <row r="1508" spans="1:9" ht="12.75" customHeight="1">
      <c r="A1508" s="1217"/>
      <c r="B1508" s="1217"/>
      <c r="C1508" s="792" t="s">
        <v>512</v>
      </c>
      <c r="I1508" s="979">
        <f>SUM(I1506:I1507)</f>
        <v>1036.3600000000001</v>
      </c>
    </row>
    <row r="1509" spans="1:9" ht="12.75" customHeight="1">
      <c r="A1509" s="1217"/>
      <c r="B1509" s="1217"/>
      <c r="C1509" s="792" t="s">
        <v>515</v>
      </c>
      <c r="I1509" s="979">
        <f>I1508/10</f>
        <v>103.63600000000001</v>
      </c>
    </row>
    <row r="1510" spans="1:9" ht="12.75" customHeight="1">
      <c r="A1510" s="1217"/>
      <c r="B1510" s="1217"/>
      <c r="H1510" s="979" t="s">
        <v>467</v>
      </c>
      <c r="I1510" s="998">
        <f>CEILING(I1509,0.1)</f>
        <v>103.7</v>
      </c>
    </row>
    <row r="1511" spans="1:9" ht="12.75" customHeight="1">
      <c r="A1511" s="1217"/>
      <c r="B1511" s="1217"/>
    </row>
    <row r="1512" spans="1:9" ht="12.75" customHeight="1">
      <c r="A1512" s="979">
        <f>+A1432+1</f>
        <v>38</v>
      </c>
      <c r="C1512" s="1493" t="s">
        <v>223</v>
      </c>
      <c r="D1512" s="1493"/>
      <c r="E1512" s="1493"/>
      <c r="F1512" s="1493"/>
      <c r="G1512" s="1493"/>
      <c r="H1512" s="1493"/>
      <c r="I1512" s="1493"/>
    </row>
    <row r="1513" spans="1:9" ht="12.75" customHeight="1">
      <c r="C1513" s="1220" t="s">
        <v>676</v>
      </c>
    </row>
    <row r="1514" spans="1:9" ht="12.75" customHeight="1">
      <c r="C1514" s="792" t="s">
        <v>4</v>
      </c>
      <c r="D1514" s="997">
        <v>10.5</v>
      </c>
      <c r="E1514" s="979" t="s">
        <v>461</v>
      </c>
      <c r="F1514" s="997">
        <f>LEAD!P26</f>
        <v>2445.48515</v>
      </c>
      <c r="G1514" s="979" t="s">
        <v>5</v>
      </c>
      <c r="H1514" s="979" t="str">
        <f>E1514</f>
        <v>Sqm</v>
      </c>
      <c r="I1514" s="987">
        <f>ROUND(F1514*D1514,2)</f>
        <v>25677.59</v>
      </c>
    </row>
    <row r="1515" spans="1:9" ht="12.75" customHeight="1">
      <c r="C1515" s="792" t="s">
        <v>570</v>
      </c>
      <c r="D1515" s="997">
        <f>0.2</f>
        <v>0.2</v>
      </c>
      <c r="E1515" s="979" t="s">
        <v>465</v>
      </c>
      <c r="F1515" s="997">
        <f>LEAD!$P$7</f>
        <v>437.11999999999983</v>
      </c>
      <c r="G1515" s="979" t="s">
        <v>514</v>
      </c>
      <c r="H1515" s="979" t="str">
        <f t="shared" ref="H1515:H1522" si="155">E1515</f>
        <v>Cum</v>
      </c>
      <c r="I1515" s="987">
        <f>ROUND(F1515*D1515,2)</f>
        <v>87.42</v>
      </c>
    </row>
    <row r="1516" spans="1:9" ht="12.75" customHeight="1">
      <c r="C1516" s="792" t="s">
        <v>686</v>
      </c>
      <c r="D1516" s="997">
        <v>36</v>
      </c>
      <c r="E1516" s="979" t="s">
        <v>364</v>
      </c>
      <c r="F1516" s="997">
        <f>LEAD!$P$28</f>
        <v>7168</v>
      </c>
      <c r="G1516" s="979" t="s">
        <v>636</v>
      </c>
      <c r="H1516" s="979" t="str">
        <f>E1516</f>
        <v>Kgs</v>
      </c>
      <c r="I1516" s="987">
        <f>ROUND(F1516*D1516/1000,2)</f>
        <v>258.05</v>
      </c>
    </row>
    <row r="1517" spans="1:9" ht="12.75" customHeight="1">
      <c r="C1517" s="792" t="s">
        <v>153</v>
      </c>
      <c r="D1517" s="997">
        <v>33</v>
      </c>
      <c r="E1517" s="979" t="s">
        <v>364</v>
      </c>
      <c r="F1517" s="997">
        <f>LEAD!$P$28</f>
        <v>7168</v>
      </c>
      <c r="G1517" s="979" t="s">
        <v>636</v>
      </c>
      <c r="H1517" s="979" t="str">
        <f>E1517</f>
        <v>Kgs</v>
      </c>
      <c r="I1517" s="987">
        <f>ROUND(F1517*D1517/1000,2)</f>
        <v>236.54</v>
      </c>
    </row>
    <row r="1518" spans="1:9" ht="12.75" customHeight="1">
      <c r="C1518" s="792" t="s">
        <v>6</v>
      </c>
      <c r="D1518" s="997">
        <v>6</v>
      </c>
      <c r="E1518" s="979" t="s">
        <v>364</v>
      </c>
      <c r="F1518" s="997">
        <f>LEAD!$P$28</f>
        <v>7168</v>
      </c>
      <c r="G1518" s="979" t="s">
        <v>636</v>
      </c>
      <c r="H1518" s="979" t="str">
        <f t="shared" si="155"/>
        <v>Kgs</v>
      </c>
      <c r="I1518" s="987">
        <f>ROUND(F1518*D1518/1000,2)</f>
        <v>43.01</v>
      </c>
    </row>
    <row r="1519" spans="1:9" ht="12.75" customHeight="1">
      <c r="C1519" s="1214" t="s">
        <v>690</v>
      </c>
      <c r="D1519" s="997"/>
      <c r="F1519" s="997"/>
      <c r="I1519" s="987"/>
    </row>
    <row r="1520" spans="1:9" ht="12.75" customHeight="1">
      <c r="C1520" s="792" t="s">
        <v>7</v>
      </c>
      <c r="D1520" s="997">
        <v>3</v>
      </c>
      <c r="E1520" s="979" t="s">
        <v>327</v>
      </c>
      <c r="F1520" s="997">
        <f>$F$9</f>
        <v>624</v>
      </c>
      <c r="G1520" s="979" t="s">
        <v>331</v>
      </c>
      <c r="H1520" s="979" t="str">
        <f t="shared" si="155"/>
        <v>Nos</v>
      </c>
      <c r="I1520" s="987">
        <f>ROUND(F1520*D1520,2)</f>
        <v>1872</v>
      </c>
    </row>
    <row r="1521" spans="1:16" ht="12.75" customHeight="1">
      <c r="C1521" s="792" t="s">
        <v>630</v>
      </c>
      <c r="D1521" s="997">
        <v>1</v>
      </c>
      <c r="E1521" s="979" t="s">
        <v>327</v>
      </c>
      <c r="F1521" s="997">
        <f>$F$10</f>
        <v>588</v>
      </c>
      <c r="G1521" s="979" t="s">
        <v>331</v>
      </c>
      <c r="H1521" s="979" t="str">
        <f t="shared" si="155"/>
        <v>Nos</v>
      </c>
      <c r="I1521" s="987">
        <f>ROUND(F1521*D1521,2)</f>
        <v>588</v>
      </c>
    </row>
    <row r="1522" spans="1:16" ht="12.75" customHeight="1">
      <c r="C1522" s="792" t="s">
        <v>396</v>
      </c>
      <c r="D1522" s="997">
        <v>8</v>
      </c>
      <c r="E1522" s="979" t="s">
        <v>327</v>
      </c>
      <c r="F1522" s="997">
        <f>$F$22</f>
        <v>558</v>
      </c>
      <c r="G1522" s="979" t="s">
        <v>331</v>
      </c>
      <c r="H1522" s="979" t="str">
        <f t="shared" si="155"/>
        <v>Nos</v>
      </c>
      <c r="I1522" s="987">
        <f>ROUND(F1522*D1522,2)</f>
        <v>4464</v>
      </c>
    </row>
    <row r="1523" spans="1:16" ht="12.75" customHeight="1">
      <c r="F1523" s="997"/>
      <c r="I1523" s="987">
        <f>SUM(I1514:I1522)</f>
        <v>33226.61</v>
      </c>
    </row>
    <row r="1524" spans="1:16" ht="12.75" customHeight="1">
      <c r="C1524" s="792" t="s">
        <v>8</v>
      </c>
      <c r="F1524" s="997"/>
      <c r="I1524" s="984">
        <f>ROUND(I1523/10,2)</f>
        <v>3322.66</v>
      </c>
    </row>
    <row r="1525" spans="1:16" ht="12.75" customHeight="1">
      <c r="C1525" s="1220" t="s">
        <v>1014</v>
      </c>
      <c r="D1525" s="1026">
        <f>$D$3</f>
        <v>0</v>
      </c>
      <c r="I1525" s="987">
        <f>ROUND(I1524*D1525,2)</f>
        <v>0</v>
      </c>
    </row>
    <row r="1526" spans="1:16" ht="12.75" customHeight="1">
      <c r="C1526" s="792" t="s">
        <v>8</v>
      </c>
      <c r="I1526" s="1058">
        <f>CEILING(SUM(I1524:I1525),0.05)</f>
        <v>3322.7000000000003</v>
      </c>
    </row>
    <row r="1527" spans="1:16" ht="12.75" customHeight="1">
      <c r="H1527" s="998"/>
    </row>
    <row r="1528" spans="1:16" ht="12.75" customHeight="1">
      <c r="A1528" s="979">
        <f>+A1512+1</f>
        <v>39</v>
      </c>
      <c r="C1528" s="1493" t="s">
        <v>288</v>
      </c>
      <c r="D1528" s="1493"/>
      <c r="E1528" s="1493"/>
      <c r="F1528" s="1493"/>
      <c r="G1528" s="1493"/>
      <c r="H1528" s="1493"/>
      <c r="I1528" s="1493"/>
    </row>
    <row r="1529" spans="1:16" ht="12.75" customHeight="1">
      <c r="C1529" s="979" t="s">
        <v>901</v>
      </c>
      <c r="D1529" s="979">
        <v>1</v>
      </c>
      <c r="E1529" s="979" t="s">
        <v>400</v>
      </c>
      <c r="F1529" s="997">
        <v>387</v>
      </c>
      <c r="G1529" s="979">
        <v>1</v>
      </c>
      <c r="H1529" s="979" t="str">
        <f>E1529</f>
        <v>RMT</v>
      </c>
      <c r="I1529" s="987">
        <f>D1529*F1529</f>
        <v>387</v>
      </c>
    </row>
    <row r="1530" spans="1:16" ht="12.75" customHeight="1">
      <c r="C1530" s="1220" t="s">
        <v>1014</v>
      </c>
      <c r="D1530" s="1026">
        <f>$D$3</f>
        <v>0</v>
      </c>
      <c r="I1530" s="987">
        <f>ROUND(I1529*D1530,2)</f>
        <v>0</v>
      </c>
    </row>
    <row r="1531" spans="1:16" ht="12.75" customHeight="1">
      <c r="C1531" s="979" t="s">
        <v>23</v>
      </c>
      <c r="G1531" s="1224"/>
      <c r="H1531" s="979" t="s">
        <v>513</v>
      </c>
      <c r="I1531" s="1058">
        <f>CEILING(SUM(I1529:I1530),0.05)</f>
        <v>387</v>
      </c>
    </row>
    <row r="1532" spans="1:16" ht="12.75" customHeight="1">
      <c r="H1532" s="998"/>
    </row>
    <row r="1533" spans="1:16" s="1016" customFormat="1" ht="12.75" customHeight="1">
      <c r="A1533" s="979">
        <f>A1528+1</f>
        <v>40</v>
      </c>
      <c r="B1533" s="979"/>
      <c r="C1533" s="1493" t="s">
        <v>2307</v>
      </c>
      <c r="D1533" s="1493"/>
      <c r="E1533" s="1493"/>
      <c r="F1533" s="1493"/>
      <c r="G1533" s="1493"/>
      <c r="H1533" s="1493"/>
      <c r="I1533" s="1493"/>
      <c r="K1533" s="783" t="s">
        <v>507</v>
      </c>
      <c r="L1533" s="300"/>
      <c r="N1533" s="300"/>
      <c r="P1533" s="300"/>
    </row>
    <row r="1534" spans="1:16" s="1016" customFormat="1" ht="24.6">
      <c r="A1534" s="979"/>
      <c r="B1534" s="979"/>
      <c r="C1534" s="979" t="s">
        <v>1220</v>
      </c>
      <c r="D1534" s="997">
        <v>3</v>
      </c>
      <c r="E1534" s="979" t="s">
        <v>154</v>
      </c>
      <c r="F1534" s="997">
        <f>479/3</f>
        <v>159.66666666666666</v>
      </c>
      <c r="G1534" s="979">
        <v>1</v>
      </c>
      <c r="H1534" s="979" t="s">
        <v>222</v>
      </c>
      <c r="I1534" s="987">
        <f t="shared" ref="I1534:I1540" si="156">D1534*F1534</f>
        <v>479</v>
      </c>
      <c r="L1534" s="300"/>
      <c r="N1534" s="300"/>
      <c r="P1534" s="300"/>
    </row>
    <row r="1535" spans="1:16" s="1016" customFormat="1">
      <c r="A1535" s="979"/>
      <c r="B1535" s="979"/>
      <c r="C1535" s="1220" t="s">
        <v>1221</v>
      </c>
      <c r="D1535" s="1010">
        <v>1</v>
      </c>
      <c r="E1535" s="979" t="s">
        <v>643</v>
      </c>
      <c r="F1535" s="979">
        <v>83</v>
      </c>
      <c r="G1535" s="979">
        <v>1</v>
      </c>
      <c r="H1535" s="979" t="s">
        <v>329</v>
      </c>
      <c r="I1535" s="987">
        <f t="shared" si="156"/>
        <v>83</v>
      </c>
      <c r="K1535" s="783" t="s">
        <v>1015</v>
      </c>
      <c r="L1535" s="300"/>
      <c r="N1535" s="300"/>
      <c r="P1535" s="300"/>
    </row>
    <row r="1536" spans="1:16" s="1016" customFormat="1" ht="24.6">
      <c r="A1536" s="979"/>
      <c r="B1536" s="979"/>
      <c r="C1536" s="1212" t="s">
        <v>1343</v>
      </c>
      <c r="D1536" s="1024">
        <v>1</v>
      </c>
      <c r="E1536" s="1212" t="s">
        <v>643</v>
      </c>
      <c r="F1536" s="1024">
        <v>70</v>
      </c>
      <c r="G1536" s="1212">
        <v>1</v>
      </c>
      <c r="H1536" s="1212" t="s">
        <v>329</v>
      </c>
      <c r="I1536" s="987">
        <f t="shared" si="156"/>
        <v>70</v>
      </c>
      <c r="L1536" s="300"/>
      <c r="N1536" s="300"/>
      <c r="P1536" s="300"/>
    </row>
    <row r="1537" spans="1:28" s="1016" customFormat="1" ht="24.6">
      <c r="A1537" s="979"/>
      <c r="B1537" s="979"/>
      <c r="C1537" s="979" t="s">
        <v>1344</v>
      </c>
      <c r="D1537" s="979">
        <v>3</v>
      </c>
      <c r="E1537" s="979" t="s">
        <v>499</v>
      </c>
      <c r="F1537" s="997">
        <v>18</v>
      </c>
      <c r="G1537" s="979">
        <v>1</v>
      </c>
      <c r="H1537" s="979" t="s">
        <v>329</v>
      </c>
      <c r="I1537" s="987">
        <f t="shared" si="156"/>
        <v>54</v>
      </c>
      <c r="L1537" s="300"/>
      <c r="N1537" s="300"/>
      <c r="P1537" s="300"/>
    </row>
    <row r="1538" spans="1:28" s="1016" customFormat="1">
      <c r="A1538" s="979"/>
      <c r="B1538" s="979"/>
      <c r="C1538" s="1220" t="s">
        <v>1016</v>
      </c>
      <c r="D1538" s="1084">
        <v>0.3</v>
      </c>
      <c r="E1538" s="979" t="s">
        <v>499</v>
      </c>
      <c r="F1538" s="997">
        <f>F14</f>
        <v>726</v>
      </c>
      <c r="G1538" s="979">
        <v>1</v>
      </c>
      <c r="H1538" s="979" t="s">
        <v>268</v>
      </c>
      <c r="I1538" s="987">
        <f t="shared" si="156"/>
        <v>217.79999999999998</v>
      </c>
      <c r="L1538" s="300"/>
      <c r="N1538" s="300"/>
      <c r="P1538" s="300"/>
    </row>
    <row r="1539" spans="1:28" s="1001" customFormat="1">
      <c r="A1539" s="979"/>
      <c r="B1539" s="979"/>
      <c r="C1539" s="1220" t="s">
        <v>1017</v>
      </c>
      <c r="D1539" s="1084">
        <v>0.7</v>
      </c>
      <c r="E1539" s="979" t="s">
        <v>499</v>
      </c>
      <c r="F1539" s="997">
        <f>F15</f>
        <v>588</v>
      </c>
      <c r="G1539" s="979">
        <v>1</v>
      </c>
      <c r="H1539" s="979" t="s">
        <v>268</v>
      </c>
      <c r="I1539" s="987">
        <f t="shared" si="156"/>
        <v>411.59999999999997</v>
      </c>
      <c r="J1539" s="783"/>
      <c r="L1539" s="300"/>
      <c r="N1539" s="300"/>
      <c r="P1539" s="300"/>
    </row>
    <row r="1540" spans="1:28" s="1001" customFormat="1">
      <c r="A1540" s="979"/>
      <c r="B1540" s="979"/>
      <c r="C1540" s="979" t="s">
        <v>396</v>
      </c>
      <c r="D1540" s="979">
        <v>1</v>
      </c>
      <c r="E1540" s="979" t="s">
        <v>643</v>
      </c>
      <c r="F1540" s="997">
        <f>F22</f>
        <v>558</v>
      </c>
      <c r="G1540" s="979">
        <v>1</v>
      </c>
      <c r="H1540" s="979" t="s">
        <v>268</v>
      </c>
      <c r="I1540" s="987">
        <f t="shared" si="156"/>
        <v>558</v>
      </c>
      <c r="J1540" s="783"/>
      <c r="L1540" s="300"/>
      <c r="N1540" s="300"/>
      <c r="P1540" s="300"/>
    </row>
    <row r="1541" spans="1:28" s="1016" customFormat="1" ht="24.6">
      <c r="A1541" s="979"/>
      <c r="B1541" s="979"/>
      <c r="C1541" s="1220"/>
      <c r="D1541" s="1026"/>
      <c r="E1541" s="979"/>
      <c r="F1541" s="979" t="s">
        <v>405</v>
      </c>
      <c r="G1541" s="979"/>
      <c r="H1541" s="979"/>
      <c r="I1541" s="987">
        <f>SUM(I1534:I1540)</f>
        <v>1873.3999999999999</v>
      </c>
      <c r="L1541" s="300"/>
      <c r="N1541" s="300"/>
      <c r="P1541" s="300"/>
    </row>
    <row r="1542" spans="1:28" s="1016" customFormat="1">
      <c r="A1542" s="979"/>
      <c r="B1542" s="979"/>
      <c r="C1542" s="1212"/>
      <c r="D1542" s="1212"/>
      <c r="E1542" s="1212"/>
      <c r="F1542" s="1212"/>
      <c r="G1542" s="1212"/>
      <c r="H1542" s="1212"/>
      <c r="I1542" s="987">
        <f>I1541/3</f>
        <v>624.46666666666658</v>
      </c>
      <c r="L1542" s="300"/>
      <c r="N1542" s="300"/>
      <c r="P1542" s="300"/>
    </row>
    <row r="1543" spans="1:28" s="1016" customFormat="1">
      <c r="A1543" s="979"/>
      <c r="B1543" s="979"/>
      <c r="C1543" s="979" t="s">
        <v>1014</v>
      </c>
      <c r="D1543" s="979">
        <f>$D$3</f>
        <v>0</v>
      </c>
      <c r="E1543" s="979"/>
      <c r="F1543" s="997">
        <f>I1542</f>
        <v>624.46666666666658</v>
      </c>
      <c r="G1543" s="979"/>
      <c r="H1543" s="979"/>
      <c r="I1543" s="987">
        <f>ROUND(D1543*F1543,2)</f>
        <v>0</v>
      </c>
      <c r="L1543" s="300"/>
      <c r="N1543" s="300"/>
      <c r="P1543" s="300"/>
    </row>
    <row r="1544" spans="1:28" s="1016" customFormat="1">
      <c r="A1544" s="979"/>
      <c r="B1544" s="979"/>
      <c r="C1544" s="1220" t="s">
        <v>406</v>
      </c>
      <c r="D1544" s="1026"/>
      <c r="E1544" s="979"/>
      <c r="F1544" s="979"/>
      <c r="G1544" s="979"/>
      <c r="H1544" s="979" t="s">
        <v>466</v>
      </c>
      <c r="I1544" s="987">
        <f>CEILING(SUM(I1542:I1543),0.05)</f>
        <v>624.5</v>
      </c>
      <c r="L1544" s="300"/>
      <c r="N1544" s="300"/>
      <c r="P1544" s="300"/>
    </row>
    <row r="1545" spans="1:28" s="1016" customFormat="1">
      <c r="A1545" s="1085"/>
      <c r="B1545" s="1085"/>
      <c r="C1545" s="1086"/>
      <c r="D1545" s="1086"/>
      <c r="E1545" s="783"/>
      <c r="F1545" s="783"/>
      <c r="G1545" s="300"/>
      <c r="H1545" s="1087"/>
      <c r="I1545" s="1088"/>
      <c r="J1545" s="783"/>
      <c r="L1545" s="300"/>
      <c r="N1545" s="300"/>
      <c r="P1545" s="300"/>
    </row>
    <row r="1546" spans="1:28" s="651" customFormat="1">
      <c r="A1546" s="1085">
        <f>A1533+1</f>
        <v>41</v>
      </c>
      <c r="B1546" s="1085"/>
      <c r="C1546" s="1499" t="s">
        <v>1222</v>
      </c>
      <c r="D1546" s="1499"/>
      <c r="E1546" s="1499"/>
      <c r="F1546" s="1499"/>
      <c r="G1546" s="1499"/>
      <c r="H1546" s="1499"/>
      <c r="I1546" s="1088"/>
      <c r="J1546" s="783"/>
      <c r="L1546" s="300"/>
      <c r="N1546" s="300"/>
      <c r="P1546" s="300"/>
    </row>
    <row r="1547" spans="1:28" s="651" customFormat="1">
      <c r="A1547" s="1085"/>
      <c r="B1547" s="1085"/>
      <c r="C1547" s="1086" t="s">
        <v>1129</v>
      </c>
      <c r="D1547" s="1086">
        <v>1</v>
      </c>
      <c r="E1547" s="783" t="s">
        <v>547</v>
      </c>
      <c r="F1547" s="783">
        <v>725</v>
      </c>
      <c r="G1547" s="300">
        <v>1</v>
      </c>
      <c r="H1547" s="1087" t="s">
        <v>547</v>
      </c>
      <c r="I1547" s="1088">
        <f>F1547*D1547</f>
        <v>725</v>
      </c>
      <c r="J1547" s="783"/>
      <c r="L1547" s="300"/>
      <c r="N1547" s="300"/>
      <c r="P1547" s="300"/>
    </row>
    <row r="1548" spans="1:28" s="651" customFormat="1">
      <c r="A1548" s="1085"/>
      <c r="B1548" s="1085"/>
      <c r="C1548" s="1086" t="s">
        <v>751</v>
      </c>
      <c r="D1548" s="1089">
        <f>D1543</f>
        <v>0</v>
      </c>
      <c r="E1548" s="783"/>
      <c r="F1548" s="287">
        <f>I1547</f>
        <v>725</v>
      </c>
      <c r="G1548" s="300"/>
      <c r="H1548" s="1087"/>
      <c r="I1548" s="1088">
        <f>ROUND(D1548*F1548,2)</f>
        <v>0</v>
      </c>
      <c r="J1548" s="783"/>
      <c r="L1548" s="300"/>
      <c r="N1548" s="300"/>
      <c r="P1548" s="300"/>
    </row>
    <row r="1549" spans="1:28" s="651" customFormat="1">
      <c r="A1549" s="1085"/>
      <c r="B1549" s="1085"/>
      <c r="C1549" s="1086"/>
      <c r="D1549" s="1086"/>
      <c r="E1549" s="783"/>
      <c r="F1549" s="287"/>
      <c r="G1549" s="300"/>
      <c r="H1549" s="1087"/>
      <c r="I1549" s="1088">
        <f>SUM(I1547:I1548)</f>
        <v>725</v>
      </c>
      <c r="J1549" s="783"/>
      <c r="L1549" s="300"/>
      <c r="N1549" s="300"/>
      <c r="P1549" s="300"/>
    </row>
    <row r="1550" spans="1:28" s="651" customFormat="1">
      <c r="A1550" s="1085"/>
      <c r="B1550" s="1085"/>
      <c r="C1550" s="1086"/>
      <c r="D1550" s="1086"/>
      <c r="E1550" s="783"/>
      <c r="F1550" s="287"/>
      <c r="G1550" s="300" t="s">
        <v>1130</v>
      </c>
      <c r="H1550" s="1087" t="s">
        <v>81</v>
      </c>
      <c r="I1550" s="1088">
        <f>CEILING(I1549,0.5)</f>
        <v>725</v>
      </c>
      <c r="J1550" s="783"/>
      <c r="L1550" s="300"/>
      <c r="N1550" s="300"/>
      <c r="P1550" s="300"/>
    </row>
    <row r="1551" spans="1:28" s="1213" customFormat="1">
      <c r="A1551" s="1019">
        <f>A1546+1</f>
        <v>42</v>
      </c>
      <c r="C1551" s="1493" t="s">
        <v>1290</v>
      </c>
      <c r="D1551" s="1493"/>
      <c r="E1551" s="1493"/>
      <c r="F1551" s="1493"/>
      <c r="G1551" s="1493"/>
      <c r="H1551" s="1493"/>
      <c r="I1551" s="1493"/>
      <c r="J1551" s="984"/>
      <c r="L1551" s="1215"/>
      <c r="N1551" s="1215"/>
      <c r="P1551" s="1215"/>
      <c r="AA1551" s="1090" t="s">
        <v>1057</v>
      </c>
      <c r="AB1551" s="1090"/>
    </row>
    <row r="1552" spans="1:28" s="794" customFormat="1">
      <c r="A1552" s="1091"/>
      <c r="B1552" s="1091"/>
      <c r="C1552" s="675" t="s">
        <v>1291</v>
      </c>
      <c r="D1552" s="642"/>
      <c r="E1552" s="642"/>
      <c r="F1552" s="642"/>
      <c r="G1552" s="642"/>
      <c r="H1552" s="642"/>
      <c r="I1552" s="642"/>
    </row>
    <row r="1553" spans="1:18" s="783" customFormat="1">
      <c r="A1553" s="1226"/>
      <c r="C1553" s="1092" t="s">
        <v>764</v>
      </c>
      <c r="D1553" s="1093"/>
      <c r="E1553" s="1073"/>
      <c r="F1553" s="1093"/>
      <c r="G1553" s="1094"/>
      <c r="H1553" s="1095"/>
      <c r="I1553" s="1096"/>
      <c r="L1553" s="1044"/>
      <c r="M1553" s="1093"/>
      <c r="N1553" s="1073"/>
      <c r="O1553" s="1093"/>
      <c r="P1553" s="1094"/>
      <c r="Q1553" s="1095"/>
      <c r="R1553" s="1097"/>
    </row>
    <row r="1554" spans="1:18" s="783" customFormat="1">
      <c r="A1554" s="1226"/>
      <c r="C1554" s="1092" t="s">
        <v>983</v>
      </c>
      <c r="D1554" s="1093"/>
      <c r="E1554" s="1073"/>
      <c r="F1554" s="1093"/>
      <c r="G1554" s="1094"/>
      <c r="H1554" s="1095"/>
      <c r="I1554" s="1096"/>
      <c r="L1554" s="1044"/>
      <c r="M1554" s="1093"/>
      <c r="N1554" s="1073"/>
      <c r="O1554" s="1093"/>
      <c r="P1554" s="1094"/>
      <c r="Q1554" s="1095"/>
      <c r="R1554" s="1097"/>
    </row>
    <row r="1555" spans="1:18" s="783" customFormat="1" ht="24.6">
      <c r="A1555" s="1226"/>
      <c r="C1555" s="1098" t="s">
        <v>2308</v>
      </c>
      <c r="D1555" s="1099" t="s">
        <v>547</v>
      </c>
      <c r="E1555" s="1099">
        <v>10.050000000000001</v>
      </c>
      <c r="F1555" s="1093">
        <v>274</v>
      </c>
      <c r="G1555" s="1100">
        <v>1</v>
      </c>
      <c r="H1555" s="685" t="s">
        <v>461</v>
      </c>
      <c r="I1555" s="1093">
        <f>ROUND(F1555*E1555/G1555,2)</f>
        <v>2753.7</v>
      </c>
      <c r="L1555" s="1044"/>
      <c r="M1555" s="1093"/>
      <c r="N1555" s="1073"/>
      <c r="O1555" s="1093"/>
      <c r="P1555" s="1094"/>
      <c r="Q1555" s="1095"/>
      <c r="R1555" s="1097"/>
    </row>
    <row r="1556" spans="1:18" s="783" customFormat="1">
      <c r="A1556" s="1226"/>
      <c r="C1556" s="1098" t="s">
        <v>1292</v>
      </c>
      <c r="D1556" s="1099" t="s">
        <v>1293</v>
      </c>
      <c r="E1556" s="1099">
        <v>28.8</v>
      </c>
      <c r="F1556" s="1093">
        <f>LEAD!P28</f>
        <v>7168</v>
      </c>
      <c r="G1556" s="1100">
        <v>1000</v>
      </c>
      <c r="H1556" s="685" t="s">
        <v>364</v>
      </c>
      <c r="I1556" s="1093">
        <f>ROUND(F1556*E1556/G1556,2)</f>
        <v>206.44</v>
      </c>
      <c r="L1556" s="1044"/>
      <c r="M1556" s="1093"/>
      <c r="N1556" s="1073"/>
      <c r="O1556" s="1093"/>
      <c r="P1556" s="1094"/>
      <c r="Q1556" s="1095"/>
      <c r="R1556" s="1097"/>
    </row>
    <row r="1557" spans="1:18" s="783" customFormat="1">
      <c r="A1557" s="1226"/>
      <c r="C1557" s="1098" t="s">
        <v>1294</v>
      </c>
      <c r="D1557" s="1099" t="s">
        <v>1295</v>
      </c>
      <c r="E1557" s="1099">
        <v>33</v>
      </c>
      <c r="F1557" s="1093">
        <f>LEAD!P28</f>
        <v>7168</v>
      </c>
      <c r="G1557" s="1100">
        <v>1000</v>
      </c>
      <c r="H1557" s="685" t="s">
        <v>364</v>
      </c>
      <c r="I1557" s="1093">
        <f>ROUND(F1557*E1557/G1557,2)</f>
        <v>236.54</v>
      </c>
      <c r="L1557" s="1044"/>
      <c r="M1557" s="1093"/>
      <c r="N1557" s="1073"/>
      <c r="O1557" s="1093"/>
      <c r="P1557" s="1094"/>
      <c r="Q1557" s="1095"/>
      <c r="R1557" s="1097"/>
    </row>
    <row r="1558" spans="1:18" s="783" customFormat="1">
      <c r="A1558" s="1226"/>
      <c r="C1558" s="1098" t="s">
        <v>161</v>
      </c>
      <c r="D1558" s="1099" t="s">
        <v>1293</v>
      </c>
      <c r="E1558" s="1099">
        <v>2</v>
      </c>
      <c r="F1558" s="1093">
        <f>F1439</f>
        <v>29</v>
      </c>
      <c r="G1558" s="1100">
        <v>1000</v>
      </c>
      <c r="H1558" s="794" t="s">
        <v>328</v>
      </c>
      <c r="I1558" s="1093">
        <f>ROUND(F1558*E1558/G1558,2)</f>
        <v>0.06</v>
      </c>
      <c r="L1558" s="1044"/>
      <c r="M1558" s="1093"/>
      <c r="N1558" s="1073"/>
      <c r="O1558" s="1093"/>
      <c r="P1558" s="1094"/>
      <c r="Q1558" s="1095"/>
      <c r="R1558" s="1097"/>
    </row>
    <row r="1559" spans="1:18" s="783" customFormat="1">
      <c r="A1559" s="1226"/>
      <c r="C1559" s="1098" t="s">
        <v>1296</v>
      </c>
      <c r="D1559" s="1099" t="s">
        <v>1293</v>
      </c>
      <c r="E1559" s="1099"/>
      <c r="F1559" s="1093"/>
      <c r="G1559" s="519"/>
      <c r="H1559" s="794"/>
      <c r="I1559" s="1093"/>
      <c r="L1559" s="1044"/>
      <c r="M1559" s="1093"/>
      <c r="N1559" s="1073"/>
      <c r="O1559" s="1093"/>
      <c r="P1559" s="1094"/>
      <c r="Q1559" s="1095"/>
      <c r="R1559" s="1097"/>
    </row>
    <row r="1560" spans="1:18" s="783" customFormat="1">
      <c r="A1560" s="1226"/>
      <c r="C1560" s="1098" t="s">
        <v>985</v>
      </c>
      <c r="D1560" s="1099" t="s">
        <v>644</v>
      </c>
      <c r="E1560" s="1099">
        <v>0.12</v>
      </c>
      <c r="F1560" s="1093">
        <f>LEAD!P7</f>
        <v>437.11999999999983</v>
      </c>
      <c r="G1560" s="519">
        <v>1</v>
      </c>
      <c r="H1560" s="794" t="s">
        <v>465</v>
      </c>
      <c r="I1560" s="1093">
        <f>ROUND(F1560*E1560/G1560,2)</f>
        <v>52.45</v>
      </c>
      <c r="L1560" s="1044"/>
      <c r="M1560" s="1093"/>
      <c r="N1560" s="1073"/>
      <c r="O1560" s="1093"/>
      <c r="P1560" s="1094"/>
      <c r="Q1560" s="1095"/>
      <c r="R1560" s="1097"/>
    </row>
    <row r="1561" spans="1:18" s="783" customFormat="1">
      <c r="A1561" s="1226"/>
      <c r="C1561" s="1098" t="s">
        <v>1297</v>
      </c>
      <c r="D1561" s="1099" t="s">
        <v>644</v>
      </c>
      <c r="E1561" s="1099"/>
      <c r="F1561" s="1093"/>
      <c r="G1561" s="1094"/>
      <c r="H1561" s="1095"/>
      <c r="I1561" s="1096"/>
      <c r="L1561" s="1044"/>
      <c r="M1561" s="1093"/>
      <c r="N1561" s="1073"/>
      <c r="O1561" s="1093"/>
      <c r="P1561" s="1094"/>
      <c r="Q1561" s="1095"/>
      <c r="R1561" s="1097"/>
    </row>
    <row r="1562" spans="1:18" s="783" customFormat="1">
      <c r="A1562" s="1226"/>
      <c r="C1562" s="1092" t="s">
        <v>1298</v>
      </c>
      <c r="D1562" s="1099"/>
      <c r="E1562" s="1099"/>
      <c r="F1562" s="1093"/>
      <c r="G1562" s="1094"/>
      <c r="H1562" s="1095"/>
      <c r="I1562" s="1096"/>
      <c r="L1562" s="1044"/>
      <c r="M1562" s="1093"/>
      <c r="N1562" s="1073"/>
      <c r="O1562" s="1093"/>
      <c r="P1562" s="1094"/>
      <c r="Q1562" s="1095"/>
      <c r="R1562" s="1097"/>
    </row>
    <row r="1563" spans="1:18" s="783" customFormat="1">
      <c r="A1563" s="1226"/>
      <c r="C1563" s="1098" t="s">
        <v>1299</v>
      </c>
      <c r="D1563" s="1099"/>
      <c r="E1563" s="1099"/>
      <c r="F1563" s="1093"/>
      <c r="G1563" s="1094"/>
      <c r="H1563" s="1095"/>
      <c r="I1563" s="1096"/>
      <c r="L1563" s="1044"/>
      <c r="M1563" s="1093"/>
      <c r="N1563" s="1073"/>
      <c r="O1563" s="1093"/>
      <c r="P1563" s="1094"/>
      <c r="Q1563" s="1095"/>
      <c r="R1563" s="1097"/>
    </row>
    <row r="1564" spans="1:18" s="783" customFormat="1">
      <c r="A1564" s="1226"/>
      <c r="C1564" s="1092" t="s">
        <v>1300</v>
      </c>
      <c r="D1564" s="1099"/>
      <c r="E1564" s="1099"/>
      <c r="F1564" s="1093"/>
      <c r="G1564" s="1094"/>
      <c r="H1564" s="1095"/>
      <c r="I1564" s="1096"/>
      <c r="L1564" s="1044"/>
      <c r="M1564" s="1093"/>
      <c r="N1564" s="1073"/>
      <c r="O1564" s="1093"/>
      <c r="P1564" s="1094"/>
      <c r="Q1564" s="1095"/>
      <c r="R1564" s="1097"/>
    </row>
    <row r="1565" spans="1:18" s="783" customFormat="1" ht="13.8">
      <c r="A1565" s="1226"/>
      <c r="C1565" s="1098" t="s">
        <v>2309</v>
      </c>
      <c r="D1565" s="1099" t="s">
        <v>594</v>
      </c>
      <c r="E1565" s="1101">
        <v>0.96</v>
      </c>
      <c r="F1565" s="1093">
        <f>$F$10</f>
        <v>588</v>
      </c>
      <c r="G1565" s="519">
        <v>1</v>
      </c>
      <c r="H1565" s="1099" t="s">
        <v>594</v>
      </c>
      <c r="I1565" s="1093">
        <f>ROUND(F1565*E1565/G1565,2)</f>
        <v>564.48</v>
      </c>
      <c r="L1565" s="1044"/>
      <c r="M1565" s="1093"/>
      <c r="N1565" s="1073"/>
      <c r="O1565" s="1093"/>
      <c r="P1565" s="1094"/>
      <c r="Q1565" s="1095"/>
      <c r="R1565" s="1097"/>
    </row>
    <row r="1566" spans="1:18" s="783" customFormat="1">
      <c r="A1566" s="1226"/>
      <c r="C1566" s="1098" t="s">
        <v>621</v>
      </c>
      <c r="D1566" s="1099" t="s">
        <v>594</v>
      </c>
      <c r="E1566" s="1101">
        <v>2.2400000000000002</v>
      </c>
      <c r="F1566" s="1093">
        <f>$F$22</f>
        <v>558</v>
      </c>
      <c r="G1566" s="519">
        <v>1</v>
      </c>
      <c r="H1566" s="1099" t="s">
        <v>594</v>
      </c>
      <c r="I1566" s="1093">
        <f>ROUND(F1566*E1566/G1566,2)</f>
        <v>1249.92</v>
      </c>
      <c r="L1566" s="1044"/>
      <c r="M1566" s="1093"/>
      <c r="N1566" s="1073"/>
      <c r="O1566" s="1093"/>
      <c r="P1566" s="1094"/>
      <c r="Q1566" s="1095"/>
      <c r="R1566" s="1097"/>
    </row>
    <row r="1567" spans="1:18" s="783" customFormat="1">
      <c r="A1567" s="1226"/>
      <c r="C1567" s="1098" t="s">
        <v>1301</v>
      </c>
      <c r="D1567" s="1099" t="s">
        <v>594</v>
      </c>
      <c r="E1567" s="1099">
        <v>3.3</v>
      </c>
      <c r="F1567" s="1093">
        <f>$F$22</f>
        <v>558</v>
      </c>
      <c r="G1567" s="519">
        <v>1</v>
      </c>
      <c r="H1567" s="1099" t="s">
        <v>594</v>
      </c>
      <c r="I1567" s="1093">
        <f>ROUND(F1567*E1567/G1567,2)</f>
        <v>1841.4</v>
      </c>
      <c r="L1567" s="1044"/>
      <c r="M1567" s="1093"/>
      <c r="N1567" s="1073"/>
      <c r="O1567" s="1093"/>
      <c r="P1567" s="1094"/>
      <c r="Q1567" s="1095"/>
      <c r="R1567" s="1097"/>
    </row>
    <row r="1568" spans="1:18" s="783" customFormat="1">
      <c r="A1568" s="1226"/>
      <c r="C1568" s="1098" t="s">
        <v>1302</v>
      </c>
      <c r="D1568" s="1102">
        <v>0.01</v>
      </c>
      <c r="E1568" s="1102"/>
      <c r="F1568" s="1103">
        <f>SUM(I1555:I1567)</f>
        <v>6904.99</v>
      </c>
      <c r="G1568" s="1094"/>
      <c r="H1568" s="1095"/>
      <c r="I1568" s="1093">
        <f>ROUND(F1568*D1568,2)</f>
        <v>69.05</v>
      </c>
      <c r="L1568" s="1044"/>
      <c r="M1568" s="1093"/>
      <c r="N1568" s="1073"/>
      <c r="O1568" s="1093"/>
      <c r="P1568" s="1094"/>
      <c r="Q1568" s="1095"/>
      <c r="R1568" s="1097"/>
    </row>
    <row r="1569" spans="1:18" s="783" customFormat="1">
      <c r="A1569" s="1226"/>
      <c r="C1569" s="1092"/>
      <c r="D1569" s="1093"/>
      <c r="E1569" s="1073"/>
      <c r="F1569" s="1093"/>
      <c r="G1569" s="1094"/>
      <c r="H1569" s="1095"/>
      <c r="I1569" s="1104">
        <f>SUM(I1555:I1568)</f>
        <v>6974.04</v>
      </c>
      <c r="L1569" s="1044"/>
      <c r="M1569" s="1093"/>
      <c r="N1569" s="1073"/>
      <c r="O1569" s="1093"/>
      <c r="P1569" s="1094"/>
      <c r="Q1569" s="1095"/>
      <c r="R1569" s="1097"/>
    </row>
    <row r="1570" spans="1:18" s="783" customFormat="1">
      <c r="A1570" s="1226"/>
      <c r="C1570" s="1221" t="str">
        <f>C1543</f>
        <v>Add 13.615% over heads</v>
      </c>
      <c r="D1570" s="1105">
        <f>$D$3</f>
        <v>0</v>
      </c>
      <c r="E1570" s="1073"/>
      <c r="F1570" s="1093">
        <f>I1569</f>
        <v>6974.04</v>
      </c>
      <c r="G1570" s="1094"/>
      <c r="H1570" s="1095"/>
      <c r="I1570" s="1093">
        <f>ROUND(F1570*D1570,2)</f>
        <v>0</v>
      </c>
      <c r="L1570" s="1044"/>
      <c r="M1570" s="1093"/>
      <c r="N1570" s="1073"/>
      <c r="O1570" s="1093"/>
      <c r="P1570" s="1094"/>
      <c r="Q1570" s="1095"/>
      <c r="R1570" s="1097"/>
    </row>
    <row r="1571" spans="1:18" s="783" customFormat="1">
      <c r="A1571" s="1226"/>
      <c r="C1571" s="902" t="s">
        <v>993</v>
      </c>
      <c r="D1571" s="1093"/>
      <c r="E1571" s="1073"/>
      <c r="F1571" s="1093"/>
      <c r="G1571" s="1094"/>
      <c r="H1571" s="1095"/>
      <c r="I1571" s="1104">
        <f>SUM(I1569:I1570)</f>
        <v>6974.04</v>
      </c>
      <c r="L1571" s="1044"/>
      <c r="M1571" s="1093"/>
      <c r="N1571" s="1073"/>
      <c r="O1571" s="1093"/>
      <c r="P1571" s="1094"/>
      <c r="Q1571" s="1095"/>
      <c r="R1571" s="1097"/>
    </row>
    <row r="1572" spans="1:18" s="783" customFormat="1">
      <c r="A1572" s="1226"/>
      <c r="C1572" s="1044" t="s">
        <v>645</v>
      </c>
      <c r="D1572" s="1093"/>
      <c r="E1572" s="1073"/>
      <c r="F1572" s="1093"/>
      <c r="G1572" s="1094"/>
      <c r="H1572" s="1095"/>
      <c r="I1572" s="1104">
        <f>CEILING(I1571/10,0.05)</f>
        <v>697.45</v>
      </c>
      <c r="L1572" s="1044"/>
      <c r="M1572" s="1093"/>
      <c r="N1572" s="1073"/>
      <c r="O1572" s="1093"/>
      <c r="P1572" s="1094"/>
      <c r="Q1572" s="1095"/>
      <c r="R1572" s="1097"/>
    </row>
    <row r="1573" spans="1:18" s="783" customFormat="1">
      <c r="A1573" s="1226"/>
      <c r="C1573" s="1044"/>
      <c r="D1573" s="1093"/>
      <c r="E1573" s="1073"/>
      <c r="F1573" s="1093"/>
      <c r="G1573" s="1094"/>
      <c r="H1573" s="1095"/>
      <c r="I1573" s="1104"/>
      <c r="L1573" s="1044"/>
      <c r="M1573" s="1093"/>
      <c r="N1573" s="1073"/>
      <c r="O1573" s="1093"/>
      <c r="P1573" s="1094"/>
      <c r="Q1573" s="1095"/>
      <c r="R1573" s="1097"/>
    </row>
    <row r="1574" spans="1:18" s="603" customFormat="1">
      <c r="A1574" s="604">
        <f>A1554+1</f>
        <v>1</v>
      </c>
      <c r="B1574" s="605"/>
      <c r="C1574" s="1494" t="s">
        <v>1720</v>
      </c>
      <c r="D1574" s="1494"/>
      <c r="E1574" s="1494"/>
      <c r="F1574" s="1494"/>
      <c r="G1574" s="1494"/>
      <c r="H1574" s="1494"/>
      <c r="I1574" s="1494"/>
    </row>
    <row r="1575" spans="1:18" s="603" customFormat="1" ht="24.6">
      <c r="A1575" s="604"/>
      <c r="B1575" s="604"/>
      <c r="C1575" s="611" t="s">
        <v>1721</v>
      </c>
      <c r="D1575" s="612"/>
      <c r="E1575" s="613"/>
      <c r="F1575" s="614"/>
      <c r="G1575" s="607"/>
      <c r="H1575" s="609"/>
      <c r="I1575" s="610">
        <f>ROUND(I1574*40,0)</f>
        <v>0</v>
      </c>
    </row>
    <row r="1576" spans="1:18" s="603" customFormat="1">
      <c r="A1576" s="690"/>
      <c r="B1576" s="690"/>
      <c r="C1576" s="740" t="s">
        <v>1722</v>
      </c>
      <c r="D1576" s="698">
        <v>1</v>
      </c>
      <c r="E1576" s="699" t="s">
        <v>547</v>
      </c>
      <c r="F1576" s="698">
        <v>6108</v>
      </c>
      <c r="G1576" s="700">
        <v>1</v>
      </c>
      <c r="H1576" s="699" t="s">
        <v>547</v>
      </c>
      <c r="I1576" s="701">
        <f>IF(G1576="",D1576*F1576,(D1576*F1576/G1576))</f>
        <v>6108</v>
      </c>
    </row>
    <row r="1577" spans="1:18" s="603" customFormat="1">
      <c r="A1577" s="690"/>
      <c r="B1577" s="690"/>
      <c r="C1577" s="691"/>
      <c r="D1577" s="692"/>
      <c r="E1577" s="693"/>
      <c r="F1577" s="694"/>
      <c r="G1577" s="695"/>
      <c r="H1577" s="696"/>
      <c r="I1577" s="697"/>
    </row>
    <row r="1578" spans="1:18" s="603" customFormat="1">
      <c r="A1578" s="604"/>
      <c r="B1578" s="604"/>
      <c r="C1578" s="615" t="s">
        <v>1014</v>
      </c>
      <c r="D1578" s="612">
        <f>$D$3</f>
        <v>0</v>
      </c>
      <c r="E1578" s="613"/>
      <c r="F1578" s="614">
        <f>I1576</f>
        <v>6108</v>
      </c>
      <c r="G1578" s="607"/>
      <c r="H1578" s="616"/>
      <c r="I1578" s="614">
        <f>ROUND(D1578*F1578,2)</f>
        <v>0</v>
      </c>
    </row>
    <row r="1579" spans="1:18" s="603" customFormat="1">
      <c r="A1579" s="604"/>
      <c r="B1579" s="604"/>
      <c r="C1579" s="617"/>
      <c r="D1579" s="608"/>
      <c r="E1579" s="618"/>
      <c r="F1579" s="606"/>
      <c r="G1579" s="607"/>
      <c r="H1579" s="619"/>
      <c r="I1579" s="620">
        <f>SUM(I1575:I1578)</f>
        <v>6108</v>
      </c>
    </row>
    <row r="1580" spans="1:18" s="603" customFormat="1" ht="24.6">
      <c r="A1580" s="604"/>
      <c r="B1580" s="604"/>
      <c r="C1580" s="611" t="s">
        <v>1723</v>
      </c>
      <c r="D1580" s="612"/>
      <c r="E1580" s="613"/>
      <c r="F1580" s="614"/>
      <c r="G1580" s="607"/>
      <c r="H1580" s="609"/>
      <c r="I1580" s="610"/>
    </row>
    <row r="1581" spans="1:18" s="603" customFormat="1">
      <c r="A1581" s="690"/>
      <c r="B1581" s="690"/>
      <c r="C1581" s="740" t="s">
        <v>1724</v>
      </c>
      <c r="D1581" s="698">
        <v>1</v>
      </c>
      <c r="E1581" s="699" t="s">
        <v>547</v>
      </c>
      <c r="F1581" s="698">
        <v>5183</v>
      </c>
      <c r="G1581" s="700">
        <v>1</v>
      </c>
      <c r="H1581" s="699" t="s">
        <v>547</v>
      </c>
      <c r="I1581" s="701">
        <f>IF(G1581="",D1581*F1581,(D1581*F1581/G1581))</f>
        <v>5183</v>
      </c>
    </row>
    <row r="1582" spans="1:18" s="603" customFormat="1">
      <c r="A1582" s="690"/>
      <c r="B1582" s="690"/>
      <c r="C1582" s="691"/>
      <c r="D1582" s="692"/>
      <c r="E1582" s="693"/>
      <c r="F1582" s="694"/>
      <c r="G1582" s="695"/>
      <c r="H1582" s="696"/>
      <c r="I1582" s="697"/>
    </row>
    <row r="1583" spans="1:18" s="603" customFormat="1">
      <c r="A1583" s="604"/>
      <c r="B1583" s="604"/>
      <c r="C1583" s="615" t="s">
        <v>1014</v>
      </c>
      <c r="D1583" s="612">
        <f>$D$3</f>
        <v>0</v>
      </c>
      <c r="E1583" s="613"/>
      <c r="F1583" s="614">
        <f>I1581</f>
        <v>5183</v>
      </c>
      <c r="G1583" s="607"/>
      <c r="H1583" s="616"/>
      <c r="I1583" s="614">
        <f>ROUND(D1583*F1583,2)</f>
        <v>0</v>
      </c>
    </row>
    <row r="1584" spans="1:18" s="603" customFormat="1">
      <c r="A1584" s="604"/>
      <c r="B1584" s="604"/>
      <c r="C1584" s="617"/>
      <c r="D1584" s="608"/>
      <c r="E1584" s="618"/>
      <c r="F1584" s="606"/>
      <c r="G1584" s="607"/>
      <c r="H1584" s="619"/>
      <c r="I1584" s="620">
        <f>SUM(I1580:I1583)</f>
        <v>5183</v>
      </c>
    </row>
    <row r="1585" spans="1:17" s="783" customFormat="1">
      <c r="A1585" s="633">
        <f>A1554+1</f>
        <v>1</v>
      </c>
      <c r="B1585" s="634"/>
      <c r="C1585" s="1495" t="s">
        <v>1672</v>
      </c>
      <c r="D1585" s="1495"/>
      <c r="E1585" s="1495"/>
      <c r="F1585" s="1495"/>
      <c r="G1585" s="1495"/>
      <c r="H1585" s="1495"/>
      <c r="I1585" s="1495"/>
    </row>
    <row r="1586" spans="1:17" s="783" customFormat="1">
      <c r="A1586" s="633"/>
      <c r="B1586" s="634"/>
      <c r="C1586" s="635" t="s">
        <v>1673</v>
      </c>
      <c r="D1586" s="635">
        <v>1</v>
      </c>
      <c r="E1586" s="635" t="s">
        <v>623</v>
      </c>
      <c r="F1586" s="635">
        <v>470</v>
      </c>
      <c r="G1586" s="635">
        <v>1</v>
      </c>
      <c r="H1586" s="635" t="str">
        <f>IF(E1586="","",IF(E1586="No.","Each",IF(E1586="Nos.","Each",E1586)))</f>
        <v>Sqmt.</v>
      </c>
      <c r="I1586" s="635">
        <f>IF(G1586="",D1586*F1586,(D1586*F1586/G1586))</f>
        <v>470</v>
      </c>
    </row>
    <row r="1587" spans="1:17" s="783" customFormat="1">
      <c r="A1587" s="633"/>
      <c r="B1587" s="634"/>
      <c r="C1587" s="635" t="s">
        <v>353</v>
      </c>
      <c r="D1587" s="635">
        <v>0.05</v>
      </c>
      <c r="E1587" s="635" t="s">
        <v>529</v>
      </c>
      <c r="F1587" s="635">
        <f>LEAD!P9</f>
        <v>437.11999999999983</v>
      </c>
      <c r="G1587" s="635">
        <v>1</v>
      </c>
      <c r="H1587" s="635" t="str">
        <f>IF(E1587="","",IF(E1587="No.","Each",IF(E1587="Nos.","Each",E1587)))</f>
        <v>cu.m.</v>
      </c>
      <c r="I1587" s="635">
        <f>IF(G1587="",D1587*F1587,(D1587*F1587/G1587))</f>
        <v>21.855999999999995</v>
      </c>
    </row>
    <row r="1588" spans="1:17" s="783" customFormat="1">
      <c r="A1588" s="633"/>
      <c r="B1588" s="634"/>
      <c r="C1588" s="635" t="s">
        <v>1674</v>
      </c>
      <c r="D1588" s="635">
        <v>1</v>
      </c>
      <c r="E1588" s="635" t="s">
        <v>623</v>
      </c>
      <c r="F1588" s="635">
        <v>198</v>
      </c>
      <c r="G1588" s="635">
        <v>1</v>
      </c>
      <c r="H1588" s="635" t="str">
        <f>IF(E1588="","",IF(E1588="No.","Each",IF(E1588="Nos.","Each",E1588)))</f>
        <v>Sqmt.</v>
      </c>
      <c r="I1588" s="635">
        <f>IF(G1588="",D1588*F1588,(D1588*F1588/G1588))</f>
        <v>198</v>
      </c>
    </row>
    <row r="1589" spans="1:17" s="783" customFormat="1">
      <c r="A1589" s="633"/>
      <c r="B1589" s="634"/>
      <c r="C1589" s="635" t="s">
        <v>1675</v>
      </c>
      <c r="D1589" s="904">
        <v>0.2</v>
      </c>
      <c r="E1589" s="635"/>
      <c r="F1589" s="635">
        <f>I1588</f>
        <v>198</v>
      </c>
      <c r="G1589" s="635"/>
      <c r="H1589" s="635"/>
      <c r="I1589" s="635">
        <f>F1589*D1589</f>
        <v>39.6</v>
      </c>
    </row>
    <row r="1590" spans="1:17" s="783" customFormat="1">
      <c r="A1590" s="633"/>
      <c r="B1590" s="634"/>
      <c r="C1590" s="635" t="s">
        <v>368</v>
      </c>
      <c r="D1590" s="635"/>
      <c r="E1590" s="635"/>
      <c r="F1590" s="635"/>
      <c r="G1590" s="635"/>
      <c r="H1590" s="635"/>
      <c r="I1590" s="635">
        <f>SUM(I1586:I1589)</f>
        <v>729.45600000000002</v>
      </c>
    </row>
    <row r="1591" spans="1:17" s="783" customFormat="1">
      <c r="A1591" s="633"/>
      <c r="B1591" s="634"/>
      <c r="C1591" s="635" t="s">
        <v>428</v>
      </c>
      <c r="D1591" s="635"/>
      <c r="E1591" s="635" t="s">
        <v>501</v>
      </c>
      <c r="F1591" s="635"/>
      <c r="G1591" s="635"/>
      <c r="H1591" s="635"/>
      <c r="I1591" s="635"/>
    </row>
    <row r="1592" spans="1:17" s="783" customFormat="1">
      <c r="A1592" s="633"/>
      <c r="B1592" s="634"/>
      <c r="C1592" s="635" t="s">
        <v>368</v>
      </c>
      <c r="D1592" s="635"/>
      <c r="E1592" s="635">
        <f>+I1590</f>
        <v>729.45600000000002</v>
      </c>
      <c r="F1592" s="635"/>
      <c r="G1592" s="635"/>
      <c r="H1592" s="635"/>
      <c r="I1592" s="635"/>
    </row>
    <row r="1593" spans="1:17" s="783" customFormat="1">
      <c r="A1593" s="633"/>
      <c r="B1593" s="634"/>
      <c r="C1593" s="635"/>
      <c r="D1593" s="635"/>
      <c r="E1593" s="635">
        <f>SUM(E1592:E1592)</f>
        <v>729.45600000000002</v>
      </c>
      <c r="F1593" s="635"/>
      <c r="G1593" s="635"/>
      <c r="H1593" s="635"/>
      <c r="I1593" s="635"/>
    </row>
    <row r="1594" spans="1:17" s="783" customFormat="1">
      <c r="A1594" s="633"/>
      <c r="B1594" s="634"/>
      <c r="C1594" s="635" t="s">
        <v>1014</v>
      </c>
      <c r="D1594" s="635">
        <v>0.13614999999999999</v>
      </c>
      <c r="E1594" s="635">
        <f>ROUND(E1593*$D1594,2)</f>
        <v>99.32</v>
      </c>
      <c r="F1594" s="635"/>
      <c r="G1594" s="635"/>
      <c r="H1594" s="635"/>
      <c r="I1594" s="635"/>
    </row>
    <row r="1595" spans="1:17" s="783" customFormat="1">
      <c r="A1595" s="633"/>
      <c r="B1595" s="634"/>
      <c r="C1595" s="635" t="s">
        <v>349</v>
      </c>
      <c r="D1595" s="635" t="s">
        <v>466</v>
      </c>
      <c r="E1595" s="635">
        <f>CEILING(SUM(E1593:E1594),0.05)</f>
        <v>828.80000000000007</v>
      </c>
      <c r="F1595" s="635"/>
      <c r="G1595" s="635"/>
      <c r="H1595" s="635"/>
      <c r="I1595" s="635"/>
    </row>
    <row r="1596" spans="1:17" s="783" customFormat="1">
      <c r="A1596" s="633"/>
      <c r="B1596" s="634"/>
      <c r="C1596" s="669"/>
      <c r="D1596" s="668"/>
      <c r="E1596" s="725"/>
      <c r="F1596" s="636"/>
      <c r="G1596" s="637"/>
      <c r="H1596" s="638"/>
      <c r="I1596" s="669"/>
    </row>
    <row r="1597" spans="1:17" s="1016" customFormat="1">
      <c r="A1597" s="1091"/>
      <c r="B1597" s="1106"/>
      <c r="C1597" s="1044"/>
      <c r="D1597" s="1093"/>
      <c r="E1597" s="1073"/>
      <c r="F1597" s="1093"/>
      <c r="G1597" s="1094"/>
      <c r="H1597" s="1095"/>
      <c r="I1597" s="1104"/>
      <c r="J1597" s="783"/>
      <c r="K1597" s="783"/>
      <c r="L1597" s="300"/>
      <c r="M1597" s="651"/>
      <c r="N1597" s="651"/>
      <c r="O1597" s="783"/>
      <c r="P1597" s="651"/>
      <c r="Q1597" s="651"/>
    </row>
    <row r="1598" spans="1:17" s="783" customFormat="1">
      <c r="A1598" s="1156">
        <f>A1568+1</f>
        <v>1</v>
      </c>
      <c r="B1598" s="1157"/>
      <c r="C1598" s="1496" t="s">
        <v>2427</v>
      </c>
      <c r="D1598" s="1496"/>
      <c r="E1598" s="1496"/>
      <c r="F1598" s="1496"/>
      <c r="G1598" s="1496"/>
      <c r="H1598" s="1496"/>
      <c r="I1598" s="1496"/>
    </row>
    <row r="1599" spans="1:17" s="783" customFormat="1">
      <c r="A1599" s="1156"/>
      <c r="B1599" s="1156"/>
      <c r="C1599" s="1497" t="s">
        <v>2412</v>
      </c>
      <c r="D1599" s="1497"/>
      <c r="E1599" s="1158"/>
      <c r="F1599" s="1159"/>
      <c r="G1599" s="1160"/>
      <c r="H1599" s="1161" t="s">
        <v>331</v>
      </c>
      <c r="I1599" s="1162">
        <v>10900</v>
      </c>
    </row>
    <row r="1600" spans="1:17" s="783" customFormat="1">
      <c r="A1600" s="1156"/>
      <c r="B1600" s="1156"/>
      <c r="C1600" s="1163"/>
      <c r="D1600" s="1164"/>
      <c r="E1600" s="1158"/>
      <c r="F1600" s="1159"/>
      <c r="G1600" s="1160"/>
      <c r="H1600" s="1165" t="s">
        <v>1659</v>
      </c>
      <c r="I1600" s="1166">
        <f>I1599/48</f>
        <v>227.08333333333334</v>
      </c>
    </row>
    <row r="1601" spans="1:9" s="783" customFormat="1">
      <c r="A1601" s="1156"/>
      <c r="B1601" s="1156"/>
      <c r="C1601" s="1167" t="s">
        <v>2426</v>
      </c>
      <c r="D1601" s="1168"/>
      <c r="E1601" s="1169"/>
      <c r="F1601" s="1170"/>
      <c r="G1601" s="1160"/>
      <c r="H1601" s="1165" t="s">
        <v>331</v>
      </c>
      <c r="I1601" s="1166">
        <f>ROUND(I1600*32,0)</f>
        <v>7267</v>
      </c>
    </row>
    <row r="1602" spans="1:9" s="783" customFormat="1">
      <c r="A1602" s="1156"/>
      <c r="B1602" s="1156"/>
      <c r="C1602" s="1171" t="s">
        <v>1014</v>
      </c>
      <c r="D1602" s="1168">
        <f>$D$3</f>
        <v>0</v>
      </c>
      <c r="E1602" s="1169"/>
      <c r="F1602" s="1170">
        <f>I1601</f>
        <v>7267</v>
      </c>
      <c r="G1602" s="1160"/>
      <c r="H1602" s="1172"/>
      <c r="I1602" s="1170">
        <f>ROUND(D1602*F1602,2)</f>
        <v>0</v>
      </c>
    </row>
    <row r="1603" spans="1:9" s="783" customFormat="1">
      <c r="A1603" s="1156"/>
      <c r="B1603" s="1156"/>
      <c r="C1603" s="1173"/>
      <c r="D1603" s="1164"/>
      <c r="E1603" s="1174"/>
      <c r="F1603" s="1159"/>
      <c r="G1603" s="1160"/>
      <c r="H1603" s="1175"/>
      <c r="I1603" s="1176">
        <f>SUM(I1601:I1602)</f>
        <v>7267</v>
      </c>
    </row>
    <row r="1604" spans="1:9">
      <c r="C1604" s="1218"/>
      <c r="D1604" s="1498"/>
      <c r="E1604" s="1498"/>
      <c r="F1604" s="1498"/>
      <c r="G1604" s="1498"/>
      <c r="H1604" s="1498"/>
      <c r="I1604" s="1218"/>
    </row>
    <row r="1607" spans="1:9" ht="15.6" customHeight="1">
      <c r="C1607" s="1217" t="str">
        <f>LEAD!B41</f>
        <v xml:space="preserve">Asst Engineer </v>
      </c>
      <c r="D1607" s="1492" t="str">
        <f>LEAD!D41</f>
        <v>Dy. Executive Engineer</v>
      </c>
      <c r="E1607" s="1492"/>
      <c r="F1607" s="1492"/>
      <c r="G1607" s="1492">
        <f>LEAD!J41</f>
        <v>0</v>
      </c>
      <c r="H1607" s="1492"/>
      <c r="I1607" s="1492"/>
    </row>
    <row r="1608" spans="1:9" ht="15.6" customHeight="1">
      <c r="C1608" s="1217" t="str">
        <f>LEAD!B42</f>
        <v>PR  MP Utkoor</v>
      </c>
      <c r="D1608" s="1492" t="str">
        <f>LEAD!D42</f>
        <v>PR SD Makthal</v>
      </c>
      <c r="E1608" s="1492"/>
      <c r="F1608" s="1492"/>
      <c r="G1608" s="1492">
        <f>LEAD!J42</f>
        <v>0</v>
      </c>
      <c r="H1608" s="1492"/>
      <c r="I1608" s="1492"/>
    </row>
    <row r="1609" spans="1:9">
      <c r="C1609" s="1217"/>
      <c r="D1609" s="1217"/>
      <c r="E1609" s="1217"/>
      <c r="F1609" s="1217"/>
      <c r="G1609" s="1217"/>
      <c r="H1609" s="1217"/>
      <c r="I1609" s="1217"/>
    </row>
  </sheetData>
  <protectedRanges>
    <protectedRange sqref="D3 D1060:I1060 E5:E6 C213:I213 C1060:C1061 E1178:I1179 C1243:D1243 C1044:I1045 C1022:I1022 C220:I220 C1063:I1063 C1081:I1082 C1100:I1101 C1192:I1192 C1209:I1209 D1466:I1466 C1466:C1467 C1469:I1469 C1487:I1488 C1140:I1142 C1120:I1121 C1161:I1162" name="Range1"/>
    <protectedRange sqref="D1568:F1568" name="Range1_1_1"/>
  </protectedRanges>
  <mergeCells count="125">
    <mergeCell ref="A1:I1"/>
    <mergeCell ref="A2:I2"/>
    <mergeCell ref="A4:I4"/>
    <mergeCell ref="F5:I5"/>
    <mergeCell ref="A7:I7"/>
    <mergeCell ref="A8:B8"/>
    <mergeCell ref="G8:H8"/>
    <mergeCell ref="O28:P28"/>
    <mergeCell ref="Q28:R28"/>
    <mergeCell ref="O48:P48"/>
    <mergeCell ref="Q48:R48"/>
    <mergeCell ref="A25:I25"/>
    <mergeCell ref="E26:F26"/>
    <mergeCell ref="G26:H26"/>
    <mergeCell ref="I26:J26"/>
    <mergeCell ref="E27:F27"/>
    <mergeCell ref="G27:H27"/>
    <mergeCell ref="I27:J27"/>
    <mergeCell ref="B68:J68"/>
    <mergeCell ref="E75:F75"/>
    <mergeCell ref="G75:H75"/>
    <mergeCell ref="E76:F76"/>
    <mergeCell ref="G76:H76"/>
    <mergeCell ref="I76:J76"/>
    <mergeCell ref="B28:I28"/>
    <mergeCell ref="K28:L28"/>
    <mergeCell ref="M28:N28"/>
    <mergeCell ref="B48:I48"/>
    <mergeCell ref="K48:L48"/>
    <mergeCell ref="M48:N48"/>
    <mergeCell ref="A118:I118"/>
    <mergeCell ref="A151:C151"/>
    <mergeCell ref="D152:E152"/>
    <mergeCell ref="G152:H152"/>
    <mergeCell ref="D206:G206"/>
    <mergeCell ref="C213:I213"/>
    <mergeCell ref="B77:J77"/>
    <mergeCell ref="B84:J84"/>
    <mergeCell ref="C92:J92"/>
    <mergeCell ref="C99:Q99"/>
    <mergeCell ref="C104:Q104"/>
    <mergeCell ref="C111:Q111"/>
    <mergeCell ref="C263:I263"/>
    <mergeCell ref="C277:I277"/>
    <mergeCell ref="C291:I291"/>
    <mergeCell ref="C314:I314"/>
    <mergeCell ref="C336:I336"/>
    <mergeCell ref="C358:I358"/>
    <mergeCell ref="C220:I220"/>
    <mergeCell ref="C226:I226"/>
    <mergeCell ref="C228:E228"/>
    <mergeCell ref="C243:I243"/>
    <mergeCell ref="C249:I249"/>
    <mergeCell ref="C256:I256"/>
    <mergeCell ref="C701:I701"/>
    <mergeCell ref="C702:I702"/>
    <mergeCell ref="C776:I776"/>
    <mergeCell ref="C798:I798"/>
    <mergeCell ref="C820:I820"/>
    <mergeCell ref="C844:I844"/>
    <mergeCell ref="C383:I383"/>
    <mergeCell ref="C397:I397"/>
    <mergeCell ref="C407:I407"/>
    <mergeCell ref="C441:I441"/>
    <mergeCell ref="C470:I470"/>
    <mergeCell ref="C676:I676"/>
    <mergeCell ref="C982:I982"/>
    <mergeCell ref="C999:I999"/>
    <mergeCell ref="C1016:I1016"/>
    <mergeCell ref="C1033:I1033"/>
    <mergeCell ref="C1054:I1054"/>
    <mergeCell ref="C1072:I1072"/>
    <mergeCell ref="C861:I861"/>
    <mergeCell ref="C882:I882"/>
    <mergeCell ref="C896:I896"/>
    <mergeCell ref="C911:I911"/>
    <mergeCell ref="C935:I935"/>
    <mergeCell ref="C959:I959"/>
    <mergeCell ref="C1200:I1200"/>
    <mergeCell ref="C1217:I1217"/>
    <mergeCell ref="C1226:I1226"/>
    <mergeCell ref="C1234:I1234"/>
    <mergeCell ref="C1253:I1253"/>
    <mergeCell ref="C1266:I1266"/>
    <mergeCell ref="C1090:I1090"/>
    <mergeCell ref="C1110:I1110"/>
    <mergeCell ref="C1129:I1129"/>
    <mergeCell ref="C1150:I1150"/>
    <mergeCell ref="C1170:I1170"/>
    <mergeCell ref="C1181:I1181"/>
    <mergeCell ref="C1322:I1322"/>
    <mergeCell ref="C1327:I1327"/>
    <mergeCell ref="C1332:I1332"/>
    <mergeCell ref="C1341:I1341"/>
    <mergeCell ref="C1355:I1355"/>
    <mergeCell ref="C1369:I1369"/>
    <mergeCell ref="C1270:I1270"/>
    <mergeCell ref="C1278:I1278"/>
    <mergeCell ref="C1290:I1290"/>
    <mergeCell ref="C1291:D1291"/>
    <mergeCell ref="C1303:I1303"/>
    <mergeCell ref="C1318:I1318"/>
    <mergeCell ref="C1478:I1478"/>
    <mergeCell ref="C1496:I1496"/>
    <mergeCell ref="C1512:I1512"/>
    <mergeCell ref="C1528:I1528"/>
    <mergeCell ref="C1533:I1533"/>
    <mergeCell ref="C1546:H1546"/>
    <mergeCell ref="C1380:I1380"/>
    <mergeCell ref="C1390:I1390"/>
    <mergeCell ref="G1402:H1402"/>
    <mergeCell ref="C1405:I1405"/>
    <mergeCell ref="C1432:I1432"/>
    <mergeCell ref="C1460:I1460"/>
    <mergeCell ref="D1607:F1607"/>
    <mergeCell ref="G1607:I1607"/>
    <mergeCell ref="D1608:F1608"/>
    <mergeCell ref="G1608:I1608"/>
    <mergeCell ref="C1551:I1551"/>
    <mergeCell ref="C1574:I1574"/>
    <mergeCell ref="C1585:I1585"/>
    <mergeCell ref="C1598:I1598"/>
    <mergeCell ref="C1599:D1599"/>
    <mergeCell ref="D1604:F1604"/>
    <mergeCell ref="G1604:H160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rgb="FF00B0F0"/>
  </sheetPr>
  <dimension ref="A1:IV1619"/>
  <sheetViews>
    <sheetView view="pageBreakPreview" topLeftCell="A1590" zoomScaleNormal="90" zoomScaleSheetLayoutView="100" workbookViewId="0">
      <selection activeCell="A1615" sqref="A1615:XFD1622"/>
    </sheetView>
  </sheetViews>
  <sheetFormatPr defaultColWidth="9" defaultRowHeight="12.3"/>
  <cols>
    <col min="1" max="1" width="4.41796875" style="979" customWidth="1"/>
    <col min="2" max="2" width="5" style="979" customWidth="1"/>
    <col min="3" max="3" width="38.15625" style="792" customWidth="1"/>
    <col min="4" max="4" width="14.68359375" style="979" customWidth="1"/>
    <col min="5" max="5" width="12.578125" style="979" customWidth="1"/>
    <col min="6" max="6" width="12.26171875" style="979" customWidth="1"/>
    <col min="7" max="7" width="9.68359375" style="979" customWidth="1"/>
    <col min="8" max="8" width="11.578125" style="979" customWidth="1"/>
    <col min="9" max="9" width="14.15625" style="979" customWidth="1"/>
    <col min="10" max="10" width="13.578125" style="979" customWidth="1"/>
    <col min="11" max="11" width="14.83984375" style="979" customWidth="1"/>
    <col min="12" max="12" width="9.578125" style="1127" bestFit="1" customWidth="1"/>
    <col min="13" max="13" width="14.578125" style="979" customWidth="1"/>
    <col min="14" max="14" width="9.578125" style="1127" customWidth="1"/>
    <col min="15" max="15" width="9.578125" style="979" bestFit="1" customWidth="1"/>
    <col min="16" max="16" width="9.578125" style="1127" bestFit="1" customWidth="1"/>
    <col min="17" max="17" width="9.578125" style="979" bestFit="1" customWidth="1"/>
    <col min="18" max="18" width="10.578125" style="979" customWidth="1"/>
    <col min="19" max="19" width="9.68359375" style="979" customWidth="1"/>
    <col min="20" max="20" width="10.578125" style="979" customWidth="1"/>
    <col min="21" max="256" width="9.15625" style="979" customWidth="1"/>
    <col min="257" max="16384" width="9" style="794"/>
  </cols>
  <sheetData>
    <row r="1" spans="1:9">
      <c r="A1" s="1507" t="s">
        <v>685</v>
      </c>
      <c r="B1" s="1507"/>
      <c r="C1" s="1507"/>
      <c r="D1" s="1507"/>
      <c r="E1" s="1507"/>
      <c r="F1" s="1507"/>
      <c r="G1" s="1507"/>
      <c r="H1" s="1507"/>
      <c r="I1" s="1507"/>
    </row>
    <row r="2" spans="1:9" ht="32.25" customHeight="1">
      <c r="A2" s="1511" t="str">
        <f>+LEAD!A2:Q2</f>
        <v>Construction of Kitchen shed at ZPHS  Bijwar(V) of Utkoor(M)</v>
      </c>
      <c r="B2" s="1512"/>
      <c r="C2" s="1512"/>
      <c r="D2" s="1512"/>
      <c r="E2" s="1512"/>
      <c r="F2" s="1512"/>
      <c r="G2" s="1512"/>
      <c r="H2" s="1512"/>
      <c r="I2" s="1512"/>
    </row>
    <row r="3" spans="1:9">
      <c r="A3" s="296"/>
      <c r="B3" s="1125"/>
      <c r="C3" s="980" t="s">
        <v>352</v>
      </c>
      <c r="D3" s="981">
        <v>0</v>
      </c>
      <c r="E3" s="982"/>
      <c r="F3" s="982"/>
      <c r="G3" s="982"/>
      <c r="H3" s="982"/>
      <c r="I3" s="982"/>
    </row>
    <row r="4" spans="1:9" ht="15.6" customHeight="1">
      <c r="A4" s="1502" t="s">
        <v>2589</v>
      </c>
      <c r="B4" s="1502"/>
      <c r="C4" s="1502"/>
      <c r="D4" s="1502"/>
      <c r="E4" s="1502"/>
      <c r="F4" s="1502"/>
      <c r="G4" s="1502"/>
      <c r="H4" s="1502"/>
      <c r="I4" s="1502"/>
    </row>
    <row r="5" spans="1:9">
      <c r="A5" s="1125"/>
      <c r="B5" s="1125"/>
      <c r="C5" s="1125"/>
      <c r="D5" s="1125"/>
      <c r="E5" s="983">
        <v>0</v>
      </c>
      <c r="F5" s="1502" t="s">
        <v>624</v>
      </c>
      <c r="G5" s="1502"/>
      <c r="H5" s="1502"/>
      <c r="I5" s="1502"/>
    </row>
    <row r="6" spans="1:9">
      <c r="A6" s="1127"/>
      <c r="B6" s="1127"/>
      <c r="C6" s="1127"/>
      <c r="D6" s="1127"/>
      <c r="E6" s="1127"/>
      <c r="F6" s="1127"/>
      <c r="G6" s="1127"/>
      <c r="H6" s="1127"/>
      <c r="I6" s="1127"/>
    </row>
    <row r="7" spans="1:9">
      <c r="A7" s="1507" t="s">
        <v>625</v>
      </c>
      <c r="B7" s="1507"/>
      <c r="C7" s="1507"/>
      <c r="D7" s="1507"/>
      <c r="E7" s="1507"/>
      <c r="F7" s="1507"/>
      <c r="G7" s="1507"/>
      <c r="H7" s="1507"/>
      <c r="I7" s="1507"/>
    </row>
    <row r="8" spans="1:9">
      <c r="A8" s="1507" t="s">
        <v>149</v>
      </c>
      <c r="B8" s="1507"/>
      <c r="C8" s="1117" t="s">
        <v>563</v>
      </c>
      <c r="D8" s="1125" t="s">
        <v>240</v>
      </c>
      <c r="E8" s="1125" t="s">
        <v>626</v>
      </c>
      <c r="F8" s="1125" t="s">
        <v>627</v>
      </c>
      <c r="G8" s="1507" t="s">
        <v>53</v>
      </c>
      <c r="H8" s="1507"/>
    </row>
    <row r="9" spans="1:9">
      <c r="A9" s="979">
        <v>1</v>
      </c>
      <c r="B9" s="984"/>
      <c r="C9" s="792" t="s">
        <v>628</v>
      </c>
      <c r="D9" s="1120" t="s">
        <v>578</v>
      </c>
      <c r="E9" s="985">
        <v>545</v>
      </c>
      <c r="F9" s="986">
        <f t="shared" ref="F9:F23" si="0">E9+(E9*$E$5)</f>
        <v>545</v>
      </c>
      <c r="G9" s="984" t="s">
        <v>629</v>
      </c>
      <c r="H9" s="1116" t="s">
        <v>594</v>
      </c>
    </row>
    <row r="10" spans="1:9">
      <c r="A10" s="979">
        <f>A9+1</f>
        <v>2</v>
      </c>
      <c r="B10" s="984"/>
      <c r="C10" s="792" t="s">
        <v>630</v>
      </c>
      <c r="D10" s="1120" t="s">
        <v>776</v>
      </c>
      <c r="E10" s="987">
        <v>515</v>
      </c>
      <c r="F10" s="986">
        <f t="shared" si="0"/>
        <v>515</v>
      </c>
      <c r="G10" s="984" t="s">
        <v>629</v>
      </c>
      <c r="H10" s="1116" t="s">
        <v>594</v>
      </c>
    </row>
    <row r="11" spans="1:9">
      <c r="A11" s="979">
        <v>3</v>
      </c>
      <c r="B11" s="984"/>
      <c r="C11" s="792" t="s">
        <v>631</v>
      </c>
      <c r="D11" s="988" t="s">
        <v>578</v>
      </c>
      <c r="E11" s="987">
        <v>545</v>
      </c>
      <c r="F11" s="986">
        <f t="shared" si="0"/>
        <v>545</v>
      </c>
      <c r="G11" s="984" t="s">
        <v>629</v>
      </c>
      <c r="H11" s="1116" t="s">
        <v>594</v>
      </c>
    </row>
    <row r="12" spans="1:9">
      <c r="A12" s="979">
        <v>4</v>
      </c>
      <c r="B12" s="984"/>
      <c r="C12" s="792" t="s">
        <v>632</v>
      </c>
      <c r="D12" s="1120" t="s">
        <v>776</v>
      </c>
      <c r="E12" s="987">
        <v>515</v>
      </c>
      <c r="F12" s="986">
        <f t="shared" si="0"/>
        <v>515</v>
      </c>
      <c r="G12" s="984" t="s">
        <v>629</v>
      </c>
      <c r="H12" s="1116" t="s">
        <v>594</v>
      </c>
    </row>
    <row r="13" spans="1:9">
      <c r="A13" s="979">
        <v>5</v>
      </c>
      <c r="B13" s="984"/>
      <c r="C13" s="792" t="s">
        <v>213</v>
      </c>
      <c r="D13" s="1120" t="s">
        <v>775</v>
      </c>
      <c r="E13" s="987">
        <v>540</v>
      </c>
      <c r="F13" s="986">
        <f t="shared" si="0"/>
        <v>540</v>
      </c>
      <c r="G13" s="984" t="s">
        <v>629</v>
      </c>
      <c r="H13" s="1116" t="s">
        <v>594</v>
      </c>
    </row>
    <row r="14" spans="1:9" ht="15.75" customHeight="1">
      <c r="A14" s="989">
        <v>6</v>
      </c>
      <c r="B14" s="984"/>
      <c r="C14" s="792" t="s">
        <v>1016</v>
      </c>
      <c r="D14" s="990" t="s">
        <v>1335</v>
      </c>
      <c r="E14" s="985">
        <v>635</v>
      </c>
      <c r="F14" s="986">
        <f t="shared" si="0"/>
        <v>635</v>
      </c>
      <c r="G14" s="984" t="s">
        <v>629</v>
      </c>
      <c r="H14" s="991" t="s">
        <v>268</v>
      </c>
      <c r="I14" s="986"/>
    </row>
    <row r="15" spans="1:9">
      <c r="A15" s="989">
        <v>7</v>
      </c>
      <c r="B15" s="984"/>
      <c r="C15" s="792" t="s">
        <v>1017</v>
      </c>
      <c r="D15" s="990" t="s">
        <v>1336</v>
      </c>
      <c r="E15" s="987">
        <v>515</v>
      </c>
      <c r="F15" s="986">
        <f t="shared" si="0"/>
        <v>515</v>
      </c>
      <c r="G15" s="984" t="s">
        <v>629</v>
      </c>
      <c r="H15" s="991" t="s">
        <v>268</v>
      </c>
      <c r="I15" s="986"/>
    </row>
    <row r="16" spans="1:9">
      <c r="A16" s="992">
        <v>8</v>
      </c>
      <c r="B16" s="984"/>
      <c r="C16" s="792" t="s">
        <v>738</v>
      </c>
      <c r="D16" s="1120" t="s">
        <v>774</v>
      </c>
      <c r="E16" s="987">
        <v>645</v>
      </c>
      <c r="F16" s="986">
        <f t="shared" si="0"/>
        <v>645</v>
      </c>
      <c r="G16" s="984" t="s">
        <v>629</v>
      </c>
      <c r="H16" s="1116" t="s">
        <v>594</v>
      </c>
    </row>
    <row r="17" spans="1:20">
      <c r="A17" s="992">
        <v>9</v>
      </c>
      <c r="B17" s="984"/>
      <c r="C17" s="792" t="s">
        <v>870</v>
      </c>
      <c r="D17" s="1120" t="s">
        <v>876</v>
      </c>
      <c r="E17" s="1320">
        <v>515</v>
      </c>
      <c r="F17" s="986">
        <f>E17+(E17*$E$5)</f>
        <v>515</v>
      </c>
      <c r="G17" s="984" t="s">
        <v>629</v>
      </c>
      <c r="H17" s="1116" t="s">
        <v>594</v>
      </c>
    </row>
    <row r="18" spans="1:20">
      <c r="A18" s="979">
        <v>10</v>
      </c>
      <c r="B18" s="984"/>
      <c r="C18" s="792" t="s">
        <v>773</v>
      </c>
      <c r="D18" s="1120" t="s">
        <v>877</v>
      </c>
      <c r="E18" s="987">
        <v>515</v>
      </c>
      <c r="F18" s="986">
        <f>E18+(E18*$E$5)</f>
        <v>515</v>
      </c>
      <c r="G18" s="984" t="s">
        <v>629</v>
      </c>
      <c r="H18" s="1116" t="s">
        <v>594</v>
      </c>
    </row>
    <row r="19" spans="1:20">
      <c r="A19" s="979">
        <v>11</v>
      </c>
      <c r="B19" s="984"/>
      <c r="C19" s="792" t="s">
        <v>633</v>
      </c>
      <c r="D19" s="1120" t="s">
        <v>579</v>
      </c>
      <c r="E19" s="987">
        <v>625</v>
      </c>
      <c r="F19" s="986">
        <f t="shared" si="0"/>
        <v>625</v>
      </c>
      <c r="G19" s="984" t="s">
        <v>629</v>
      </c>
      <c r="H19" s="1116" t="s">
        <v>594</v>
      </c>
    </row>
    <row r="20" spans="1:20">
      <c r="A20" s="979">
        <v>12</v>
      </c>
      <c r="B20" s="984"/>
      <c r="C20" s="792" t="s">
        <v>634</v>
      </c>
      <c r="D20" s="1120" t="s">
        <v>777</v>
      </c>
      <c r="E20" s="987">
        <v>515</v>
      </c>
      <c r="F20" s="986">
        <f t="shared" si="0"/>
        <v>515</v>
      </c>
      <c r="G20" s="984" t="s">
        <v>629</v>
      </c>
      <c r="H20" s="1116" t="s">
        <v>594</v>
      </c>
    </row>
    <row r="21" spans="1:20">
      <c r="A21" s="979">
        <v>13</v>
      </c>
      <c r="B21" s="984"/>
      <c r="C21" s="792" t="s">
        <v>27</v>
      </c>
      <c r="D21" s="1120" t="s">
        <v>28</v>
      </c>
      <c r="E21" s="987">
        <v>515</v>
      </c>
      <c r="F21" s="986">
        <f t="shared" si="0"/>
        <v>515</v>
      </c>
      <c r="G21" s="984" t="s">
        <v>629</v>
      </c>
      <c r="H21" s="1116" t="s">
        <v>594</v>
      </c>
    </row>
    <row r="22" spans="1:20">
      <c r="A22" s="979">
        <v>14</v>
      </c>
      <c r="B22" s="984"/>
      <c r="C22" s="792" t="s">
        <v>621</v>
      </c>
      <c r="D22" s="1120" t="s">
        <v>577</v>
      </c>
      <c r="E22" s="987">
        <v>490</v>
      </c>
      <c r="F22" s="986">
        <f t="shared" si="0"/>
        <v>490</v>
      </c>
      <c r="G22" s="984" t="s">
        <v>629</v>
      </c>
      <c r="H22" s="1116" t="s">
        <v>594</v>
      </c>
    </row>
    <row r="23" spans="1:20">
      <c r="A23" s="979">
        <v>15</v>
      </c>
      <c r="B23" s="984"/>
      <c r="C23" s="792" t="s">
        <v>622</v>
      </c>
      <c r="D23" s="1120" t="s">
        <v>576</v>
      </c>
      <c r="E23" s="987">
        <v>490</v>
      </c>
      <c r="F23" s="986">
        <f t="shared" si="0"/>
        <v>490</v>
      </c>
      <c r="G23" s="984" t="s">
        <v>629</v>
      </c>
      <c r="H23" s="1116" t="s">
        <v>594</v>
      </c>
    </row>
    <row r="24" spans="1:20">
      <c r="A24" s="979">
        <v>16</v>
      </c>
      <c r="B24" s="984"/>
      <c r="C24" s="792" t="s">
        <v>344</v>
      </c>
      <c r="D24" s="1120" t="s">
        <v>1188</v>
      </c>
      <c r="E24" s="987">
        <v>66</v>
      </c>
      <c r="F24" s="986">
        <f>E24</f>
        <v>66</v>
      </c>
      <c r="G24" s="984" t="s">
        <v>629</v>
      </c>
      <c r="H24" s="1116" t="s">
        <v>328</v>
      </c>
    </row>
    <row r="25" spans="1:20" ht="12.75" customHeight="1">
      <c r="A25" s="1510" t="s">
        <v>2285</v>
      </c>
      <c r="B25" s="1510"/>
      <c r="C25" s="1510"/>
      <c r="D25" s="1510"/>
      <c r="E25" s="1510"/>
      <c r="F25" s="1510"/>
      <c r="G25" s="1510"/>
      <c r="H25" s="1510"/>
      <c r="I25" s="1510"/>
    </row>
    <row r="26" spans="1:20" ht="24.6">
      <c r="B26" s="1127" t="s">
        <v>669</v>
      </c>
      <c r="C26" s="1127" t="s">
        <v>670</v>
      </c>
      <c r="D26" s="1127" t="s">
        <v>671</v>
      </c>
      <c r="E26" s="1507" t="s">
        <v>672</v>
      </c>
      <c r="F26" s="1507"/>
      <c r="G26" s="1507" t="s">
        <v>270</v>
      </c>
      <c r="H26" s="1507"/>
      <c r="I26" s="1507" t="s">
        <v>2590</v>
      </c>
      <c r="J26" s="1507"/>
    </row>
    <row r="27" spans="1:20">
      <c r="B27" s="1125">
        <v>1</v>
      </c>
      <c r="C27" s="1125">
        <v>2</v>
      </c>
      <c r="D27" s="1125">
        <v>6</v>
      </c>
      <c r="E27" s="1507">
        <v>3</v>
      </c>
      <c r="F27" s="1507"/>
      <c r="G27" s="1507">
        <v>4</v>
      </c>
      <c r="H27" s="1507"/>
      <c r="I27" s="1507">
        <v>5</v>
      </c>
      <c r="J27" s="1507"/>
    </row>
    <row r="28" spans="1:20" s="1116" customFormat="1" ht="12.75" customHeight="1">
      <c r="A28" s="1120"/>
      <c r="B28" s="1499" t="s">
        <v>895</v>
      </c>
      <c r="C28" s="1499"/>
      <c r="D28" s="1499"/>
      <c r="E28" s="1499"/>
      <c r="F28" s="1499"/>
      <c r="G28" s="1499"/>
      <c r="H28" s="1499"/>
      <c r="I28" s="1499"/>
      <c r="J28" s="984"/>
      <c r="K28" s="1499" t="s">
        <v>610</v>
      </c>
      <c r="L28" s="1499"/>
      <c r="M28" s="1499" t="s">
        <v>611</v>
      </c>
      <c r="N28" s="1499"/>
      <c r="O28" s="1499" t="s">
        <v>612</v>
      </c>
      <c r="P28" s="1499"/>
      <c r="Q28" s="1499" t="s">
        <v>1043</v>
      </c>
      <c r="R28" s="1499"/>
    </row>
    <row r="29" spans="1:20" s="1116" customFormat="1" ht="12.75" customHeight="1">
      <c r="A29" s="1120"/>
      <c r="E29" s="984"/>
      <c r="F29" s="984"/>
      <c r="G29" s="984"/>
      <c r="H29" s="984"/>
      <c r="I29" s="984"/>
      <c r="J29" s="1321"/>
      <c r="K29" s="1116" t="s">
        <v>237</v>
      </c>
      <c r="L29" s="1118" t="s">
        <v>513</v>
      </c>
      <c r="M29" s="1116" t="s">
        <v>237</v>
      </c>
      <c r="N29" s="1118" t="s">
        <v>513</v>
      </c>
      <c r="O29" s="1116" t="s">
        <v>237</v>
      </c>
      <c r="P29" s="1118" t="s">
        <v>513</v>
      </c>
      <c r="Q29" s="1116" t="s">
        <v>237</v>
      </c>
      <c r="R29" s="1118" t="s">
        <v>513</v>
      </c>
      <c r="S29" s="1116" t="s">
        <v>237</v>
      </c>
      <c r="T29" s="1118" t="s">
        <v>513</v>
      </c>
    </row>
    <row r="30" spans="1:20" s="1116" customFormat="1" ht="12.75" customHeight="1">
      <c r="A30" s="1120"/>
      <c r="B30" s="1116" t="s">
        <v>68</v>
      </c>
      <c r="C30" s="1116" t="s">
        <v>69</v>
      </c>
      <c r="D30" s="1116" t="s">
        <v>70</v>
      </c>
      <c r="E30" s="984" t="s">
        <v>71</v>
      </c>
      <c r="F30" s="990">
        <v>304</v>
      </c>
      <c r="G30" s="1310" t="s">
        <v>71</v>
      </c>
      <c r="H30" s="990">
        <v>718</v>
      </c>
      <c r="I30" s="984" t="s">
        <v>71</v>
      </c>
      <c r="J30" s="1322">
        <f>F30+H30</f>
        <v>1022</v>
      </c>
      <c r="K30" s="993">
        <f>ROUND(H30*1.1,2)</f>
        <v>789.8</v>
      </c>
      <c r="L30" s="994">
        <f>F30+K30</f>
        <v>1093.8</v>
      </c>
      <c r="M30" s="993">
        <f>ROUND(H30*1.2,2)</f>
        <v>861.6</v>
      </c>
      <c r="N30" s="994">
        <f>F30+M30</f>
        <v>1165.5999999999999</v>
      </c>
      <c r="O30" s="993" t="e">
        <f>ROUND(#REF!*1.3,2)</f>
        <v>#REF!</v>
      </c>
      <c r="P30" s="994" t="e">
        <f>F30+O30</f>
        <v>#REF!</v>
      </c>
      <c r="Q30" s="993">
        <f>ROUND(H30*1.4,2)</f>
        <v>1005.2</v>
      </c>
      <c r="R30" s="994">
        <f>F30+Q30</f>
        <v>1309.2</v>
      </c>
      <c r="S30" s="993">
        <f>ROUND(H30*1.5,2)</f>
        <v>1077</v>
      </c>
      <c r="T30" s="994">
        <f>H30+S30</f>
        <v>1795</v>
      </c>
    </row>
    <row r="31" spans="1:20" s="1116" customFormat="1" ht="12.75" customHeight="1">
      <c r="A31" s="1120"/>
      <c r="C31" s="1116" t="s">
        <v>714</v>
      </c>
      <c r="D31" s="1116" t="s">
        <v>70</v>
      </c>
      <c r="E31" s="984" t="s">
        <v>71</v>
      </c>
      <c r="F31" s="990">
        <v>67</v>
      </c>
      <c r="G31" s="1310" t="s">
        <v>71</v>
      </c>
      <c r="H31" s="990">
        <v>370</v>
      </c>
      <c r="I31" s="984" t="s">
        <v>71</v>
      </c>
      <c r="J31" s="1322">
        <f>F31+H31</f>
        <v>437</v>
      </c>
      <c r="K31" s="993">
        <f>ROUND(H31*1.1,2)</f>
        <v>407</v>
      </c>
      <c r="L31" s="994">
        <f>F31+K31</f>
        <v>474</v>
      </c>
      <c r="M31" s="993">
        <f>ROUND(H31*1.2,2)</f>
        <v>444</v>
      </c>
      <c r="N31" s="994">
        <f>F31+M31</f>
        <v>511</v>
      </c>
      <c r="O31" s="993">
        <f>ROUND(H31*1.3,2)</f>
        <v>481</v>
      </c>
      <c r="P31" s="994">
        <f>F31+O31</f>
        <v>548</v>
      </c>
      <c r="Q31" s="993">
        <f t="shared" ref="Q31:Q47" si="1">ROUND(H31*1.4,2)</f>
        <v>518</v>
      </c>
      <c r="R31" s="994">
        <f t="shared" ref="R31:R47" si="2">F31+Q31</f>
        <v>585</v>
      </c>
      <c r="S31" s="993">
        <f t="shared" ref="S31:S46" si="3">ROUND(H31*1.5,2)</f>
        <v>555</v>
      </c>
      <c r="T31" s="994">
        <f t="shared" ref="T31:T47" si="4">H31+S31</f>
        <v>925</v>
      </c>
    </row>
    <row r="32" spans="1:20" s="1116" customFormat="1" ht="12.75" customHeight="1">
      <c r="A32" s="1120"/>
      <c r="B32" s="1116" t="s">
        <v>72</v>
      </c>
      <c r="C32" s="1116" t="s">
        <v>73</v>
      </c>
      <c r="D32" s="1116" t="s">
        <v>70</v>
      </c>
      <c r="E32" s="984" t="s">
        <v>71</v>
      </c>
      <c r="F32" s="990">
        <v>346</v>
      </c>
      <c r="G32" s="1310" t="s">
        <v>71</v>
      </c>
      <c r="H32" s="990">
        <v>1141</v>
      </c>
      <c r="I32" s="984" t="s">
        <v>71</v>
      </c>
      <c r="J32" s="1322">
        <f t="shared" ref="J32:J46" si="5">F32+H32</f>
        <v>1487</v>
      </c>
      <c r="K32" s="993">
        <f>ROUND(H32*1.1,2)</f>
        <v>1255.0999999999999</v>
      </c>
      <c r="L32" s="994">
        <f>F32+K32</f>
        <v>1601.1</v>
      </c>
      <c r="M32" s="993">
        <f>ROUND(H32*1.2,2)</f>
        <v>1369.2</v>
      </c>
      <c r="N32" s="994">
        <f>F32+M32</f>
        <v>1715.2</v>
      </c>
      <c r="O32" s="993">
        <f>ROUND(H32*1.3,2)</f>
        <v>1483.3</v>
      </c>
      <c r="P32" s="994">
        <f>F32+O32</f>
        <v>1829.3</v>
      </c>
      <c r="Q32" s="993">
        <f t="shared" si="1"/>
        <v>1597.4</v>
      </c>
      <c r="R32" s="994">
        <f t="shared" si="2"/>
        <v>1943.4</v>
      </c>
      <c r="S32" s="993">
        <f t="shared" si="3"/>
        <v>1711.5</v>
      </c>
      <c r="T32" s="994">
        <f t="shared" si="4"/>
        <v>2852.5</v>
      </c>
    </row>
    <row r="33" spans="1:20" s="1116" customFormat="1" ht="12.75" customHeight="1">
      <c r="A33" s="1120"/>
      <c r="B33" s="1116" t="s">
        <v>74</v>
      </c>
      <c r="C33" s="1116" t="s">
        <v>75</v>
      </c>
      <c r="D33" s="1116" t="s">
        <v>70</v>
      </c>
      <c r="E33" s="984" t="s">
        <v>71</v>
      </c>
      <c r="F33" s="990">
        <v>1467</v>
      </c>
      <c r="G33" s="1310" t="s">
        <v>71</v>
      </c>
      <c r="H33" s="990">
        <v>1730</v>
      </c>
      <c r="I33" s="984" t="s">
        <v>71</v>
      </c>
      <c r="J33" s="1322">
        <f t="shared" si="5"/>
        <v>3197</v>
      </c>
      <c r="K33" s="993">
        <f>ROUND(H33*1.1,2)</f>
        <v>1903</v>
      </c>
      <c r="L33" s="994">
        <f>F33+K33</f>
        <v>3370</v>
      </c>
      <c r="M33" s="993">
        <f>ROUND(H33*1.2,2)</f>
        <v>2076</v>
      </c>
      <c r="N33" s="994">
        <f>F33+M33</f>
        <v>3543</v>
      </c>
      <c r="O33" s="993">
        <f>ROUND(H33*1.3,2)</f>
        <v>2249</v>
      </c>
      <c r="P33" s="994">
        <f>F33+O33</f>
        <v>3716</v>
      </c>
      <c r="Q33" s="993">
        <f t="shared" si="1"/>
        <v>2422</v>
      </c>
      <c r="R33" s="994">
        <f t="shared" si="2"/>
        <v>3889</v>
      </c>
      <c r="S33" s="993">
        <f t="shared" si="3"/>
        <v>2595</v>
      </c>
      <c r="T33" s="994">
        <f t="shared" si="4"/>
        <v>4325</v>
      </c>
    </row>
    <row r="34" spans="1:20" s="1116" customFormat="1" ht="12.75" customHeight="1">
      <c r="A34" s="1120"/>
      <c r="B34" s="1116" t="s">
        <v>76</v>
      </c>
      <c r="C34" s="1116" t="s">
        <v>244</v>
      </c>
      <c r="D34" s="1116" t="s">
        <v>70</v>
      </c>
      <c r="E34" s="984" t="s">
        <v>71</v>
      </c>
      <c r="F34" s="990">
        <v>831</v>
      </c>
      <c r="G34" s="1310" t="s">
        <v>71</v>
      </c>
      <c r="H34" s="990">
        <v>1399</v>
      </c>
      <c r="I34" s="984" t="s">
        <v>71</v>
      </c>
      <c r="J34" s="1322">
        <f t="shared" si="5"/>
        <v>2230</v>
      </c>
      <c r="K34" s="993">
        <f>ROUND(H34*1.1,2)</f>
        <v>1538.9</v>
      </c>
      <c r="L34" s="994">
        <f>F34+K34</f>
        <v>2369.9</v>
      </c>
      <c r="M34" s="993">
        <f>ROUND(H34*1.2,2)</f>
        <v>1678.8</v>
      </c>
      <c r="N34" s="994">
        <f>F34+M34</f>
        <v>2509.8000000000002</v>
      </c>
      <c r="O34" s="993">
        <f>ROUND(H34*1.3,2)</f>
        <v>1818.7</v>
      </c>
      <c r="P34" s="994">
        <f>F34+O34</f>
        <v>2649.7</v>
      </c>
      <c r="Q34" s="993">
        <f t="shared" si="1"/>
        <v>1958.6</v>
      </c>
      <c r="R34" s="994">
        <f t="shared" si="2"/>
        <v>2789.6</v>
      </c>
      <c r="S34" s="993">
        <f t="shared" si="3"/>
        <v>2098.5</v>
      </c>
      <c r="T34" s="994">
        <f t="shared" si="4"/>
        <v>3497.5</v>
      </c>
    </row>
    <row r="35" spans="1:20" s="1116" customFormat="1" ht="12.75" customHeight="1">
      <c r="A35" s="1120"/>
      <c r="B35" s="1116" t="s">
        <v>77</v>
      </c>
      <c r="C35" s="1116" t="s">
        <v>12</v>
      </c>
      <c r="D35" s="1116" t="s">
        <v>30</v>
      </c>
      <c r="E35" s="984" t="s">
        <v>71</v>
      </c>
      <c r="F35" s="990">
        <v>164</v>
      </c>
      <c r="G35" s="1310" t="s">
        <v>71</v>
      </c>
      <c r="H35" s="990">
        <v>215</v>
      </c>
      <c r="I35" s="984" t="s">
        <v>71</v>
      </c>
      <c r="J35" s="1322">
        <f t="shared" si="5"/>
        <v>379</v>
      </c>
      <c r="K35" s="993">
        <f t="shared" ref="K35:K46" si="6">ROUND(H35*1.1,2)</f>
        <v>236.5</v>
      </c>
      <c r="L35" s="994">
        <f t="shared" ref="L35:L46" si="7">F35+K35</f>
        <v>400.5</v>
      </c>
      <c r="M35" s="993">
        <f t="shared" ref="M35:M46" si="8">ROUND(H35*1.2,2)</f>
        <v>258</v>
      </c>
      <c r="N35" s="994">
        <f t="shared" ref="N35:N46" si="9">F35+M35</f>
        <v>422</v>
      </c>
      <c r="O35" s="993">
        <f t="shared" ref="O35:O46" si="10">ROUND(H35*1.3,2)</f>
        <v>279.5</v>
      </c>
      <c r="P35" s="994">
        <f t="shared" ref="P35:P46" si="11">F35+O35</f>
        <v>443.5</v>
      </c>
      <c r="Q35" s="993">
        <f t="shared" si="1"/>
        <v>301</v>
      </c>
      <c r="R35" s="994">
        <f t="shared" si="2"/>
        <v>465</v>
      </c>
      <c r="S35" s="993">
        <f t="shared" si="3"/>
        <v>322.5</v>
      </c>
      <c r="T35" s="994">
        <f t="shared" si="4"/>
        <v>537.5</v>
      </c>
    </row>
    <row r="36" spans="1:20" s="1116" customFormat="1" ht="12.75" customHeight="1">
      <c r="A36" s="1120"/>
      <c r="B36" s="1116" t="s">
        <v>31</v>
      </c>
      <c r="C36" s="1116" t="s">
        <v>297</v>
      </c>
      <c r="D36" s="1116" t="s">
        <v>70</v>
      </c>
      <c r="E36" s="984" t="s">
        <v>71</v>
      </c>
      <c r="F36" s="990">
        <v>250</v>
      </c>
      <c r="G36" s="1310" t="s">
        <v>71</v>
      </c>
      <c r="H36" s="990">
        <v>1965</v>
      </c>
      <c r="I36" s="984" t="s">
        <v>71</v>
      </c>
      <c r="J36" s="1322">
        <f t="shared" si="5"/>
        <v>2215</v>
      </c>
      <c r="K36" s="993">
        <f>ROUND(H36*1.1,2)</f>
        <v>2161.5</v>
      </c>
      <c r="L36" s="994">
        <f t="shared" si="7"/>
        <v>2411.5</v>
      </c>
      <c r="M36" s="993">
        <f t="shared" si="8"/>
        <v>2358</v>
      </c>
      <c r="N36" s="994">
        <f t="shared" si="9"/>
        <v>2608</v>
      </c>
      <c r="O36" s="995">
        <f t="shared" si="10"/>
        <v>2554.5</v>
      </c>
      <c r="P36" s="996">
        <f t="shared" si="11"/>
        <v>2804.5</v>
      </c>
      <c r="Q36" s="995">
        <f t="shared" si="1"/>
        <v>2751</v>
      </c>
      <c r="R36" s="994">
        <f t="shared" si="2"/>
        <v>3001</v>
      </c>
      <c r="S36" s="993">
        <f t="shared" si="3"/>
        <v>2947.5</v>
      </c>
      <c r="T36" s="994">
        <f t="shared" si="4"/>
        <v>4912.5</v>
      </c>
    </row>
    <row r="37" spans="1:20" s="1116" customFormat="1" ht="12.75" customHeight="1">
      <c r="A37" s="1120"/>
      <c r="B37" s="1116" t="s">
        <v>298</v>
      </c>
      <c r="C37" s="1116" t="s">
        <v>1154</v>
      </c>
      <c r="D37" s="1116" t="s">
        <v>70</v>
      </c>
      <c r="E37" s="984" t="s">
        <v>71</v>
      </c>
      <c r="F37" s="990">
        <v>1467</v>
      </c>
      <c r="G37" s="1310" t="s">
        <v>71</v>
      </c>
      <c r="H37" s="990">
        <v>1648</v>
      </c>
      <c r="I37" s="984" t="s">
        <v>71</v>
      </c>
      <c r="J37" s="1322">
        <f t="shared" si="5"/>
        <v>3115</v>
      </c>
      <c r="K37" s="993">
        <f t="shared" si="6"/>
        <v>1812.8</v>
      </c>
      <c r="L37" s="994">
        <f t="shared" si="7"/>
        <v>3279.8</v>
      </c>
      <c r="M37" s="993">
        <f t="shared" si="8"/>
        <v>1977.6</v>
      </c>
      <c r="N37" s="994">
        <f t="shared" si="9"/>
        <v>3444.6</v>
      </c>
      <c r="O37" s="993">
        <f t="shared" si="10"/>
        <v>2142.4</v>
      </c>
      <c r="P37" s="994">
        <f t="shared" si="11"/>
        <v>3609.4</v>
      </c>
      <c r="Q37" s="993">
        <f t="shared" si="1"/>
        <v>2307.1999999999998</v>
      </c>
      <c r="R37" s="994">
        <f t="shared" si="2"/>
        <v>3774.2</v>
      </c>
      <c r="S37" s="993">
        <f t="shared" si="3"/>
        <v>2472</v>
      </c>
      <c r="T37" s="994">
        <f t="shared" si="4"/>
        <v>4120</v>
      </c>
    </row>
    <row r="38" spans="1:20" s="1116" customFormat="1" ht="12.75" customHeight="1">
      <c r="A38" s="1120"/>
      <c r="B38" s="1116" t="s">
        <v>299</v>
      </c>
      <c r="C38" s="1116" t="s">
        <v>1155</v>
      </c>
      <c r="D38" s="1116" t="s">
        <v>30</v>
      </c>
      <c r="E38" s="984" t="s">
        <v>71</v>
      </c>
      <c r="F38" s="990">
        <v>166</v>
      </c>
      <c r="G38" s="1310" t="s">
        <v>71</v>
      </c>
      <c r="H38" s="990">
        <v>187</v>
      </c>
      <c r="I38" s="984" t="s">
        <v>71</v>
      </c>
      <c r="J38" s="1322">
        <f t="shared" si="5"/>
        <v>353</v>
      </c>
      <c r="K38" s="993">
        <f t="shared" si="6"/>
        <v>205.7</v>
      </c>
      <c r="L38" s="994">
        <f t="shared" si="7"/>
        <v>371.7</v>
      </c>
      <c r="M38" s="993">
        <f t="shared" si="8"/>
        <v>224.4</v>
      </c>
      <c r="N38" s="994">
        <f t="shared" si="9"/>
        <v>390.4</v>
      </c>
      <c r="O38" s="993">
        <f t="shared" si="10"/>
        <v>243.1</v>
      </c>
      <c r="P38" s="994">
        <f t="shared" si="11"/>
        <v>409.1</v>
      </c>
      <c r="Q38" s="993">
        <f t="shared" si="1"/>
        <v>261.8</v>
      </c>
      <c r="R38" s="994">
        <f t="shared" si="2"/>
        <v>427.8</v>
      </c>
      <c r="S38" s="993">
        <f t="shared" si="3"/>
        <v>280.5</v>
      </c>
      <c r="T38" s="994">
        <f t="shared" si="4"/>
        <v>467.5</v>
      </c>
    </row>
    <row r="39" spans="1:20" s="1116" customFormat="1" ht="25.5" customHeight="1">
      <c r="A39" s="1120"/>
      <c r="B39" s="1116" t="s">
        <v>300</v>
      </c>
      <c r="C39" s="1116" t="s">
        <v>1189</v>
      </c>
      <c r="D39" s="1116" t="s">
        <v>30</v>
      </c>
      <c r="E39" s="984" t="s">
        <v>71</v>
      </c>
      <c r="F39" s="990">
        <v>171</v>
      </c>
      <c r="G39" s="1310" t="s">
        <v>71</v>
      </c>
      <c r="H39" s="990">
        <v>192</v>
      </c>
      <c r="I39" s="984" t="s">
        <v>71</v>
      </c>
      <c r="J39" s="1322">
        <f t="shared" si="5"/>
        <v>363</v>
      </c>
      <c r="K39" s="993">
        <f t="shared" si="6"/>
        <v>211.2</v>
      </c>
      <c r="L39" s="994">
        <f t="shared" si="7"/>
        <v>382.2</v>
      </c>
      <c r="M39" s="993">
        <f t="shared" si="8"/>
        <v>230.4</v>
      </c>
      <c r="N39" s="994">
        <f t="shared" si="9"/>
        <v>401.4</v>
      </c>
      <c r="O39" s="993">
        <f t="shared" si="10"/>
        <v>249.6</v>
      </c>
      <c r="P39" s="994">
        <f t="shared" si="11"/>
        <v>420.6</v>
      </c>
      <c r="Q39" s="993">
        <f t="shared" si="1"/>
        <v>268.8</v>
      </c>
      <c r="R39" s="994">
        <f t="shared" si="2"/>
        <v>439.8</v>
      </c>
      <c r="S39" s="993">
        <f t="shared" si="3"/>
        <v>288</v>
      </c>
      <c r="T39" s="994">
        <f t="shared" si="4"/>
        <v>480</v>
      </c>
    </row>
    <row r="40" spans="1:20" s="1116" customFormat="1" ht="12.75" customHeight="1">
      <c r="A40" s="1120"/>
      <c r="B40" s="1116" t="s">
        <v>301</v>
      </c>
      <c r="C40" s="1116" t="s">
        <v>1190</v>
      </c>
      <c r="D40" s="1116" t="s">
        <v>30</v>
      </c>
      <c r="E40" s="984" t="s">
        <v>71</v>
      </c>
      <c r="F40" s="990">
        <v>179</v>
      </c>
      <c r="G40" s="1310" t="s">
        <v>71</v>
      </c>
      <c r="H40" s="990">
        <v>201</v>
      </c>
      <c r="I40" s="984" t="s">
        <v>71</v>
      </c>
      <c r="J40" s="1322">
        <f t="shared" si="5"/>
        <v>380</v>
      </c>
      <c r="K40" s="993">
        <f t="shared" si="6"/>
        <v>221.1</v>
      </c>
      <c r="L40" s="994">
        <f t="shared" si="7"/>
        <v>400.1</v>
      </c>
      <c r="M40" s="993">
        <f t="shared" si="8"/>
        <v>241.2</v>
      </c>
      <c r="N40" s="994">
        <f t="shared" si="9"/>
        <v>420.2</v>
      </c>
      <c r="O40" s="993">
        <f t="shared" si="10"/>
        <v>261.3</v>
      </c>
      <c r="P40" s="994">
        <f t="shared" si="11"/>
        <v>440.3</v>
      </c>
      <c r="Q40" s="993">
        <f t="shared" si="1"/>
        <v>281.39999999999998</v>
      </c>
      <c r="R40" s="994">
        <f t="shared" si="2"/>
        <v>460.4</v>
      </c>
      <c r="S40" s="993">
        <f t="shared" si="3"/>
        <v>301.5</v>
      </c>
      <c r="T40" s="994">
        <f t="shared" si="4"/>
        <v>502.5</v>
      </c>
    </row>
    <row r="41" spans="1:20" s="1116" customFormat="1" ht="25.5" customHeight="1">
      <c r="A41" s="1120"/>
      <c r="B41" s="1116" t="s">
        <v>584</v>
      </c>
      <c r="C41" s="1116" t="s">
        <v>585</v>
      </c>
      <c r="D41" s="1116" t="s">
        <v>30</v>
      </c>
      <c r="E41" s="984" t="s">
        <v>71</v>
      </c>
      <c r="F41" s="990">
        <v>604</v>
      </c>
      <c r="G41" s="1310" t="s">
        <v>71</v>
      </c>
      <c r="H41" s="990">
        <v>679</v>
      </c>
      <c r="I41" s="984" t="s">
        <v>71</v>
      </c>
      <c r="J41" s="1322">
        <f t="shared" si="5"/>
        <v>1283</v>
      </c>
      <c r="K41" s="993">
        <f t="shared" si="6"/>
        <v>746.9</v>
      </c>
      <c r="L41" s="994">
        <f t="shared" si="7"/>
        <v>1350.9</v>
      </c>
      <c r="M41" s="993">
        <f t="shared" si="8"/>
        <v>814.8</v>
      </c>
      <c r="N41" s="994">
        <f t="shared" si="9"/>
        <v>1418.8</v>
      </c>
      <c r="O41" s="993">
        <f t="shared" si="10"/>
        <v>882.7</v>
      </c>
      <c r="P41" s="994">
        <f t="shared" si="11"/>
        <v>1486.7</v>
      </c>
      <c r="Q41" s="993">
        <f t="shared" si="1"/>
        <v>950.6</v>
      </c>
      <c r="R41" s="994">
        <f t="shared" si="2"/>
        <v>1554.6</v>
      </c>
      <c r="S41" s="993">
        <f t="shared" si="3"/>
        <v>1018.5</v>
      </c>
      <c r="T41" s="994">
        <f t="shared" si="4"/>
        <v>1697.5</v>
      </c>
    </row>
    <row r="42" spans="1:20" s="1116" customFormat="1" ht="12.75" customHeight="1">
      <c r="A42" s="1120"/>
      <c r="B42" s="1116" t="s">
        <v>586</v>
      </c>
      <c r="C42" s="1116" t="s">
        <v>587</v>
      </c>
      <c r="D42" s="1116" t="s">
        <v>30</v>
      </c>
      <c r="E42" s="984" t="s">
        <v>71</v>
      </c>
      <c r="F42" s="990">
        <v>424</v>
      </c>
      <c r="G42" s="1310" t="s">
        <v>71</v>
      </c>
      <c r="H42" s="990">
        <v>476</v>
      </c>
      <c r="I42" s="984" t="s">
        <v>71</v>
      </c>
      <c r="J42" s="1322">
        <f t="shared" si="5"/>
        <v>900</v>
      </c>
      <c r="K42" s="993">
        <f t="shared" si="6"/>
        <v>523.6</v>
      </c>
      <c r="L42" s="994">
        <f t="shared" si="7"/>
        <v>947.6</v>
      </c>
      <c r="M42" s="993">
        <f t="shared" si="8"/>
        <v>571.20000000000005</v>
      </c>
      <c r="N42" s="994">
        <f t="shared" si="9"/>
        <v>995.2</v>
      </c>
      <c r="O42" s="993">
        <f t="shared" si="10"/>
        <v>618.79999999999995</v>
      </c>
      <c r="P42" s="994">
        <f t="shared" si="11"/>
        <v>1042.8</v>
      </c>
      <c r="Q42" s="993">
        <f t="shared" si="1"/>
        <v>666.4</v>
      </c>
      <c r="R42" s="994">
        <f t="shared" si="2"/>
        <v>1090.4000000000001</v>
      </c>
      <c r="S42" s="993">
        <f t="shared" si="3"/>
        <v>714</v>
      </c>
      <c r="T42" s="994">
        <f t="shared" si="4"/>
        <v>1190</v>
      </c>
    </row>
    <row r="43" spans="1:20" s="1116" customFormat="1" ht="12.75" customHeight="1">
      <c r="A43" s="1120"/>
      <c r="B43" s="1116" t="s">
        <v>588</v>
      </c>
      <c r="C43" s="1116" t="s">
        <v>135</v>
      </c>
      <c r="D43" s="1116" t="s">
        <v>70</v>
      </c>
      <c r="E43" s="984" t="s">
        <v>71</v>
      </c>
      <c r="F43" s="990">
        <v>1668</v>
      </c>
      <c r="G43" s="1310" t="s">
        <v>71</v>
      </c>
      <c r="H43" s="990">
        <v>1874</v>
      </c>
      <c r="I43" s="984" t="s">
        <v>71</v>
      </c>
      <c r="J43" s="1322">
        <f t="shared" si="5"/>
        <v>3542</v>
      </c>
      <c r="K43" s="993">
        <f t="shared" si="6"/>
        <v>2061.4</v>
      </c>
      <c r="L43" s="994">
        <f t="shared" si="7"/>
        <v>3729.4</v>
      </c>
      <c r="M43" s="993">
        <f t="shared" si="8"/>
        <v>2248.8000000000002</v>
      </c>
      <c r="N43" s="994">
        <f t="shared" si="9"/>
        <v>3916.8</v>
      </c>
      <c r="O43" s="993">
        <f t="shared" si="10"/>
        <v>2436.1999999999998</v>
      </c>
      <c r="P43" s="994">
        <f t="shared" si="11"/>
        <v>4104.2</v>
      </c>
      <c r="Q43" s="993">
        <f t="shared" si="1"/>
        <v>2623.6</v>
      </c>
      <c r="R43" s="994">
        <f t="shared" si="2"/>
        <v>4291.6000000000004</v>
      </c>
      <c r="S43" s="993">
        <f t="shared" si="3"/>
        <v>2811</v>
      </c>
      <c r="T43" s="994">
        <f t="shared" si="4"/>
        <v>4685</v>
      </c>
    </row>
    <row r="44" spans="1:20" s="1116" customFormat="1" ht="12.75" customHeight="1">
      <c r="A44" s="1120"/>
      <c r="B44" s="1116" t="s">
        <v>136</v>
      </c>
      <c r="C44" s="1116" t="s">
        <v>137</v>
      </c>
      <c r="D44" s="1116" t="s">
        <v>70</v>
      </c>
      <c r="E44" s="984" t="s">
        <v>71</v>
      </c>
      <c r="F44" s="990">
        <v>1692</v>
      </c>
      <c r="G44" s="1310" t="s">
        <v>71</v>
      </c>
      <c r="H44" s="990">
        <v>1900</v>
      </c>
      <c r="I44" s="984" t="s">
        <v>71</v>
      </c>
      <c r="J44" s="1322">
        <f t="shared" si="5"/>
        <v>3592</v>
      </c>
      <c r="K44" s="993">
        <f t="shared" si="6"/>
        <v>2090</v>
      </c>
      <c r="L44" s="994">
        <f t="shared" si="7"/>
        <v>3782</v>
      </c>
      <c r="M44" s="993">
        <f t="shared" si="8"/>
        <v>2280</v>
      </c>
      <c r="N44" s="994">
        <f t="shared" si="9"/>
        <v>3972</v>
      </c>
      <c r="O44" s="993">
        <f t="shared" si="10"/>
        <v>2470</v>
      </c>
      <c r="P44" s="994">
        <f t="shared" si="11"/>
        <v>4162</v>
      </c>
      <c r="Q44" s="993">
        <f t="shared" si="1"/>
        <v>2660</v>
      </c>
      <c r="R44" s="994">
        <f t="shared" si="2"/>
        <v>4352</v>
      </c>
      <c r="S44" s="993">
        <f t="shared" si="3"/>
        <v>2850</v>
      </c>
      <c r="T44" s="994">
        <f t="shared" si="4"/>
        <v>4750</v>
      </c>
    </row>
    <row r="45" spans="1:20" s="1116" customFormat="1" ht="12.75" customHeight="1">
      <c r="A45" s="1120"/>
      <c r="B45" s="1116" t="s">
        <v>138</v>
      </c>
      <c r="C45" s="1116" t="s">
        <v>139</v>
      </c>
      <c r="D45" s="1116" t="s">
        <v>70</v>
      </c>
      <c r="E45" s="984" t="s">
        <v>71</v>
      </c>
      <c r="F45" s="990">
        <v>2698</v>
      </c>
      <c r="G45" s="1310" t="s">
        <v>71</v>
      </c>
      <c r="H45" s="990">
        <v>3030</v>
      </c>
      <c r="I45" s="984" t="s">
        <v>71</v>
      </c>
      <c r="J45" s="1322">
        <f t="shared" si="5"/>
        <v>5728</v>
      </c>
      <c r="K45" s="993">
        <f t="shared" si="6"/>
        <v>3333</v>
      </c>
      <c r="L45" s="994">
        <f t="shared" si="7"/>
        <v>6031</v>
      </c>
      <c r="M45" s="993">
        <f t="shared" si="8"/>
        <v>3636</v>
      </c>
      <c r="N45" s="994">
        <f t="shared" si="9"/>
        <v>6334</v>
      </c>
      <c r="O45" s="993">
        <f t="shared" si="10"/>
        <v>3939</v>
      </c>
      <c r="P45" s="994">
        <f t="shared" si="11"/>
        <v>6637</v>
      </c>
      <c r="Q45" s="993">
        <f t="shared" si="1"/>
        <v>4242</v>
      </c>
      <c r="R45" s="994">
        <f t="shared" si="2"/>
        <v>6940</v>
      </c>
      <c r="S45" s="993">
        <f t="shared" si="3"/>
        <v>4545</v>
      </c>
      <c r="T45" s="994">
        <f t="shared" si="4"/>
        <v>7575</v>
      </c>
    </row>
    <row r="46" spans="1:20" s="1116" customFormat="1" ht="12.75" customHeight="1">
      <c r="A46" s="1120"/>
      <c r="B46" s="1116" t="s">
        <v>140</v>
      </c>
      <c r="C46" s="1116" t="s">
        <v>141</v>
      </c>
      <c r="D46" s="1116" t="s">
        <v>30</v>
      </c>
      <c r="E46" s="984" t="s">
        <v>71</v>
      </c>
      <c r="F46" s="990">
        <v>206</v>
      </c>
      <c r="G46" s="1310" t="s">
        <v>71</v>
      </c>
      <c r="H46" s="990">
        <v>231</v>
      </c>
      <c r="I46" s="984" t="s">
        <v>71</v>
      </c>
      <c r="J46" s="1322">
        <f t="shared" si="5"/>
        <v>437</v>
      </c>
      <c r="K46" s="993">
        <f t="shared" si="6"/>
        <v>254.1</v>
      </c>
      <c r="L46" s="994">
        <f t="shared" si="7"/>
        <v>460.1</v>
      </c>
      <c r="M46" s="993">
        <f t="shared" si="8"/>
        <v>277.2</v>
      </c>
      <c r="N46" s="994">
        <f t="shared" si="9"/>
        <v>483.2</v>
      </c>
      <c r="O46" s="993">
        <f t="shared" si="10"/>
        <v>300.3</v>
      </c>
      <c r="P46" s="994">
        <f t="shared" si="11"/>
        <v>506.3</v>
      </c>
      <c r="Q46" s="993">
        <f t="shared" si="1"/>
        <v>323.39999999999998</v>
      </c>
      <c r="R46" s="994">
        <f t="shared" si="2"/>
        <v>529.4</v>
      </c>
      <c r="S46" s="993">
        <f t="shared" si="3"/>
        <v>346.5</v>
      </c>
      <c r="T46" s="994">
        <f t="shared" si="4"/>
        <v>577.5</v>
      </c>
    </row>
    <row r="47" spans="1:20" s="1116" customFormat="1" ht="12.75" customHeight="1">
      <c r="A47" s="1120"/>
      <c r="B47" s="1116" t="s">
        <v>204</v>
      </c>
      <c r="C47" s="1116" t="s">
        <v>205</v>
      </c>
      <c r="E47" s="984"/>
      <c r="F47" s="987"/>
      <c r="G47" s="984"/>
      <c r="H47" s="987"/>
      <c r="I47" s="984"/>
      <c r="J47" s="987"/>
      <c r="K47" s="993">
        <f>ROUND(H47*1.1,2)</f>
        <v>0</v>
      </c>
      <c r="L47" s="994">
        <f>F47+K47</f>
        <v>0</v>
      </c>
      <c r="M47" s="993">
        <f>ROUND(H47*1.2,2)</f>
        <v>0</v>
      </c>
      <c r="N47" s="994">
        <f>F47+M47</f>
        <v>0</v>
      </c>
      <c r="O47" s="993">
        <f>ROUND(H47*1.3,2)</f>
        <v>0</v>
      </c>
      <c r="P47" s="994">
        <f>F47+O47</f>
        <v>0</v>
      </c>
      <c r="Q47" s="993">
        <f t="shared" si="1"/>
        <v>0</v>
      </c>
      <c r="R47" s="994">
        <f t="shared" si="2"/>
        <v>0</v>
      </c>
      <c r="S47" s="993">
        <f>ROUND(J47*1.4,2)</f>
        <v>0</v>
      </c>
      <c r="T47" s="994">
        <f t="shared" si="4"/>
        <v>0</v>
      </c>
    </row>
    <row r="48" spans="1:20" ht="12.75" customHeight="1">
      <c r="B48" s="1499" t="s">
        <v>1283</v>
      </c>
      <c r="C48" s="1499"/>
      <c r="D48" s="1499"/>
      <c r="E48" s="1499"/>
      <c r="F48" s="1499"/>
      <c r="G48" s="1499"/>
      <c r="H48" s="1499"/>
      <c r="I48" s="1499"/>
      <c r="K48" s="1492" t="s">
        <v>610</v>
      </c>
      <c r="L48" s="1492"/>
      <c r="M48" s="1492" t="s">
        <v>611</v>
      </c>
      <c r="N48" s="1492"/>
      <c r="O48" s="1492" t="s">
        <v>612</v>
      </c>
      <c r="P48" s="1492"/>
      <c r="Q48" s="1492" t="s">
        <v>1043</v>
      </c>
      <c r="R48" s="1492"/>
    </row>
    <row r="49" spans="2:20" ht="12.75" customHeight="1">
      <c r="B49" s="1116"/>
      <c r="C49" s="1116"/>
      <c r="D49" s="1116"/>
      <c r="E49" s="1116"/>
      <c r="F49" s="1116"/>
      <c r="G49" s="1116"/>
      <c r="H49" s="1116"/>
      <c r="I49" s="1116"/>
      <c r="J49" s="1116"/>
      <c r="K49" s="979" t="s">
        <v>237</v>
      </c>
      <c r="L49" s="1127" t="s">
        <v>513</v>
      </c>
      <c r="M49" s="979" t="s">
        <v>237</v>
      </c>
      <c r="N49" s="1127" t="s">
        <v>513</v>
      </c>
      <c r="O49" s="979" t="s">
        <v>237</v>
      </c>
      <c r="P49" s="1127" t="s">
        <v>513</v>
      </c>
      <c r="Q49" s="979" t="s">
        <v>237</v>
      </c>
      <c r="R49" s="1127" t="s">
        <v>513</v>
      </c>
      <c r="S49" s="979" t="s">
        <v>237</v>
      </c>
      <c r="T49" s="1127" t="s">
        <v>513</v>
      </c>
    </row>
    <row r="50" spans="2:20" ht="12.75" customHeight="1">
      <c r="B50" s="979" t="s">
        <v>68</v>
      </c>
      <c r="C50" s="979" t="s">
        <v>69</v>
      </c>
      <c r="D50" s="1120" t="s">
        <v>70</v>
      </c>
      <c r="E50" s="1120" t="s">
        <v>71</v>
      </c>
      <c r="F50" s="987">
        <v>304</v>
      </c>
      <c r="G50" s="1120" t="s">
        <v>71</v>
      </c>
      <c r="H50" s="987">
        <v>718</v>
      </c>
      <c r="I50" s="1120" t="s">
        <v>71</v>
      </c>
      <c r="J50" s="1323">
        <f>F50+H50</f>
        <v>1022</v>
      </c>
      <c r="K50" s="997">
        <f>ROUND(H50*1.1,2)</f>
        <v>789.8</v>
      </c>
      <c r="L50" s="998">
        <f>F50+K50</f>
        <v>1093.8</v>
      </c>
      <c r="M50" s="997">
        <f>ROUND(H50*1.2,2)</f>
        <v>861.6</v>
      </c>
      <c r="N50" s="998">
        <f>F50+M50</f>
        <v>1165.5999999999999</v>
      </c>
      <c r="O50" s="997">
        <f>ROUND($H$50*1.3,2)</f>
        <v>933.4</v>
      </c>
      <c r="P50" s="998">
        <f>F50+O50</f>
        <v>1237.4000000000001</v>
      </c>
      <c r="Q50" s="997">
        <f>ROUND(H50*1.4,2)</f>
        <v>1005.2</v>
      </c>
      <c r="R50" s="998">
        <f>F50+Q50</f>
        <v>1309.2</v>
      </c>
      <c r="S50" s="997">
        <f>ROUND(H50*1.5,2)</f>
        <v>1077</v>
      </c>
      <c r="T50" s="998">
        <f>H50+S50</f>
        <v>1795</v>
      </c>
    </row>
    <row r="51" spans="2:20" ht="12.75" customHeight="1">
      <c r="C51" s="979" t="s">
        <v>714</v>
      </c>
      <c r="D51" s="1120" t="s">
        <v>70</v>
      </c>
      <c r="E51" s="1120" t="s">
        <v>71</v>
      </c>
      <c r="F51" s="987">
        <v>67</v>
      </c>
      <c r="G51" s="1120" t="s">
        <v>71</v>
      </c>
      <c r="H51" s="987">
        <v>370</v>
      </c>
      <c r="I51" s="1120" t="s">
        <v>71</v>
      </c>
      <c r="J51" s="1323">
        <f>F51+H51</f>
        <v>437</v>
      </c>
      <c r="K51" s="997">
        <f>ROUND(H51*1.1,2)</f>
        <v>407</v>
      </c>
      <c r="L51" s="998">
        <f>F51+K51</f>
        <v>474</v>
      </c>
      <c r="M51" s="997">
        <f>ROUND(H51*1.2,2)</f>
        <v>444</v>
      </c>
      <c r="N51" s="998">
        <f>F51+M51</f>
        <v>511</v>
      </c>
      <c r="O51" s="997">
        <f>ROUND(H51*1.3,2)</f>
        <v>481</v>
      </c>
      <c r="P51" s="998">
        <f>F51+O51</f>
        <v>548</v>
      </c>
      <c r="Q51" s="997">
        <f t="shared" ref="Q51:Q67" si="12">ROUND(H51*1.4,2)</f>
        <v>518</v>
      </c>
      <c r="R51" s="998">
        <f t="shared" ref="R51:R67" si="13">F51+Q51</f>
        <v>585</v>
      </c>
      <c r="S51" s="997">
        <f t="shared" ref="S51:S66" si="14">ROUND(H51*1.5,2)</f>
        <v>555</v>
      </c>
      <c r="T51" s="998">
        <f t="shared" ref="T51:T67" si="15">H51+S51</f>
        <v>925</v>
      </c>
    </row>
    <row r="52" spans="2:20" ht="12.75" customHeight="1">
      <c r="B52" s="979" t="s">
        <v>72</v>
      </c>
      <c r="C52" s="979" t="s">
        <v>73</v>
      </c>
      <c r="D52" s="1120" t="s">
        <v>70</v>
      </c>
      <c r="E52" s="1120" t="s">
        <v>71</v>
      </c>
      <c r="F52" s="987">
        <v>346</v>
      </c>
      <c r="G52" s="1120" t="s">
        <v>71</v>
      </c>
      <c r="H52" s="987">
        <v>1141</v>
      </c>
      <c r="I52" s="1120" t="s">
        <v>71</v>
      </c>
      <c r="J52" s="1323">
        <f t="shared" ref="J52:J67" si="16">F52+H52</f>
        <v>1487</v>
      </c>
      <c r="K52" s="997">
        <f>ROUND(H52*1.1,2)</f>
        <v>1255.0999999999999</v>
      </c>
      <c r="L52" s="998">
        <f>F52+K52</f>
        <v>1601.1</v>
      </c>
      <c r="M52" s="997">
        <f>ROUND(H52*1.2,2)</f>
        <v>1369.2</v>
      </c>
      <c r="N52" s="998">
        <f>F52+M52</f>
        <v>1715.2</v>
      </c>
      <c r="O52" s="997">
        <f>ROUND(H52*1.3,2)</f>
        <v>1483.3</v>
      </c>
      <c r="P52" s="998">
        <f>F52+O52</f>
        <v>1829.3</v>
      </c>
      <c r="Q52" s="997">
        <f t="shared" si="12"/>
        <v>1597.4</v>
      </c>
      <c r="R52" s="998">
        <f t="shared" si="13"/>
        <v>1943.4</v>
      </c>
      <c r="S52" s="997">
        <f t="shared" si="14"/>
        <v>1711.5</v>
      </c>
      <c r="T52" s="998">
        <f t="shared" si="15"/>
        <v>2852.5</v>
      </c>
    </row>
    <row r="53" spans="2:20" ht="12.75" customHeight="1">
      <c r="B53" s="979" t="s">
        <v>74</v>
      </c>
      <c r="C53" s="979" t="s">
        <v>75</v>
      </c>
      <c r="D53" s="1120" t="s">
        <v>70</v>
      </c>
      <c r="E53" s="1120" t="s">
        <v>71</v>
      </c>
      <c r="F53" s="987">
        <v>1467</v>
      </c>
      <c r="G53" s="1120" t="s">
        <v>71</v>
      </c>
      <c r="H53" s="987">
        <v>1730</v>
      </c>
      <c r="I53" s="1120" t="s">
        <v>71</v>
      </c>
      <c r="J53" s="1323">
        <f t="shared" si="16"/>
        <v>3197</v>
      </c>
      <c r="K53" s="997">
        <f>ROUND(H53*1.1,2)</f>
        <v>1903</v>
      </c>
      <c r="L53" s="998">
        <f>F53+K53</f>
        <v>3370</v>
      </c>
      <c r="M53" s="997">
        <f>ROUND(H53*1.2,2)</f>
        <v>2076</v>
      </c>
      <c r="N53" s="998">
        <f>F53+M53</f>
        <v>3543</v>
      </c>
      <c r="O53" s="997">
        <f>ROUND(H53*1.3,2)</f>
        <v>2249</v>
      </c>
      <c r="P53" s="998">
        <f>F53+O53</f>
        <v>3716</v>
      </c>
      <c r="Q53" s="997">
        <f t="shared" si="12"/>
        <v>2422</v>
      </c>
      <c r="R53" s="998">
        <f t="shared" si="13"/>
        <v>3889</v>
      </c>
      <c r="S53" s="997">
        <f t="shared" si="14"/>
        <v>2595</v>
      </c>
      <c r="T53" s="998">
        <f t="shared" si="15"/>
        <v>4325</v>
      </c>
    </row>
    <row r="54" spans="2:20" ht="12.75" customHeight="1">
      <c r="B54" s="979" t="s">
        <v>76</v>
      </c>
      <c r="C54" s="979" t="s">
        <v>244</v>
      </c>
      <c r="D54" s="1120" t="s">
        <v>70</v>
      </c>
      <c r="E54" s="1120" t="s">
        <v>71</v>
      </c>
      <c r="F54" s="987">
        <v>1246</v>
      </c>
      <c r="G54" s="1120" t="s">
        <v>71</v>
      </c>
      <c r="H54" s="987">
        <v>1836</v>
      </c>
      <c r="I54" s="1120" t="s">
        <v>71</v>
      </c>
      <c r="J54" s="1323">
        <f t="shared" si="16"/>
        <v>3082</v>
      </c>
      <c r="K54" s="997">
        <f>ROUND(H54*1.1,2)</f>
        <v>2019.6</v>
      </c>
      <c r="L54" s="998">
        <f>F54+K54</f>
        <v>3265.6</v>
      </c>
      <c r="M54" s="997">
        <f>ROUND(H54*1.2,2)</f>
        <v>2203.1999999999998</v>
      </c>
      <c r="N54" s="998">
        <f>F54+M54</f>
        <v>3449.2</v>
      </c>
      <c r="O54" s="997">
        <f>ROUND(H54*1.3,2)</f>
        <v>2386.8000000000002</v>
      </c>
      <c r="P54" s="998">
        <f>F54+O54</f>
        <v>3632.8</v>
      </c>
      <c r="Q54" s="997">
        <f t="shared" si="12"/>
        <v>2570.4</v>
      </c>
      <c r="R54" s="998">
        <f t="shared" si="13"/>
        <v>3816.4</v>
      </c>
      <c r="S54" s="997">
        <f t="shared" si="14"/>
        <v>2754</v>
      </c>
      <c r="T54" s="998">
        <f t="shared" si="15"/>
        <v>4590</v>
      </c>
    </row>
    <row r="55" spans="2:20" ht="12.75" customHeight="1">
      <c r="B55" s="979" t="s">
        <v>77</v>
      </c>
      <c r="C55" s="979" t="s">
        <v>12</v>
      </c>
      <c r="D55" s="1120" t="s">
        <v>30</v>
      </c>
      <c r="E55" s="1120" t="s">
        <v>71</v>
      </c>
      <c r="F55" s="987">
        <v>246</v>
      </c>
      <c r="G55" s="1120" t="s">
        <v>71</v>
      </c>
      <c r="H55" s="987">
        <v>282</v>
      </c>
      <c r="I55" s="1120" t="s">
        <v>71</v>
      </c>
      <c r="J55" s="1323">
        <f t="shared" si="16"/>
        <v>528</v>
      </c>
      <c r="K55" s="997">
        <f t="shared" ref="K55:K66" si="17">ROUND(H55*1.1,2)</f>
        <v>310.2</v>
      </c>
      <c r="L55" s="998">
        <f t="shared" ref="L55:L66" si="18">F55+K55</f>
        <v>556.20000000000005</v>
      </c>
      <c r="M55" s="997">
        <f t="shared" ref="M55:M66" si="19">ROUND(H55*1.2,2)</f>
        <v>338.4</v>
      </c>
      <c r="N55" s="998">
        <f t="shared" ref="N55:N66" si="20">F55+M55</f>
        <v>584.4</v>
      </c>
      <c r="O55" s="997">
        <f t="shared" ref="O55:O66" si="21">ROUND(H55*1.3,2)</f>
        <v>366.6</v>
      </c>
      <c r="P55" s="998">
        <f t="shared" ref="P55:P66" si="22">F55+O55</f>
        <v>612.6</v>
      </c>
      <c r="Q55" s="997">
        <f t="shared" si="12"/>
        <v>394.8</v>
      </c>
      <c r="R55" s="998">
        <f t="shared" si="13"/>
        <v>640.79999999999995</v>
      </c>
      <c r="S55" s="997">
        <f t="shared" si="14"/>
        <v>423</v>
      </c>
      <c r="T55" s="998">
        <f t="shared" si="15"/>
        <v>705</v>
      </c>
    </row>
    <row r="56" spans="2:20" ht="12.75" customHeight="1">
      <c r="B56" s="979" t="s">
        <v>31</v>
      </c>
      <c r="C56" s="979" t="s">
        <v>297</v>
      </c>
      <c r="D56" s="1120" t="s">
        <v>70</v>
      </c>
      <c r="E56" s="1120" t="s">
        <v>71</v>
      </c>
      <c r="F56" s="987">
        <v>375</v>
      </c>
      <c r="G56" s="1120" t="s">
        <v>71</v>
      </c>
      <c r="H56" s="987">
        <v>2578</v>
      </c>
      <c r="I56" s="1120" t="s">
        <v>71</v>
      </c>
      <c r="J56" s="1323">
        <f t="shared" si="16"/>
        <v>2953</v>
      </c>
      <c r="K56" s="997">
        <f>ROUND(H56*1.1,2)</f>
        <v>2835.8</v>
      </c>
      <c r="L56" s="998">
        <f t="shared" si="18"/>
        <v>3210.8</v>
      </c>
      <c r="M56" s="997">
        <f t="shared" si="19"/>
        <v>3093.6</v>
      </c>
      <c r="N56" s="998">
        <f t="shared" si="20"/>
        <v>3468.6</v>
      </c>
      <c r="O56" s="999">
        <f t="shared" si="21"/>
        <v>3351.4</v>
      </c>
      <c r="P56" s="1000">
        <f t="shared" si="22"/>
        <v>3726.4</v>
      </c>
      <c r="Q56" s="999">
        <f t="shared" si="12"/>
        <v>3609.2</v>
      </c>
      <c r="R56" s="998">
        <f t="shared" si="13"/>
        <v>3984.2</v>
      </c>
      <c r="S56" s="997">
        <f t="shared" si="14"/>
        <v>3867</v>
      </c>
      <c r="T56" s="998">
        <f t="shared" si="15"/>
        <v>6445</v>
      </c>
    </row>
    <row r="57" spans="2:20" ht="12.75" customHeight="1">
      <c r="B57" s="979" t="s">
        <v>298</v>
      </c>
      <c r="C57" s="979" t="s">
        <v>1154</v>
      </c>
      <c r="D57" s="1120" t="s">
        <v>70</v>
      </c>
      <c r="E57" s="1120" t="s">
        <v>71</v>
      </c>
      <c r="F57" s="987">
        <v>2201</v>
      </c>
      <c r="G57" s="1120" t="s">
        <v>71</v>
      </c>
      <c r="H57" s="987">
        <v>2162</v>
      </c>
      <c r="I57" s="1120" t="s">
        <v>71</v>
      </c>
      <c r="J57" s="1323">
        <f t="shared" si="16"/>
        <v>4363</v>
      </c>
      <c r="K57" s="997">
        <f t="shared" si="17"/>
        <v>2378.1999999999998</v>
      </c>
      <c r="L57" s="998">
        <f t="shared" si="18"/>
        <v>4579.2</v>
      </c>
      <c r="M57" s="997">
        <f t="shared" si="19"/>
        <v>2594.4</v>
      </c>
      <c r="N57" s="998">
        <f t="shared" si="20"/>
        <v>4795.3999999999996</v>
      </c>
      <c r="O57" s="997">
        <f t="shared" si="21"/>
        <v>2810.6</v>
      </c>
      <c r="P57" s="998">
        <f t="shared" si="22"/>
        <v>5011.6000000000004</v>
      </c>
      <c r="Q57" s="997">
        <f t="shared" si="12"/>
        <v>3026.8</v>
      </c>
      <c r="R57" s="998">
        <f t="shared" si="13"/>
        <v>5227.8</v>
      </c>
      <c r="S57" s="997">
        <f t="shared" si="14"/>
        <v>3243</v>
      </c>
      <c r="T57" s="998">
        <f t="shared" si="15"/>
        <v>5405</v>
      </c>
    </row>
    <row r="58" spans="2:20" ht="12.75" customHeight="1">
      <c r="B58" s="979" t="s">
        <v>299</v>
      </c>
      <c r="C58" s="979" t="s">
        <v>1155</v>
      </c>
      <c r="D58" s="1120" t="s">
        <v>30</v>
      </c>
      <c r="E58" s="1120" t="s">
        <v>71</v>
      </c>
      <c r="F58" s="987">
        <v>249</v>
      </c>
      <c r="G58" s="1120" t="s">
        <v>71</v>
      </c>
      <c r="H58" s="987">
        <v>245</v>
      </c>
      <c r="I58" s="1120" t="s">
        <v>71</v>
      </c>
      <c r="J58" s="1323">
        <f t="shared" si="16"/>
        <v>494</v>
      </c>
      <c r="K58" s="997">
        <f t="shared" si="17"/>
        <v>269.5</v>
      </c>
      <c r="L58" s="998">
        <f t="shared" si="18"/>
        <v>518.5</v>
      </c>
      <c r="M58" s="997">
        <f t="shared" si="19"/>
        <v>294</v>
      </c>
      <c r="N58" s="998">
        <f t="shared" si="20"/>
        <v>543</v>
      </c>
      <c r="O58" s="997">
        <f t="shared" si="21"/>
        <v>318.5</v>
      </c>
      <c r="P58" s="998">
        <f t="shared" si="22"/>
        <v>567.5</v>
      </c>
      <c r="Q58" s="997">
        <f t="shared" si="12"/>
        <v>343</v>
      </c>
      <c r="R58" s="998">
        <f t="shared" si="13"/>
        <v>592</v>
      </c>
      <c r="S58" s="997">
        <f t="shared" si="14"/>
        <v>367.5</v>
      </c>
      <c r="T58" s="998">
        <f t="shared" si="15"/>
        <v>612.5</v>
      </c>
    </row>
    <row r="59" spans="2:20" ht="25.5" customHeight="1">
      <c r="B59" s="979" t="s">
        <v>300</v>
      </c>
      <c r="C59" s="979" t="s">
        <v>1189</v>
      </c>
      <c r="D59" s="1120" t="s">
        <v>30</v>
      </c>
      <c r="E59" s="1120" t="s">
        <v>71</v>
      </c>
      <c r="F59" s="987">
        <v>257</v>
      </c>
      <c r="G59" s="1120" t="s">
        <v>71</v>
      </c>
      <c r="H59" s="987">
        <v>252</v>
      </c>
      <c r="I59" s="1120" t="s">
        <v>71</v>
      </c>
      <c r="J59" s="1323">
        <f t="shared" si="16"/>
        <v>509</v>
      </c>
      <c r="K59" s="997">
        <f t="shared" si="17"/>
        <v>277.2</v>
      </c>
      <c r="L59" s="998">
        <f t="shared" si="18"/>
        <v>534.20000000000005</v>
      </c>
      <c r="M59" s="997">
        <f t="shared" si="19"/>
        <v>302.39999999999998</v>
      </c>
      <c r="N59" s="998">
        <f t="shared" si="20"/>
        <v>559.4</v>
      </c>
      <c r="O59" s="997">
        <f t="shared" si="21"/>
        <v>327.60000000000002</v>
      </c>
      <c r="P59" s="998">
        <f t="shared" si="22"/>
        <v>584.6</v>
      </c>
      <c r="Q59" s="997">
        <f t="shared" si="12"/>
        <v>352.8</v>
      </c>
      <c r="R59" s="998">
        <f t="shared" si="13"/>
        <v>609.79999999999995</v>
      </c>
      <c r="S59" s="997">
        <f t="shared" si="14"/>
        <v>378</v>
      </c>
      <c r="T59" s="998">
        <f t="shared" si="15"/>
        <v>630</v>
      </c>
    </row>
    <row r="60" spans="2:20" ht="12.75" customHeight="1">
      <c r="B60" s="979" t="s">
        <v>301</v>
      </c>
      <c r="C60" s="979" t="s">
        <v>1190</v>
      </c>
      <c r="D60" s="1120" t="s">
        <v>30</v>
      </c>
      <c r="E60" s="1120" t="s">
        <v>71</v>
      </c>
      <c r="F60" s="987">
        <v>268</v>
      </c>
      <c r="G60" s="1120" t="s">
        <v>71</v>
      </c>
      <c r="H60" s="987">
        <v>264</v>
      </c>
      <c r="I60" s="1120" t="s">
        <v>71</v>
      </c>
      <c r="J60" s="1323">
        <f t="shared" si="16"/>
        <v>532</v>
      </c>
      <c r="K60" s="997">
        <f t="shared" si="17"/>
        <v>290.39999999999998</v>
      </c>
      <c r="L60" s="998">
        <f t="shared" si="18"/>
        <v>558.4</v>
      </c>
      <c r="M60" s="997">
        <f t="shared" si="19"/>
        <v>316.8</v>
      </c>
      <c r="N60" s="998">
        <f t="shared" si="20"/>
        <v>584.79999999999995</v>
      </c>
      <c r="O60" s="997">
        <f t="shared" si="21"/>
        <v>343.2</v>
      </c>
      <c r="P60" s="998">
        <f t="shared" si="22"/>
        <v>611.20000000000005</v>
      </c>
      <c r="Q60" s="997">
        <f t="shared" si="12"/>
        <v>369.6</v>
      </c>
      <c r="R60" s="998">
        <f t="shared" si="13"/>
        <v>637.6</v>
      </c>
      <c r="S60" s="997">
        <f t="shared" si="14"/>
        <v>396</v>
      </c>
      <c r="T60" s="998">
        <f t="shared" si="15"/>
        <v>660</v>
      </c>
    </row>
    <row r="61" spans="2:20" ht="25.5" customHeight="1">
      <c r="B61" s="979" t="s">
        <v>584</v>
      </c>
      <c r="C61" s="979" t="s">
        <v>585</v>
      </c>
      <c r="D61" s="1120" t="s">
        <v>30</v>
      </c>
      <c r="E61" s="1120" t="s">
        <v>71</v>
      </c>
      <c r="F61" s="987">
        <v>906</v>
      </c>
      <c r="G61" s="1120" t="s">
        <v>71</v>
      </c>
      <c r="H61" s="987">
        <v>890</v>
      </c>
      <c r="I61" s="1120" t="s">
        <v>71</v>
      </c>
      <c r="J61" s="1323">
        <f t="shared" si="16"/>
        <v>1796</v>
      </c>
      <c r="K61" s="997">
        <f t="shared" si="17"/>
        <v>979</v>
      </c>
      <c r="L61" s="998">
        <f t="shared" si="18"/>
        <v>1885</v>
      </c>
      <c r="M61" s="997">
        <f t="shared" si="19"/>
        <v>1068</v>
      </c>
      <c r="N61" s="998">
        <f t="shared" si="20"/>
        <v>1974</v>
      </c>
      <c r="O61" s="997">
        <f t="shared" si="21"/>
        <v>1157</v>
      </c>
      <c r="P61" s="998">
        <f t="shared" si="22"/>
        <v>2063</v>
      </c>
      <c r="Q61" s="997">
        <f t="shared" si="12"/>
        <v>1246</v>
      </c>
      <c r="R61" s="998">
        <f t="shared" si="13"/>
        <v>2152</v>
      </c>
      <c r="S61" s="997">
        <f t="shared" si="14"/>
        <v>1335</v>
      </c>
      <c r="T61" s="998">
        <f t="shared" si="15"/>
        <v>2225</v>
      </c>
    </row>
    <row r="62" spans="2:20" ht="12.75" customHeight="1">
      <c r="B62" s="979" t="s">
        <v>586</v>
      </c>
      <c r="C62" s="979" t="s">
        <v>587</v>
      </c>
      <c r="D62" s="1120" t="s">
        <v>30</v>
      </c>
      <c r="E62" s="1120" t="s">
        <v>71</v>
      </c>
      <c r="F62" s="987">
        <v>635</v>
      </c>
      <c r="G62" s="1120" t="s">
        <v>71</v>
      </c>
      <c r="H62" s="987">
        <v>624</v>
      </c>
      <c r="I62" s="1120" t="s">
        <v>71</v>
      </c>
      <c r="J62" s="1323">
        <f t="shared" si="16"/>
        <v>1259</v>
      </c>
      <c r="K62" s="997">
        <f t="shared" si="17"/>
        <v>686.4</v>
      </c>
      <c r="L62" s="998">
        <f t="shared" si="18"/>
        <v>1321.4</v>
      </c>
      <c r="M62" s="997">
        <f t="shared" si="19"/>
        <v>748.8</v>
      </c>
      <c r="N62" s="998">
        <f t="shared" si="20"/>
        <v>1383.8</v>
      </c>
      <c r="O62" s="997">
        <f t="shared" si="21"/>
        <v>811.2</v>
      </c>
      <c r="P62" s="998">
        <f t="shared" si="22"/>
        <v>1446.2</v>
      </c>
      <c r="Q62" s="997">
        <f t="shared" si="12"/>
        <v>873.6</v>
      </c>
      <c r="R62" s="998">
        <f t="shared" si="13"/>
        <v>1508.6</v>
      </c>
      <c r="S62" s="997">
        <f t="shared" si="14"/>
        <v>936</v>
      </c>
      <c r="T62" s="998">
        <f t="shared" si="15"/>
        <v>1560</v>
      </c>
    </row>
    <row r="63" spans="2:20" ht="12.75" customHeight="1">
      <c r="B63" s="979" t="s">
        <v>588</v>
      </c>
      <c r="C63" s="979" t="s">
        <v>135</v>
      </c>
      <c r="D63" s="1120" t="s">
        <v>70</v>
      </c>
      <c r="E63" s="1120" t="s">
        <v>71</v>
      </c>
      <c r="F63" s="987">
        <v>2502</v>
      </c>
      <c r="G63" s="1120" t="s">
        <v>71</v>
      </c>
      <c r="H63" s="987">
        <v>2458</v>
      </c>
      <c r="I63" s="1120" t="s">
        <v>71</v>
      </c>
      <c r="J63" s="1323">
        <f t="shared" si="16"/>
        <v>4960</v>
      </c>
      <c r="K63" s="997">
        <f t="shared" si="17"/>
        <v>2703.8</v>
      </c>
      <c r="L63" s="998">
        <f t="shared" si="18"/>
        <v>5205.8</v>
      </c>
      <c r="M63" s="997">
        <f t="shared" si="19"/>
        <v>2949.6</v>
      </c>
      <c r="N63" s="998">
        <f t="shared" si="20"/>
        <v>5451.6</v>
      </c>
      <c r="O63" s="997">
        <f t="shared" si="21"/>
        <v>3195.4</v>
      </c>
      <c r="P63" s="998">
        <f t="shared" si="22"/>
        <v>5697.4</v>
      </c>
      <c r="Q63" s="997">
        <f t="shared" si="12"/>
        <v>3441.2</v>
      </c>
      <c r="R63" s="998">
        <f t="shared" si="13"/>
        <v>5943.2</v>
      </c>
      <c r="S63" s="997">
        <f t="shared" si="14"/>
        <v>3687</v>
      </c>
      <c r="T63" s="998">
        <f t="shared" si="15"/>
        <v>6145</v>
      </c>
    </row>
    <row r="64" spans="2:20" ht="12.75" customHeight="1">
      <c r="B64" s="979" t="s">
        <v>136</v>
      </c>
      <c r="C64" s="979" t="s">
        <v>137</v>
      </c>
      <c r="D64" s="1120" t="s">
        <v>70</v>
      </c>
      <c r="E64" s="1120" t="s">
        <v>71</v>
      </c>
      <c r="F64" s="987">
        <v>2537</v>
      </c>
      <c r="G64" s="1120" t="s">
        <v>71</v>
      </c>
      <c r="H64" s="987">
        <v>2493</v>
      </c>
      <c r="I64" s="1120" t="s">
        <v>71</v>
      </c>
      <c r="J64" s="1323">
        <f t="shared" si="16"/>
        <v>5030</v>
      </c>
      <c r="K64" s="997">
        <f t="shared" si="17"/>
        <v>2742.3</v>
      </c>
      <c r="L64" s="998">
        <f t="shared" si="18"/>
        <v>5279.3</v>
      </c>
      <c r="M64" s="997">
        <f t="shared" si="19"/>
        <v>2991.6</v>
      </c>
      <c r="N64" s="998">
        <f t="shared" si="20"/>
        <v>5528.6</v>
      </c>
      <c r="O64" s="997">
        <f t="shared" si="21"/>
        <v>3240.9</v>
      </c>
      <c r="P64" s="998">
        <f t="shared" si="22"/>
        <v>5777.9</v>
      </c>
      <c r="Q64" s="997">
        <f t="shared" si="12"/>
        <v>3490.2</v>
      </c>
      <c r="R64" s="998">
        <f t="shared" si="13"/>
        <v>6027.2</v>
      </c>
      <c r="S64" s="997">
        <f t="shared" si="14"/>
        <v>3739.5</v>
      </c>
      <c r="T64" s="998">
        <f t="shared" si="15"/>
        <v>6232.5</v>
      </c>
    </row>
    <row r="65" spans="2:20" ht="12.75" customHeight="1">
      <c r="B65" s="979" t="s">
        <v>138</v>
      </c>
      <c r="C65" s="979" t="s">
        <v>139</v>
      </c>
      <c r="D65" s="1120" t="s">
        <v>70</v>
      </c>
      <c r="E65" s="1120" t="s">
        <v>71</v>
      </c>
      <c r="F65" s="987">
        <v>4046</v>
      </c>
      <c r="G65" s="1120" t="s">
        <v>71</v>
      </c>
      <c r="H65" s="987">
        <v>3975</v>
      </c>
      <c r="I65" s="1120" t="s">
        <v>71</v>
      </c>
      <c r="J65" s="1323">
        <f t="shared" si="16"/>
        <v>8021</v>
      </c>
      <c r="K65" s="997">
        <f t="shared" si="17"/>
        <v>4372.5</v>
      </c>
      <c r="L65" s="998">
        <f t="shared" si="18"/>
        <v>8418.5</v>
      </c>
      <c r="M65" s="997">
        <f t="shared" si="19"/>
        <v>4770</v>
      </c>
      <c r="N65" s="998">
        <f t="shared" si="20"/>
        <v>8816</v>
      </c>
      <c r="O65" s="997">
        <f t="shared" si="21"/>
        <v>5167.5</v>
      </c>
      <c r="P65" s="998">
        <f t="shared" si="22"/>
        <v>9213.5</v>
      </c>
      <c r="Q65" s="997">
        <f t="shared" si="12"/>
        <v>5565</v>
      </c>
      <c r="R65" s="998">
        <f t="shared" si="13"/>
        <v>9611</v>
      </c>
      <c r="S65" s="997">
        <f t="shared" si="14"/>
        <v>5962.5</v>
      </c>
      <c r="T65" s="998">
        <f t="shared" si="15"/>
        <v>9937.5</v>
      </c>
    </row>
    <row r="66" spans="2:20" ht="12.75" customHeight="1">
      <c r="B66" s="979" t="s">
        <v>140</v>
      </c>
      <c r="C66" s="979" t="s">
        <v>141</v>
      </c>
      <c r="D66" s="1120" t="s">
        <v>30</v>
      </c>
      <c r="E66" s="1120" t="s">
        <v>71</v>
      </c>
      <c r="F66" s="987">
        <v>308</v>
      </c>
      <c r="G66" s="1120" t="s">
        <v>71</v>
      </c>
      <c r="H66" s="987">
        <v>303</v>
      </c>
      <c r="I66" s="1120" t="s">
        <v>71</v>
      </c>
      <c r="J66" s="1323">
        <f t="shared" si="16"/>
        <v>611</v>
      </c>
      <c r="K66" s="997">
        <f t="shared" si="17"/>
        <v>333.3</v>
      </c>
      <c r="L66" s="998">
        <f t="shared" si="18"/>
        <v>641.29999999999995</v>
      </c>
      <c r="M66" s="997">
        <f t="shared" si="19"/>
        <v>363.6</v>
      </c>
      <c r="N66" s="998">
        <f t="shared" si="20"/>
        <v>671.6</v>
      </c>
      <c r="O66" s="997">
        <f t="shared" si="21"/>
        <v>393.9</v>
      </c>
      <c r="P66" s="998">
        <f t="shared" si="22"/>
        <v>701.9</v>
      </c>
      <c r="Q66" s="997">
        <f t="shared" si="12"/>
        <v>424.2</v>
      </c>
      <c r="R66" s="998">
        <f t="shared" si="13"/>
        <v>732.2</v>
      </c>
      <c r="S66" s="997">
        <f t="shared" si="14"/>
        <v>454.5</v>
      </c>
      <c r="T66" s="998">
        <f t="shared" si="15"/>
        <v>757.5</v>
      </c>
    </row>
    <row r="67" spans="2:20" ht="12.75" customHeight="1">
      <c r="B67" s="979" t="s">
        <v>204</v>
      </c>
      <c r="C67" s="979" t="s">
        <v>205</v>
      </c>
      <c r="D67" s="1120" t="s">
        <v>30</v>
      </c>
      <c r="E67" s="1120" t="s">
        <v>71</v>
      </c>
      <c r="F67" s="987">
        <v>513</v>
      </c>
      <c r="G67" s="1120" t="s">
        <v>71</v>
      </c>
      <c r="H67" s="987">
        <v>576</v>
      </c>
      <c r="I67" s="1120" t="s">
        <v>71</v>
      </c>
      <c r="J67" s="1323">
        <f t="shared" si="16"/>
        <v>1089</v>
      </c>
      <c r="K67" s="997">
        <f>ROUND(H67*1.1,2)</f>
        <v>633.6</v>
      </c>
      <c r="L67" s="998">
        <f>F67+K67</f>
        <v>1146.5999999999999</v>
      </c>
      <c r="M67" s="997">
        <f>ROUND(H67*1.2,2)</f>
        <v>691.2</v>
      </c>
      <c r="N67" s="998">
        <f>F67+M67</f>
        <v>1204.2</v>
      </c>
      <c r="O67" s="997">
        <f>ROUND(H67*1.3,2)</f>
        <v>748.8</v>
      </c>
      <c r="P67" s="998">
        <f>F67+O67</f>
        <v>1261.8</v>
      </c>
      <c r="Q67" s="997">
        <f t="shared" si="12"/>
        <v>806.4</v>
      </c>
      <c r="R67" s="998">
        <f t="shared" si="13"/>
        <v>1319.4</v>
      </c>
      <c r="S67" s="997">
        <f>ROUND(J67*1.4,2)</f>
        <v>1524.6</v>
      </c>
      <c r="T67" s="998">
        <f t="shared" si="15"/>
        <v>2100.6</v>
      </c>
    </row>
    <row r="68" spans="2:20" ht="12.75" customHeight="1">
      <c r="B68" s="1499" t="s">
        <v>1010</v>
      </c>
      <c r="C68" s="1499"/>
      <c r="D68" s="1499"/>
      <c r="E68" s="1499"/>
      <c r="F68" s="1499"/>
      <c r="G68" s="1499"/>
      <c r="H68" s="1499"/>
      <c r="I68" s="1499"/>
      <c r="J68" s="1499"/>
    </row>
    <row r="69" spans="2:20" ht="12.75" customHeight="1">
      <c r="B69" s="979" t="s">
        <v>68</v>
      </c>
      <c r="C69" s="979" t="s">
        <v>17</v>
      </c>
      <c r="D69" s="1120" t="s">
        <v>245</v>
      </c>
      <c r="E69" s="1120" t="s">
        <v>71</v>
      </c>
      <c r="F69" s="987">
        <v>10.86</v>
      </c>
      <c r="G69" s="1120" t="s">
        <v>71</v>
      </c>
      <c r="H69" s="987">
        <v>88.6</v>
      </c>
      <c r="I69" s="1120" t="s">
        <v>71</v>
      </c>
      <c r="J69" s="1323">
        <f t="shared" ref="J69:J73" si="23">H69+F69</f>
        <v>99.46</v>
      </c>
    </row>
    <row r="70" spans="2:20" ht="12.75" customHeight="1">
      <c r="B70" s="979" t="s">
        <v>72</v>
      </c>
      <c r="C70" s="979" t="s">
        <v>18</v>
      </c>
      <c r="D70" s="1120" t="s">
        <v>245</v>
      </c>
      <c r="E70" s="1120" t="s">
        <v>71</v>
      </c>
      <c r="F70" s="987">
        <f>F69</f>
        <v>10.86</v>
      </c>
      <c r="G70" s="1120" t="s">
        <v>71</v>
      </c>
      <c r="H70" s="987">
        <v>127.46</v>
      </c>
      <c r="I70" s="1120" t="s">
        <v>71</v>
      </c>
      <c r="J70" s="1323">
        <f t="shared" si="23"/>
        <v>138.32</v>
      </c>
    </row>
    <row r="71" spans="2:20" ht="12.75" customHeight="1">
      <c r="B71" s="979" t="s">
        <v>74</v>
      </c>
      <c r="C71" s="979" t="s">
        <v>350</v>
      </c>
      <c r="D71" s="1120" t="s">
        <v>245</v>
      </c>
      <c r="E71" s="1120" t="s">
        <v>71</v>
      </c>
      <c r="F71" s="987">
        <f>F70</f>
        <v>10.86</v>
      </c>
      <c r="G71" s="1120" t="s">
        <v>71</v>
      </c>
      <c r="H71" s="987">
        <v>166.33</v>
      </c>
      <c r="I71" s="1120" t="s">
        <v>71</v>
      </c>
      <c r="J71" s="1323">
        <f t="shared" si="23"/>
        <v>177.19</v>
      </c>
    </row>
    <row r="72" spans="2:20" ht="12.75" customHeight="1">
      <c r="B72" s="979" t="s">
        <v>76</v>
      </c>
      <c r="C72" s="979" t="s">
        <v>351</v>
      </c>
      <c r="D72" s="1120" t="s">
        <v>245</v>
      </c>
      <c r="E72" s="1120" t="s">
        <v>71</v>
      </c>
      <c r="F72" s="987">
        <f>F71</f>
        <v>10.86</v>
      </c>
      <c r="G72" s="1120" t="s">
        <v>71</v>
      </c>
      <c r="H72" s="987">
        <v>205.2</v>
      </c>
      <c r="I72" s="1120" t="s">
        <v>71</v>
      </c>
      <c r="J72" s="1323">
        <f t="shared" si="23"/>
        <v>216.06</v>
      </c>
    </row>
    <row r="73" spans="2:20" ht="12.75" customHeight="1">
      <c r="B73" s="979" t="s">
        <v>77</v>
      </c>
      <c r="C73" s="979" t="s">
        <v>458</v>
      </c>
      <c r="D73" s="1120" t="s">
        <v>245</v>
      </c>
      <c r="E73" s="1120" t="s">
        <v>71</v>
      </c>
      <c r="F73" s="987">
        <f>F72</f>
        <v>10.86</v>
      </c>
      <c r="G73" s="1120" t="s">
        <v>71</v>
      </c>
      <c r="H73" s="987">
        <v>244.06</v>
      </c>
      <c r="I73" s="1120" t="s">
        <v>71</v>
      </c>
      <c r="J73" s="1323">
        <f t="shared" si="23"/>
        <v>254.92000000000002</v>
      </c>
    </row>
    <row r="74" spans="2:20" ht="12.75" customHeight="1">
      <c r="B74" s="979" t="s">
        <v>31</v>
      </c>
      <c r="C74" s="979" t="s">
        <v>1063</v>
      </c>
      <c r="D74" s="1120" t="s">
        <v>245</v>
      </c>
      <c r="E74" s="1120" t="s">
        <v>71</v>
      </c>
      <c r="F74" s="987">
        <f>F73</f>
        <v>10.86</v>
      </c>
      <c r="G74" s="1120" t="s">
        <v>71</v>
      </c>
      <c r="H74" s="987">
        <v>282.93</v>
      </c>
      <c r="I74" s="1120" t="s">
        <v>71</v>
      </c>
      <c r="J74" s="1323">
        <f>H74+F74</f>
        <v>293.79000000000002</v>
      </c>
    </row>
    <row r="75" spans="2:20" ht="38.25" customHeight="1">
      <c r="B75" s="1127" t="s">
        <v>669</v>
      </c>
      <c r="C75" s="1127" t="s">
        <v>670</v>
      </c>
      <c r="D75" s="1127" t="s">
        <v>671</v>
      </c>
      <c r="E75" s="1507" t="s">
        <v>672</v>
      </c>
      <c r="F75" s="1507"/>
      <c r="G75" s="1507" t="s">
        <v>270</v>
      </c>
      <c r="H75" s="1507"/>
      <c r="I75" s="1127" t="s">
        <v>1337</v>
      </c>
      <c r="J75" s="300"/>
    </row>
    <row r="76" spans="2:20" ht="12.75" customHeight="1">
      <c r="B76" s="1125">
        <v>1</v>
      </c>
      <c r="C76" s="1125">
        <v>2</v>
      </c>
      <c r="D76" s="1125">
        <v>6</v>
      </c>
      <c r="E76" s="1507">
        <v>3</v>
      </c>
      <c r="F76" s="1507"/>
      <c r="G76" s="1507">
        <v>4</v>
      </c>
      <c r="H76" s="1507"/>
      <c r="I76" s="1507">
        <v>5</v>
      </c>
      <c r="J76" s="1507"/>
    </row>
    <row r="77" spans="2:20" ht="12.75" customHeight="1">
      <c r="B77" s="1499" t="s">
        <v>608</v>
      </c>
      <c r="C77" s="1499"/>
      <c r="D77" s="1499"/>
      <c r="E77" s="1499"/>
      <c r="F77" s="1499"/>
      <c r="G77" s="1499"/>
      <c r="H77" s="1499"/>
      <c r="I77" s="1499"/>
      <c r="J77" s="1499"/>
    </row>
    <row r="78" spans="2:20" ht="12.75" customHeight="1">
      <c r="B78" s="979" t="s">
        <v>68</v>
      </c>
      <c r="C78" s="979" t="s">
        <v>17</v>
      </c>
      <c r="D78" s="1120" t="s">
        <v>245</v>
      </c>
      <c r="E78" s="1120" t="s">
        <v>71</v>
      </c>
      <c r="F78" s="987">
        <v>1.0900000000000001</v>
      </c>
      <c r="G78" s="1120" t="s">
        <v>71</v>
      </c>
      <c r="H78" s="987">
        <v>8.86</v>
      </c>
      <c r="I78" s="1120" t="s">
        <v>71</v>
      </c>
      <c r="J78" s="997">
        <f t="shared" ref="J78:J89" si="24">H78+F78</f>
        <v>9.9499999999999993</v>
      </c>
    </row>
    <row r="79" spans="2:20" ht="12.75" customHeight="1">
      <c r="B79" s="979" t="s">
        <v>72</v>
      </c>
      <c r="C79" s="979" t="s">
        <v>18</v>
      </c>
      <c r="D79" s="1120" t="s">
        <v>245</v>
      </c>
      <c r="E79" s="1120" t="s">
        <v>71</v>
      </c>
      <c r="F79" s="987">
        <f>F78</f>
        <v>1.0900000000000001</v>
      </c>
      <c r="G79" s="1120" t="s">
        <v>71</v>
      </c>
      <c r="H79" s="987">
        <v>12.75</v>
      </c>
      <c r="I79" s="1120" t="s">
        <v>71</v>
      </c>
      <c r="J79" s="997">
        <f t="shared" si="24"/>
        <v>13.84</v>
      </c>
    </row>
    <row r="80" spans="2:20" ht="12.75" customHeight="1">
      <c r="B80" s="979" t="s">
        <v>74</v>
      </c>
      <c r="C80" s="979" t="s">
        <v>350</v>
      </c>
      <c r="D80" s="1120" t="s">
        <v>245</v>
      </c>
      <c r="E80" s="1120" t="s">
        <v>71</v>
      </c>
      <c r="F80" s="987">
        <f>F79</f>
        <v>1.0900000000000001</v>
      </c>
      <c r="G80" s="1120" t="s">
        <v>71</v>
      </c>
      <c r="H80" s="987">
        <v>16.63</v>
      </c>
      <c r="I80" s="1120" t="s">
        <v>71</v>
      </c>
      <c r="J80" s="997">
        <f t="shared" si="24"/>
        <v>17.72</v>
      </c>
    </row>
    <row r="81" spans="1:18" ht="12.75" customHeight="1">
      <c r="B81" s="979" t="s">
        <v>76</v>
      </c>
      <c r="C81" s="979" t="s">
        <v>351</v>
      </c>
      <c r="D81" s="1120" t="s">
        <v>245</v>
      </c>
      <c r="E81" s="1120" t="s">
        <v>71</v>
      </c>
      <c r="F81" s="987">
        <f>F80</f>
        <v>1.0900000000000001</v>
      </c>
      <c r="G81" s="1120" t="s">
        <v>71</v>
      </c>
      <c r="H81" s="987">
        <v>20.52</v>
      </c>
      <c r="I81" s="1120" t="s">
        <v>71</v>
      </c>
      <c r="J81" s="997">
        <f t="shared" si="24"/>
        <v>21.61</v>
      </c>
    </row>
    <row r="82" spans="1:18" ht="12.75" customHeight="1">
      <c r="B82" s="979" t="s">
        <v>77</v>
      </c>
      <c r="C82" s="979" t="s">
        <v>458</v>
      </c>
      <c r="D82" s="1120" t="s">
        <v>245</v>
      </c>
      <c r="E82" s="1120" t="s">
        <v>71</v>
      </c>
      <c r="F82" s="987">
        <f>F81</f>
        <v>1.0900000000000001</v>
      </c>
      <c r="G82" s="1120" t="s">
        <v>71</v>
      </c>
      <c r="H82" s="987">
        <v>24.41</v>
      </c>
      <c r="I82" s="1120" t="s">
        <v>71</v>
      </c>
      <c r="J82" s="997">
        <f t="shared" si="24"/>
        <v>25.5</v>
      </c>
      <c r="P82" s="998">
        <f>'C-data'!E609</f>
        <v>1245</v>
      </c>
    </row>
    <row r="83" spans="1:18" ht="12.75" customHeight="1">
      <c r="B83" s="979" t="s">
        <v>31</v>
      </c>
      <c r="C83" s="979" t="s">
        <v>1063</v>
      </c>
      <c r="D83" s="1120" t="s">
        <v>245</v>
      </c>
      <c r="E83" s="1120" t="s">
        <v>71</v>
      </c>
      <c r="F83" s="987">
        <f>F82</f>
        <v>1.0900000000000001</v>
      </c>
      <c r="G83" s="1120" t="s">
        <v>71</v>
      </c>
      <c r="H83" s="987">
        <v>28.29</v>
      </c>
      <c r="I83" s="1120" t="s">
        <v>71</v>
      </c>
      <c r="J83" s="997">
        <f t="shared" si="24"/>
        <v>29.38</v>
      </c>
    </row>
    <row r="84" spans="1:18" ht="12.75" customHeight="1">
      <c r="B84" s="1499" t="s">
        <v>131</v>
      </c>
      <c r="C84" s="1499"/>
      <c r="D84" s="1499"/>
      <c r="E84" s="1499"/>
      <c r="F84" s="1499"/>
      <c r="G84" s="1499"/>
      <c r="H84" s="1499"/>
      <c r="I84" s="1499"/>
      <c r="J84" s="1499"/>
    </row>
    <row r="85" spans="1:18" ht="12.75" customHeight="1">
      <c r="B85" s="979" t="s">
        <v>68</v>
      </c>
      <c r="C85" s="979" t="s">
        <v>17</v>
      </c>
      <c r="D85" s="1120" t="s">
        <v>245</v>
      </c>
      <c r="E85" s="1120" t="s">
        <v>71</v>
      </c>
      <c r="F85" s="987">
        <v>2.59</v>
      </c>
      <c r="G85" s="1120" t="s">
        <v>71</v>
      </c>
      <c r="H85" s="987">
        <v>17.79</v>
      </c>
      <c r="I85" s="1120" t="s">
        <v>71</v>
      </c>
      <c r="J85" s="997">
        <f t="shared" si="24"/>
        <v>20.38</v>
      </c>
      <c r="P85" s="998">
        <f>'C-data'!E609</f>
        <v>1245</v>
      </c>
    </row>
    <row r="86" spans="1:18" ht="12.75" customHeight="1">
      <c r="B86" s="979" t="s">
        <v>72</v>
      </c>
      <c r="C86" s="979" t="s">
        <v>18</v>
      </c>
      <c r="D86" s="1120" t="s">
        <v>245</v>
      </c>
      <c r="E86" s="1120" t="s">
        <v>71</v>
      </c>
      <c r="F86" s="987">
        <f>F85</f>
        <v>2.59</v>
      </c>
      <c r="G86" s="1120" t="s">
        <v>71</v>
      </c>
      <c r="H86" s="987">
        <v>25.39</v>
      </c>
      <c r="I86" s="1120" t="s">
        <v>71</v>
      </c>
      <c r="J86" s="997">
        <f t="shared" si="24"/>
        <v>27.98</v>
      </c>
    </row>
    <row r="87" spans="1:18" ht="12.75" customHeight="1">
      <c r="B87" s="979" t="s">
        <v>74</v>
      </c>
      <c r="C87" s="979" t="s">
        <v>350</v>
      </c>
      <c r="D87" s="1120" t="s">
        <v>245</v>
      </c>
      <c r="E87" s="1120" t="s">
        <v>71</v>
      </c>
      <c r="F87" s="987">
        <f>F86</f>
        <v>2.59</v>
      </c>
      <c r="G87" s="1120" t="s">
        <v>71</v>
      </c>
      <c r="H87" s="987">
        <v>32.99</v>
      </c>
      <c r="I87" s="1120" t="s">
        <v>71</v>
      </c>
      <c r="J87" s="997">
        <f t="shared" si="24"/>
        <v>35.58</v>
      </c>
    </row>
    <row r="88" spans="1:18" ht="12.75" customHeight="1">
      <c r="B88" s="979" t="s">
        <v>76</v>
      </c>
      <c r="C88" s="979" t="s">
        <v>351</v>
      </c>
      <c r="D88" s="1120" t="s">
        <v>245</v>
      </c>
      <c r="E88" s="1120" t="s">
        <v>71</v>
      </c>
      <c r="F88" s="987">
        <f>F87</f>
        <v>2.59</v>
      </c>
      <c r="G88" s="1120" t="s">
        <v>71</v>
      </c>
      <c r="H88" s="987">
        <v>40.590000000000003</v>
      </c>
      <c r="I88" s="1120" t="s">
        <v>71</v>
      </c>
      <c r="J88" s="997">
        <f t="shared" si="24"/>
        <v>43.180000000000007</v>
      </c>
      <c r="P88" s="998">
        <f>'C-data'!F609</f>
        <v>1287.9000000000001</v>
      </c>
    </row>
    <row r="89" spans="1:18" ht="12.75" customHeight="1">
      <c r="B89" s="979" t="s">
        <v>77</v>
      </c>
      <c r="C89" s="979" t="s">
        <v>458</v>
      </c>
      <c r="D89" s="1120" t="s">
        <v>245</v>
      </c>
      <c r="E89" s="1120" t="s">
        <v>71</v>
      </c>
      <c r="F89" s="987">
        <f>F88</f>
        <v>2.59</v>
      </c>
      <c r="G89" s="1120" t="s">
        <v>71</v>
      </c>
      <c r="H89" s="987">
        <v>48.19</v>
      </c>
      <c r="I89" s="1120" t="s">
        <v>71</v>
      </c>
      <c r="J89" s="997">
        <f t="shared" si="24"/>
        <v>50.78</v>
      </c>
    </row>
    <row r="90" spans="1:18" ht="12.75" customHeight="1">
      <c r="B90" s="979" t="s">
        <v>31</v>
      </c>
      <c r="C90" s="979" t="s">
        <v>1063</v>
      </c>
      <c r="D90" s="1120" t="s">
        <v>245</v>
      </c>
      <c r="E90" s="1120" t="s">
        <v>71</v>
      </c>
      <c r="F90" s="987">
        <f>F89</f>
        <v>2.59</v>
      </c>
      <c r="G90" s="1120" t="s">
        <v>71</v>
      </c>
      <c r="H90" s="987">
        <v>55.79</v>
      </c>
      <c r="I90" s="1120" t="s">
        <v>71</v>
      </c>
      <c r="J90" s="1323">
        <f>H90+F90</f>
        <v>58.379999999999995</v>
      </c>
    </row>
    <row r="91" spans="1:18" ht="12.75" customHeight="1">
      <c r="A91" s="1129"/>
      <c r="B91" s="1117"/>
      <c r="C91" s="1117"/>
      <c r="D91" s="1117"/>
      <c r="E91" s="1117"/>
      <c r="F91" s="1117"/>
      <c r="G91" s="1117"/>
      <c r="H91" s="1117"/>
      <c r="I91" s="1117"/>
      <c r="P91" s="998">
        <f>'C-data'!G609</f>
        <v>1330.8000000000002</v>
      </c>
    </row>
    <row r="92" spans="1:18" s="1001" customFormat="1" ht="12.75" hidden="1" customHeight="1">
      <c r="A92" s="979"/>
      <c r="B92" s="979"/>
      <c r="C92" s="1502" t="s">
        <v>1339</v>
      </c>
      <c r="D92" s="1502"/>
      <c r="E92" s="1502"/>
      <c r="F92" s="1502"/>
      <c r="G92" s="1502"/>
      <c r="H92" s="1502"/>
      <c r="I92" s="1502"/>
      <c r="J92" s="1502"/>
      <c r="K92" s="1127"/>
      <c r="L92" s="1127"/>
      <c r="M92" s="1127"/>
      <c r="N92" s="1127"/>
      <c r="O92" s="1127"/>
      <c r="P92" s="1127"/>
      <c r="Q92" s="1127"/>
      <c r="R92" s="979"/>
    </row>
    <row r="93" spans="1:18" s="1001" customFormat="1" ht="76.5" hidden="1" customHeight="1">
      <c r="A93" s="979"/>
      <c r="B93" s="979"/>
      <c r="C93" s="1120"/>
      <c r="D93" s="1120"/>
      <c r="E93" s="990" t="s">
        <v>571</v>
      </c>
      <c r="F93" s="990" t="s">
        <v>285</v>
      </c>
      <c r="G93" s="990" t="s">
        <v>470</v>
      </c>
      <c r="H93" s="990" t="s">
        <v>286</v>
      </c>
      <c r="I93" s="990" t="s">
        <v>287</v>
      </c>
      <c r="J93" s="990" t="s">
        <v>438</v>
      </c>
      <c r="K93" s="990" t="s">
        <v>457</v>
      </c>
      <c r="L93" s="1002" t="s">
        <v>673</v>
      </c>
      <c r="M93" s="990" t="s">
        <v>674</v>
      </c>
      <c r="N93" s="1002" t="s">
        <v>675</v>
      </c>
      <c r="O93" s="990" t="s">
        <v>687</v>
      </c>
      <c r="P93" s="1002" t="s">
        <v>688</v>
      </c>
      <c r="Q93" s="990" t="s">
        <v>689</v>
      </c>
      <c r="R93" s="979"/>
    </row>
    <row r="94" spans="1:18" s="1001" customFormat="1" ht="25.5" hidden="1" customHeight="1">
      <c r="A94" s="979"/>
      <c r="B94" s="979"/>
      <c r="C94" s="979" t="s">
        <v>365</v>
      </c>
      <c r="D94" s="979"/>
      <c r="E94" s="997" t="s">
        <v>70</v>
      </c>
      <c r="F94" s="997" t="s">
        <v>30</v>
      </c>
      <c r="G94" s="997" t="s">
        <v>70</v>
      </c>
      <c r="H94" s="997" t="s">
        <v>70</v>
      </c>
      <c r="I94" s="997" t="s">
        <v>30</v>
      </c>
      <c r="J94" s="997" t="s">
        <v>30</v>
      </c>
      <c r="K94" s="997" t="s">
        <v>30</v>
      </c>
      <c r="L94" s="998" t="s">
        <v>30</v>
      </c>
      <c r="M94" s="997" t="s">
        <v>30</v>
      </c>
      <c r="N94" s="998" t="s">
        <v>70</v>
      </c>
      <c r="O94" s="997" t="s">
        <v>70</v>
      </c>
      <c r="P94" s="998">
        <f>'C-data'!H609</f>
        <v>1373.7</v>
      </c>
      <c r="Q94" s="997" t="s">
        <v>30</v>
      </c>
      <c r="R94" s="979"/>
    </row>
    <row r="95" spans="1:18" s="1001" customFormat="1" ht="12.75" hidden="1" customHeight="1">
      <c r="A95" s="979"/>
      <c r="B95" s="979"/>
      <c r="C95" s="1127" t="s">
        <v>652</v>
      </c>
      <c r="D95" s="979"/>
      <c r="E95" s="997"/>
      <c r="F95" s="997"/>
      <c r="G95" s="997"/>
      <c r="H95" s="997"/>
      <c r="I95" s="997"/>
      <c r="J95" s="997"/>
      <c r="K95" s="997"/>
      <c r="L95" s="998"/>
      <c r="M95" s="997"/>
      <c r="N95" s="998"/>
      <c r="O95" s="997"/>
      <c r="P95" s="998"/>
      <c r="Q95" s="997"/>
      <c r="R95" s="979"/>
    </row>
    <row r="96" spans="1:18" s="1001" customFormat="1" ht="12.75" hidden="1" customHeight="1">
      <c r="A96" s="979"/>
      <c r="B96" s="979"/>
      <c r="C96" s="1127" t="s">
        <v>653</v>
      </c>
      <c r="D96" s="979" t="s">
        <v>299</v>
      </c>
      <c r="E96" s="998">
        <v>1180</v>
      </c>
      <c r="F96" s="998">
        <v>233</v>
      </c>
      <c r="G96" s="998">
        <v>355</v>
      </c>
      <c r="H96" s="1000">
        <v>2085</v>
      </c>
      <c r="I96" s="998">
        <v>236</v>
      </c>
      <c r="J96" s="998">
        <v>243</v>
      </c>
      <c r="K96" s="998">
        <v>254</v>
      </c>
      <c r="L96" s="998">
        <v>858</v>
      </c>
      <c r="M96" s="998">
        <v>602</v>
      </c>
      <c r="N96" s="998">
        <v>2370</v>
      </c>
      <c r="O96" s="998">
        <v>2404</v>
      </c>
      <c r="P96" s="998">
        <v>3833</v>
      </c>
      <c r="Q96" s="998">
        <v>292</v>
      </c>
      <c r="R96" s="979"/>
    </row>
    <row r="97" spans="1:18" s="1001" customFormat="1" ht="12.75" hidden="1" customHeight="1">
      <c r="A97" s="979"/>
      <c r="B97" s="979"/>
      <c r="C97" s="1127" t="s">
        <v>654</v>
      </c>
      <c r="D97" s="979" t="s">
        <v>586</v>
      </c>
      <c r="E97" s="998">
        <v>1772</v>
      </c>
      <c r="F97" s="998">
        <v>272</v>
      </c>
      <c r="G97" s="998">
        <v>2488</v>
      </c>
      <c r="H97" s="998">
        <v>2088</v>
      </c>
      <c r="I97" s="998">
        <v>236</v>
      </c>
      <c r="J97" s="998">
        <v>243</v>
      </c>
      <c r="K97" s="998">
        <v>255</v>
      </c>
      <c r="L97" s="998">
        <v>859</v>
      </c>
      <c r="M97" s="998">
        <v>602</v>
      </c>
      <c r="N97" s="998">
        <v>2373</v>
      </c>
      <c r="O97" s="998">
        <v>2407</v>
      </c>
      <c r="P97" s="998">
        <v>3838</v>
      </c>
      <c r="Q97" s="998">
        <v>293</v>
      </c>
      <c r="R97" s="979"/>
    </row>
    <row r="98" spans="1:18" s="1001" customFormat="1" ht="12.75" hidden="1" customHeight="1">
      <c r="A98" s="979"/>
      <c r="B98" s="979"/>
      <c r="C98" s="1127" t="s">
        <v>401</v>
      </c>
      <c r="D98" s="979" t="s">
        <v>402</v>
      </c>
      <c r="E98" s="998">
        <f>E96+E97</f>
        <v>2952</v>
      </c>
      <c r="F98" s="998">
        <f t="shared" ref="F98:Q98" si="25">F96+F97</f>
        <v>505</v>
      </c>
      <c r="G98" s="998">
        <f t="shared" si="25"/>
        <v>2843</v>
      </c>
      <c r="H98" s="1000">
        <f t="shared" si="25"/>
        <v>4173</v>
      </c>
      <c r="I98" s="998">
        <f t="shared" si="25"/>
        <v>472</v>
      </c>
      <c r="J98" s="998">
        <f t="shared" si="25"/>
        <v>486</v>
      </c>
      <c r="K98" s="998">
        <f t="shared" si="25"/>
        <v>509</v>
      </c>
      <c r="L98" s="998">
        <f t="shared" si="25"/>
        <v>1717</v>
      </c>
      <c r="M98" s="998">
        <f t="shared" si="25"/>
        <v>1204</v>
      </c>
      <c r="N98" s="998">
        <f t="shared" si="25"/>
        <v>4743</v>
      </c>
      <c r="O98" s="998">
        <f t="shared" si="25"/>
        <v>4811</v>
      </c>
      <c r="P98" s="998">
        <f t="shared" si="25"/>
        <v>7671</v>
      </c>
      <c r="Q98" s="998">
        <f t="shared" si="25"/>
        <v>585</v>
      </c>
      <c r="R98" s="979"/>
    </row>
    <row r="99" spans="1:18" s="1001" customFormat="1" ht="12.75" hidden="1" customHeight="1">
      <c r="A99" s="979"/>
      <c r="B99" s="979"/>
      <c r="C99" s="1509" t="s">
        <v>100</v>
      </c>
      <c r="D99" s="1509"/>
      <c r="E99" s="1509"/>
      <c r="F99" s="1509"/>
      <c r="G99" s="1509"/>
      <c r="H99" s="1509"/>
      <c r="I99" s="1509"/>
      <c r="J99" s="1509"/>
      <c r="K99" s="1509"/>
      <c r="L99" s="1509"/>
      <c r="M99" s="1509"/>
      <c r="N99" s="1509"/>
      <c r="O99" s="1509"/>
      <c r="P99" s="1509"/>
      <c r="Q99" s="1509"/>
      <c r="R99" s="979"/>
    </row>
    <row r="100" spans="1:18" s="1001" customFormat="1" ht="12.75" hidden="1" customHeight="1">
      <c r="A100" s="979"/>
      <c r="B100" s="979"/>
      <c r="C100" s="1127" t="s">
        <v>101</v>
      </c>
      <c r="D100" s="979" t="s">
        <v>586</v>
      </c>
      <c r="E100" s="998">
        <v>1950</v>
      </c>
      <c r="F100" s="998">
        <v>300</v>
      </c>
      <c r="G100" s="998">
        <v>2738</v>
      </c>
      <c r="H100" s="998">
        <v>2297</v>
      </c>
      <c r="I100" s="998">
        <v>260</v>
      </c>
      <c r="J100" s="998">
        <v>268</v>
      </c>
      <c r="K100" s="998">
        <v>280</v>
      </c>
      <c r="L100" s="998">
        <v>946</v>
      </c>
      <c r="M100" s="998">
        <v>663</v>
      </c>
      <c r="N100" s="998">
        <v>2610</v>
      </c>
      <c r="O100" s="998">
        <v>2648</v>
      </c>
      <c r="P100" s="998">
        <v>4221</v>
      </c>
      <c r="Q100" s="998">
        <v>322</v>
      </c>
      <c r="R100" s="979"/>
    </row>
    <row r="101" spans="1:18" s="1001" customFormat="1" ht="12.75" hidden="1" customHeight="1">
      <c r="A101" s="979"/>
      <c r="B101" s="979"/>
      <c r="C101" s="1127" t="s">
        <v>102</v>
      </c>
      <c r="D101" s="979" t="s">
        <v>586</v>
      </c>
      <c r="E101" s="998">
        <v>2127</v>
      </c>
      <c r="F101" s="998">
        <v>326</v>
      </c>
      <c r="G101" s="998">
        <v>2987</v>
      </c>
      <c r="H101" s="998">
        <v>2505</v>
      </c>
      <c r="I101" s="998">
        <v>283</v>
      </c>
      <c r="J101" s="998">
        <v>292</v>
      </c>
      <c r="K101" s="998">
        <v>305</v>
      </c>
      <c r="L101" s="998">
        <v>1031</v>
      </c>
      <c r="M101" s="998">
        <v>723</v>
      </c>
      <c r="N101" s="998">
        <v>2849</v>
      </c>
      <c r="O101" s="998">
        <v>2888</v>
      </c>
      <c r="P101" s="998">
        <v>4605</v>
      </c>
      <c r="Q101" s="998">
        <v>351</v>
      </c>
      <c r="R101" s="979"/>
    </row>
    <row r="102" spans="1:18" s="1001" customFormat="1" ht="12.75" hidden="1" customHeight="1">
      <c r="A102" s="979"/>
      <c r="B102" s="979"/>
      <c r="C102" s="1127" t="s">
        <v>103</v>
      </c>
      <c r="D102" s="979" t="s">
        <v>586</v>
      </c>
      <c r="E102" s="998">
        <v>2303</v>
      </c>
      <c r="F102" s="998">
        <v>353</v>
      </c>
      <c r="G102" s="998">
        <v>3234</v>
      </c>
      <c r="H102" s="998">
        <v>2715</v>
      </c>
      <c r="I102" s="998">
        <v>307</v>
      </c>
      <c r="J102" s="998">
        <v>316</v>
      </c>
      <c r="K102" s="998">
        <v>330</v>
      </c>
      <c r="L102" s="998">
        <v>1118</v>
      </c>
      <c r="M102" s="998">
        <v>784</v>
      </c>
      <c r="N102" s="998">
        <v>3086</v>
      </c>
      <c r="O102" s="998">
        <v>3130</v>
      </c>
      <c r="P102" s="998">
        <v>4989</v>
      </c>
      <c r="Q102" s="998">
        <v>380</v>
      </c>
      <c r="R102" s="979"/>
    </row>
    <row r="103" spans="1:18" s="1001" customFormat="1" ht="12.75" hidden="1" customHeight="1">
      <c r="A103" s="979"/>
      <c r="B103" s="979"/>
      <c r="C103" s="1127" t="s">
        <v>104</v>
      </c>
      <c r="D103" s="979" t="s">
        <v>586</v>
      </c>
      <c r="E103" s="998">
        <v>2481</v>
      </c>
      <c r="F103" s="998">
        <v>380</v>
      </c>
      <c r="G103" s="998">
        <v>3484</v>
      </c>
      <c r="H103" s="998">
        <v>2923</v>
      </c>
      <c r="I103" s="998">
        <v>330</v>
      </c>
      <c r="J103" s="998">
        <v>341</v>
      </c>
      <c r="K103" s="998">
        <v>355</v>
      </c>
      <c r="L103" s="998">
        <v>1203</v>
      </c>
      <c r="M103" s="998">
        <v>843</v>
      </c>
      <c r="N103" s="998">
        <v>3322</v>
      </c>
      <c r="O103" s="998">
        <v>3370</v>
      </c>
      <c r="P103" s="998">
        <v>5372</v>
      </c>
      <c r="Q103" s="998">
        <v>411</v>
      </c>
      <c r="R103" s="979"/>
    </row>
    <row r="104" spans="1:18" s="1001" customFormat="1" ht="12.75" hidden="1" customHeight="1">
      <c r="A104" s="979"/>
      <c r="B104" s="979"/>
      <c r="C104" s="1502" t="s">
        <v>556</v>
      </c>
      <c r="D104" s="1502"/>
      <c r="E104" s="1502"/>
      <c r="F104" s="1502"/>
      <c r="G104" s="1502"/>
      <c r="H104" s="1502"/>
      <c r="I104" s="1502"/>
      <c r="J104" s="1502"/>
      <c r="K104" s="1502"/>
      <c r="L104" s="1502"/>
      <c r="M104" s="1502"/>
      <c r="N104" s="1502"/>
      <c r="O104" s="1502"/>
      <c r="P104" s="1502"/>
      <c r="Q104" s="1502"/>
      <c r="R104" s="979"/>
    </row>
    <row r="105" spans="1:18" s="1001" customFormat="1" ht="76.5" hidden="1" customHeight="1">
      <c r="A105" s="979"/>
      <c r="B105" s="979"/>
      <c r="C105" s="1120"/>
      <c r="D105" s="979"/>
      <c r="E105" s="990" t="s">
        <v>571</v>
      </c>
      <c r="F105" s="990" t="s">
        <v>285</v>
      </c>
      <c r="G105" s="990" t="s">
        <v>470</v>
      </c>
      <c r="H105" s="990" t="s">
        <v>286</v>
      </c>
      <c r="I105" s="990" t="s">
        <v>287</v>
      </c>
      <c r="J105" s="990" t="s">
        <v>438</v>
      </c>
      <c r="K105" s="990" t="s">
        <v>457</v>
      </c>
      <c r="L105" s="1002" t="s">
        <v>673</v>
      </c>
      <c r="M105" s="990" t="s">
        <v>674</v>
      </c>
      <c r="N105" s="1002" t="s">
        <v>675</v>
      </c>
      <c r="O105" s="990" t="s">
        <v>687</v>
      </c>
      <c r="P105" s="1002" t="s">
        <v>688</v>
      </c>
      <c r="Q105" s="990" t="s">
        <v>689</v>
      </c>
      <c r="R105" s="979"/>
    </row>
    <row r="106" spans="1:18" s="1001" customFormat="1" ht="25.5" hidden="1" customHeight="1">
      <c r="A106" s="979"/>
      <c r="B106" s="979"/>
      <c r="C106" s="979" t="s">
        <v>365</v>
      </c>
      <c r="D106" s="979"/>
      <c r="E106" s="997" t="s">
        <v>70</v>
      </c>
      <c r="F106" s="997" t="s">
        <v>30</v>
      </c>
      <c r="G106" s="997" t="s">
        <v>70</v>
      </c>
      <c r="H106" s="997" t="s">
        <v>70</v>
      </c>
      <c r="I106" s="997" t="s">
        <v>30</v>
      </c>
      <c r="J106" s="997" t="s">
        <v>30</v>
      </c>
      <c r="K106" s="997" t="s">
        <v>30</v>
      </c>
      <c r="L106" s="998" t="s">
        <v>30</v>
      </c>
      <c r="M106" s="997" t="s">
        <v>30</v>
      </c>
      <c r="N106" s="998" t="s">
        <v>70</v>
      </c>
      <c r="O106" s="997" t="s">
        <v>70</v>
      </c>
      <c r="P106" s="998" t="s">
        <v>70</v>
      </c>
      <c r="Q106" s="997" t="s">
        <v>30</v>
      </c>
      <c r="R106" s="979"/>
    </row>
    <row r="107" spans="1:18" s="1001" customFormat="1" ht="12.75" hidden="1" customHeight="1">
      <c r="A107" s="979"/>
      <c r="B107" s="979"/>
      <c r="C107" s="1127" t="s">
        <v>652</v>
      </c>
      <c r="D107" s="979"/>
      <c r="E107" s="997"/>
      <c r="F107" s="997"/>
      <c r="G107" s="997"/>
      <c r="H107" s="997"/>
      <c r="I107" s="997"/>
      <c r="J107" s="997"/>
      <c r="K107" s="997"/>
      <c r="L107" s="998"/>
      <c r="M107" s="997"/>
      <c r="N107" s="998"/>
      <c r="O107" s="997"/>
      <c r="P107" s="998"/>
      <c r="Q107" s="997"/>
      <c r="R107" s="979"/>
    </row>
    <row r="108" spans="1:18" s="1001" customFormat="1" ht="12.75" hidden="1" customHeight="1">
      <c r="A108" s="979"/>
      <c r="B108" s="979"/>
      <c r="C108" s="1127" t="s">
        <v>653</v>
      </c>
      <c r="D108" s="979" t="s">
        <v>299</v>
      </c>
      <c r="E108" s="998">
        <v>790</v>
      </c>
      <c r="F108" s="998">
        <v>156</v>
      </c>
      <c r="G108" s="998">
        <v>238</v>
      </c>
      <c r="H108" s="998">
        <v>1395</v>
      </c>
      <c r="I108" s="998">
        <v>158</v>
      </c>
      <c r="J108" s="998">
        <v>163</v>
      </c>
      <c r="K108" s="998">
        <v>170</v>
      </c>
      <c r="L108" s="998">
        <v>575</v>
      </c>
      <c r="M108" s="998">
        <v>403</v>
      </c>
      <c r="N108" s="998">
        <v>1586</v>
      </c>
      <c r="O108" s="998">
        <v>1609</v>
      </c>
      <c r="P108" s="998">
        <v>2566</v>
      </c>
      <c r="Q108" s="998">
        <v>196</v>
      </c>
      <c r="R108" s="979"/>
    </row>
    <row r="109" spans="1:18" s="1001" customFormat="1" ht="12.75" hidden="1" customHeight="1">
      <c r="A109" s="979"/>
      <c r="B109" s="979"/>
      <c r="C109" s="1127" t="s">
        <v>654</v>
      </c>
      <c r="D109" s="979" t="s">
        <v>586</v>
      </c>
      <c r="E109" s="998">
        <v>1373</v>
      </c>
      <c r="F109" s="998">
        <v>211</v>
      </c>
      <c r="G109" s="998">
        <v>1928</v>
      </c>
      <c r="H109" s="998">
        <v>1617</v>
      </c>
      <c r="I109" s="998">
        <v>183</v>
      </c>
      <c r="J109" s="998">
        <v>189</v>
      </c>
      <c r="K109" s="998">
        <v>198</v>
      </c>
      <c r="L109" s="998">
        <v>666</v>
      </c>
      <c r="M109" s="998">
        <v>466</v>
      </c>
      <c r="N109" s="998">
        <v>1838</v>
      </c>
      <c r="O109" s="998">
        <v>1863</v>
      </c>
      <c r="P109" s="998">
        <v>2971</v>
      </c>
      <c r="Q109" s="998">
        <v>227</v>
      </c>
      <c r="R109" s="979"/>
    </row>
    <row r="110" spans="1:18" s="1001" customFormat="1" ht="12.75" hidden="1" customHeight="1">
      <c r="A110" s="979"/>
      <c r="B110" s="979"/>
      <c r="C110" s="1127" t="s">
        <v>401</v>
      </c>
      <c r="D110" s="979" t="s">
        <v>402</v>
      </c>
      <c r="E110" s="998">
        <f>E108+E109</f>
        <v>2163</v>
      </c>
      <c r="F110" s="998">
        <f t="shared" ref="F110:Q110" si="26">F108+F109</f>
        <v>367</v>
      </c>
      <c r="G110" s="998">
        <f t="shared" si="26"/>
        <v>2166</v>
      </c>
      <c r="H110" s="998">
        <f t="shared" si="26"/>
        <v>3012</v>
      </c>
      <c r="I110" s="998">
        <f t="shared" si="26"/>
        <v>341</v>
      </c>
      <c r="J110" s="998">
        <f t="shared" si="26"/>
        <v>352</v>
      </c>
      <c r="K110" s="998">
        <f t="shared" si="26"/>
        <v>368</v>
      </c>
      <c r="L110" s="998">
        <f t="shared" si="26"/>
        <v>1241</v>
      </c>
      <c r="M110" s="998">
        <f t="shared" si="26"/>
        <v>869</v>
      </c>
      <c r="N110" s="998">
        <f t="shared" si="26"/>
        <v>3424</v>
      </c>
      <c r="O110" s="998">
        <f t="shared" si="26"/>
        <v>3472</v>
      </c>
      <c r="P110" s="998">
        <f t="shared" si="26"/>
        <v>5537</v>
      </c>
      <c r="Q110" s="998">
        <f t="shared" si="26"/>
        <v>423</v>
      </c>
      <c r="R110" s="979"/>
    </row>
    <row r="111" spans="1:18" s="1001" customFormat="1" ht="12.75" hidden="1" customHeight="1">
      <c r="A111" s="979"/>
      <c r="B111" s="979"/>
      <c r="C111" s="1509" t="s">
        <v>100</v>
      </c>
      <c r="D111" s="1509"/>
      <c r="E111" s="1509"/>
      <c r="F111" s="1509"/>
      <c r="G111" s="1509"/>
      <c r="H111" s="1509"/>
      <c r="I111" s="1509"/>
      <c r="J111" s="1509"/>
      <c r="K111" s="1509"/>
      <c r="L111" s="1509"/>
      <c r="M111" s="1509"/>
      <c r="N111" s="1509"/>
      <c r="O111" s="1509"/>
      <c r="P111" s="1509"/>
      <c r="Q111" s="1509"/>
      <c r="R111" s="979"/>
    </row>
    <row r="112" spans="1:18" s="1001" customFormat="1" ht="12.75" hidden="1" customHeight="1">
      <c r="A112" s="979"/>
      <c r="B112" s="979"/>
      <c r="C112" s="1127" t="s">
        <v>101</v>
      </c>
      <c r="D112" s="979" t="s">
        <v>586</v>
      </c>
      <c r="E112" s="998">
        <v>1510</v>
      </c>
      <c r="F112" s="998">
        <v>232</v>
      </c>
      <c r="G112" s="998">
        <v>2120</v>
      </c>
      <c r="H112" s="998">
        <v>1778</v>
      </c>
      <c r="I112" s="998">
        <v>202</v>
      </c>
      <c r="J112" s="998">
        <v>207</v>
      </c>
      <c r="K112" s="998">
        <v>216</v>
      </c>
      <c r="L112" s="998">
        <v>733</v>
      </c>
      <c r="M112" s="998">
        <v>513</v>
      </c>
      <c r="N112" s="998">
        <v>2022</v>
      </c>
      <c r="O112" s="998">
        <v>2049</v>
      </c>
      <c r="P112" s="998">
        <v>3269</v>
      </c>
      <c r="Q112" s="998">
        <v>250</v>
      </c>
      <c r="R112" s="979"/>
    </row>
    <row r="113" spans="1:18" s="1001" customFormat="1" ht="12.75" hidden="1" customHeight="1">
      <c r="A113" s="979"/>
      <c r="B113" s="979"/>
      <c r="C113" s="1127" t="s">
        <v>102</v>
      </c>
      <c r="D113" s="979" t="s">
        <v>586</v>
      </c>
      <c r="E113" s="998">
        <v>1646</v>
      </c>
      <c r="F113" s="998">
        <v>254</v>
      </c>
      <c r="G113" s="998">
        <v>2313</v>
      </c>
      <c r="H113" s="998">
        <v>1940</v>
      </c>
      <c r="I113" s="998">
        <v>220</v>
      </c>
      <c r="J113" s="998">
        <v>227</v>
      </c>
      <c r="K113" s="998">
        <v>236</v>
      </c>
      <c r="L113" s="998">
        <v>799</v>
      </c>
      <c r="M113" s="998">
        <v>560</v>
      </c>
      <c r="N113" s="998">
        <v>2206</v>
      </c>
      <c r="O113" s="998">
        <v>2235</v>
      </c>
      <c r="P113" s="998">
        <v>3567</v>
      </c>
      <c r="Q113" s="998">
        <v>272</v>
      </c>
      <c r="R113" s="979"/>
    </row>
    <row r="114" spans="1:18" s="1001" customFormat="1" ht="12.75" hidden="1" customHeight="1">
      <c r="A114" s="979"/>
      <c r="B114" s="979"/>
      <c r="C114" s="1127" t="s">
        <v>103</v>
      </c>
      <c r="D114" s="979" t="s">
        <v>586</v>
      </c>
      <c r="E114" s="998">
        <v>1783</v>
      </c>
      <c r="F114" s="998">
        <v>275</v>
      </c>
      <c r="G114" s="998">
        <v>2506</v>
      </c>
      <c r="H114" s="998">
        <v>2101</v>
      </c>
      <c r="I114" s="998">
        <v>238</v>
      </c>
      <c r="J114" s="998">
        <v>246</v>
      </c>
      <c r="K114" s="998">
        <v>256</v>
      </c>
      <c r="L114" s="998">
        <v>865</v>
      </c>
      <c r="M114" s="998">
        <v>607</v>
      </c>
      <c r="N114" s="998">
        <v>2390</v>
      </c>
      <c r="O114" s="998">
        <v>2421</v>
      </c>
      <c r="P114" s="998">
        <v>3863</v>
      </c>
      <c r="Q114" s="998">
        <v>295</v>
      </c>
      <c r="R114" s="979"/>
    </row>
    <row r="115" spans="1:18" s="1001" customFormat="1" ht="12.75" hidden="1" customHeight="1">
      <c r="A115" s="979"/>
      <c r="B115" s="979"/>
      <c r="C115" s="1127" t="s">
        <v>104</v>
      </c>
      <c r="D115" s="979" t="s">
        <v>586</v>
      </c>
      <c r="E115" s="998">
        <v>1921</v>
      </c>
      <c r="F115" s="998">
        <v>295</v>
      </c>
      <c r="G115" s="998">
        <v>2698</v>
      </c>
      <c r="H115" s="998">
        <v>2262</v>
      </c>
      <c r="I115" s="998">
        <v>257</v>
      </c>
      <c r="J115" s="998">
        <v>265</v>
      </c>
      <c r="K115" s="998">
        <v>276</v>
      </c>
      <c r="L115" s="998">
        <v>931</v>
      </c>
      <c r="M115" s="998">
        <v>653</v>
      </c>
      <c r="N115" s="998">
        <v>2573</v>
      </c>
      <c r="O115" s="998">
        <v>2608</v>
      </c>
      <c r="P115" s="998">
        <v>4161</v>
      </c>
      <c r="Q115" s="998">
        <v>319</v>
      </c>
      <c r="R115" s="979"/>
    </row>
    <row r="116" spans="1:18" ht="12.75" hidden="1" customHeight="1">
      <c r="A116" s="1129"/>
      <c r="B116" s="1117"/>
      <c r="C116" s="1117"/>
      <c r="D116" s="1117"/>
      <c r="E116" s="1117"/>
      <c r="F116" s="1117"/>
      <c r="G116" s="1117"/>
      <c r="H116" s="1117"/>
      <c r="I116" s="1117"/>
    </row>
    <row r="117" spans="1:18" ht="12.75" hidden="1" customHeight="1">
      <c r="A117" s="1129"/>
      <c r="B117" s="1117"/>
      <c r="C117" s="1117"/>
      <c r="D117" s="1117"/>
      <c r="E117" s="1117"/>
      <c r="F117" s="1117" t="s">
        <v>513</v>
      </c>
      <c r="G117" s="1117"/>
      <c r="H117" s="1117"/>
      <c r="I117" s="1117"/>
    </row>
    <row r="118" spans="1:18" ht="12.75" customHeight="1">
      <c r="A118" s="1507" t="s">
        <v>698</v>
      </c>
      <c r="B118" s="1507"/>
      <c r="C118" s="1507"/>
      <c r="D118" s="1507"/>
      <c r="E118" s="1507"/>
      <c r="F118" s="1507"/>
      <c r="G118" s="1507"/>
      <c r="H118" s="1507"/>
      <c r="I118" s="1507"/>
    </row>
    <row r="119" spans="1:18" ht="24.6">
      <c r="A119" s="1120" t="s">
        <v>459</v>
      </c>
      <c r="B119" s="1120"/>
      <c r="C119" s="1120" t="s">
        <v>90</v>
      </c>
      <c r="D119" s="1120" t="s">
        <v>91</v>
      </c>
      <c r="E119" s="1120" t="s">
        <v>53</v>
      </c>
      <c r="F119" s="1120" t="s">
        <v>92</v>
      </c>
      <c r="G119" s="1120"/>
      <c r="H119" s="1120"/>
      <c r="I119" s="1120"/>
    </row>
    <row r="120" spans="1:18">
      <c r="A120" s="1120">
        <v>1</v>
      </c>
      <c r="B120" s="1120"/>
      <c r="C120" s="1120">
        <v>2</v>
      </c>
      <c r="D120" s="1120">
        <v>3</v>
      </c>
      <c r="E120" s="1120">
        <v>4</v>
      </c>
      <c r="F120" s="1120">
        <v>5</v>
      </c>
      <c r="G120" s="1120"/>
      <c r="H120" s="1120"/>
    </row>
    <row r="121" spans="1:18">
      <c r="A121" s="1120"/>
      <c r="B121" s="1120"/>
      <c r="C121" s="1120"/>
      <c r="D121" s="1120"/>
      <c r="E121" s="1120"/>
      <c r="F121" s="1120"/>
      <c r="G121" s="1120"/>
      <c r="H121" s="1120"/>
    </row>
    <row r="122" spans="1:18">
      <c r="A122" s="1120">
        <f>1</f>
        <v>1</v>
      </c>
      <c r="B122" s="984"/>
      <c r="C122" s="792" t="s">
        <v>93</v>
      </c>
      <c r="D122" s="979" t="s">
        <v>878</v>
      </c>
      <c r="E122" s="1120" t="s">
        <v>328</v>
      </c>
      <c r="F122" s="985">
        <v>31</v>
      </c>
      <c r="G122" s="987"/>
      <c r="H122" s="997"/>
    </row>
    <row r="123" spans="1:18" ht="12.75" customHeight="1">
      <c r="A123" s="1120">
        <f>A122+1</f>
        <v>2</v>
      </c>
      <c r="B123" s="984"/>
      <c r="C123" s="792" t="s">
        <v>879</v>
      </c>
      <c r="D123" s="1120" t="s">
        <v>880</v>
      </c>
      <c r="E123" s="1120" t="s">
        <v>328</v>
      </c>
      <c r="F123" s="987">
        <v>24</v>
      </c>
      <c r="H123" s="997"/>
    </row>
    <row r="124" spans="1:18" ht="25.5" customHeight="1">
      <c r="A124" s="1120">
        <f>A123+1</f>
        <v>3</v>
      </c>
      <c r="B124" s="984"/>
      <c r="C124" s="792" t="s">
        <v>234</v>
      </c>
      <c r="D124" s="979" t="s">
        <v>881</v>
      </c>
      <c r="E124" s="1120" t="s">
        <v>328</v>
      </c>
      <c r="F124" s="985">
        <v>54</v>
      </c>
      <c r="G124" s="987"/>
      <c r="H124" s="997"/>
    </row>
    <row r="125" spans="1:18" ht="12.75" customHeight="1">
      <c r="A125" s="1120">
        <f>A124+1</f>
        <v>4</v>
      </c>
      <c r="B125" s="984"/>
      <c r="C125" s="792" t="s">
        <v>1156</v>
      </c>
      <c r="D125" s="979" t="s">
        <v>882</v>
      </c>
      <c r="E125" s="1120" t="s">
        <v>133</v>
      </c>
      <c r="F125" s="985">
        <v>46</v>
      </c>
      <c r="G125" s="987"/>
      <c r="H125" s="997"/>
    </row>
    <row r="126" spans="1:18" ht="25.5" customHeight="1">
      <c r="A126" s="1120">
        <f t="shared" ref="A126:A129" si="27">A125+1</f>
        <v>5</v>
      </c>
      <c r="B126" s="984"/>
      <c r="C126" s="792" t="s">
        <v>134</v>
      </c>
      <c r="D126" s="979" t="s">
        <v>883</v>
      </c>
      <c r="E126" s="1120" t="s">
        <v>328</v>
      </c>
      <c r="F126" s="985">
        <v>57</v>
      </c>
      <c r="G126" s="987"/>
      <c r="H126" s="997"/>
    </row>
    <row r="127" spans="1:18" ht="12.75" customHeight="1">
      <c r="A127" s="1120">
        <f t="shared" si="27"/>
        <v>6</v>
      </c>
      <c r="B127" s="984"/>
      <c r="C127" s="792" t="s">
        <v>82</v>
      </c>
      <c r="D127" s="979" t="s">
        <v>884</v>
      </c>
      <c r="E127" s="1120" t="s">
        <v>133</v>
      </c>
      <c r="F127" s="985">
        <v>152</v>
      </c>
      <c r="G127" s="987"/>
      <c r="H127" s="997"/>
    </row>
    <row r="128" spans="1:18" ht="12.75" customHeight="1">
      <c r="A128" s="1120">
        <f t="shared" si="27"/>
        <v>7</v>
      </c>
      <c r="B128" s="984"/>
      <c r="C128" s="792" t="s">
        <v>770</v>
      </c>
      <c r="D128" s="1120" t="s">
        <v>969</v>
      </c>
      <c r="E128" s="1120" t="s">
        <v>328</v>
      </c>
      <c r="F128" s="985">
        <v>152</v>
      </c>
      <c r="G128" s="987"/>
      <c r="H128" s="997"/>
    </row>
    <row r="129" spans="1:12" ht="12.75" customHeight="1">
      <c r="A129" s="1120">
        <f t="shared" si="27"/>
        <v>8</v>
      </c>
      <c r="B129" s="984"/>
      <c r="C129" s="792" t="s">
        <v>83</v>
      </c>
      <c r="D129" s="979" t="s">
        <v>885</v>
      </c>
      <c r="E129" s="1120" t="s">
        <v>133</v>
      </c>
      <c r="F129" s="985">
        <v>136</v>
      </c>
      <c r="G129" s="987"/>
      <c r="H129" s="997"/>
    </row>
    <row r="130" spans="1:12" ht="38.25" customHeight="1">
      <c r="A130" s="1120">
        <f>A129+1</f>
        <v>9</v>
      </c>
      <c r="B130" s="984"/>
      <c r="C130" s="792" t="s">
        <v>1068</v>
      </c>
      <c r="D130" s="979" t="s">
        <v>886</v>
      </c>
      <c r="E130" s="1120" t="s">
        <v>328</v>
      </c>
      <c r="F130" s="985">
        <v>158</v>
      </c>
      <c r="G130" s="987"/>
      <c r="H130" s="997"/>
    </row>
    <row r="131" spans="1:12" ht="38.25" customHeight="1">
      <c r="A131" s="1120">
        <f>A130+1</f>
        <v>10</v>
      </c>
      <c r="B131" s="984"/>
      <c r="C131" s="792" t="s">
        <v>1067</v>
      </c>
      <c r="D131" s="979" t="s">
        <v>1069</v>
      </c>
      <c r="E131" s="1120" t="s">
        <v>328</v>
      </c>
      <c r="F131" s="985">
        <v>201</v>
      </c>
      <c r="G131" s="987"/>
      <c r="H131" s="997"/>
    </row>
    <row r="132" spans="1:12" ht="76.5" customHeight="1">
      <c r="A132" s="1120">
        <v>11</v>
      </c>
      <c r="B132" s="984"/>
      <c r="C132" s="792" t="s">
        <v>1191</v>
      </c>
      <c r="D132" s="979" t="s">
        <v>887</v>
      </c>
      <c r="E132" s="1120" t="s">
        <v>133</v>
      </c>
      <c r="F132" s="985">
        <v>264</v>
      </c>
      <c r="G132" s="987"/>
      <c r="H132" s="997"/>
    </row>
    <row r="133" spans="1:12" ht="63.75" customHeight="1">
      <c r="A133" s="1120">
        <v>12</v>
      </c>
      <c r="B133" s="984"/>
      <c r="C133" s="792" t="s">
        <v>1070</v>
      </c>
      <c r="D133" s="1120" t="s">
        <v>1065</v>
      </c>
      <c r="E133" s="1120" t="s">
        <v>133</v>
      </c>
      <c r="F133" s="985">
        <v>205</v>
      </c>
      <c r="G133" s="987"/>
      <c r="H133" s="997"/>
    </row>
    <row r="134" spans="1:12" ht="76.5" customHeight="1">
      <c r="A134" s="1120">
        <v>13</v>
      </c>
      <c r="B134" s="984"/>
      <c r="C134" s="792" t="s">
        <v>1071</v>
      </c>
      <c r="D134" s="1120" t="s">
        <v>1072</v>
      </c>
      <c r="E134" s="1120" t="s">
        <v>133</v>
      </c>
      <c r="F134" s="985">
        <v>215</v>
      </c>
      <c r="G134" s="987"/>
      <c r="H134" s="997"/>
    </row>
    <row r="135" spans="1:12" ht="12.75" customHeight="1">
      <c r="A135" s="1120">
        <v>14</v>
      </c>
      <c r="B135" s="984"/>
      <c r="C135" s="792" t="s">
        <v>84</v>
      </c>
      <c r="D135" s="979" t="s">
        <v>888</v>
      </c>
      <c r="E135" s="1120" t="s">
        <v>328</v>
      </c>
      <c r="F135" s="985">
        <v>77</v>
      </c>
      <c r="G135" s="987"/>
      <c r="H135" s="997"/>
    </row>
    <row r="136" spans="1:12" ht="12.75" customHeight="1">
      <c r="A136" s="1120">
        <v>15</v>
      </c>
      <c r="B136" s="984"/>
      <c r="C136" s="792" t="s">
        <v>85</v>
      </c>
      <c r="D136" s="979" t="s">
        <v>1011</v>
      </c>
      <c r="E136" s="1120" t="s">
        <v>623</v>
      </c>
      <c r="F136" s="985">
        <v>20</v>
      </c>
      <c r="G136" s="987"/>
      <c r="H136" s="997"/>
    </row>
    <row r="137" spans="1:12" ht="25.5" customHeight="1">
      <c r="A137" s="1120">
        <v>16</v>
      </c>
      <c r="B137" s="984"/>
      <c r="C137" s="1116" t="s">
        <v>970</v>
      </c>
      <c r="D137" s="1120" t="s">
        <v>971</v>
      </c>
      <c r="E137" s="1120" t="s">
        <v>623</v>
      </c>
      <c r="F137" s="985">
        <v>602</v>
      </c>
      <c r="G137" s="987"/>
      <c r="H137" s="997"/>
      <c r="L137" s="1127" t="s">
        <v>896</v>
      </c>
    </row>
    <row r="138" spans="1:12" ht="12.75" customHeight="1">
      <c r="A138" s="1120">
        <v>17</v>
      </c>
      <c r="B138" s="984"/>
      <c r="C138" s="792" t="s">
        <v>302</v>
      </c>
      <c r="D138" s="979" t="s">
        <v>889</v>
      </c>
      <c r="E138" s="1120" t="s">
        <v>623</v>
      </c>
      <c r="F138" s="987">
        <v>315</v>
      </c>
      <c r="G138" s="987"/>
      <c r="H138" s="997"/>
    </row>
    <row r="139" spans="1:12" ht="63.75" customHeight="1">
      <c r="A139" s="1120">
        <v>18</v>
      </c>
      <c r="B139" s="984"/>
      <c r="C139" s="1116" t="s">
        <v>1340</v>
      </c>
      <c r="D139" s="979" t="s">
        <v>1192</v>
      </c>
      <c r="E139" s="1120" t="s">
        <v>623</v>
      </c>
      <c r="F139" s="987">
        <v>546</v>
      </c>
      <c r="G139" s="987"/>
      <c r="H139" s="997"/>
    </row>
    <row r="140" spans="1:12" ht="12.75" customHeight="1">
      <c r="A140" s="1120">
        <v>19</v>
      </c>
      <c r="B140" s="984"/>
      <c r="C140" s="1116" t="s">
        <v>114</v>
      </c>
      <c r="D140" s="979" t="s">
        <v>889</v>
      </c>
      <c r="E140" s="1120" t="s">
        <v>623</v>
      </c>
      <c r="F140" s="987">
        <v>315</v>
      </c>
      <c r="G140" s="987"/>
      <c r="H140" s="997"/>
    </row>
    <row r="141" spans="1:12" ht="25.5" customHeight="1">
      <c r="A141" s="1120">
        <v>20</v>
      </c>
      <c r="B141" s="984"/>
      <c r="C141" s="792" t="s">
        <v>0</v>
      </c>
      <c r="D141" s="1120" t="s">
        <v>1013</v>
      </c>
      <c r="E141" s="1120" t="s">
        <v>623</v>
      </c>
      <c r="F141" s="987">
        <v>403</v>
      </c>
      <c r="G141" s="987"/>
      <c r="H141" s="987"/>
    </row>
    <row r="142" spans="1:12" ht="38.25" customHeight="1">
      <c r="A142" s="1120">
        <v>21</v>
      </c>
      <c r="B142" s="984"/>
      <c r="C142" s="792" t="s">
        <v>648</v>
      </c>
      <c r="D142" s="979" t="s">
        <v>890</v>
      </c>
      <c r="E142" s="1120" t="s">
        <v>623</v>
      </c>
      <c r="F142" s="985">
        <v>695</v>
      </c>
      <c r="G142" s="987"/>
      <c r="H142" s="997"/>
    </row>
    <row r="143" spans="1:12" ht="38.25" customHeight="1">
      <c r="A143" s="1120">
        <v>22</v>
      </c>
      <c r="B143" s="984"/>
      <c r="C143" s="792" t="s">
        <v>649</v>
      </c>
      <c r="D143" s="979" t="s">
        <v>891</v>
      </c>
      <c r="E143" s="1120" t="s">
        <v>623</v>
      </c>
      <c r="F143" s="985">
        <v>2845</v>
      </c>
      <c r="G143" s="987"/>
      <c r="H143" s="997"/>
    </row>
    <row r="144" spans="1:12" ht="25.5" customHeight="1">
      <c r="A144" s="1120">
        <v>23</v>
      </c>
      <c r="B144" s="984"/>
      <c r="C144" s="792" t="s">
        <v>650</v>
      </c>
      <c r="D144" s="979" t="s">
        <v>892</v>
      </c>
      <c r="E144" s="1120" t="s">
        <v>623</v>
      </c>
      <c r="F144" s="985">
        <v>2419</v>
      </c>
      <c r="G144" s="987"/>
      <c r="H144" s="997"/>
    </row>
    <row r="145" spans="1:9" ht="63.75" customHeight="1">
      <c r="A145" s="1120">
        <v>24</v>
      </c>
      <c r="B145" s="984"/>
      <c r="C145" s="792" t="s">
        <v>972</v>
      </c>
      <c r="D145" s="1120" t="s">
        <v>893</v>
      </c>
      <c r="E145" s="1120" t="s">
        <v>623</v>
      </c>
      <c r="F145" s="985">
        <v>443</v>
      </c>
      <c r="G145" s="987"/>
      <c r="H145" s="997"/>
    </row>
    <row r="146" spans="1:9" ht="38.25" customHeight="1">
      <c r="A146" s="1120">
        <v>25</v>
      </c>
      <c r="B146" s="984"/>
      <c r="C146" s="792" t="s">
        <v>225</v>
      </c>
      <c r="D146" s="1120" t="s">
        <v>1012</v>
      </c>
      <c r="E146" s="1120" t="s">
        <v>623</v>
      </c>
      <c r="F146" s="985">
        <v>443</v>
      </c>
      <c r="G146" s="987"/>
      <c r="H146" s="997"/>
    </row>
    <row r="147" spans="1:9" ht="12.75" customHeight="1">
      <c r="A147" s="1120">
        <v>26</v>
      </c>
      <c r="B147" s="984"/>
      <c r="C147" s="792" t="s">
        <v>332</v>
      </c>
      <c r="D147" s="979" t="s">
        <v>894</v>
      </c>
      <c r="E147" s="1120" t="s">
        <v>623</v>
      </c>
      <c r="F147" s="987">
        <v>231</v>
      </c>
      <c r="G147" s="987"/>
      <c r="H147" s="987"/>
    </row>
    <row r="148" spans="1:9" ht="191.25" customHeight="1">
      <c r="A148" s="1120">
        <v>29</v>
      </c>
      <c r="B148" s="984"/>
      <c r="C148" s="792" t="s">
        <v>1313</v>
      </c>
      <c r="D148" s="1120" t="s">
        <v>973</v>
      </c>
      <c r="E148" s="1120" t="s">
        <v>623</v>
      </c>
      <c r="F148" s="987">
        <v>3640</v>
      </c>
      <c r="G148" s="987">
        <f>F148*1.13615</f>
        <v>4135.5860000000002</v>
      </c>
      <c r="H148" s="987"/>
    </row>
    <row r="149" spans="1:9" ht="191.25" customHeight="1">
      <c r="A149" s="1120">
        <v>30</v>
      </c>
      <c r="B149" s="984"/>
      <c r="C149" s="792" t="s">
        <v>142</v>
      </c>
      <c r="D149" s="1120" t="s">
        <v>974</v>
      </c>
      <c r="E149" s="1120" t="s">
        <v>623</v>
      </c>
      <c r="F149" s="987">
        <v>4161</v>
      </c>
      <c r="G149" s="987">
        <f>F149*1.13615</f>
        <v>4727.5201500000003</v>
      </c>
      <c r="H149" s="987"/>
    </row>
    <row r="150" spans="1:9" ht="12.75" customHeight="1">
      <c r="A150" s="1120"/>
      <c r="B150" s="984"/>
      <c r="D150" s="1120"/>
      <c r="E150" s="1120"/>
      <c r="F150" s="987"/>
      <c r="G150" s="987"/>
      <c r="H150" s="987"/>
    </row>
    <row r="151" spans="1:9" ht="12.75" customHeight="1">
      <c r="A151" s="1507" t="s">
        <v>685</v>
      </c>
      <c r="B151" s="1507"/>
      <c r="C151" s="1507"/>
      <c r="D151" s="1125"/>
      <c r="E151" s="1125"/>
      <c r="F151" s="1125"/>
      <c r="G151" s="1125"/>
      <c r="H151" s="1125"/>
      <c r="I151" s="1125"/>
    </row>
    <row r="152" spans="1:9" ht="12.75" customHeight="1">
      <c r="A152" s="1125"/>
      <c r="B152" s="1118"/>
      <c r="C152" s="1125"/>
      <c r="D152" s="1502" t="s">
        <v>173</v>
      </c>
      <c r="E152" s="1502"/>
      <c r="F152" s="1118" t="s">
        <v>174</v>
      </c>
      <c r="G152" s="1502" t="s">
        <v>535</v>
      </c>
      <c r="H152" s="1502"/>
      <c r="I152" s="1118" t="s">
        <v>151</v>
      </c>
    </row>
    <row r="153" spans="1:9" ht="12.75" customHeight="1">
      <c r="A153" s="1003"/>
      <c r="B153" s="1004"/>
      <c r="C153" s="1124" t="s">
        <v>536</v>
      </c>
    </row>
    <row r="154" spans="1:9" ht="12.75" customHeight="1">
      <c r="A154" s="1003"/>
      <c r="B154" s="1004"/>
      <c r="C154" s="1124" t="s">
        <v>557</v>
      </c>
    </row>
    <row r="155" spans="1:9" ht="12.75" customHeight="1">
      <c r="A155" s="1003"/>
      <c r="B155" s="1003"/>
      <c r="C155" s="1115" t="s">
        <v>537</v>
      </c>
      <c r="D155" s="1005">
        <v>1.05</v>
      </c>
      <c r="E155" s="1006" t="s">
        <v>465</v>
      </c>
      <c r="F155" s="985">
        <f>LEAD!P7</f>
        <v>437.11999999999983</v>
      </c>
      <c r="G155" s="1007">
        <v>1</v>
      </c>
      <c r="H155" s="991" t="str">
        <f>IF(E155="","",IF(E155="No.","Each",IF(E155="Nos.","Each",E155)))</f>
        <v>Cum</v>
      </c>
      <c r="I155" s="986">
        <f>IF(G155="",D155*F155,(D155*F155/G155))</f>
        <v>458.97599999999983</v>
      </c>
    </row>
    <row r="156" spans="1:9" ht="12.75" customHeight="1">
      <c r="A156" s="1003"/>
      <c r="B156" s="1003"/>
      <c r="C156" s="1115" t="s">
        <v>538</v>
      </c>
      <c r="D156" s="1007">
        <v>720</v>
      </c>
      <c r="E156" s="1008" t="s">
        <v>364</v>
      </c>
      <c r="F156" s="985">
        <f>LEAD!P28</f>
        <v>7168</v>
      </c>
      <c r="G156" s="1007">
        <v>1000</v>
      </c>
      <c r="H156" s="991" t="str">
        <f>IF(E156="","",IF(E156="No.","Each",IF(E156="Nos.","Each",E156)))</f>
        <v>Kgs</v>
      </c>
      <c r="I156" s="986">
        <f>IF(G156="",D156*F156,(D156*F156/G156))</f>
        <v>5160.96</v>
      </c>
    </row>
    <row r="157" spans="1:9" ht="12.75" customHeight="1">
      <c r="A157" s="1003"/>
      <c r="B157" s="1003"/>
      <c r="C157" s="1115" t="s">
        <v>558</v>
      </c>
      <c r="D157" s="1007"/>
      <c r="E157" s="1008"/>
      <c r="F157" s="985"/>
      <c r="G157" s="1007"/>
      <c r="H157" s="991"/>
      <c r="I157" s="986"/>
    </row>
    <row r="158" spans="1:9" ht="12.75" customHeight="1">
      <c r="A158" s="1003"/>
      <c r="B158" s="1003"/>
      <c r="C158" s="1115" t="s">
        <v>559</v>
      </c>
      <c r="D158" s="985">
        <v>0.2</v>
      </c>
      <c r="E158" s="1008" t="s">
        <v>327</v>
      </c>
      <c r="F158" s="985">
        <f>F22</f>
        <v>490</v>
      </c>
      <c r="G158" s="1007">
        <v>1</v>
      </c>
      <c r="H158" s="991" t="s">
        <v>560</v>
      </c>
      <c r="I158" s="986">
        <f>IF(G158="",D158*F158,(D158*F158/G158))</f>
        <v>98</v>
      </c>
    </row>
    <row r="159" spans="1:9" ht="12.75" customHeight="1">
      <c r="A159" s="1120"/>
      <c r="B159" s="984"/>
      <c r="C159" s="1009" t="s">
        <v>539</v>
      </c>
      <c r="D159" s="1007"/>
      <c r="E159" s="1008"/>
      <c r="F159" s="985"/>
      <c r="G159" s="1007"/>
      <c r="H159" s="985"/>
      <c r="I159" s="1010">
        <f>SUM(I155:I158)</f>
        <v>5717.9359999999997</v>
      </c>
    </row>
    <row r="160" spans="1:9" ht="12.75" customHeight="1">
      <c r="A160" s="1120"/>
      <c r="B160" s="984"/>
      <c r="C160" s="1009"/>
      <c r="D160" s="1007"/>
      <c r="E160" s="1008"/>
      <c r="F160" s="985"/>
      <c r="G160" s="1007"/>
      <c r="H160" s="985"/>
      <c r="I160" s="985"/>
    </row>
    <row r="161" spans="1:9" ht="12.75" customHeight="1">
      <c r="A161" s="1003"/>
      <c r="B161" s="1004"/>
      <c r="C161" s="1124" t="s">
        <v>540</v>
      </c>
      <c r="D161" s="1007"/>
      <c r="E161" s="1006"/>
      <c r="F161" s="985"/>
      <c r="G161" s="1007"/>
      <c r="H161" s="1005"/>
      <c r="I161" s="1005"/>
    </row>
    <row r="162" spans="1:9" ht="12.75" customHeight="1">
      <c r="A162" s="1003"/>
      <c r="B162" s="1004"/>
      <c r="C162" s="1124" t="s">
        <v>557</v>
      </c>
    </row>
    <row r="163" spans="1:9" ht="12.75" customHeight="1">
      <c r="A163" s="1003"/>
      <c r="B163" s="1003"/>
      <c r="C163" s="1115" t="s">
        <v>537</v>
      </c>
      <c r="D163" s="1005">
        <v>1.05</v>
      </c>
      <c r="E163" s="1006" t="s">
        <v>465</v>
      </c>
      <c r="F163" s="985">
        <f>F155</f>
        <v>437.11999999999983</v>
      </c>
      <c r="G163" s="1007">
        <v>1</v>
      </c>
      <c r="H163" s="991" t="str">
        <f>IF(E163="","",IF(E163="No.","Each",IF(E163="Nos.","Each",E163)))</f>
        <v>Cum</v>
      </c>
      <c r="I163" s="986">
        <f>IF(G163="",D163*F163,(D163*F163/G163))</f>
        <v>458.97599999999983</v>
      </c>
    </row>
    <row r="164" spans="1:9" ht="12.75" customHeight="1">
      <c r="A164" s="1003"/>
      <c r="B164" s="1003"/>
      <c r="C164" s="1115" t="s">
        <v>538</v>
      </c>
      <c r="D164" s="1007">
        <v>480</v>
      </c>
      <c r="E164" s="1008" t="s">
        <v>364</v>
      </c>
      <c r="F164" s="985">
        <f>F156</f>
        <v>7168</v>
      </c>
      <c r="G164" s="1007">
        <v>1000</v>
      </c>
      <c r="H164" s="991" t="str">
        <f>IF(E164="","",IF(E164="No.","Each",IF(E164="Nos.","Each",E164)))</f>
        <v>Kgs</v>
      </c>
      <c r="I164" s="986">
        <f>IF(G164="",D164*F164,(D164*F164/G164))</f>
        <v>3440.64</v>
      </c>
    </row>
    <row r="165" spans="1:9" ht="12.75" customHeight="1">
      <c r="A165" s="1003"/>
      <c r="B165" s="1003"/>
      <c r="C165" s="1115" t="s">
        <v>558</v>
      </c>
      <c r="D165" s="1007"/>
      <c r="E165" s="1008"/>
      <c r="F165" s="985"/>
      <c r="G165" s="1007"/>
      <c r="H165" s="991"/>
      <c r="I165" s="986"/>
    </row>
    <row r="166" spans="1:9" ht="12.75" customHeight="1">
      <c r="A166" s="1003"/>
      <c r="B166" s="1003"/>
      <c r="C166" s="1115" t="s">
        <v>559</v>
      </c>
      <c r="D166" s="985">
        <v>0.2</v>
      </c>
      <c r="E166" s="1008" t="s">
        <v>327</v>
      </c>
      <c r="F166" s="985">
        <f>F158</f>
        <v>490</v>
      </c>
      <c r="G166" s="1007">
        <v>1</v>
      </c>
      <c r="H166" s="991" t="s">
        <v>560</v>
      </c>
      <c r="I166" s="986">
        <f>IF(G166="",D166*F166,(D166*F166/G166))</f>
        <v>98</v>
      </c>
    </row>
    <row r="167" spans="1:9" ht="12.75" customHeight="1">
      <c r="A167" s="1120"/>
      <c r="B167" s="984"/>
      <c r="C167" s="1009" t="s">
        <v>539</v>
      </c>
      <c r="D167" s="1007"/>
      <c r="E167" s="1008"/>
      <c r="F167" s="985"/>
      <c r="G167" s="1007"/>
      <c r="H167" s="985"/>
      <c r="I167" s="1010">
        <f>SUM(I163:I166)</f>
        <v>3997.6159999999995</v>
      </c>
    </row>
    <row r="168" spans="1:9" ht="12.75" customHeight="1">
      <c r="A168" s="1120"/>
      <c r="B168" s="984"/>
      <c r="C168" s="1009"/>
      <c r="D168" s="1007"/>
      <c r="E168" s="1008"/>
      <c r="F168" s="985"/>
      <c r="G168" s="1007"/>
      <c r="H168" s="985"/>
      <c r="I168" s="985"/>
    </row>
    <row r="169" spans="1:9" ht="12.75" customHeight="1">
      <c r="A169" s="1003"/>
      <c r="B169" s="1004"/>
      <c r="C169" s="1124" t="s">
        <v>474</v>
      </c>
      <c r="D169" s="1007"/>
      <c r="E169" s="1006"/>
      <c r="F169" s="985"/>
      <c r="G169" s="1007"/>
      <c r="H169" s="1005"/>
      <c r="I169" s="1005"/>
    </row>
    <row r="170" spans="1:9" ht="12.75" customHeight="1">
      <c r="A170" s="1003"/>
      <c r="B170" s="1004"/>
      <c r="C170" s="1124" t="s">
        <v>557</v>
      </c>
    </row>
    <row r="171" spans="1:9" ht="12.75" customHeight="1">
      <c r="A171" s="1003"/>
      <c r="B171" s="1003"/>
      <c r="C171" s="1115" t="s">
        <v>537</v>
      </c>
      <c r="D171" s="1005">
        <v>1.05</v>
      </c>
      <c r="E171" s="1006" t="s">
        <v>465</v>
      </c>
      <c r="F171" s="985">
        <f>F163</f>
        <v>437.11999999999983</v>
      </c>
      <c r="G171" s="1007">
        <v>1</v>
      </c>
      <c r="H171" s="991" t="str">
        <f>IF(E171="","",IF(E171="No.","Each",IF(E171="Nos.","Each",E171)))</f>
        <v>Cum</v>
      </c>
      <c r="I171" s="986">
        <f>IF(G171="",D171*F171,(D171*F171/G171))</f>
        <v>458.97599999999983</v>
      </c>
    </row>
    <row r="172" spans="1:9" ht="12.75" customHeight="1">
      <c r="A172" s="1003"/>
      <c r="B172" s="1003"/>
      <c r="C172" s="1115" t="s">
        <v>538</v>
      </c>
      <c r="D172" s="1007">
        <v>360</v>
      </c>
      <c r="E172" s="1008" t="s">
        <v>364</v>
      </c>
      <c r="F172" s="985">
        <f>F164</f>
        <v>7168</v>
      </c>
      <c r="G172" s="1007">
        <v>1000</v>
      </c>
      <c r="H172" s="991" t="str">
        <f>IF(E172="","",IF(E172="No.","Each",IF(E172="Nos.","Each",E172)))</f>
        <v>Kgs</v>
      </c>
      <c r="I172" s="986">
        <f>IF(G172="",D172*F172,(D172*F172/G172))</f>
        <v>2580.48</v>
      </c>
    </row>
    <row r="173" spans="1:9" ht="12.75" customHeight="1">
      <c r="A173" s="1003"/>
      <c r="B173" s="1003"/>
      <c r="C173" s="1115" t="s">
        <v>558</v>
      </c>
      <c r="D173" s="1007"/>
      <c r="E173" s="1008"/>
      <c r="F173" s="985"/>
      <c r="G173" s="1007"/>
      <c r="H173" s="991"/>
      <c r="I173" s="986"/>
    </row>
    <row r="174" spans="1:9" ht="12.75" customHeight="1">
      <c r="A174" s="1003"/>
      <c r="B174" s="1003"/>
      <c r="C174" s="1115" t="s">
        <v>559</v>
      </c>
      <c r="D174" s="985">
        <v>0.2</v>
      </c>
      <c r="E174" s="1008" t="s">
        <v>327</v>
      </c>
      <c r="F174" s="985">
        <f>F166</f>
        <v>490</v>
      </c>
      <c r="G174" s="1007">
        <v>1</v>
      </c>
      <c r="H174" s="991" t="s">
        <v>560</v>
      </c>
      <c r="I174" s="986">
        <f>IF(G174="",D174*F174,(D174*F174/G174))</f>
        <v>98</v>
      </c>
    </row>
    <row r="175" spans="1:9" ht="12.75" customHeight="1">
      <c r="A175" s="1120"/>
      <c r="B175" s="984"/>
      <c r="C175" s="1009" t="s">
        <v>539</v>
      </c>
      <c r="D175" s="1007"/>
      <c r="E175" s="1008"/>
      <c r="F175" s="985"/>
      <c r="G175" s="1007"/>
      <c r="H175" s="985"/>
      <c r="I175" s="1010">
        <f>SUM(I171:I174)</f>
        <v>3137.4559999999997</v>
      </c>
    </row>
    <row r="176" spans="1:9" ht="12.75" customHeight="1">
      <c r="A176" s="1120"/>
      <c r="B176" s="984"/>
      <c r="C176" s="1009"/>
      <c r="D176" s="1007"/>
      <c r="E176" s="1008"/>
      <c r="F176" s="985"/>
      <c r="G176" s="1007"/>
      <c r="H176" s="985"/>
      <c r="I176" s="985"/>
    </row>
    <row r="177" spans="1:9" ht="12.75" customHeight="1">
      <c r="A177" s="1003"/>
      <c r="B177" s="1004"/>
      <c r="C177" s="1124" t="s">
        <v>475</v>
      </c>
      <c r="D177" s="1007"/>
      <c r="E177" s="1006"/>
      <c r="F177" s="985"/>
      <c r="G177" s="1007"/>
      <c r="H177" s="1005"/>
      <c r="I177" s="1005"/>
    </row>
    <row r="178" spans="1:9" ht="12.75" customHeight="1">
      <c r="A178" s="1003"/>
      <c r="B178" s="1004"/>
      <c r="C178" s="1124" t="s">
        <v>557</v>
      </c>
    </row>
    <row r="179" spans="1:9" ht="12.75" customHeight="1">
      <c r="A179" s="1003"/>
      <c r="B179" s="1003"/>
      <c r="C179" s="1115" t="s">
        <v>537</v>
      </c>
      <c r="D179" s="1005">
        <v>1.05</v>
      </c>
      <c r="E179" s="1006" t="s">
        <v>465</v>
      </c>
      <c r="F179" s="985">
        <f>F171</f>
        <v>437.11999999999983</v>
      </c>
      <c r="G179" s="1007">
        <v>1</v>
      </c>
      <c r="H179" s="991" t="str">
        <f>IF(E179="","",IF(E179="No.","Each",IF(E179="Nos.","Each",E179)))</f>
        <v>Cum</v>
      </c>
      <c r="I179" s="986">
        <f>IF(G179="",D179*F179,(D179*F179/G179))</f>
        <v>458.97599999999983</v>
      </c>
    </row>
    <row r="180" spans="1:9" ht="12.75" customHeight="1">
      <c r="A180" s="1003"/>
      <c r="B180" s="1003"/>
      <c r="C180" s="1115" t="s">
        <v>538</v>
      </c>
      <c r="D180" s="1007">
        <v>288</v>
      </c>
      <c r="E180" s="1008" t="s">
        <v>364</v>
      </c>
      <c r="F180" s="985">
        <f>F172</f>
        <v>7168</v>
      </c>
      <c r="G180" s="1007">
        <v>1000</v>
      </c>
      <c r="H180" s="991" t="str">
        <f>IF(E180="","",IF(E180="No.","Each",IF(E180="Nos.","Each",E180)))</f>
        <v>Kgs</v>
      </c>
      <c r="I180" s="986">
        <f>IF(G180="",D180*F180,(D180*F180/G180))</f>
        <v>2064.384</v>
      </c>
    </row>
    <row r="181" spans="1:9" ht="12.75" customHeight="1">
      <c r="A181" s="1003"/>
      <c r="B181" s="1003"/>
      <c r="C181" s="1115" t="s">
        <v>558</v>
      </c>
      <c r="D181" s="1007"/>
      <c r="E181" s="1008"/>
      <c r="F181" s="985"/>
      <c r="G181" s="1007"/>
      <c r="H181" s="991"/>
      <c r="I181" s="986"/>
    </row>
    <row r="182" spans="1:9" ht="12.75" customHeight="1">
      <c r="A182" s="1003"/>
      <c r="B182" s="1003"/>
      <c r="C182" s="1115" t="s">
        <v>559</v>
      </c>
      <c r="D182" s="985">
        <v>0.2</v>
      </c>
      <c r="E182" s="1008" t="s">
        <v>327</v>
      </c>
      <c r="F182" s="985">
        <f>F174</f>
        <v>490</v>
      </c>
      <c r="G182" s="1007">
        <v>1</v>
      </c>
      <c r="H182" s="991" t="s">
        <v>560</v>
      </c>
      <c r="I182" s="986">
        <f>IF(G182="",D182*F182,(D182*F182/G182))</f>
        <v>98</v>
      </c>
    </row>
    <row r="183" spans="1:9" ht="12.75" customHeight="1">
      <c r="A183" s="1120"/>
      <c r="B183" s="984"/>
      <c r="C183" s="1009" t="s">
        <v>539</v>
      </c>
      <c r="D183" s="1007"/>
      <c r="E183" s="1008"/>
      <c r="F183" s="985"/>
      <c r="G183" s="1007"/>
      <c r="H183" s="985"/>
      <c r="I183" s="1010">
        <f>SUM(I179:I182)</f>
        <v>2621.3599999999997</v>
      </c>
    </row>
    <row r="184" spans="1:9" ht="12.75" customHeight="1">
      <c r="A184" s="1120"/>
      <c r="B184" s="984"/>
      <c r="C184" s="1009"/>
      <c r="D184" s="1007"/>
      <c r="E184" s="1008"/>
      <c r="F184" s="985"/>
      <c r="G184" s="1007"/>
      <c r="H184" s="985"/>
      <c r="I184" s="985"/>
    </row>
    <row r="185" spans="1:9" ht="12.75" customHeight="1">
      <c r="A185" s="1003"/>
      <c r="B185" s="1004"/>
      <c r="C185" s="1124" t="s">
        <v>476</v>
      </c>
      <c r="D185" s="1007"/>
      <c r="E185" s="1006"/>
      <c r="F185" s="985"/>
      <c r="G185" s="1007"/>
      <c r="H185" s="1005"/>
      <c r="I185" s="1005"/>
    </row>
    <row r="186" spans="1:9" ht="12.75" customHeight="1">
      <c r="A186" s="1003"/>
      <c r="B186" s="1004"/>
      <c r="C186" s="1124" t="s">
        <v>557</v>
      </c>
    </row>
    <row r="187" spans="1:9" ht="12.75" customHeight="1">
      <c r="A187" s="1003"/>
      <c r="B187" s="1003"/>
      <c r="C187" s="1115" t="s">
        <v>537</v>
      </c>
      <c r="D187" s="1005">
        <v>1.05</v>
      </c>
      <c r="E187" s="1006" t="s">
        <v>465</v>
      </c>
      <c r="F187" s="985">
        <f>F179</f>
        <v>437.11999999999983</v>
      </c>
      <c r="G187" s="1007">
        <v>1</v>
      </c>
      <c r="H187" s="991" t="str">
        <f>IF(E187="","",IF(E187="No.","Each",IF(E187="Nos.","Each",E187)))</f>
        <v>Cum</v>
      </c>
      <c r="I187" s="986">
        <f>IF(G187="",D187*F187,(D187*F187/G187))</f>
        <v>458.97599999999983</v>
      </c>
    </row>
    <row r="188" spans="1:9" ht="12.75" customHeight="1">
      <c r="A188" s="1003"/>
      <c r="B188" s="1003"/>
      <c r="C188" s="1115" t="s">
        <v>538</v>
      </c>
      <c r="D188" s="1007">
        <v>240</v>
      </c>
      <c r="E188" s="1008" t="s">
        <v>364</v>
      </c>
      <c r="F188" s="985">
        <f>F180</f>
        <v>7168</v>
      </c>
      <c r="G188" s="1007">
        <v>1000</v>
      </c>
      <c r="H188" s="991" t="str">
        <f>IF(E188="","",IF(E188="No.","Each",IF(E188="Nos.","Each",E188)))</f>
        <v>Kgs</v>
      </c>
      <c r="I188" s="986">
        <f>IF(G188="",D188*F188,(D188*F188/G188))</f>
        <v>1720.32</v>
      </c>
    </row>
    <row r="189" spans="1:9" ht="12.75" customHeight="1">
      <c r="A189" s="1003"/>
      <c r="B189" s="1003"/>
      <c r="C189" s="1115" t="s">
        <v>558</v>
      </c>
      <c r="D189" s="1007"/>
      <c r="E189" s="1008"/>
      <c r="F189" s="985"/>
      <c r="G189" s="1007"/>
      <c r="H189" s="991"/>
      <c r="I189" s="986"/>
    </row>
    <row r="190" spans="1:9" ht="12.75" customHeight="1">
      <c r="A190" s="1003"/>
      <c r="B190" s="1003"/>
      <c r="C190" s="1115" t="s">
        <v>559</v>
      </c>
      <c r="D190" s="985">
        <v>0.2</v>
      </c>
      <c r="E190" s="1008" t="s">
        <v>327</v>
      </c>
      <c r="F190" s="985">
        <f>F174</f>
        <v>490</v>
      </c>
      <c r="G190" s="1007">
        <v>1</v>
      </c>
      <c r="H190" s="991" t="s">
        <v>560</v>
      </c>
      <c r="I190" s="986">
        <f>IF(G190="",D190*F190,(D190*F190/G190))</f>
        <v>98</v>
      </c>
    </row>
    <row r="191" spans="1:9" ht="12.75" customHeight="1">
      <c r="A191" s="1120"/>
      <c r="B191" s="984"/>
      <c r="C191" s="1009" t="s">
        <v>539</v>
      </c>
      <c r="D191" s="1007"/>
      <c r="E191" s="1008"/>
      <c r="F191" s="985"/>
      <c r="G191" s="1007"/>
      <c r="H191" s="985"/>
      <c r="I191" s="1010">
        <f>SUM(I187:I190)</f>
        <v>2277.2959999999998</v>
      </c>
    </row>
    <row r="192" spans="1:9" ht="12.75" customHeight="1">
      <c r="A192" s="1120"/>
      <c r="B192" s="984"/>
      <c r="C192" s="1009"/>
      <c r="D192" s="1007"/>
      <c r="E192" s="1008"/>
      <c r="F192" s="985"/>
      <c r="G192" s="1007"/>
      <c r="H192" s="985"/>
      <c r="I192" s="985"/>
    </row>
    <row r="193" spans="1:18" ht="12.75" customHeight="1">
      <c r="A193" s="1003"/>
      <c r="B193" s="1004"/>
      <c r="C193" s="1124" t="s">
        <v>477</v>
      </c>
      <c r="D193" s="1007"/>
      <c r="E193" s="1006"/>
      <c r="F193" s="985"/>
      <c r="G193" s="1007"/>
      <c r="H193" s="1005"/>
      <c r="I193" s="1005"/>
    </row>
    <row r="194" spans="1:18" ht="12.75" customHeight="1">
      <c r="A194" s="1003"/>
      <c r="B194" s="1004"/>
      <c r="C194" s="1124" t="s">
        <v>557</v>
      </c>
    </row>
    <row r="195" spans="1:18" ht="12.75" customHeight="1">
      <c r="A195" s="1003"/>
      <c r="B195" s="1003"/>
      <c r="C195" s="1115" t="s">
        <v>537</v>
      </c>
      <c r="D195" s="1005">
        <v>1.05</v>
      </c>
      <c r="E195" s="1006" t="s">
        <v>465</v>
      </c>
      <c r="F195" s="985">
        <f>F187</f>
        <v>437.11999999999983</v>
      </c>
      <c r="G195" s="1007">
        <v>1</v>
      </c>
      <c r="H195" s="991" t="str">
        <f>IF(E195="","",IF(E195="No.","Each",IF(E195="Nos.","Each",E195)))</f>
        <v>Cum</v>
      </c>
      <c r="I195" s="986">
        <f>IF(G195="",D195*F195,(D195*F195/G195))</f>
        <v>458.97599999999983</v>
      </c>
    </row>
    <row r="196" spans="1:18" ht="12.75" customHeight="1">
      <c r="A196" s="1003"/>
      <c r="B196" s="1003"/>
      <c r="C196" s="1115" t="s">
        <v>538</v>
      </c>
      <c r="D196" s="1007">
        <v>180</v>
      </c>
      <c r="E196" s="1008" t="s">
        <v>364</v>
      </c>
      <c r="F196" s="985">
        <f>F188</f>
        <v>7168</v>
      </c>
      <c r="G196" s="1007">
        <v>1000</v>
      </c>
      <c r="H196" s="991" t="str">
        <f>IF(E196="","",IF(E196="No.","Each",IF(E196="Nos.","Each",E196)))</f>
        <v>Kgs</v>
      </c>
      <c r="I196" s="986">
        <f>IF(G196="",D196*F196,(D196*F196/G196))</f>
        <v>1290.24</v>
      </c>
    </row>
    <row r="197" spans="1:18" ht="12.75" customHeight="1">
      <c r="A197" s="1003"/>
      <c r="B197" s="1003"/>
      <c r="C197" s="1115" t="s">
        <v>558</v>
      </c>
      <c r="D197" s="1007"/>
      <c r="E197" s="1008"/>
      <c r="F197" s="985"/>
      <c r="G197" s="1007"/>
      <c r="H197" s="991"/>
      <c r="I197" s="986"/>
    </row>
    <row r="198" spans="1:18" ht="12.75" customHeight="1">
      <c r="A198" s="1003"/>
      <c r="B198" s="1003"/>
      <c r="C198" s="1115" t="s">
        <v>559</v>
      </c>
      <c r="D198" s="985">
        <v>0.2</v>
      </c>
      <c r="E198" s="1008" t="s">
        <v>327</v>
      </c>
      <c r="F198" s="985">
        <f>F190</f>
        <v>490</v>
      </c>
      <c r="G198" s="1007">
        <v>1</v>
      </c>
      <c r="H198" s="991" t="s">
        <v>560</v>
      </c>
      <c r="I198" s="986">
        <f>IF(G198="",D198*F198,(D198*F198/G198))</f>
        <v>98</v>
      </c>
    </row>
    <row r="199" spans="1:18" ht="12.75" customHeight="1">
      <c r="A199" s="1120"/>
      <c r="B199" s="984"/>
      <c r="C199" s="1009" t="s">
        <v>539</v>
      </c>
      <c r="D199" s="1007"/>
      <c r="E199" s="1008"/>
      <c r="F199" s="985"/>
      <c r="G199" s="985"/>
      <c r="H199" s="985"/>
      <c r="I199" s="1010">
        <f>SUM(I195:I198)</f>
        <v>1847.2159999999999</v>
      </c>
    </row>
    <row r="200" spans="1:18" ht="25.5" customHeight="1">
      <c r="A200" s="1120"/>
      <c r="B200" s="984"/>
      <c r="C200" s="1123" t="s">
        <v>478</v>
      </c>
      <c r="D200" s="1007"/>
      <c r="E200" s="1008"/>
      <c r="F200" s="985"/>
      <c r="G200" s="985"/>
      <c r="H200" s="985"/>
      <c r="I200" s="1010"/>
    </row>
    <row r="201" spans="1:18" ht="12.75" customHeight="1">
      <c r="A201" s="1120"/>
      <c r="B201" s="984"/>
      <c r="C201" s="1009" t="s">
        <v>479</v>
      </c>
      <c r="D201" s="1005">
        <v>0.6</v>
      </c>
      <c r="E201" s="1006" t="s">
        <v>465</v>
      </c>
      <c r="F201" s="985">
        <f>LEAD!P16</f>
        <v>1703.9199999999998</v>
      </c>
      <c r="G201" s="1007">
        <v>1</v>
      </c>
      <c r="H201" s="991" t="str">
        <f>IF(E201="","",IF(E201="No.","Each",IF(E201="Nos.","Each",E201)))</f>
        <v>Cum</v>
      </c>
      <c r="I201" s="986">
        <f>IF(G201="",D201*F201,(D201*F201/G201))</f>
        <v>1022.3519999999999</v>
      </c>
    </row>
    <row r="202" spans="1:18" ht="12.75" customHeight="1">
      <c r="A202" s="1120"/>
      <c r="B202" s="984"/>
      <c r="C202" s="1009" t="s">
        <v>480</v>
      </c>
      <c r="D202" s="985">
        <v>0.15</v>
      </c>
      <c r="E202" s="1006" t="s">
        <v>465</v>
      </c>
      <c r="F202" s="985">
        <f>LEAD!P17</f>
        <v>1592.6699999999998</v>
      </c>
      <c r="G202" s="1007">
        <v>1</v>
      </c>
      <c r="H202" s="991" t="str">
        <f>IF(E202="","",IF(E202="No.","Each",IF(E202="Nos.","Each",E202)))</f>
        <v>Cum</v>
      </c>
      <c r="I202" s="986">
        <f>IF(G202="",D202*F202,(D202*F202/G202))</f>
        <v>238.90049999999997</v>
      </c>
    </row>
    <row r="203" spans="1:18" ht="12.75" customHeight="1">
      <c r="A203" s="1120"/>
      <c r="B203" s="984"/>
      <c r="C203" s="1009" t="s">
        <v>481</v>
      </c>
      <c r="D203" s="985">
        <v>0.15</v>
      </c>
      <c r="E203" s="1006" t="s">
        <v>465</v>
      </c>
      <c r="F203" s="985">
        <f>LEAD!P18</f>
        <v>1437.6699999999998</v>
      </c>
      <c r="G203" s="1007">
        <v>1</v>
      </c>
      <c r="H203" s="991" t="str">
        <f>IF(E203="","",IF(E203="No.","Each",IF(E203="Nos.","Each",E203)))</f>
        <v>Cum</v>
      </c>
      <c r="I203" s="986">
        <f>IF(G203="",D203*F203,(D203*F203/G203))</f>
        <v>215.65049999999997</v>
      </c>
    </row>
    <row r="204" spans="1:18" ht="12.75" customHeight="1">
      <c r="A204" s="1120"/>
      <c r="B204" s="984"/>
      <c r="C204" s="1009" t="s">
        <v>482</v>
      </c>
      <c r="D204" s="985">
        <v>0.1</v>
      </c>
      <c r="E204" s="1006" t="s">
        <v>465</v>
      </c>
      <c r="F204" s="985">
        <f>LEAD!P19</f>
        <v>1247.6699999999998</v>
      </c>
      <c r="G204" s="1007">
        <v>1</v>
      </c>
      <c r="H204" s="991" t="str">
        <f>IF(E204="","",IF(E204="No.","Each",IF(E204="Nos.","Each",E204)))</f>
        <v>Cum</v>
      </c>
      <c r="I204" s="986">
        <f>IF(G204="",D204*F204,(D204*F204/G204))</f>
        <v>124.767</v>
      </c>
    </row>
    <row r="205" spans="1:18" ht="12.75" customHeight="1">
      <c r="A205" s="1120"/>
      <c r="B205" s="984"/>
      <c r="C205" s="1009" t="s">
        <v>483</v>
      </c>
      <c r="D205" s="985"/>
      <c r="E205" s="1006"/>
      <c r="F205" s="985"/>
      <c r="G205" s="1007"/>
      <c r="H205" s="1011" t="s">
        <v>466</v>
      </c>
      <c r="I205" s="1012">
        <f>SUM(I201:I204)</f>
        <v>1601.6699999999998</v>
      </c>
    </row>
    <row r="206" spans="1:18" ht="12.75" customHeight="1">
      <c r="A206" s="1120"/>
      <c r="B206" s="984"/>
      <c r="C206" s="1009"/>
      <c r="D206" s="1508" t="s">
        <v>206</v>
      </c>
      <c r="E206" s="1508"/>
      <c r="F206" s="1508"/>
      <c r="G206" s="1508"/>
      <c r="H206" s="1011"/>
      <c r="I206" s="1012"/>
    </row>
    <row r="207" spans="1:18" s="1016" customFormat="1" ht="25.5" customHeight="1">
      <c r="A207" s="1125"/>
      <c r="B207" s="1125" t="s">
        <v>207</v>
      </c>
      <c r="C207" s="1131" t="s">
        <v>208</v>
      </c>
      <c r="D207" s="1127" t="s">
        <v>212</v>
      </c>
      <c r="E207" s="1131" t="s">
        <v>209</v>
      </c>
      <c r="F207" s="1013" t="s">
        <v>210</v>
      </c>
      <c r="G207" s="1014" t="s">
        <v>211</v>
      </c>
      <c r="H207" s="1015" t="s">
        <v>513</v>
      </c>
      <c r="I207" s="1012"/>
      <c r="J207" s="1127"/>
      <c r="K207" s="1127"/>
      <c r="L207" s="1127"/>
      <c r="M207" s="1127"/>
      <c r="N207" s="1127"/>
      <c r="O207" s="1127"/>
      <c r="P207" s="1127"/>
      <c r="Q207" s="1127"/>
      <c r="R207" s="1127"/>
    </row>
    <row r="208" spans="1:18" ht="12.75" customHeight="1">
      <c r="A208" s="1120"/>
      <c r="B208" s="984">
        <v>1</v>
      </c>
      <c r="C208" s="792" t="s">
        <v>691</v>
      </c>
      <c r="D208" s="979" t="s">
        <v>692</v>
      </c>
      <c r="E208" s="985">
        <v>55.6</v>
      </c>
      <c r="F208" s="985">
        <v>125.2</v>
      </c>
      <c r="G208" s="985">
        <v>284.7</v>
      </c>
      <c r="H208" s="985">
        <f>E208+F208+G208</f>
        <v>465.5</v>
      </c>
      <c r="I208" s="1012"/>
    </row>
    <row r="209" spans="1:13" ht="12.75" customHeight="1">
      <c r="A209" s="1120"/>
      <c r="B209" s="984">
        <v>2</v>
      </c>
      <c r="C209" s="792" t="s">
        <v>321</v>
      </c>
      <c r="D209" s="979" t="s">
        <v>692</v>
      </c>
      <c r="E209" s="985">
        <v>114.7</v>
      </c>
      <c r="F209" s="985">
        <v>134.30000000000001</v>
      </c>
      <c r="G209" s="985">
        <v>426.7</v>
      </c>
      <c r="H209" s="985">
        <f>E209+F209+G209</f>
        <v>675.7</v>
      </c>
      <c r="I209" s="1012"/>
    </row>
    <row r="210" spans="1:13" ht="12.75" customHeight="1">
      <c r="A210" s="1120"/>
      <c r="B210" s="984">
        <v>3</v>
      </c>
      <c r="C210" s="792" t="s">
        <v>322</v>
      </c>
      <c r="D210" s="979" t="s">
        <v>692</v>
      </c>
      <c r="E210" s="985">
        <v>6.1</v>
      </c>
      <c r="F210" s="985">
        <v>26.5</v>
      </c>
      <c r="G210" s="985">
        <v>204.9</v>
      </c>
      <c r="H210" s="985">
        <f>E210+F210+G210</f>
        <v>237.5</v>
      </c>
      <c r="I210" s="1012"/>
    </row>
    <row r="211" spans="1:13" ht="12.75" customHeight="1">
      <c r="A211" s="1120"/>
      <c r="B211" s="984"/>
      <c r="C211" s="1009"/>
      <c r="E211" s="985"/>
      <c r="F211" s="1008"/>
      <c r="G211" s="985"/>
      <c r="H211" s="985">
        <f>SUM(H208:H210)</f>
        <v>1378.7</v>
      </c>
      <c r="I211" s="1012"/>
    </row>
    <row r="212" spans="1:13" ht="45" customHeight="1">
      <c r="A212" s="990" t="s">
        <v>463</v>
      </c>
      <c r="B212" s="990"/>
      <c r="C212" s="1017" t="s">
        <v>563</v>
      </c>
      <c r="D212" s="1018" t="s">
        <v>464</v>
      </c>
      <c r="E212" s="1018"/>
      <c r="F212" s="990" t="s">
        <v>699</v>
      </c>
      <c r="G212" s="1120" t="s">
        <v>484</v>
      </c>
      <c r="H212" s="990"/>
      <c r="I212" s="990" t="s">
        <v>360</v>
      </c>
    </row>
    <row r="213" spans="1:13" ht="83.25" customHeight="1">
      <c r="A213" s="1019">
        <v>1</v>
      </c>
      <c r="B213" s="1020"/>
      <c r="C213" s="1504" t="s">
        <v>2398</v>
      </c>
      <c r="D213" s="1504"/>
      <c r="E213" s="1504"/>
      <c r="F213" s="1504"/>
      <c r="G213" s="1504"/>
      <c r="H213" s="1504"/>
      <c r="I213" s="1504"/>
    </row>
    <row r="214" spans="1:13">
      <c r="A214" s="1019"/>
      <c r="B214" s="1020"/>
      <c r="C214" s="1115" t="s">
        <v>559</v>
      </c>
      <c r="D214" s="1021">
        <v>0.36399999999999999</v>
      </c>
      <c r="E214" s="1022" t="s">
        <v>327</v>
      </c>
      <c r="F214" s="985">
        <f>$F$22</f>
        <v>490</v>
      </c>
      <c r="G214" s="1023">
        <v>1</v>
      </c>
      <c r="H214" s="991" t="s">
        <v>560</v>
      </c>
      <c r="I214" s="986">
        <f>IF(G214="",D214*F214,(D214*F214/G214))</f>
        <v>178.35999999999999</v>
      </c>
    </row>
    <row r="215" spans="1:13">
      <c r="A215" s="1019"/>
      <c r="B215" s="1020"/>
      <c r="C215" s="1115" t="s">
        <v>485</v>
      </c>
      <c r="D215" s="1005">
        <v>1</v>
      </c>
      <c r="E215" s="1008" t="s">
        <v>529</v>
      </c>
      <c r="F215" s="1154">
        <f>I214*75%</f>
        <v>133.76999999999998</v>
      </c>
      <c r="G215" s="1024">
        <v>1</v>
      </c>
      <c r="H215" s="991" t="str">
        <f>IF(E215="","",IF(E215="No.","Each",IF(E215="Nos.","Each",E215)))</f>
        <v>cu.m.</v>
      </c>
      <c r="I215" s="986">
        <f>IF(G215="",D215*F215,(D215*F215/G215))</f>
        <v>133.76999999999998</v>
      </c>
    </row>
    <row r="216" spans="1:13">
      <c r="A216" s="1019"/>
      <c r="B216" s="1020"/>
      <c r="C216" s="1115" t="s">
        <v>471</v>
      </c>
      <c r="D216" s="1021">
        <v>1</v>
      </c>
      <c r="E216" s="1022" t="s">
        <v>644</v>
      </c>
      <c r="F216" s="985">
        <v>0</v>
      </c>
      <c r="G216" s="1023">
        <v>1</v>
      </c>
      <c r="H216" s="991" t="str">
        <f>IF(E216="","",IF(E216="No.","Each",IF(E216="Nos.","Each",E216)))</f>
        <v>cum</v>
      </c>
      <c r="I216" s="986">
        <f>IF(G216="",D216*F216,(D216*F216/G216))</f>
        <v>0</v>
      </c>
    </row>
    <row r="217" spans="1:13">
      <c r="A217" s="1019"/>
      <c r="B217" s="1020"/>
      <c r="C217" s="1124" t="s">
        <v>1014</v>
      </c>
      <c r="D217" s="1010">
        <f>I214+I215+I216</f>
        <v>312.13</v>
      </c>
      <c r="E217" s="1025" t="s">
        <v>529</v>
      </c>
      <c r="F217" s="1026">
        <f>$D$3</f>
        <v>0</v>
      </c>
      <c r="G217" s="1027">
        <v>1</v>
      </c>
      <c r="H217" s="1011" t="s">
        <v>529</v>
      </c>
      <c r="I217" s="1012">
        <f>IF(G217="",D217*F217,(D217*F217/G217))</f>
        <v>0</v>
      </c>
    </row>
    <row r="218" spans="1:13">
      <c r="A218" s="1019"/>
      <c r="B218" s="1020"/>
      <c r="C218" s="1009" t="s">
        <v>483</v>
      </c>
      <c r="D218" s="1005"/>
      <c r="E218" s="1008"/>
      <c r="F218" s="985"/>
      <c r="G218" s="1024"/>
      <c r="H218" s="994" t="s">
        <v>466</v>
      </c>
      <c r="I218" s="1010">
        <f>CEILING(SUM(I214:I217),0.05)</f>
        <v>312.15000000000003</v>
      </c>
      <c r="M218" s="1127"/>
    </row>
    <row r="219" spans="1:13" ht="23.25" customHeight="1">
      <c r="A219" s="1019"/>
      <c r="B219" s="1020"/>
      <c r="C219" s="1009"/>
      <c r="D219" s="1005"/>
      <c r="E219" s="1008"/>
      <c r="F219" s="985"/>
      <c r="G219" s="1024"/>
      <c r="H219" s="994"/>
      <c r="I219" s="1010"/>
      <c r="M219" s="1127"/>
    </row>
    <row r="220" spans="1:13" ht="64.5" customHeight="1">
      <c r="A220" s="1019">
        <f>A213+1</f>
        <v>2</v>
      </c>
      <c r="B220" s="1020"/>
      <c r="C220" s="1505" t="s">
        <v>2286</v>
      </c>
      <c r="D220" s="1505"/>
      <c r="E220" s="1505"/>
      <c r="F220" s="1505"/>
      <c r="G220" s="1505"/>
      <c r="H220" s="1505"/>
      <c r="I220" s="1505"/>
    </row>
    <row r="221" spans="1:13" ht="12.75" customHeight="1">
      <c r="A221" s="1019"/>
      <c r="B221" s="1020"/>
      <c r="C221" s="1115" t="s">
        <v>559</v>
      </c>
      <c r="D221" s="1021">
        <v>0.36399999999999999</v>
      </c>
      <c r="E221" s="1022" t="s">
        <v>658</v>
      </c>
      <c r="F221" s="985">
        <f>$F$22</f>
        <v>490</v>
      </c>
      <c r="G221" s="1023">
        <v>1</v>
      </c>
      <c r="H221" s="991" t="str">
        <f>IF(E221="","",IF(E221="No.","Each",IF(E221="Nos.","Each",E221)))</f>
        <v>nos</v>
      </c>
      <c r="I221" s="986">
        <f>IF(G221="",D221*F221,(D221*F221/G221))</f>
        <v>178.35999999999999</v>
      </c>
    </row>
    <row r="222" spans="1:13" ht="12.75" customHeight="1">
      <c r="A222" s="1019"/>
      <c r="B222" s="1020"/>
      <c r="C222" s="1115" t="s">
        <v>471</v>
      </c>
      <c r="D222" s="1021">
        <v>1</v>
      </c>
      <c r="E222" s="1022" t="s">
        <v>644</v>
      </c>
      <c r="F222" s="985">
        <v>0</v>
      </c>
      <c r="G222" s="1023">
        <v>1</v>
      </c>
      <c r="H222" s="991" t="str">
        <f>IF(E222="","",IF(E222="No.","Each",IF(E222="Nos.","Each",E222)))</f>
        <v>cum</v>
      </c>
      <c r="I222" s="986">
        <f>IF(G222="",D222*F222,(D222*F222/G222))</f>
        <v>0</v>
      </c>
    </row>
    <row r="223" spans="1:13" ht="12.75" customHeight="1">
      <c r="A223" s="1019"/>
      <c r="B223" s="1020"/>
      <c r="C223" s="1115"/>
      <c r="D223" s="1021"/>
      <c r="E223" s="1022"/>
      <c r="F223" s="985"/>
      <c r="G223" s="1023"/>
      <c r="H223" s="991"/>
      <c r="I223" s="986">
        <f>SUM(I221:I222)</f>
        <v>178.35999999999999</v>
      </c>
    </row>
    <row r="224" spans="1:13" ht="12.75" customHeight="1">
      <c r="A224" s="1019"/>
      <c r="B224" s="1020"/>
      <c r="C224" s="1124" t="s">
        <v>1014</v>
      </c>
      <c r="D224" s="1010">
        <f>I223</f>
        <v>178.35999999999999</v>
      </c>
      <c r="E224" s="1025"/>
      <c r="F224" s="1026">
        <f>$D$3</f>
        <v>0</v>
      </c>
      <c r="G224" s="1027">
        <v>1</v>
      </c>
      <c r="H224" s="1011"/>
      <c r="I224" s="1012">
        <f>IF(G224="",D224*F224,(D224*F224/G224))</f>
        <v>0</v>
      </c>
    </row>
    <row r="225" spans="1:18" ht="12.75" customHeight="1">
      <c r="A225" s="1019"/>
      <c r="B225" s="1020"/>
      <c r="C225" s="1009" t="s">
        <v>483</v>
      </c>
      <c r="D225" s="1005"/>
      <c r="E225" s="1008"/>
      <c r="F225" s="985"/>
      <c r="G225" s="1024"/>
      <c r="H225" s="994" t="s">
        <v>466</v>
      </c>
      <c r="I225" s="1010">
        <f>CEILING(SUM(I223:I224),0.05)</f>
        <v>178.4</v>
      </c>
    </row>
    <row r="226" spans="1:18" ht="12.75" customHeight="1">
      <c r="A226" s="1019">
        <f>+A220+1</f>
        <v>3</v>
      </c>
      <c r="B226" s="1020"/>
      <c r="C226" s="1503" t="s">
        <v>2287</v>
      </c>
      <c r="D226" s="1503"/>
      <c r="E226" s="1503"/>
      <c r="F226" s="1503"/>
      <c r="G226" s="1503"/>
      <c r="H226" s="1503"/>
      <c r="I226" s="1503"/>
    </row>
    <row r="227" spans="1:18" s="1016" customFormat="1">
      <c r="A227" s="1028"/>
      <c r="B227" s="1029"/>
      <c r="C227" s="1030" t="s">
        <v>778</v>
      </c>
      <c r="D227" s="1031"/>
      <c r="E227" s="1031"/>
      <c r="F227" s="1032"/>
      <c r="G227" s="1033"/>
      <c r="H227" s="1034"/>
      <c r="I227" s="1032"/>
      <c r="J227" s="1031"/>
      <c r="K227" s="1031"/>
      <c r="L227" s="1031"/>
      <c r="M227" s="1031"/>
      <c r="N227" s="1031"/>
      <c r="O227" s="1031"/>
      <c r="P227" s="1031"/>
      <c r="Q227" s="1031"/>
      <c r="R227" s="1031"/>
    </row>
    <row r="228" spans="1:18" s="1016" customFormat="1">
      <c r="A228" s="1028"/>
      <c r="B228" s="1029"/>
      <c r="C228" s="1506" t="s">
        <v>779</v>
      </c>
      <c r="D228" s="1506"/>
      <c r="E228" s="1506"/>
      <c r="F228" s="1032"/>
      <c r="G228" s="1033"/>
      <c r="H228" s="1034"/>
      <c r="I228" s="1032"/>
      <c r="J228" s="1031"/>
      <c r="K228" s="1031"/>
      <c r="L228" s="1031"/>
      <c r="M228" s="1031"/>
      <c r="N228" s="1031"/>
      <c r="O228" s="1031"/>
      <c r="P228" s="1031"/>
      <c r="Q228" s="1031"/>
      <c r="R228" s="1031"/>
    </row>
    <row r="229" spans="1:18" s="1016" customFormat="1">
      <c r="A229" s="1028"/>
      <c r="B229" s="1029"/>
      <c r="C229" s="1035" t="s">
        <v>780</v>
      </c>
      <c r="D229" s="1036"/>
      <c r="E229" s="1037"/>
      <c r="F229" s="1036"/>
      <c r="G229" s="1038"/>
      <c r="H229" s="1034" t="str">
        <f>IF(E229="","",IF(E229="No.","Each",IF(E229="Nos.","Each",E229)))</f>
        <v/>
      </c>
      <c r="I229" s="1032"/>
      <c r="J229" s="1031"/>
      <c r="K229" s="1031"/>
      <c r="L229" s="1031"/>
      <c r="M229" s="1031"/>
      <c r="N229" s="1031"/>
      <c r="O229" s="1031"/>
      <c r="P229" s="1031"/>
      <c r="Q229" s="1031"/>
      <c r="R229" s="1031"/>
    </row>
    <row r="230" spans="1:18" s="1016" customFormat="1">
      <c r="A230" s="1028"/>
      <c r="B230" s="1029"/>
      <c r="C230" s="902" t="s">
        <v>781</v>
      </c>
      <c r="D230" s="1039">
        <v>240</v>
      </c>
      <c r="E230" s="1040" t="s">
        <v>644</v>
      </c>
      <c r="F230" s="1032"/>
      <c r="G230" s="1041"/>
      <c r="H230" s="1119"/>
      <c r="I230" s="1032"/>
      <c r="J230" s="1031"/>
      <c r="K230" s="1031"/>
      <c r="L230" s="1031"/>
      <c r="M230" s="1031"/>
      <c r="N230" s="1031"/>
      <c r="O230" s="1031"/>
      <c r="P230" s="1031"/>
      <c r="Q230" s="1031"/>
      <c r="R230" s="1031"/>
    </row>
    <row r="231" spans="1:18" s="1016" customFormat="1">
      <c r="A231" s="1028"/>
      <c r="B231" s="1029"/>
      <c r="C231" s="642" t="s">
        <v>782</v>
      </c>
      <c r="D231" s="1036"/>
      <c r="E231" s="1037"/>
      <c r="F231" s="1036"/>
      <c r="G231" s="1038"/>
      <c r="H231" s="1042"/>
      <c r="I231" s="1039"/>
      <c r="J231" s="1031"/>
      <c r="K231" s="1031"/>
      <c r="L231" s="1031"/>
      <c r="M231" s="1031"/>
      <c r="N231" s="1031"/>
      <c r="O231" s="1031"/>
      <c r="P231" s="1031"/>
      <c r="Q231" s="1031"/>
      <c r="R231" s="1031"/>
    </row>
    <row r="232" spans="1:18" s="1016" customFormat="1">
      <c r="A232" s="1028"/>
      <c r="B232" s="1029"/>
      <c r="C232" s="1035" t="s">
        <v>783</v>
      </c>
      <c r="D232" s="1036">
        <v>8.32</v>
      </c>
      <c r="E232" s="1037" t="s">
        <v>499</v>
      </c>
      <c r="F232" s="985">
        <f>$F$22</f>
        <v>490</v>
      </c>
      <c r="G232" s="1038">
        <v>1</v>
      </c>
      <c r="H232" s="1037" t="s">
        <v>643</v>
      </c>
      <c r="I232" s="1032">
        <f>IF(G232="",D232*F232,(D232*F232/G232))</f>
        <v>4076.8</v>
      </c>
      <c r="J232" s="1031"/>
      <c r="K232" s="1031"/>
      <c r="L232" s="1031"/>
      <c r="M232" s="1031"/>
      <c r="N232" s="1031"/>
      <c r="O232" s="1031"/>
      <c r="P232" s="1031"/>
      <c r="Q232" s="1031"/>
      <c r="R232" s="1031"/>
    </row>
    <row r="233" spans="1:18" s="1016" customFormat="1">
      <c r="A233" s="1028"/>
      <c r="B233" s="1029"/>
      <c r="C233" s="1035" t="s">
        <v>784</v>
      </c>
      <c r="D233" s="1036"/>
      <c r="E233" s="1037"/>
      <c r="F233" s="1036"/>
      <c r="G233" s="1038"/>
      <c r="H233" s="1037"/>
      <c r="I233" s="1032"/>
      <c r="J233" s="1031"/>
      <c r="K233" s="1031"/>
      <c r="L233" s="1031"/>
      <c r="M233" s="1031"/>
      <c r="N233" s="1031"/>
      <c r="O233" s="1031"/>
      <c r="P233" s="1031"/>
      <c r="Q233" s="1031"/>
      <c r="R233" s="1031"/>
    </row>
    <row r="234" spans="1:18" s="1016" customFormat="1">
      <c r="A234" s="1028"/>
      <c r="B234" s="1029"/>
      <c r="C234" s="1031" t="s">
        <v>785</v>
      </c>
      <c r="D234" s="1036">
        <v>6</v>
      </c>
      <c r="E234" s="1037" t="s">
        <v>786</v>
      </c>
      <c r="F234" s="1036">
        <f>2933.2-F235</f>
        <v>2649.7999999999997</v>
      </c>
      <c r="G234" s="1038">
        <v>1</v>
      </c>
      <c r="H234" s="1037" t="s">
        <v>692</v>
      </c>
      <c r="I234" s="1032">
        <f>IF(G234="",D234*F234,(D234*F234/G234))</f>
        <v>15898.8</v>
      </c>
      <c r="J234" s="1031"/>
      <c r="K234" s="1031"/>
      <c r="L234" s="1031"/>
      <c r="M234" s="1031"/>
      <c r="N234" s="1031"/>
      <c r="O234" s="1031"/>
      <c r="P234" s="1031"/>
      <c r="Q234" s="1031"/>
      <c r="R234" s="1031"/>
    </row>
    <row r="235" spans="1:18" s="1016" customFormat="1">
      <c r="A235" s="1028"/>
      <c r="B235" s="1029"/>
      <c r="C235" s="1035" t="s">
        <v>787</v>
      </c>
      <c r="D235" s="1036">
        <v>6</v>
      </c>
      <c r="E235" s="1037" t="s">
        <v>786</v>
      </c>
      <c r="F235" s="1036">
        <v>283.39999999999998</v>
      </c>
      <c r="G235" s="1038">
        <v>1</v>
      </c>
      <c r="H235" s="1037" t="s">
        <v>692</v>
      </c>
      <c r="I235" s="1032">
        <f>IF(G235="",D235*F235,(D235*F235/G235))</f>
        <v>1700.3999999999999</v>
      </c>
      <c r="J235" s="1031"/>
      <c r="K235" s="1031"/>
      <c r="L235" s="1031"/>
      <c r="M235" s="1031"/>
      <c r="N235" s="1031"/>
      <c r="O235" s="1031"/>
      <c r="P235" s="1031"/>
      <c r="Q235" s="1031"/>
      <c r="R235" s="1031"/>
    </row>
    <row r="236" spans="1:18" s="1016" customFormat="1">
      <c r="A236" s="1028"/>
      <c r="B236" s="1029"/>
      <c r="C236" s="1035" t="s">
        <v>788</v>
      </c>
      <c r="D236" s="1036">
        <f>E5</f>
        <v>0</v>
      </c>
      <c r="E236" s="1037"/>
      <c r="F236" s="1036">
        <f>F235</f>
        <v>283.39999999999998</v>
      </c>
      <c r="G236" s="1038"/>
      <c r="H236" s="1037"/>
      <c r="I236" s="1032">
        <f>IF(G236="",D236*F236,(D236*F236/G236))</f>
        <v>0</v>
      </c>
      <c r="J236" s="1031"/>
      <c r="K236" s="1031"/>
      <c r="L236" s="1031"/>
      <c r="M236" s="1031"/>
      <c r="N236" s="1031"/>
      <c r="O236" s="1031"/>
      <c r="P236" s="1031"/>
      <c r="Q236" s="1031"/>
      <c r="R236" s="1031"/>
    </row>
    <row r="237" spans="1:18" s="1016" customFormat="1">
      <c r="A237" s="1028"/>
      <c r="B237" s="1029"/>
      <c r="C237" s="1035"/>
      <c r="D237" s="1036"/>
      <c r="E237" s="1037"/>
      <c r="F237" s="1036"/>
      <c r="G237" s="1036"/>
      <c r="H237" s="1037"/>
      <c r="I237" s="1032">
        <f>SUM(I232:I236)</f>
        <v>21676</v>
      </c>
      <c r="J237" s="1031"/>
      <c r="K237" s="1031"/>
      <c r="L237" s="1031"/>
      <c r="M237" s="1031"/>
      <c r="N237" s="1031"/>
      <c r="O237" s="1031"/>
      <c r="P237" s="1031"/>
      <c r="Q237" s="1031"/>
      <c r="R237" s="1031"/>
    </row>
    <row r="238" spans="1:18" s="1016" customFormat="1" ht="12.75" customHeight="1">
      <c r="A238" s="1028"/>
      <c r="B238" s="1029"/>
      <c r="C238" s="1124" t="s">
        <v>1014</v>
      </c>
      <c r="D238" s="1043">
        <f>F224</f>
        <v>0</v>
      </c>
      <c r="E238" s="1037"/>
      <c r="F238" s="1036">
        <f>I237</f>
        <v>21676</v>
      </c>
      <c r="G238" s="1038"/>
      <c r="H238" s="1042"/>
      <c r="I238" s="1032">
        <f>IF(G238="",D238*F238,(D238*F238/G238))</f>
        <v>0</v>
      </c>
      <c r="J238" s="1031"/>
      <c r="K238" s="1031"/>
      <c r="L238" s="1031"/>
      <c r="M238" s="1031"/>
      <c r="N238" s="1031"/>
      <c r="O238" s="1031"/>
      <c r="P238" s="1031"/>
      <c r="Q238" s="1031"/>
      <c r="R238" s="1031"/>
    </row>
    <row r="239" spans="1:18" s="1016" customFormat="1">
      <c r="A239" s="1028"/>
      <c r="B239" s="1029"/>
      <c r="C239" s="1035" t="s">
        <v>789</v>
      </c>
      <c r="D239" s="1036"/>
      <c r="E239" s="1037"/>
      <c r="F239" s="1036"/>
      <c r="G239" s="1038"/>
      <c r="H239" s="1042"/>
      <c r="I239" s="1036">
        <f>SUM(I237:I238)</f>
        <v>21676</v>
      </c>
      <c r="J239" s="1031"/>
      <c r="K239" s="1031"/>
      <c r="L239" s="1031"/>
      <c r="M239" s="1031"/>
      <c r="N239" s="1031"/>
      <c r="O239" s="1031"/>
      <c r="P239" s="1031"/>
      <c r="Q239" s="1031"/>
      <c r="R239" s="1031"/>
    </row>
    <row r="240" spans="1:18" s="1016" customFormat="1">
      <c r="A240" s="1028"/>
      <c r="B240" s="1029"/>
      <c r="C240" s="1044" t="s">
        <v>2288</v>
      </c>
      <c r="D240" s="1036"/>
      <c r="E240" s="1037"/>
      <c r="F240" s="1036"/>
      <c r="G240" s="1038"/>
      <c r="H240" s="1042"/>
      <c r="I240" s="1039">
        <f>I239/D230</f>
        <v>90.316666666666663</v>
      </c>
      <c r="J240" s="1031"/>
      <c r="K240" s="1031"/>
      <c r="L240" s="1031"/>
      <c r="M240" s="1031"/>
      <c r="N240" s="1031"/>
      <c r="O240" s="1031"/>
      <c r="P240" s="1031"/>
      <c r="Q240" s="1031"/>
      <c r="R240" s="1031"/>
    </row>
    <row r="241" spans="1:18" s="1016" customFormat="1">
      <c r="A241" s="1028"/>
      <c r="B241" s="1029"/>
      <c r="C241" s="1044"/>
      <c r="D241" s="1036"/>
      <c r="E241" s="1037"/>
      <c r="F241" s="1036"/>
      <c r="G241" s="1038"/>
      <c r="H241" s="1045" t="s">
        <v>467</v>
      </c>
      <c r="I241" s="1039">
        <f>CEILING(I240,0.05)</f>
        <v>90.350000000000009</v>
      </c>
      <c r="J241" s="1031"/>
      <c r="K241" s="1031"/>
      <c r="L241" s="1031"/>
      <c r="M241" s="1031"/>
      <c r="N241" s="1031"/>
      <c r="O241" s="1031"/>
      <c r="P241" s="1031"/>
      <c r="Q241" s="1031"/>
      <c r="R241" s="1031"/>
    </row>
    <row r="242" spans="1:18" s="1016" customFormat="1">
      <c r="A242" s="1028"/>
      <c r="B242" s="1029"/>
      <c r="C242" s="1044"/>
      <c r="D242" s="1036"/>
      <c r="E242" s="1037"/>
      <c r="F242" s="1036"/>
      <c r="G242" s="1038"/>
      <c r="H242" s="1045"/>
      <c r="I242" s="1046"/>
      <c r="J242" s="1031"/>
      <c r="K242" s="1031"/>
      <c r="L242" s="1031"/>
      <c r="M242" s="1031"/>
      <c r="N242" s="1031"/>
      <c r="O242" s="1031"/>
      <c r="P242" s="1031"/>
      <c r="Q242" s="1031"/>
      <c r="R242" s="1031"/>
    </row>
    <row r="243" spans="1:18" ht="65.25" customHeight="1">
      <c r="A243" s="1019">
        <f>A220+1</f>
        <v>3</v>
      </c>
      <c r="B243" s="1020"/>
      <c r="C243" s="1504" t="s">
        <v>2399</v>
      </c>
      <c r="D243" s="1504"/>
      <c r="E243" s="1504"/>
      <c r="F243" s="1504"/>
      <c r="G243" s="1504"/>
      <c r="H243" s="1504"/>
      <c r="I243" s="1504"/>
    </row>
    <row r="244" spans="1:18">
      <c r="A244" s="1019"/>
      <c r="B244" s="1020"/>
      <c r="C244" s="1115" t="s">
        <v>559</v>
      </c>
      <c r="D244" s="1021">
        <v>5.1999999999999998E-2</v>
      </c>
      <c r="E244" s="1022" t="s">
        <v>327</v>
      </c>
      <c r="F244" s="985">
        <f>$F$22</f>
        <v>490</v>
      </c>
      <c r="G244" s="1023">
        <v>1</v>
      </c>
      <c r="H244" s="991" t="str">
        <f>IF(E244="","",IF(E244="No.","Each",IF(E244="Nos.","Each",E244)))</f>
        <v>Nos</v>
      </c>
      <c r="I244" s="986">
        <f>IF(G244="",D244*F244,(D244*F244/G244))</f>
        <v>25.48</v>
      </c>
    </row>
    <row r="245" spans="1:18">
      <c r="A245" s="1019"/>
      <c r="B245" s="1020"/>
      <c r="C245" s="1115" t="s">
        <v>420</v>
      </c>
      <c r="D245" s="1021">
        <f>0.72/6</f>
        <v>0.12</v>
      </c>
      <c r="E245" s="1022" t="s">
        <v>718</v>
      </c>
      <c r="F245" s="985">
        <f>LEAD!$P$27</f>
        <v>73</v>
      </c>
      <c r="G245" s="1023">
        <v>1</v>
      </c>
      <c r="H245" s="991" t="str">
        <f>IF(E245="","",IF(E245="No.","Each",IF(E245="Nos.","Each",E245)))</f>
        <v>Kl</v>
      </c>
      <c r="I245" s="986">
        <f>IF(G245="",D245*F245,(D245*F245/G245))</f>
        <v>8.76</v>
      </c>
    </row>
    <row r="246" spans="1:18">
      <c r="A246" s="1019"/>
      <c r="B246" s="1020"/>
      <c r="C246" s="1115"/>
      <c r="D246" s="1021"/>
      <c r="E246" s="1022"/>
      <c r="F246" s="985"/>
      <c r="G246" s="1023"/>
      <c r="H246" s="991"/>
      <c r="I246" s="986">
        <f>SUM(I244:I245)</f>
        <v>34.24</v>
      </c>
    </row>
    <row r="247" spans="1:18">
      <c r="A247" s="1019"/>
      <c r="B247" s="1020"/>
      <c r="C247" s="1124" t="s">
        <v>1014</v>
      </c>
      <c r="D247" s="1010">
        <f>I246</f>
        <v>34.24</v>
      </c>
      <c r="E247" s="1025"/>
      <c r="F247" s="1026">
        <f>$D$3</f>
        <v>0</v>
      </c>
      <c r="G247" s="1027">
        <v>1</v>
      </c>
      <c r="H247" s="1011"/>
      <c r="I247" s="1012">
        <f>IF(G247="",D247*F247,(D247*F247/G247))</f>
        <v>0</v>
      </c>
    </row>
    <row r="248" spans="1:18">
      <c r="A248" s="1019"/>
      <c r="B248" s="1020"/>
      <c r="C248" s="1009" t="s">
        <v>483</v>
      </c>
      <c r="D248" s="1005"/>
      <c r="E248" s="1008"/>
      <c r="F248" s="985"/>
      <c r="G248" s="1024"/>
      <c r="H248" s="994" t="s">
        <v>466</v>
      </c>
      <c r="I248" s="1010">
        <f>CEILING(SUM(I246:I247),0.05)</f>
        <v>34.25</v>
      </c>
    </row>
    <row r="249" spans="1:18" ht="78.75" customHeight="1">
      <c r="A249" s="1019">
        <f>A243+1</f>
        <v>4</v>
      </c>
      <c r="B249" s="1020"/>
      <c r="C249" s="1504" t="s">
        <v>2289</v>
      </c>
      <c r="D249" s="1504"/>
      <c r="E249" s="1504"/>
      <c r="F249" s="1504"/>
      <c r="G249" s="1504"/>
      <c r="H249" s="1504"/>
      <c r="I249" s="1504"/>
    </row>
    <row r="250" spans="1:18" ht="12.75" customHeight="1">
      <c r="A250" s="1019"/>
      <c r="B250" s="1020"/>
      <c r="C250" s="1115" t="s">
        <v>486</v>
      </c>
      <c r="D250" s="1005">
        <v>1</v>
      </c>
      <c r="E250" s="1008" t="s">
        <v>529</v>
      </c>
      <c r="F250" s="985">
        <f>LEAD!P10</f>
        <v>192.88</v>
      </c>
      <c r="G250" s="1023">
        <v>1</v>
      </c>
      <c r="H250" s="991" t="str">
        <f>IF(E250="","",IF(E250="No.","Each",IF(E250="Nos.","Each",E250)))</f>
        <v>cu.m.</v>
      </c>
      <c r="I250" s="986">
        <f>IF(G250="",D250*F250,(D250*F250/G250))</f>
        <v>192.88</v>
      </c>
    </row>
    <row r="251" spans="1:18" ht="12.75" customHeight="1">
      <c r="A251" s="1019"/>
      <c r="B251" s="1020"/>
      <c r="C251" s="1115" t="s">
        <v>559</v>
      </c>
      <c r="D251" s="1021">
        <f>0.312/6</f>
        <v>5.1999999999999998E-2</v>
      </c>
      <c r="E251" s="1022" t="s">
        <v>327</v>
      </c>
      <c r="F251" s="985">
        <f>$F$22</f>
        <v>490</v>
      </c>
      <c r="G251" s="1023">
        <v>1</v>
      </c>
      <c r="H251" s="991" t="str">
        <f>IF(E251="","",IF(E251="No.","Each",IF(E251="Nos.","Each",E251)))</f>
        <v>Nos</v>
      </c>
      <c r="I251" s="986">
        <f>IF(G251="",D251*F251,(D251*F251/G251))</f>
        <v>25.48</v>
      </c>
    </row>
    <row r="252" spans="1:18" ht="12.75" customHeight="1">
      <c r="A252" s="1019"/>
      <c r="B252" s="1020"/>
      <c r="C252" s="1115" t="s">
        <v>420</v>
      </c>
      <c r="D252" s="1021">
        <f>0.72/6</f>
        <v>0.12</v>
      </c>
      <c r="E252" s="1022" t="s">
        <v>718</v>
      </c>
      <c r="F252" s="985">
        <f>LEAD!$P$27</f>
        <v>73</v>
      </c>
      <c r="G252" s="1023">
        <v>1</v>
      </c>
      <c r="H252" s="991" t="str">
        <f>IF(E252="","",IF(E252="No.","Each",IF(E252="Nos.","Each",E252)))</f>
        <v>Kl</v>
      </c>
      <c r="I252" s="986">
        <f>IF(G252="",D252*F252,(D252*F252/G252))</f>
        <v>8.76</v>
      </c>
    </row>
    <row r="253" spans="1:18" ht="12.75" customHeight="1">
      <c r="A253" s="1019"/>
      <c r="B253" s="1020"/>
      <c r="C253" s="1115"/>
      <c r="D253" s="1021"/>
      <c r="E253" s="1022"/>
      <c r="F253" s="985"/>
      <c r="G253" s="1023"/>
      <c r="H253" s="991"/>
      <c r="I253" s="986">
        <f>SUM(I250:I252)</f>
        <v>227.11999999999998</v>
      </c>
    </row>
    <row r="254" spans="1:18" ht="12.75" customHeight="1">
      <c r="A254" s="1019"/>
      <c r="B254" s="1020"/>
      <c r="C254" s="1124" t="s">
        <v>1014</v>
      </c>
      <c r="D254" s="1010">
        <f>I253</f>
        <v>227.11999999999998</v>
      </c>
      <c r="E254" s="1025" t="s">
        <v>529</v>
      </c>
      <c r="F254" s="1026">
        <f>$D$3</f>
        <v>0</v>
      </c>
      <c r="G254" s="1027">
        <v>1</v>
      </c>
      <c r="H254" s="1011" t="s">
        <v>529</v>
      </c>
      <c r="I254" s="1012">
        <f>IF(G254="",D254*F254,(D254*F254/G254))</f>
        <v>0</v>
      </c>
    </row>
    <row r="255" spans="1:18" ht="12.75" customHeight="1">
      <c r="A255" s="1019"/>
      <c r="B255" s="1020"/>
      <c r="C255" s="1009" t="s">
        <v>517</v>
      </c>
      <c r="D255" s="1005"/>
      <c r="E255" s="1008"/>
      <c r="F255" s="985"/>
      <c r="G255" s="1024"/>
      <c r="H255" s="994" t="s">
        <v>466</v>
      </c>
      <c r="I255" s="1010">
        <f>CEILING(SUM(I253:I254),0.05)</f>
        <v>227.15</v>
      </c>
    </row>
    <row r="256" spans="1:18" ht="12.75" customHeight="1">
      <c r="A256" s="1019">
        <f>A249+1</f>
        <v>5</v>
      </c>
      <c r="B256" s="1020"/>
      <c r="C256" s="1505" t="s">
        <v>2290</v>
      </c>
      <c r="D256" s="1505"/>
      <c r="E256" s="1505"/>
      <c r="F256" s="1505"/>
      <c r="G256" s="1505"/>
      <c r="H256" s="1505"/>
      <c r="I256" s="1505"/>
    </row>
    <row r="257" spans="1:9" ht="12.75" customHeight="1">
      <c r="A257" s="1019"/>
      <c r="B257" s="1020"/>
      <c r="C257" s="1115" t="s">
        <v>708</v>
      </c>
      <c r="D257" s="1005">
        <v>1</v>
      </c>
      <c r="E257" s="1008" t="s">
        <v>529</v>
      </c>
      <c r="F257" s="985">
        <f>LEAD!P8</f>
        <v>94.88</v>
      </c>
      <c r="G257" s="1023">
        <v>1</v>
      </c>
      <c r="H257" s="991" t="str">
        <f>IF(E257="","",IF(E257="No.","Each",IF(E257="Nos.","Each",E257)))</f>
        <v>cu.m.</v>
      </c>
      <c r="I257" s="986">
        <f>IF(G257="",D257*F257,(D257*F257/G257))</f>
        <v>94.88</v>
      </c>
    </row>
    <row r="258" spans="1:9" ht="12.75" customHeight="1">
      <c r="A258" s="1019"/>
      <c r="B258" s="1020"/>
      <c r="C258" s="1115" t="s">
        <v>559</v>
      </c>
      <c r="D258" s="1021">
        <v>0.31</v>
      </c>
      <c r="E258" s="1022" t="s">
        <v>327</v>
      </c>
      <c r="F258" s="985">
        <f>$F$22</f>
        <v>490</v>
      </c>
      <c r="G258" s="1023">
        <v>1</v>
      </c>
      <c r="H258" s="991" t="str">
        <f>IF(E258="","",IF(E258="No.","Each",IF(E258="Nos.","Each",E258)))</f>
        <v>Nos</v>
      </c>
      <c r="I258" s="986">
        <f>IF(G258="",D258*F258,(D258*F258/G258))</f>
        <v>151.9</v>
      </c>
    </row>
    <row r="259" spans="1:9" ht="12.75" customHeight="1">
      <c r="A259" s="1019"/>
      <c r="B259" s="1020"/>
      <c r="C259" s="1115" t="s">
        <v>420</v>
      </c>
      <c r="D259" s="1021">
        <v>0.1</v>
      </c>
      <c r="E259" s="1022" t="s">
        <v>718</v>
      </c>
      <c r="F259" s="985">
        <f>LEAD!$P$27</f>
        <v>73</v>
      </c>
      <c r="G259" s="1023">
        <v>1</v>
      </c>
      <c r="H259" s="991" t="str">
        <f>IF(E259="","",IF(E259="No.","Each",IF(E259="Nos.","Each",E259)))</f>
        <v>Kl</v>
      </c>
      <c r="I259" s="986">
        <f>IF(G259="",D259*F259,(D259*F259/G259))</f>
        <v>7.3000000000000007</v>
      </c>
    </row>
    <row r="260" spans="1:9" ht="12.75" customHeight="1">
      <c r="A260" s="1019"/>
      <c r="B260" s="1020"/>
      <c r="C260" s="1115"/>
      <c r="D260" s="1021"/>
      <c r="E260" s="1022"/>
      <c r="F260" s="985"/>
      <c r="G260" s="1023"/>
      <c r="H260" s="991"/>
      <c r="I260" s="986">
        <f>SUM(I257:I259)</f>
        <v>254.08</v>
      </c>
    </row>
    <row r="261" spans="1:9" ht="12.75" customHeight="1">
      <c r="A261" s="1019"/>
      <c r="B261" s="1020"/>
      <c r="C261" s="1124" t="s">
        <v>1014</v>
      </c>
      <c r="D261" s="1010">
        <f>I260</f>
        <v>254.08</v>
      </c>
      <c r="E261" s="1025" t="s">
        <v>529</v>
      </c>
      <c r="F261" s="1026">
        <f>$D$3</f>
        <v>0</v>
      </c>
      <c r="G261" s="1027">
        <v>1</v>
      </c>
      <c r="H261" s="1011" t="s">
        <v>529</v>
      </c>
      <c r="I261" s="1012">
        <f>IF(G261="",D261*F261,(D261*F261/G261))</f>
        <v>0</v>
      </c>
    </row>
    <row r="262" spans="1:9" ht="12.75" customHeight="1">
      <c r="A262" s="1019"/>
      <c r="B262" s="1020"/>
      <c r="C262" s="1009" t="s">
        <v>517</v>
      </c>
      <c r="D262" s="1005"/>
      <c r="E262" s="1008"/>
      <c r="F262" s="985"/>
      <c r="G262" s="1024"/>
      <c r="H262" s="994" t="s">
        <v>466</v>
      </c>
      <c r="I262" s="1010">
        <f>CEILING(SUM(I260:I261),0.05)</f>
        <v>254.10000000000002</v>
      </c>
    </row>
    <row r="263" spans="1:9" ht="97.5" customHeight="1">
      <c r="A263" s="1019">
        <f>+A249+1</f>
        <v>5</v>
      </c>
      <c r="B263" s="1020"/>
      <c r="C263" s="1504" t="s">
        <v>2400</v>
      </c>
      <c r="D263" s="1504"/>
      <c r="E263" s="1504"/>
      <c r="F263" s="1504"/>
      <c r="G263" s="1504"/>
      <c r="H263" s="1504"/>
      <c r="I263" s="1504"/>
    </row>
    <row r="264" spans="1:9">
      <c r="A264" s="1019"/>
      <c r="B264" s="1020"/>
      <c r="C264" s="1117" t="s">
        <v>423</v>
      </c>
      <c r="D264" s="1021"/>
      <c r="E264" s="1008"/>
      <c r="F264" s="1003"/>
      <c r="G264" s="1023"/>
      <c r="H264" s="1116"/>
      <c r="I264" s="1003"/>
    </row>
    <row r="265" spans="1:9" ht="19.5" customHeight="1">
      <c r="A265" s="1019"/>
      <c r="B265" s="1020"/>
      <c r="C265" s="792" t="s">
        <v>518</v>
      </c>
      <c r="D265" s="1005">
        <v>0.9</v>
      </c>
      <c r="E265" s="1008" t="s">
        <v>529</v>
      </c>
      <c r="F265" s="986">
        <f>LEAD!P15</f>
        <v>1247.6699999999998</v>
      </c>
      <c r="G265" s="1023">
        <v>1</v>
      </c>
      <c r="H265" s="991" t="str">
        <f>IF(E265="","",IF(E265="No.","Each",IF(E265="Nos.","Each",E265)))</f>
        <v>cu.m.</v>
      </c>
      <c r="I265" s="986">
        <f>IF(G265="",D265*F265,(D265*F265/G265))</f>
        <v>1122.9029999999998</v>
      </c>
    </row>
    <row r="266" spans="1:9" ht="19.5" customHeight="1">
      <c r="A266" s="1019"/>
      <c r="B266" s="1020"/>
      <c r="C266" s="792" t="s">
        <v>519</v>
      </c>
      <c r="D266" s="1005">
        <f>0.45</f>
        <v>0.45</v>
      </c>
      <c r="E266" s="1008" t="s">
        <v>529</v>
      </c>
      <c r="F266" s="986">
        <f>LEAD!P7</f>
        <v>437.11999999999983</v>
      </c>
      <c r="G266" s="1023">
        <v>1</v>
      </c>
      <c r="H266" s="991" t="str">
        <f>IF(E266="","",IF(E266="No.","Each",IF(E266="Nos.","Each",E266)))</f>
        <v>cu.m.</v>
      </c>
      <c r="I266" s="986">
        <f>IF(G266="",D266*F266,(D266*F266/G266))</f>
        <v>196.70399999999992</v>
      </c>
    </row>
    <row r="267" spans="1:9" ht="19.5" customHeight="1">
      <c r="A267" s="1019"/>
      <c r="B267" s="1020"/>
      <c r="C267" s="792" t="s">
        <v>235</v>
      </c>
      <c r="D267" s="1005">
        <v>129.6</v>
      </c>
      <c r="E267" s="1008" t="s">
        <v>700</v>
      </c>
      <c r="F267" s="986">
        <f>LEAD!P28</f>
        <v>7168</v>
      </c>
      <c r="G267" s="1023">
        <v>1000</v>
      </c>
      <c r="H267" s="991" t="str">
        <f>IF(E267="","",IF(E267="No.","Each",IF(E267="Nos.","Each",E267)))</f>
        <v>Kgs.</v>
      </c>
      <c r="I267" s="986">
        <f>IF(G267="",D267*F267,(D267*F267/G267))</f>
        <v>928.97279999999989</v>
      </c>
    </row>
    <row r="268" spans="1:9" ht="19.5" customHeight="1">
      <c r="A268" s="1019"/>
      <c r="B268" s="1020"/>
      <c r="C268" s="792" t="s">
        <v>420</v>
      </c>
      <c r="D268" s="1005">
        <v>1.2</v>
      </c>
      <c r="E268" s="1008" t="s">
        <v>421</v>
      </c>
      <c r="F268" s="986">
        <f>LEAD!$P$27</f>
        <v>73</v>
      </c>
      <c r="G268" s="1023">
        <v>1</v>
      </c>
      <c r="H268" s="991" t="str">
        <f>IF(E268="","",IF(E268="No.","Each",IF(E268="Nos.","Each",E268)))</f>
        <v>KL</v>
      </c>
      <c r="I268" s="986">
        <f>IF(G268="",D268*F268,(D268*F268/G268))</f>
        <v>87.6</v>
      </c>
    </row>
    <row r="269" spans="1:9" ht="19.5" customHeight="1">
      <c r="A269" s="1019"/>
      <c r="B269" s="1020"/>
      <c r="C269" s="1117" t="s">
        <v>424</v>
      </c>
      <c r="D269" s="1005"/>
      <c r="E269" s="1008"/>
      <c r="F269" s="986"/>
      <c r="G269" s="1023"/>
      <c r="H269" s="991"/>
      <c r="I269" s="986"/>
    </row>
    <row r="270" spans="1:9" ht="19.5" customHeight="1">
      <c r="A270" s="1019"/>
      <c r="B270" s="1020"/>
      <c r="C270" s="792" t="s">
        <v>691</v>
      </c>
      <c r="D270" s="1005">
        <v>1</v>
      </c>
      <c r="E270" s="1008" t="s">
        <v>692</v>
      </c>
      <c r="F270" s="986">
        <f>$H$208</f>
        <v>465.5</v>
      </c>
      <c r="G270" s="1023">
        <v>1</v>
      </c>
      <c r="H270" s="991" t="str">
        <f>IF(E270="","",IF(E270="No.","Each",IF(E270="Nos.","Each",E270)))</f>
        <v>Hour</v>
      </c>
      <c r="I270" s="986">
        <f>IF(G270="",D270*F270,(D270*F270/G270))</f>
        <v>465.5</v>
      </c>
    </row>
    <row r="271" spans="1:9" ht="19.5" customHeight="1">
      <c r="A271" s="1019"/>
      <c r="B271" s="1020"/>
      <c r="C271" s="792" t="s">
        <v>693</v>
      </c>
      <c r="D271" s="1047">
        <f>$E$5</f>
        <v>0</v>
      </c>
      <c r="E271" s="1008"/>
      <c r="F271" s="986">
        <f>$G$208</f>
        <v>284.7</v>
      </c>
      <c r="G271" s="1023">
        <v>1</v>
      </c>
      <c r="H271" s="991" t="str">
        <f>IF(E271="","",IF(E271="No.","Each",IF(E271="Nos.","Each",E271)))</f>
        <v/>
      </c>
      <c r="I271" s="986">
        <f>IF(G271="",D271*F271,(D271*F271/G271))</f>
        <v>0</v>
      </c>
    </row>
    <row r="272" spans="1:9" ht="19.5" customHeight="1">
      <c r="A272" s="1019"/>
      <c r="B272" s="1020"/>
      <c r="C272" s="1117" t="s">
        <v>690</v>
      </c>
      <c r="D272" s="1005"/>
      <c r="E272" s="1008"/>
      <c r="F272" s="986"/>
      <c r="G272" s="1023"/>
      <c r="H272" s="991"/>
      <c r="I272" s="986"/>
    </row>
    <row r="273" spans="1:9" ht="19.5" customHeight="1">
      <c r="A273" s="1019"/>
      <c r="B273" s="1020"/>
      <c r="C273" s="792" t="s">
        <v>395</v>
      </c>
      <c r="D273" s="1021">
        <v>0.1</v>
      </c>
      <c r="E273" s="1008" t="s">
        <v>499</v>
      </c>
      <c r="F273" s="986">
        <f>$F$9</f>
        <v>545</v>
      </c>
      <c r="G273" s="1023">
        <v>1</v>
      </c>
      <c r="H273" s="991" t="str">
        <f>IF(E273="","",IF(E273="No.","Each",IF(E273="Nos.","Each",E273)))</f>
        <v>Each</v>
      </c>
      <c r="I273" s="986">
        <f>IF(G273="",D273*F273,(D273*F273/G273))</f>
        <v>54.5</v>
      </c>
    </row>
    <row r="274" spans="1:9" ht="19.5" customHeight="1">
      <c r="A274" s="1019"/>
      <c r="B274" s="1020"/>
      <c r="C274" s="792" t="s">
        <v>559</v>
      </c>
      <c r="D274" s="1021">
        <v>1.39</v>
      </c>
      <c r="E274" s="1008" t="s">
        <v>499</v>
      </c>
      <c r="F274" s="986">
        <f>$F$22</f>
        <v>490</v>
      </c>
      <c r="G274" s="1023">
        <v>1</v>
      </c>
      <c r="H274" s="991" t="str">
        <f>IF(E274="","",IF(E274="No.","Each",IF(E274="Nos.","Each",E274)))</f>
        <v>Each</v>
      </c>
      <c r="I274" s="986">
        <f>IF(G274="",D274*F274,(D274*F274/G274))</f>
        <v>681.09999999999991</v>
      </c>
    </row>
    <row r="275" spans="1:9" ht="19.5" customHeight="1">
      <c r="A275" s="1019"/>
      <c r="B275" s="1020"/>
      <c r="C275" s="1124" t="s">
        <v>1014</v>
      </c>
      <c r="D275" s="1010">
        <f>SUM(I264:I274)</f>
        <v>3537.2797999999993</v>
      </c>
      <c r="E275" s="1025" t="s">
        <v>529</v>
      </c>
      <c r="F275" s="1026">
        <f>$D$3</f>
        <v>0</v>
      </c>
      <c r="G275" s="1027">
        <v>1</v>
      </c>
      <c r="H275" s="1011" t="s">
        <v>529</v>
      </c>
      <c r="I275" s="1012">
        <f>IF(G275="",D275*F275,(D275*F275/G275))</f>
        <v>0</v>
      </c>
    </row>
    <row r="276" spans="1:9" ht="21" customHeight="1">
      <c r="A276" s="1019"/>
      <c r="B276" s="1020"/>
      <c r="C276" s="980" t="s">
        <v>517</v>
      </c>
      <c r="D276" s="1021"/>
      <c r="E276" s="1008"/>
      <c r="F276" s="986"/>
      <c r="G276" s="1023"/>
      <c r="H276" s="980" t="s">
        <v>466</v>
      </c>
      <c r="I276" s="1010">
        <f>CEILING(SUM(I265:I275),0.05)</f>
        <v>3537.3</v>
      </c>
    </row>
    <row r="277" spans="1:9" ht="121.5" customHeight="1">
      <c r="A277" s="1019">
        <f>A263+1</f>
        <v>6</v>
      </c>
      <c r="B277" s="1020"/>
      <c r="C277" s="1504" t="s">
        <v>2401</v>
      </c>
      <c r="D277" s="1504"/>
      <c r="E277" s="1504"/>
      <c r="F277" s="1504"/>
      <c r="G277" s="1504"/>
      <c r="H277" s="1504"/>
      <c r="I277" s="1504"/>
    </row>
    <row r="278" spans="1:9" ht="16.5" customHeight="1">
      <c r="A278" s="1019"/>
      <c r="B278" s="1020"/>
      <c r="C278" s="1117" t="s">
        <v>423</v>
      </c>
      <c r="D278" s="1021"/>
      <c r="E278" s="1008"/>
      <c r="F278" s="1003"/>
      <c r="G278" s="1023"/>
      <c r="H278" s="1116"/>
      <c r="I278" s="1003"/>
    </row>
    <row r="279" spans="1:9" ht="16.5" customHeight="1">
      <c r="A279" s="1019"/>
      <c r="B279" s="1020"/>
      <c r="C279" s="792" t="s">
        <v>518</v>
      </c>
      <c r="D279" s="1005">
        <v>0.9</v>
      </c>
      <c r="E279" s="1008" t="s">
        <v>529</v>
      </c>
      <c r="F279" s="986">
        <f>LEAD!P15</f>
        <v>1247.6699999999998</v>
      </c>
      <c r="G279" s="1023">
        <v>1</v>
      </c>
      <c r="H279" s="991" t="str">
        <f t="shared" ref="H279:H288" si="28">IF(E279="","",IF(E279="No.","Each",IF(E279="Nos.","Each",E279)))</f>
        <v>cu.m.</v>
      </c>
      <c r="I279" s="986">
        <f t="shared" ref="I279:I288" si="29">IF(G279="",D279*F279,(D279*F279/G279))</f>
        <v>1122.9029999999998</v>
      </c>
    </row>
    <row r="280" spans="1:9" ht="16.5" customHeight="1">
      <c r="A280" s="1019"/>
      <c r="B280" s="1020"/>
      <c r="C280" s="792" t="s">
        <v>519</v>
      </c>
      <c r="D280" s="1005">
        <f>0.45</f>
        <v>0.45</v>
      </c>
      <c r="E280" s="1008" t="s">
        <v>529</v>
      </c>
      <c r="F280" s="986">
        <f>LEAD!P7</f>
        <v>437.11999999999983</v>
      </c>
      <c r="G280" s="1023">
        <v>1</v>
      </c>
      <c r="H280" s="991" t="str">
        <f t="shared" si="28"/>
        <v>cu.m.</v>
      </c>
      <c r="I280" s="986">
        <f t="shared" si="29"/>
        <v>196.70399999999992</v>
      </c>
    </row>
    <row r="281" spans="1:9" ht="16.5" customHeight="1">
      <c r="A281" s="1019"/>
      <c r="B281" s="1020"/>
      <c r="C281" s="792" t="s">
        <v>235</v>
      </c>
      <c r="D281" s="1005">
        <v>162</v>
      </c>
      <c r="E281" s="1008" t="s">
        <v>700</v>
      </c>
      <c r="F281" s="986">
        <f>LEAD!P28</f>
        <v>7168</v>
      </c>
      <c r="G281" s="1023">
        <v>1000</v>
      </c>
      <c r="H281" s="991" t="str">
        <f t="shared" si="28"/>
        <v>Kgs.</v>
      </c>
      <c r="I281" s="986">
        <f t="shared" si="29"/>
        <v>1161.2159999999999</v>
      </c>
    </row>
    <row r="282" spans="1:9" ht="16.5" customHeight="1">
      <c r="A282" s="1019"/>
      <c r="B282" s="1020"/>
      <c r="C282" s="792" t="s">
        <v>420</v>
      </c>
      <c r="D282" s="1005">
        <v>1.2</v>
      </c>
      <c r="E282" s="1008" t="s">
        <v>421</v>
      </c>
      <c r="F282" s="986">
        <f>LEAD!$P$27</f>
        <v>73</v>
      </c>
      <c r="G282" s="1023">
        <v>1</v>
      </c>
      <c r="H282" s="991" t="str">
        <f>IF(E282="","",IF(E282="No.","Each",IF(E282="Nos.","Each",E282)))</f>
        <v>KL</v>
      </c>
      <c r="I282" s="986">
        <f>IF(G282="",D282*F282,(D282*F282/G282))</f>
        <v>87.6</v>
      </c>
    </row>
    <row r="283" spans="1:9" ht="16.5" customHeight="1">
      <c r="A283" s="1019"/>
      <c r="B283" s="1020"/>
      <c r="C283" s="1117" t="s">
        <v>424</v>
      </c>
      <c r="D283" s="1005"/>
      <c r="E283" s="1008"/>
      <c r="F283" s="986"/>
      <c r="G283" s="1023"/>
      <c r="H283" s="991"/>
      <c r="I283" s="986"/>
    </row>
    <row r="284" spans="1:9" ht="16.5" customHeight="1">
      <c r="A284" s="1019"/>
      <c r="B284" s="1020"/>
      <c r="C284" s="792" t="s">
        <v>691</v>
      </c>
      <c r="D284" s="1005">
        <v>1</v>
      </c>
      <c r="E284" s="1008" t="s">
        <v>692</v>
      </c>
      <c r="F284" s="986">
        <f>$H$208</f>
        <v>465.5</v>
      </c>
      <c r="G284" s="1023">
        <v>1</v>
      </c>
      <c r="H284" s="991" t="str">
        <f>IF(E284="","",IF(E284="No.","Each",IF(E284="Nos.","Each",E284)))</f>
        <v>Hour</v>
      </c>
      <c r="I284" s="986">
        <f>IF(G284="",D284*F284,(D284*F284/G284))</f>
        <v>465.5</v>
      </c>
    </row>
    <row r="285" spans="1:9" ht="16.5" customHeight="1">
      <c r="A285" s="1019"/>
      <c r="B285" s="1020"/>
      <c r="C285" s="792" t="s">
        <v>693</v>
      </c>
      <c r="D285" s="1047">
        <f>$E$5</f>
        <v>0</v>
      </c>
      <c r="E285" s="1008"/>
      <c r="F285" s="986">
        <f>$G$208</f>
        <v>284.7</v>
      </c>
      <c r="G285" s="1023">
        <v>1</v>
      </c>
      <c r="H285" s="991" t="str">
        <f>IF(E285="","",IF(E285="No.","Each",IF(E285="Nos.","Each",E285)))</f>
        <v/>
      </c>
      <c r="I285" s="986">
        <f>IF(G285="",D285*F285,(D285*F285/G285))</f>
        <v>0</v>
      </c>
    </row>
    <row r="286" spans="1:9" ht="16.5" customHeight="1">
      <c r="A286" s="1019"/>
      <c r="B286" s="1020"/>
      <c r="C286" s="1117" t="s">
        <v>690</v>
      </c>
      <c r="D286" s="1047"/>
      <c r="E286" s="1008"/>
      <c r="F286" s="986"/>
      <c r="G286" s="1023"/>
      <c r="H286" s="991"/>
      <c r="I286" s="986"/>
    </row>
    <row r="287" spans="1:9" ht="16.5" customHeight="1">
      <c r="A287" s="1019"/>
      <c r="B287" s="1020"/>
      <c r="C287" s="792" t="s">
        <v>395</v>
      </c>
      <c r="D287" s="1021">
        <v>0.1</v>
      </c>
      <c r="E287" s="1008" t="s">
        <v>529</v>
      </c>
      <c r="F287" s="986">
        <f>$F$9</f>
        <v>545</v>
      </c>
      <c r="G287" s="1023">
        <v>1</v>
      </c>
      <c r="H287" s="991" t="str">
        <f t="shared" si="28"/>
        <v>cu.m.</v>
      </c>
      <c r="I287" s="986">
        <f t="shared" si="29"/>
        <v>54.5</v>
      </c>
    </row>
    <row r="288" spans="1:9" ht="16.5" customHeight="1">
      <c r="A288" s="1019"/>
      <c r="B288" s="1020"/>
      <c r="C288" s="792" t="s">
        <v>559</v>
      </c>
      <c r="D288" s="1021">
        <v>1.39</v>
      </c>
      <c r="E288" s="1008" t="s">
        <v>499</v>
      </c>
      <c r="F288" s="986">
        <f>$F$22</f>
        <v>490</v>
      </c>
      <c r="G288" s="1023">
        <v>1</v>
      </c>
      <c r="H288" s="991" t="str">
        <f t="shared" si="28"/>
        <v>Each</v>
      </c>
      <c r="I288" s="986">
        <f t="shared" si="29"/>
        <v>681.09999999999991</v>
      </c>
    </row>
    <row r="289" spans="1:9" ht="16.5" customHeight="1">
      <c r="A289" s="1019"/>
      <c r="B289" s="1020"/>
      <c r="C289" s="1124" t="s">
        <v>1014</v>
      </c>
      <c r="D289" s="985">
        <f>SUM(I279:I288)</f>
        <v>3769.5229999999992</v>
      </c>
      <c r="E289" s="1008" t="s">
        <v>529</v>
      </c>
      <c r="F289" s="1026">
        <f>$D$3</f>
        <v>0</v>
      </c>
      <c r="G289" s="1023">
        <v>1</v>
      </c>
      <c r="H289" s="991" t="s">
        <v>529</v>
      </c>
      <c r="I289" s="986">
        <f>IF(G289="",D289*F289,(D289*F289/G289))</f>
        <v>0</v>
      </c>
    </row>
    <row r="290" spans="1:9" ht="16.5" customHeight="1">
      <c r="A290" s="1019"/>
      <c r="B290" s="1020"/>
      <c r="C290" s="980" t="s">
        <v>517</v>
      </c>
      <c r="D290" s="1021"/>
      <c r="E290" s="1008"/>
      <c r="F290" s="986"/>
      <c r="G290" s="1023"/>
      <c r="H290" s="980" t="s">
        <v>466</v>
      </c>
      <c r="I290" s="1010">
        <f>CEILING(SUM(I279:I289),0.05)</f>
        <v>3769.55</v>
      </c>
    </row>
    <row r="291" spans="1:9" ht="12.75" hidden="1" customHeight="1">
      <c r="A291" s="1019">
        <f>A277+1</f>
        <v>7</v>
      </c>
      <c r="B291" s="1020">
        <f>B277+1</f>
        <v>1</v>
      </c>
      <c r="C291" s="1504" t="s">
        <v>2291</v>
      </c>
      <c r="D291" s="1504"/>
      <c r="E291" s="1504"/>
      <c r="F291" s="1504"/>
      <c r="G291" s="1504"/>
      <c r="H291" s="1504"/>
      <c r="I291" s="1504"/>
    </row>
    <row r="292" spans="1:9" ht="12.75" hidden="1" customHeight="1">
      <c r="A292" s="1019"/>
      <c r="B292" s="1020"/>
      <c r="C292" s="1117" t="s">
        <v>609</v>
      </c>
      <c r="D292" s="1021"/>
      <c r="E292" s="1008"/>
      <c r="F292" s="1003"/>
      <c r="G292" s="1023"/>
      <c r="H292" s="1116"/>
      <c r="I292" s="1003"/>
    </row>
    <row r="293" spans="1:9" ht="12.75" hidden="1" customHeight="1">
      <c r="A293" s="1019"/>
      <c r="B293" s="1020"/>
      <c r="C293" s="792" t="s">
        <v>427</v>
      </c>
      <c r="D293" s="1005">
        <v>0.9</v>
      </c>
      <c r="E293" s="1008" t="s">
        <v>529</v>
      </c>
      <c r="F293" s="986">
        <f>I205</f>
        <v>1601.6699999999998</v>
      </c>
      <c r="G293" s="1023">
        <v>1</v>
      </c>
      <c r="H293" s="991" t="str">
        <f t="shared" ref="H293:H302" si="30">IF(E293="","",IF(E293="No.","Each",IF(E293="Nos.","Each",E293)))</f>
        <v>cu.m.</v>
      </c>
      <c r="I293" s="986">
        <f t="shared" ref="I293:I302" si="31">IF(G293="",D293*F293,(D293*F293/G293))</f>
        <v>1441.5029999999999</v>
      </c>
    </row>
    <row r="294" spans="1:9" ht="12.75" hidden="1" customHeight="1">
      <c r="A294" s="1019"/>
      <c r="B294" s="1020"/>
      <c r="C294" s="792" t="s">
        <v>519</v>
      </c>
      <c r="D294" s="1005">
        <f>0.45</f>
        <v>0.45</v>
      </c>
      <c r="E294" s="1008" t="s">
        <v>529</v>
      </c>
      <c r="F294" s="986">
        <f>LEAD!P7</f>
        <v>437.11999999999983</v>
      </c>
      <c r="G294" s="1023">
        <v>1</v>
      </c>
      <c r="H294" s="991" t="str">
        <f t="shared" si="30"/>
        <v>cu.m.</v>
      </c>
      <c r="I294" s="986">
        <f t="shared" si="31"/>
        <v>196.70399999999992</v>
      </c>
    </row>
    <row r="295" spans="1:9" ht="12.75" hidden="1" customHeight="1">
      <c r="A295" s="1019"/>
      <c r="B295" s="1020"/>
      <c r="C295" s="792" t="s">
        <v>235</v>
      </c>
      <c r="D295" s="1005">
        <v>129.6</v>
      </c>
      <c r="E295" s="1008" t="s">
        <v>700</v>
      </c>
      <c r="F295" s="986">
        <f>LEAD!P28</f>
        <v>7168</v>
      </c>
      <c r="G295" s="1023">
        <v>1000</v>
      </c>
      <c r="H295" s="991" t="str">
        <f t="shared" si="30"/>
        <v>Kgs.</v>
      </c>
      <c r="I295" s="986">
        <f t="shared" si="31"/>
        <v>928.97279999999989</v>
      </c>
    </row>
    <row r="296" spans="1:9" ht="12.75" hidden="1" customHeight="1">
      <c r="A296" s="1019"/>
      <c r="B296" s="1020"/>
      <c r="C296" s="792" t="s">
        <v>420</v>
      </c>
      <c r="D296" s="1005">
        <v>1.2</v>
      </c>
      <c r="E296" s="1008" t="s">
        <v>421</v>
      </c>
      <c r="F296" s="986">
        <f>LEAD!$P$27</f>
        <v>73</v>
      </c>
      <c r="G296" s="1023">
        <v>1</v>
      </c>
      <c r="H296" s="991" t="str">
        <f>IF(E296="","",IF(E296="No.","Each",IF(E296="Nos.","Each",E296)))</f>
        <v>KL</v>
      </c>
      <c r="I296" s="986">
        <f>IF(G296="",D296*F296,(D296*F296/G296))</f>
        <v>87.6</v>
      </c>
    </row>
    <row r="297" spans="1:9" ht="12.75" hidden="1" customHeight="1">
      <c r="A297" s="1019"/>
      <c r="B297" s="1020"/>
      <c r="C297" s="1117" t="s">
        <v>424</v>
      </c>
      <c r="D297" s="1005"/>
      <c r="E297" s="1008"/>
      <c r="F297" s="986"/>
      <c r="G297" s="1023"/>
      <c r="H297" s="991"/>
      <c r="I297" s="986"/>
    </row>
    <row r="298" spans="1:9" ht="12.75" hidden="1" customHeight="1">
      <c r="A298" s="1019"/>
      <c r="B298" s="1020"/>
      <c r="C298" s="792" t="s">
        <v>691</v>
      </c>
      <c r="D298" s="1005">
        <v>1</v>
      </c>
      <c r="E298" s="1008" t="s">
        <v>692</v>
      </c>
      <c r="F298" s="986">
        <f>$H$208</f>
        <v>465.5</v>
      </c>
      <c r="G298" s="1023">
        <v>1</v>
      </c>
      <c r="H298" s="991" t="str">
        <f>IF(E298="","",IF(E298="No.","Each",IF(E298="Nos.","Each",E298)))</f>
        <v>Hour</v>
      </c>
      <c r="I298" s="986">
        <f>IF(G298="",D298*F298,(D298*F298/G298))</f>
        <v>465.5</v>
      </c>
    </row>
    <row r="299" spans="1:9" ht="12.75" hidden="1" customHeight="1">
      <c r="A299" s="1019"/>
      <c r="B299" s="1020"/>
      <c r="C299" s="792" t="s">
        <v>693</v>
      </c>
      <c r="D299" s="1047">
        <f>$E$5</f>
        <v>0</v>
      </c>
      <c r="E299" s="1008"/>
      <c r="F299" s="986">
        <f>$G$208</f>
        <v>284.7</v>
      </c>
      <c r="G299" s="1023">
        <v>1</v>
      </c>
      <c r="H299" s="991" t="str">
        <f>IF(E299="","",IF(E299="No.","Each",IF(E299="Nos.","Each",E299)))</f>
        <v/>
      </c>
      <c r="I299" s="986">
        <f>IF(G299="",D299*F299,(D299*F299/G299))</f>
        <v>0</v>
      </c>
    </row>
    <row r="300" spans="1:9" ht="12.75" hidden="1" customHeight="1">
      <c r="A300" s="1019"/>
      <c r="B300" s="1020"/>
      <c r="C300" s="1117" t="s">
        <v>690</v>
      </c>
      <c r="D300" s="1047"/>
      <c r="E300" s="1008"/>
      <c r="F300" s="986"/>
      <c r="G300" s="1023"/>
      <c r="H300" s="991"/>
      <c r="I300" s="986"/>
    </row>
    <row r="301" spans="1:9" ht="12.75" hidden="1" customHeight="1">
      <c r="A301" s="1019"/>
      <c r="B301" s="1020"/>
      <c r="C301" s="792" t="s">
        <v>395</v>
      </c>
      <c r="D301" s="1021">
        <v>0.1</v>
      </c>
      <c r="E301" s="1008" t="s">
        <v>529</v>
      </c>
      <c r="F301" s="986">
        <f>$F$9</f>
        <v>545</v>
      </c>
      <c r="G301" s="1023">
        <v>1</v>
      </c>
      <c r="H301" s="991" t="str">
        <f t="shared" si="30"/>
        <v>cu.m.</v>
      </c>
      <c r="I301" s="986">
        <f t="shared" si="31"/>
        <v>54.5</v>
      </c>
    </row>
    <row r="302" spans="1:9" ht="12.75" hidden="1" customHeight="1">
      <c r="A302" s="1019"/>
      <c r="B302" s="1020"/>
      <c r="C302" s="792" t="s">
        <v>559</v>
      </c>
      <c r="D302" s="1021">
        <v>1.39</v>
      </c>
      <c r="E302" s="1008" t="s">
        <v>499</v>
      </c>
      <c r="F302" s="986">
        <f>$F$22</f>
        <v>490</v>
      </c>
      <c r="G302" s="1023">
        <v>1</v>
      </c>
      <c r="H302" s="991" t="str">
        <f t="shared" si="30"/>
        <v>Each</v>
      </c>
      <c r="I302" s="986">
        <f t="shared" si="31"/>
        <v>681.09999999999991</v>
      </c>
    </row>
    <row r="303" spans="1:9" ht="12.75" hidden="1" customHeight="1">
      <c r="A303" s="1019"/>
      <c r="B303" s="1020"/>
      <c r="C303" s="1115"/>
      <c r="D303" s="985"/>
      <c r="E303" s="1008"/>
      <c r="F303" s="985"/>
      <c r="G303" s="1023"/>
      <c r="H303" s="991"/>
      <c r="I303" s="986"/>
    </row>
    <row r="304" spans="1:9" ht="12.75" hidden="1" customHeight="1">
      <c r="A304" s="1019"/>
      <c r="B304" s="1020"/>
      <c r="C304" s="1024"/>
      <c r="D304" s="1008"/>
      <c r="E304" s="1008"/>
      <c r="F304" s="985"/>
      <c r="G304" s="1024"/>
      <c r="H304" s="1011" t="s">
        <v>466</v>
      </c>
      <c r="I304" s="1012">
        <f>SUM(I293:I303)</f>
        <v>3855.8797999999997</v>
      </c>
    </row>
    <row r="305" spans="1:10" ht="12.75" hidden="1" customHeight="1">
      <c r="A305" s="1019"/>
      <c r="B305" s="1020"/>
      <c r="C305" s="1117" t="s">
        <v>428</v>
      </c>
      <c r="E305" s="1131" t="s">
        <v>501</v>
      </c>
      <c r="F305" s="1048" t="s">
        <v>502</v>
      </c>
      <c r="G305" s="1131" t="s">
        <v>503</v>
      </c>
      <c r="H305" s="1048" t="s">
        <v>709</v>
      </c>
      <c r="I305" s="1048" t="s">
        <v>502</v>
      </c>
      <c r="J305" s="1048" t="s">
        <v>502</v>
      </c>
    </row>
    <row r="306" spans="1:10" ht="12.75" hidden="1" customHeight="1">
      <c r="A306" s="1019"/>
      <c r="B306" s="1020"/>
      <c r="C306" s="792" t="s">
        <v>589</v>
      </c>
      <c r="E306" s="986">
        <f>I304</f>
        <v>3855.8797999999997</v>
      </c>
      <c r="F306" s="986">
        <f>I304</f>
        <v>3855.8797999999997</v>
      </c>
      <c r="G306" s="986">
        <f>I304</f>
        <v>3855.8797999999997</v>
      </c>
      <c r="H306" s="986">
        <f>I304</f>
        <v>3855.8797999999997</v>
      </c>
      <c r="I306" s="986">
        <f>I304</f>
        <v>3855.8797999999997</v>
      </c>
      <c r="J306" s="986">
        <f>I304</f>
        <v>3855.8797999999997</v>
      </c>
    </row>
    <row r="307" spans="1:10" ht="12.75" hidden="1" customHeight="1">
      <c r="A307" s="1019"/>
      <c r="B307" s="1020"/>
      <c r="C307" s="792" t="s">
        <v>580</v>
      </c>
      <c r="E307" s="986">
        <f>F36</f>
        <v>250</v>
      </c>
      <c r="F307" s="986">
        <f>F36</f>
        <v>250</v>
      </c>
      <c r="G307" s="986">
        <f>F36</f>
        <v>250</v>
      </c>
      <c r="H307" s="986">
        <f>F36</f>
        <v>250</v>
      </c>
      <c r="I307" s="986">
        <f>F36</f>
        <v>250</v>
      </c>
      <c r="J307" s="986">
        <f t="shared" ref="J307" si="32">$F$56</f>
        <v>375</v>
      </c>
    </row>
    <row r="308" spans="1:10" ht="12.75" hidden="1" customHeight="1">
      <c r="A308" s="1019"/>
      <c r="B308" s="1020"/>
      <c r="C308" s="792" t="s">
        <v>581</v>
      </c>
      <c r="E308" s="986">
        <f>$H$36</f>
        <v>1965</v>
      </c>
      <c r="F308" s="986">
        <f>K36</f>
        <v>2161.5</v>
      </c>
      <c r="G308" s="986">
        <f>$M$36</f>
        <v>2358</v>
      </c>
      <c r="H308" s="986">
        <f>$O$36</f>
        <v>2554.5</v>
      </c>
      <c r="I308" s="986">
        <f>$Q$36</f>
        <v>2751</v>
      </c>
      <c r="J308" s="986">
        <f>$S$56</f>
        <v>3867</v>
      </c>
    </row>
    <row r="309" spans="1:10" ht="12.75" hidden="1" customHeight="1">
      <c r="A309" s="1019"/>
      <c r="B309" s="1020"/>
      <c r="C309" s="792" t="s">
        <v>417</v>
      </c>
      <c r="D309" s="1049">
        <f>$E$5</f>
        <v>0</v>
      </c>
      <c r="E309" s="986">
        <f t="shared" ref="E309:J309" si="33">ROUND($D$463*E308,2)</f>
        <v>0</v>
      </c>
      <c r="F309" s="986">
        <f t="shared" si="33"/>
        <v>0</v>
      </c>
      <c r="G309" s="986">
        <f t="shared" si="33"/>
        <v>0</v>
      </c>
      <c r="H309" s="986">
        <f t="shared" si="33"/>
        <v>0</v>
      </c>
      <c r="I309" s="986">
        <f t="shared" si="33"/>
        <v>0</v>
      </c>
      <c r="J309" s="986">
        <f t="shared" si="33"/>
        <v>0</v>
      </c>
    </row>
    <row r="310" spans="1:10" ht="12.75" hidden="1" customHeight="1">
      <c r="A310" s="1019"/>
      <c r="B310" s="1020"/>
      <c r="C310" s="792" t="s">
        <v>590</v>
      </c>
      <c r="E310" s="986">
        <v>0</v>
      </c>
      <c r="F310" s="986">
        <f>0.1*($I$301+$I$302)</f>
        <v>73.559999999999988</v>
      </c>
      <c r="G310" s="986">
        <f>0.2*($I$301+$I$302)</f>
        <v>147.11999999999998</v>
      </c>
      <c r="H310" s="986">
        <f>0.3*($I$301+$I$302)</f>
        <v>220.67999999999998</v>
      </c>
      <c r="I310" s="986">
        <f>0.4*($I$301+$I$302)</f>
        <v>294.23999999999995</v>
      </c>
      <c r="J310" s="986">
        <f>0.5*($I$301+$I$302)</f>
        <v>367.79999999999995</v>
      </c>
    </row>
    <row r="311" spans="1:10" ht="12.75" hidden="1" customHeight="1">
      <c r="A311" s="1019"/>
      <c r="B311" s="1020"/>
      <c r="E311" s="986">
        <f>SUM(E306:E310)</f>
        <v>6070.8797999999997</v>
      </c>
      <c r="F311" s="986">
        <f t="shared" ref="F311:J311" si="34">SUM(F306:F310)</f>
        <v>6340.9398000000001</v>
      </c>
      <c r="G311" s="986">
        <f t="shared" si="34"/>
        <v>6610.9997999999996</v>
      </c>
      <c r="H311" s="986">
        <f t="shared" si="34"/>
        <v>6881.0598</v>
      </c>
      <c r="I311" s="986">
        <f t="shared" si="34"/>
        <v>7151.1197999999995</v>
      </c>
      <c r="J311" s="986">
        <f t="shared" si="34"/>
        <v>8465.6797999999999</v>
      </c>
    </row>
    <row r="312" spans="1:10" ht="12.75" hidden="1" customHeight="1">
      <c r="A312" s="1019"/>
      <c r="B312" s="1020"/>
      <c r="C312" s="1124" t="s">
        <v>1014</v>
      </c>
      <c r="D312" s="1026">
        <f>$D$3</f>
        <v>0</v>
      </c>
      <c r="E312" s="986">
        <f t="shared" ref="E312:J312" si="35">ROUND(E311*$D$312,2)</f>
        <v>0</v>
      </c>
      <c r="F312" s="986">
        <f t="shared" si="35"/>
        <v>0</v>
      </c>
      <c r="G312" s="986">
        <f t="shared" si="35"/>
        <v>0</v>
      </c>
      <c r="H312" s="986">
        <f t="shared" si="35"/>
        <v>0</v>
      </c>
      <c r="I312" s="986">
        <f t="shared" si="35"/>
        <v>0</v>
      </c>
      <c r="J312" s="986">
        <f t="shared" si="35"/>
        <v>0</v>
      </c>
    </row>
    <row r="313" spans="1:10" ht="12.75" hidden="1" customHeight="1">
      <c r="A313" s="1019"/>
      <c r="B313" s="1020"/>
      <c r="C313" s="980" t="s">
        <v>539</v>
      </c>
      <c r="D313" s="980" t="s">
        <v>466</v>
      </c>
      <c r="E313" s="1012">
        <f>CEILING(SUM(E311:E312),0.05)</f>
        <v>6070.9000000000005</v>
      </c>
      <c r="F313" s="1012">
        <f t="shared" ref="F313:J313" si="36">CEILING(SUM(F311:F312),0.05)</f>
        <v>6340.9500000000007</v>
      </c>
      <c r="G313" s="1012">
        <f t="shared" si="36"/>
        <v>6611</v>
      </c>
      <c r="H313" s="1012">
        <f t="shared" si="36"/>
        <v>6881.1</v>
      </c>
      <c r="I313" s="1012">
        <f t="shared" si="36"/>
        <v>7151.1500000000005</v>
      </c>
      <c r="J313" s="1012">
        <f t="shared" si="36"/>
        <v>8465.7000000000007</v>
      </c>
    </row>
    <row r="314" spans="1:10" ht="111.75" customHeight="1">
      <c r="A314" s="1019">
        <f>+A291+1</f>
        <v>8</v>
      </c>
      <c r="B314" s="1020"/>
      <c r="C314" s="1504" t="s">
        <v>2402</v>
      </c>
      <c r="D314" s="1504"/>
      <c r="E314" s="1504"/>
      <c r="F314" s="1504"/>
      <c r="G314" s="1504"/>
      <c r="H314" s="1504"/>
      <c r="I314" s="1504"/>
    </row>
    <row r="315" spans="1:10">
      <c r="A315" s="1019"/>
      <c r="B315" s="1020"/>
      <c r="C315" s="1117" t="s">
        <v>557</v>
      </c>
      <c r="D315" s="1021"/>
      <c r="E315" s="1008"/>
      <c r="F315" s="1003"/>
      <c r="G315" s="1023"/>
      <c r="H315" s="1116"/>
      <c r="I315" s="1003"/>
    </row>
    <row r="316" spans="1:10">
      <c r="A316" s="1019"/>
      <c r="B316" s="1020"/>
      <c r="C316" s="792" t="s">
        <v>591</v>
      </c>
      <c r="D316" s="1005">
        <v>0.9</v>
      </c>
      <c r="E316" s="1008" t="s">
        <v>529</v>
      </c>
      <c r="F316" s="986">
        <f>I205</f>
        <v>1601.6699999999998</v>
      </c>
      <c r="G316" s="1023">
        <v>1</v>
      </c>
      <c r="H316" s="991" t="str">
        <f>IF(E316="","",IF(E316="No.","Each",IF(E316="Nos.","Each",E316)))</f>
        <v>cu.m.</v>
      </c>
      <c r="I316" s="986">
        <f>IF(G316="",D316*F316,(D316*F316/G316))</f>
        <v>1441.5029999999999</v>
      </c>
    </row>
    <row r="317" spans="1:10">
      <c r="A317" s="1019"/>
      <c r="B317" s="1020"/>
      <c r="C317" s="792" t="s">
        <v>519</v>
      </c>
      <c r="D317" s="1005">
        <f>0.45</f>
        <v>0.45</v>
      </c>
      <c r="E317" s="1008" t="s">
        <v>529</v>
      </c>
      <c r="F317" s="986">
        <f>F280</f>
        <v>437.11999999999983</v>
      </c>
      <c r="G317" s="1023">
        <v>1</v>
      </c>
      <c r="H317" s="991" t="str">
        <f>IF(E317="","",IF(E317="No.","Each",IF(E317="Nos.","Each",E317)))</f>
        <v>cu.m.</v>
      </c>
      <c r="I317" s="986">
        <f t="shared" ref="I317:I325" si="37">IF(G317="",D317*F317,(D317*F317/G317))</f>
        <v>196.70399999999992</v>
      </c>
    </row>
    <row r="318" spans="1:10">
      <c r="A318" s="1019"/>
      <c r="B318" s="1020"/>
      <c r="C318" s="792" t="s">
        <v>592</v>
      </c>
      <c r="D318" s="1005">
        <v>220</v>
      </c>
      <c r="E318" s="1008" t="s">
        <v>700</v>
      </c>
      <c r="F318" s="986">
        <f>F281</f>
        <v>7168</v>
      </c>
      <c r="G318" s="1023">
        <v>1000</v>
      </c>
      <c r="H318" s="991" t="str">
        <f>IF(E318="","",IF(E318="No.","Each",IF(E318="Nos.","Each",E318)))</f>
        <v>Kgs.</v>
      </c>
      <c r="I318" s="986">
        <f t="shared" si="37"/>
        <v>1576.96</v>
      </c>
    </row>
    <row r="319" spans="1:10">
      <c r="A319" s="1019"/>
      <c r="B319" s="1020"/>
      <c r="C319" s="792" t="s">
        <v>420</v>
      </c>
      <c r="D319" s="1005">
        <v>1.2</v>
      </c>
      <c r="E319" s="1008" t="s">
        <v>421</v>
      </c>
      <c r="F319" s="986">
        <f>LEAD!$P$27</f>
        <v>73</v>
      </c>
      <c r="G319" s="1023">
        <v>1</v>
      </c>
      <c r="H319" s="991" t="str">
        <f>IF(E319="","",IF(E319="No.","Each",IF(E319="Nos.","Each",E319)))</f>
        <v>KL</v>
      </c>
      <c r="I319" s="986">
        <f>IF(G319="",D319*F319,(D319*F319/G319))</f>
        <v>87.6</v>
      </c>
    </row>
    <row r="320" spans="1:10">
      <c r="A320" s="1019"/>
      <c r="B320" s="1020"/>
      <c r="C320" s="1117" t="s">
        <v>424</v>
      </c>
      <c r="D320" s="1005"/>
      <c r="E320" s="1008"/>
      <c r="F320" s="986"/>
      <c r="G320" s="1023"/>
      <c r="H320" s="991"/>
      <c r="I320" s="986"/>
    </row>
    <row r="321" spans="1:10">
      <c r="A321" s="1019"/>
      <c r="B321" s="1020"/>
      <c r="C321" s="792" t="s">
        <v>691</v>
      </c>
      <c r="D321" s="1005">
        <v>1</v>
      </c>
      <c r="E321" s="1008" t="s">
        <v>692</v>
      </c>
      <c r="F321" s="986">
        <f>$H$208</f>
        <v>465.5</v>
      </c>
      <c r="G321" s="1023">
        <v>1</v>
      </c>
      <c r="H321" s="991" t="str">
        <f>IF(E321="","",IF(E321="No.","Each",IF(E321="Nos.","Each",E321)))</f>
        <v>Hour</v>
      </c>
      <c r="I321" s="986">
        <f>IF(G321="",D321*F321,(D321*F321/G321))</f>
        <v>465.5</v>
      </c>
    </row>
    <row r="322" spans="1:10">
      <c r="A322" s="1019"/>
      <c r="B322" s="1020"/>
      <c r="C322" s="792" t="s">
        <v>693</v>
      </c>
      <c r="D322" s="1047">
        <f>$E$5</f>
        <v>0</v>
      </c>
      <c r="E322" s="1008"/>
      <c r="F322" s="986">
        <f>$G$208</f>
        <v>284.7</v>
      </c>
      <c r="G322" s="1023">
        <v>1</v>
      </c>
      <c r="H322" s="991" t="str">
        <f>IF(E322="","",IF(E322="No.","Each",IF(E322="Nos.","Each",E322)))</f>
        <v/>
      </c>
      <c r="I322" s="986">
        <f>IF(G322="",D322*F322,(D322*F322/G322))</f>
        <v>0</v>
      </c>
    </row>
    <row r="323" spans="1:10">
      <c r="A323" s="1019"/>
      <c r="B323" s="1020"/>
      <c r="C323" s="1117" t="s">
        <v>690</v>
      </c>
      <c r="D323" s="1047"/>
      <c r="E323" s="1008"/>
      <c r="F323" s="986"/>
      <c r="G323" s="1023"/>
      <c r="H323" s="991"/>
      <c r="I323" s="986"/>
    </row>
    <row r="324" spans="1:10">
      <c r="A324" s="1019"/>
      <c r="B324" s="1020"/>
      <c r="C324" s="792" t="s">
        <v>395</v>
      </c>
      <c r="D324" s="1021">
        <v>0.1</v>
      </c>
      <c r="E324" s="1008" t="s">
        <v>529</v>
      </c>
      <c r="F324" s="986">
        <f>$F$9</f>
        <v>545</v>
      </c>
      <c r="G324" s="1023">
        <v>1</v>
      </c>
      <c r="H324" s="991" t="s">
        <v>268</v>
      </c>
      <c r="I324" s="986">
        <f t="shared" si="37"/>
        <v>54.5</v>
      </c>
    </row>
    <row r="325" spans="1:10">
      <c r="A325" s="1019"/>
      <c r="B325" s="1020"/>
      <c r="C325" s="792" t="s">
        <v>559</v>
      </c>
      <c r="D325" s="1021">
        <v>1.39</v>
      </c>
      <c r="E325" s="1008" t="s">
        <v>499</v>
      </c>
      <c r="F325" s="986">
        <f>$F$22</f>
        <v>490</v>
      </c>
      <c r="G325" s="1023">
        <v>1</v>
      </c>
      <c r="H325" s="991" t="str">
        <f>IF(E325="","",IF(E325="No.","Each",IF(E325="Nos.","Each",E325)))</f>
        <v>Each</v>
      </c>
      <c r="I325" s="986">
        <f t="shared" si="37"/>
        <v>681.09999999999991</v>
      </c>
    </row>
    <row r="326" spans="1:10">
      <c r="A326" s="1019"/>
      <c r="B326" s="1020"/>
      <c r="C326" s="980" t="s">
        <v>593</v>
      </c>
      <c r="D326" s="1021"/>
      <c r="E326" s="1022"/>
      <c r="F326" s="1003"/>
      <c r="G326" s="1023"/>
      <c r="H326" s="1118" t="s">
        <v>466</v>
      </c>
      <c r="I326" s="1012">
        <f>SUM(I316:I325)</f>
        <v>4503.8670000000002</v>
      </c>
    </row>
    <row r="327" spans="1:10">
      <c r="A327" s="1019"/>
      <c r="B327" s="1020"/>
      <c r="C327" s="1117" t="s">
        <v>428</v>
      </c>
      <c r="E327" s="1131" t="s">
        <v>501</v>
      </c>
      <c r="F327" s="1048" t="s">
        <v>502</v>
      </c>
      <c r="G327" s="1131" t="s">
        <v>503</v>
      </c>
      <c r="H327" s="1048" t="s">
        <v>709</v>
      </c>
      <c r="I327" s="1048" t="s">
        <v>502</v>
      </c>
      <c r="J327" s="1048" t="s">
        <v>502</v>
      </c>
    </row>
    <row r="328" spans="1:10">
      <c r="A328" s="1019"/>
      <c r="B328" s="1020"/>
      <c r="C328" s="792" t="s">
        <v>283</v>
      </c>
      <c r="E328" s="986">
        <f>I326</f>
        <v>4503.8670000000002</v>
      </c>
      <c r="F328" s="986">
        <f>I326</f>
        <v>4503.8670000000002</v>
      </c>
      <c r="G328" s="986">
        <f>I326</f>
        <v>4503.8670000000002</v>
      </c>
      <c r="H328" s="986">
        <f>I326</f>
        <v>4503.8670000000002</v>
      </c>
      <c r="I328" s="986">
        <f>H328</f>
        <v>4503.8670000000002</v>
      </c>
      <c r="J328" s="986">
        <f>I328</f>
        <v>4503.8670000000002</v>
      </c>
    </row>
    <row r="329" spans="1:10">
      <c r="A329" s="1019"/>
      <c r="B329" s="1020"/>
      <c r="C329" s="792" t="s">
        <v>580</v>
      </c>
      <c r="E329" s="986">
        <f t="shared" ref="E329:J329" si="38">$F$51</f>
        <v>67</v>
      </c>
      <c r="F329" s="986">
        <f t="shared" si="38"/>
        <v>67</v>
      </c>
      <c r="G329" s="986">
        <f t="shared" si="38"/>
        <v>67</v>
      </c>
      <c r="H329" s="986">
        <f t="shared" si="38"/>
        <v>67</v>
      </c>
      <c r="I329" s="986">
        <f t="shared" si="38"/>
        <v>67</v>
      </c>
      <c r="J329" s="986">
        <f t="shared" si="38"/>
        <v>67</v>
      </c>
    </row>
    <row r="330" spans="1:10">
      <c r="A330" s="1019"/>
      <c r="B330" s="1020"/>
      <c r="C330" s="792" t="s">
        <v>581</v>
      </c>
      <c r="E330" s="986">
        <f>$H$51</f>
        <v>370</v>
      </c>
      <c r="F330" s="986">
        <f>E330*1.1</f>
        <v>407.00000000000006</v>
      </c>
      <c r="G330" s="986">
        <f>E330*1.2</f>
        <v>444</v>
      </c>
      <c r="H330" s="986">
        <f>E330*1.3</f>
        <v>481</v>
      </c>
      <c r="I330" s="986">
        <f>E330*1.4</f>
        <v>518</v>
      </c>
      <c r="J330" s="986">
        <f>E330*1.5</f>
        <v>555</v>
      </c>
    </row>
    <row r="331" spans="1:10">
      <c r="A331" s="1019"/>
      <c r="B331" s="1020"/>
      <c r="C331" s="792" t="s">
        <v>417</v>
      </c>
      <c r="D331" s="1049">
        <f>$E$5</f>
        <v>0</v>
      </c>
      <c r="E331" s="986">
        <f t="shared" ref="E331:J331" si="39">ROUND($D$463*E330,2)</f>
        <v>0</v>
      </c>
      <c r="F331" s="986">
        <f t="shared" si="39"/>
        <v>0</v>
      </c>
      <c r="G331" s="986">
        <f t="shared" si="39"/>
        <v>0</v>
      </c>
      <c r="H331" s="986">
        <f t="shared" si="39"/>
        <v>0</v>
      </c>
      <c r="I331" s="986">
        <f t="shared" si="39"/>
        <v>0</v>
      </c>
      <c r="J331" s="986">
        <f t="shared" si="39"/>
        <v>0</v>
      </c>
    </row>
    <row r="332" spans="1:10">
      <c r="A332" s="1019"/>
      <c r="B332" s="1020"/>
      <c r="C332" s="792" t="s">
        <v>590</v>
      </c>
      <c r="E332" s="986">
        <v>0</v>
      </c>
      <c r="F332" s="986">
        <f>ROUND(0.1*($I$324+$I$325),2)</f>
        <v>73.56</v>
      </c>
      <c r="G332" s="986">
        <f>ROUND(0.2*($I$324+$I$325),2)</f>
        <v>147.12</v>
      </c>
      <c r="H332" s="986">
        <f>ROUND(0.3*($I$324+$I$325),2)</f>
        <v>220.68</v>
      </c>
      <c r="I332" s="986">
        <f>ROUND(0.4*($I$324+$I$325),2)</f>
        <v>294.24</v>
      </c>
      <c r="J332" s="986">
        <f>ROUND(0.5*($I$324+$I$325),2)</f>
        <v>367.8</v>
      </c>
    </row>
    <row r="333" spans="1:10">
      <c r="A333" s="1019"/>
      <c r="B333" s="1020"/>
      <c r="E333" s="986">
        <f t="shared" ref="E333:J333" si="40">SUM(E328:E332)</f>
        <v>4940.8670000000002</v>
      </c>
      <c r="F333" s="986">
        <f t="shared" si="40"/>
        <v>5051.4270000000006</v>
      </c>
      <c r="G333" s="986">
        <f t="shared" si="40"/>
        <v>5161.9870000000001</v>
      </c>
      <c r="H333" s="986">
        <f t="shared" si="40"/>
        <v>5272.5470000000005</v>
      </c>
      <c r="I333" s="986">
        <f t="shared" si="40"/>
        <v>5383.107</v>
      </c>
      <c r="J333" s="986">
        <f t="shared" si="40"/>
        <v>5493.6670000000004</v>
      </c>
    </row>
    <row r="334" spans="1:10">
      <c r="A334" s="1019"/>
      <c r="B334" s="1020"/>
      <c r="C334" s="1124" t="s">
        <v>1014</v>
      </c>
      <c r="D334" s="1026">
        <f>$D$3</f>
        <v>0</v>
      </c>
      <c r="E334" s="986">
        <f t="shared" ref="E334:J334" si="41">ROUND(E333*$D$312,2)</f>
        <v>0</v>
      </c>
      <c r="F334" s="986">
        <f t="shared" si="41"/>
        <v>0</v>
      </c>
      <c r="G334" s="986">
        <f t="shared" si="41"/>
        <v>0</v>
      </c>
      <c r="H334" s="986">
        <f t="shared" si="41"/>
        <v>0</v>
      </c>
      <c r="I334" s="986">
        <f t="shared" si="41"/>
        <v>0</v>
      </c>
      <c r="J334" s="986">
        <f t="shared" si="41"/>
        <v>0</v>
      </c>
    </row>
    <row r="335" spans="1:10">
      <c r="A335" s="1019"/>
      <c r="B335" s="1020"/>
      <c r="C335" s="980" t="s">
        <v>539</v>
      </c>
      <c r="D335" s="980" t="s">
        <v>466</v>
      </c>
      <c r="E335" s="1012">
        <f t="shared" ref="E335:J335" si="42">CEILING(SUM(E333:E334),0.05)</f>
        <v>4940.9000000000005</v>
      </c>
      <c r="F335" s="1012">
        <f t="shared" si="42"/>
        <v>5051.4500000000007</v>
      </c>
      <c r="G335" s="1012">
        <f t="shared" si="42"/>
        <v>5162</v>
      </c>
      <c r="H335" s="1012">
        <f t="shared" si="42"/>
        <v>5272.55</v>
      </c>
      <c r="I335" s="1012">
        <f t="shared" si="42"/>
        <v>5383.1500000000005</v>
      </c>
      <c r="J335" s="1012">
        <f t="shared" si="42"/>
        <v>5493.7000000000007</v>
      </c>
    </row>
    <row r="336" spans="1:10" ht="84.75" customHeight="1">
      <c r="A336" s="1019">
        <f>A314+1</f>
        <v>9</v>
      </c>
      <c r="B336" s="1020"/>
      <c r="C336" s="1502" t="s">
        <v>2292</v>
      </c>
      <c r="D336" s="1502"/>
      <c r="E336" s="1502"/>
      <c r="F336" s="1502"/>
      <c r="G336" s="1502"/>
      <c r="H336" s="1502"/>
      <c r="I336" s="1502"/>
    </row>
    <row r="337" spans="1:10">
      <c r="A337" s="1019"/>
      <c r="B337" s="1020"/>
      <c r="C337" s="1117" t="s">
        <v>557</v>
      </c>
      <c r="D337" s="1021"/>
      <c r="E337" s="1008"/>
      <c r="F337" s="1003"/>
      <c r="G337" s="1023"/>
      <c r="H337" s="1116"/>
      <c r="I337" s="1003"/>
    </row>
    <row r="338" spans="1:10">
      <c r="A338" s="1019"/>
      <c r="B338" s="1020"/>
      <c r="C338" s="792" t="s">
        <v>284</v>
      </c>
      <c r="D338" s="1005">
        <v>0.9</v>
      </c>
      <c r="E338" s="1008" t="s">
        <v>529</v>
      </c>
      <c r="F338" s="986">
        <f>I205</f>
        <v>1601.6699999999998</v>
      </c>
      <c r="G338" s="1023">
        <v>1</v>
      </c>
      <c r="H338" s="991" t="str">
        <f t="shared" ref="H338:H347" si="43">IF(E338="","",IF(E338="No.","Each",IF(E338="Nos.","Each",E338)))</f>
        <v>cu.m.</v>
      </c>
      <c r="I338" s="986">
        <f t="shared" ref="I338:I347" si="44">IF(G338="",D338*F338,(D338*F338/G338))</f>
        <v>1441.5029999999999</v>
      </c>
    </row>
    <row r="339" spans="1:10">
      <c r="A339" s="1019"/>
      <c r="B339" s="1020"/>
      <c r="C339" s="792" t="s">
        <v>519</v>
      </c>
      <c r="D339" s="1005">
        <v>0.45</v>
      </c>
      <c r="E339" s="1008" t="s">
        <v>529</v>
      </c>
      <c r="F339" s="986">
        <f>LEAD!P7</f>
        <v>437.11999999999983</v>
      </c>
      <c r="G339" s="1023">
        <v>1</v>
      </c>
      <c r="H339" s="991" t="str">
        <f t="shared" si="43"/>
        <v>cu.m.</v>
      </c>
      <c r="I339" s="986">
        <f t="shared" si="44"/>
        <v>196.70399999999992</v>
      </c>
    </row>
    <row r="340" spans="1:10">
      <c r="A340" s="1019"/>
      <c r="B340" s="1020"/>
      <c r="C340" s="792" t="s">
        <v>592</v>
      </c>
      <c r="D340" s="1005">
        <v>331.2</v>
      </c>
      <c r="E340" s="1008" t="s">
        <v>700</v>
      </c>
      <c r="F340" s="986">
        <f>LEAD!P28</f>
        <v>7168</v>
      </c>
      <c r="G340" s="1023">
        <v>1000</v>
      </c>
      <c r="H340" s="991" t="str">
        <f t="shared" si="43"/>
        <v>Kgs.</v>
      </c>
      <c r="I340" s="986">
        <f t="shared" si="44"/>
        <v>2374.0416</v>
      </c>
    </row>
    <row r="341" spans="1:10">
      <c r="A341" s="1019"/>
      <c r="B341" s="1020"/>
      <c r="C341" s="792" t="s">
        <v>420</v>
      </c>
      <c r="D341" s="1005">
        <v>1.2</v>
      </c>
      <c r="E341" s="1008" t="s">
        <v>421</v>
      </c>
      <c r="F341" s="986">
        <f>LEAD!$P$27</f>
        <v>73</v>
      </c>
      <c r="G341" s="1023">
        <v>1</v>
      </c>
      <c r="H341" s="991" t="str">
        <f>IF(E341="","",IF(E341="No.","Each",IF(E341="Nos.","Each",E341)))</f>
        <v>KL</v>
      </c>
      <c r="I341" s="986">
        <f>IF(G341="",D341*F341,(D341*F341/G341))</f>
        <v>87.6</v>
      </c>
    </row>
    <row r="342" spans="1:10">
      <c r="A342" s="1019"/>
      <c r="B342" s="1020"/>
      <c r="C342" s="1117" t="s">
        <v>424</v>
      </c>
      <c r="D342" s="1005"/>
      <c r="E342" s="1008"/>
      <c r="F342" s="986"/>
      <c r="G342" s="1023"/>
      <c r="H342" s="991"/>
      <c r="I342" s="986"/>
    </row>
    <row r="343" spans="1:10">
      <c r="A343" s="1019"/>
      <c r="B343" s="1020"/>
      <c r="C343" s="792" t="s">
        <v>691</v>
      </c>
      <c r="D343" s="1005">
        <v>1</v>
      </c>
      <c r="E343" s="1008" t="s">
        <v>692</v>
      </c>
      <c r="F343" s="986">
        <f>$H$208</f>
        <v>465.5</v>
      </c>
      <c r="G343" s="1023">
        <v>1</v>
      </c>
      <c r="H343" s="991" t="str">
        <f>IF(E343="","",IF(E343="No.","Each",IF(E343="Nos.","Each",E343)))</f>
        <v>Hour</v>
      </c>
      <c r="I343" s="986">
        <f>IF(G343="",D343*F343,(D343*F343/G343))</f>
        <v>465.5</v>
      </c>
    </row>
    <row r="344" spans="1:10">
      <c r="A344" s="1019"/>
      <c r="B344" s="1020"/>
      <c r="C344" s="792" t="s">
        <v>693</v>
      </c>
      <c r="D344" s="1047">
        <f>$E$5</f>
        <v>0</v>
      </c>
      <c r="E344" s="1008"/>
      <c r="F344" s="986">
        <f>$G$208</f>
        <v>284.7</v>
      </c>
      <c r="G344" s="1023">
        <v>1</v>
      </c>
      <c r="H344" s="991" t="str">
        <f>IF(E344="","",IF(E344="No.","Each",IF(E344="Nos.","Each",E344)))</f>
        <v/>
      </c>
      <c r="I344" s="986">
        <f>IF(G344="",D344*F344,(D344*F344/G344))</f>
        <v>0</v>
      </c>
    </row>
    <row r="345" spans="1:10">
      <c r="A345" s="1019"/>
      <c r="B345" s="1020"/>
      <c r="C345" s="1117" t="s">
        <v>690</v>
      </c>
      <c r="D345" s="1047"/>
      <c r="E345" s="1008"/>
      <c r="F345" s="986"/>
      <c r="G345" s="1023"/>
      <c r="H345" s="991"/>
      <c r="I345" s="986"/>
    </row>
    <row r="346" spans="1:10">
      <c r="A346" s="1019"/>
      <c r="B346" s="1020"/>
      <c r="C346" s="792" t="s">
        <v>395</v>
      </c>
      <c r="D346" s="1021">
        <v>0.1</v>
      </c>
      <c r="E346" s="1008" t="s">
        <v>529</v>
      </c>
      <c r="F346" s="986">
        <f>$F$9</f>
        <v>545</v>
      </c>
      <c r="G346" s="1023">
        <v>1</v>
      </c>
      <c r="H346" s="991" t="str">
        <f t="shared" si="43"/>
        <v>cu.m.</v>
      </c>
      <c r="I346" s="986">
        <f t="shared" si="44"/>
        <v>54.5</v>
      </c>
    </row>
    <row r="347" spans="1:10">
      <c r="A347" s="1019"/>
      <c r="B347" s="1020"/>
      <c r="C347" s="792" t="s">
        <v>238</v>
      </c>
      <c r="D347" s="1021">
        <v>1.39</v>
      </c>
      <c r="E347" s="1008" t="s">
        <v>499</v>
      </c>
      <c r="F347" s="986">
        <f>$F$22</f>
        <v>490</v>
      </c>
      <c r="G347" s="1023">
        <v>1</v>
      </c>
      <c r="H347" s="991" t="str">
        <f t="shared" si="43"/>
        <v>Each</v>
      </c>
      <c r="I347" s="986">
        <f t="shared" si="44"/>
        <v>681.09999999999991</v>
      </c>
    </row>
    <row r="348" spans="1:10">
      <c r="A348" s="1019"/>
      <c r="B348" s="1020"/>
      <c r="C348" s="980" t="s">
        <v>593</v>
      </c>
      <c r="D348" s="1021"/>
      <c r="E348" s="1022"/>
      <c r="F348" s="1003"/>
      <c r="G348" s="1023"/>
      <c r="H348" s="1118" t="s">
        <v>466</v>
      </c>
      <c r="I348" s="1012">
        <f>SUM(I338:I347)</f>
        <v>5300.9485999999997</v>
      </c>
    </row>
    <row r="349" spans="1:10">
      <c r="A349" s="1019"/>
      <c r="B349" s="1020"/>
      <c r="C349" s="1117" t="s">
        <v>428</v>
      </c>
      <c r="E349" s="1131" t="s">
        <v>501</v>
      </c>
      <c r="F349" s="1048" t="s">
        <v>502</v>
      </c>
      <c r="G349" s="1131" t="s">
        <v>503</v>
      </c>
      <c r="H349" s="1048" t="s">
        <v>709</v>
      </c>
      <c r="I349" s="1048" t="s">
        <v>502</v>
      </c>
    </row>
    <row r="350" spans="1:10">
      <c r="A350" s="1019"/>
      <c r="B350" s="1020"/>
      <c r="C350" s="792" t="s">
        <v>374</v>
      </c>
      <c r="E350" s="986">
        <f>I348</f>
        <v>5300.9485999999997</v>
      </c>
      <c r="F350" s="986">
        <f>I348</f>
        <v>5300.9485999999997</v>
      </c>
      <c r="G350" s="986">
        <f>I348</f>
        <v>5300.9485999999997</v>
      </c>
      <c r="H350" s="986">
        <f>I348</f>
        <v>5300.9485999999997</v>
      </c>
      <c r="I350" s="986">
        <f>H350</f>
        <v>5300.9485999999997</v>
      </c>
      <c r="J350" s="979">
        <f>I348*D356</f>
        <v>0</v>
      </c>
    </row>
    <row r="351" spans="1:10">
      <c r="A351" s="1019"/>
      <c r="B351" s="1020"/>
      <c r="C351" s="792" t="s">
        <v>580</v>
      </c>
      <c r="E351" s="986">
        <f>$F$51</f>
        <v>67</v>
      </c>
      <c r="F351" s="986">
        <f>$F$51</f>
        <v>67</v>
      </c>
      <c r="G351" s="986">
        <f>$F$51</f>
        <v>67</v>
      </c>
      <c r="H351" s="986">
        <f>$F$51</f>
        <v>67</v>
      </c>
      <c r="I351" s="986">
        <f>$F$51</f>
        <v>67</v>
      </c>
      <c r="J351" s="997">
        <f>I348+J350</f>
        <v>5300.9485999999997</v>
      </c>
    </row>
    <row r="352" spans="1:10">
      <c r="A352" s="1019"/>
      <c r="B352" s="1020"/>
      <c r="C352" s="792" t="s">
        <v>581</v>
      </c>
      <c r="E352" s="986">
        <f>$H$51</f>
        <v>370</v>
      </c>
      <c r="F352" s="986">
        <f>E352*1.1</f>
        <v>407.00000000000006</v>
      </c>
      <c r="G352" s="986">
        <f>E352*1.2</f>
        <v>444</v>
      </c>
      <c r="H352" s="986">
        <f>E352*1.3</f>
        <v>481</v>
      </c>
      <c r="I352" s="986">
        <f>E352*1.4</f>
        <v>518</v>
      </c>
    </row>
    <row r="353" spans="1:9">
      <c r="A353" s="1019"/>
      <c r="B353" s="1020"/>
      <c r="C353" s="792" t="s">
        <v>417</v>
      </c>
      <c r="D353" s="1049">
        <f>$E$5</f>
        <v>0</v>
      </c>
      <c r="E353" s="986">
        <f>ROUND($D$463*E352,2)</f>
        <v>0</v>
      </c>
      <c r="F353" s="986">
        <f>ROUND($D$463*F352,2)</f>
        <v>0</v>
      </c>
      <c r="G353" s="986">
        <f>ROUND($D$463*G352,2)</f>
        <v>0</v>
      </c>
      <c r="H353" s="986">
        <f>ROUND($D$463*H352,2)</f>
        <v>0</v>
      </c>
      <c r="I353" s="986">
        <f>ROUND($D$463*I352,2)</f>
        <v>0</v>
      </c>
    </row>
    <row r="354" spans="1:9">
      <c r="A354" s="1019"/>
      <c r="B354" s="1020"/>
      <c r="C354" s="792" t="s">
        <v>590</v>
      </c>
      <c r="E354" s="986">
        <v>0</v>
      </c>
      <c r="F354" s="986">
        <f>ROUND(0.1*($I$346+$I$347),2)</f>
        <v>73.56</v>
      </c>
      <c r="G354" s="986">
        <f>ROUND(0.2*($I$346+$I$347),2)</f>
        <v>147.12</v>
      </c>
      <c r="H354" s="986">
        <f>ROUND(0.3*($I$346+$I$347),2)</f>
        <v>220.68</v>
      </c>
      <c r="I354" s="986">
        <f>ROUND(0.4*($I$346+$I$347),2)</f>
        <v>294.24</v>
      </c>
    </row>
    <row r="355" spans="1:9">
      <c r="A355" s="1019"/>
      <c r="B355" s="1020"/>
      <c r="E355" s="986">
        <f>SUM(E350:E354)</f>
        <v>5737.9485999999997</v>
      </c>
      <c r="F355" s="986">
        <f>SUM(F350:F354)</f>
        <v>5848.5086000000001</v>
      </c>
      <c r="G355" s="986">
        <f>SUM(G350:G354)</f>
        <v>5959.0685999999996</v>
      </c>
      <c r="H355" s="986">
        <f>SUM(H350:H354)</f>
        <v>6069.6286</v>
      </c>
      <c r="I355" s="986">
        <f>SUM(I350:I354)</f>
        <v>6180.1885999999995</v>
      </c>
    </row>
    <row r="356" spans="1:9">
      <c r="A356" s="1019"/>
      <c r="B356" s="1020"/>
      <c r="C356" s="1124" t="s">
        <v>1014</v>
      </c>
      <c r="D356" s="1026">
        <f>$D$3</f>
        <v>0</v>
      </c>
      <c r="E356" s="986">
        <f>ROUND(E355*$D$312,2)</f>
        <v>0</v>
      </c>
      <c r="F356" s="986">
        <f>ROUND(F355*$D$312,2)</f>
        <v>0</v>
      </c>
      <c r="G356" s="986">
        <f>ROUND(G355*$D$312,2)</f>
        <v>0</v>
      </c>
      <c r="H356" s="986">
        <f>ROUND(H355*$D$312,2)</f>
        <v>0</v>
      </c>
      <c r="I356" s="986">
        <f>ROUND(I355*$D$312,2)</f>
        <v>0</v>
      </c>
    </row>
    <row r="357" spans="1:9">
      <c r="A357" s="1019"/>
      <c r="B357" s="1020"/>
      <c r="C357" s="980" t="s">
        <v>539</v>
      </c>
      <c r="D357" s="980" t="s">
        <v>466</v>
      </c>
      <c r="E357" s="1012">
        <f>CEILING(SUM(E355:E356),0.05)</f>
        <v>5737.9500000000007</v>
      </c>
      <c r="F357" s="1012">
        <f>CEILING(SUM(F355:F356),0.05)</f>
        <v>5848.55</v>
      </c>
      <c r="G357" s="1012">
        <f>CEILING(SUM(G355:G356),0.05)</f>
        <v>5959.1</v>
      </c>
      <c r="H357" s="1012">
        <f>CEILING(SUM(H355:H356),0.05)</f>
        <v>6069.6500000000005</v>
      </c>
      <c r="I357" s="1012">
        <f>CEILING(SUM(I355:I356),0.05)</f>
        <v>6180.2000000000007</v>
      </c>
    </row>
    <row r="358" spans="1:9" ht="12.75" customHeight="1">
      <c r="A358" s="1019">
        <f>A336+1</f>
        <v>10</v>
      </c>
      <c r="B358" s="1020"/>
      <c r="C358" s="1499" t="s">
        <v>1193</v>
      </c>
      <c r="D358" s="1499"/>
      <c r="E358" s="1499"/>
      <c r="F358" s="1499"/>
      <c r="G358" s="1499"/>
      <c r="H358" s="1499"/>
      <c r="I358" s="1499"/>
    </row>
    <row r="359" spans="1:9" ht="12.75" customHeight="1">
      <c r="A359" s="1019"/>
      <c r="B359" s="1020"/>
      <c r="C359" s="1117" t="s">
        <v>557</v>
      </c>
      <c r="D359" s="1021"/>
      <c r="E359" s="1008"/>
      <c r="F359" s="1003"/>
      <c r="G359" s="1023"/>
      <c r="H359" s="1116"/>
      <c r="I359" s="1003"/>
    </row>
    <row r="360" spans="1:9" ht="12.75" customHeight="1">
      <c r="A360" s="1019"/>
      <c r="B360" s="1020"/>
      <c r="C360" s="792" t="s">
        <v>284</v>
      </c>
      <c r="D360" s="1005">
        <v>0.8</v>
      </c>
      <c r="E360" s="1008" t="s">
        <v>529</v>
      </c>
      <c r="F360" s="986">
        <f>I205</f>
        <v>1601.6699999999998</v>
      </c>
      <c r="G360" s="1023">
        <v>1</v>
      </c>
      <c r="H360" s="991" t="str">
        <f t="shared" ref="H360:H370" si="45">IF(E360="","",IF(E360="No.","Each",IF(E360="Nos.","Each",E360)))</f>
        <v>cu.m.</v>
      </c>
      <c r="I360" s="986">
        <f t="shared" ref="I360:I370" si="46">IF(G360="",D360*F360,(D360*F360/G360))</f>
        <v>1281.336</v>
      </c>
    </row>
    <row r="361" spans="1:9" ht="12.75" customHeight="1">
      <c r="A361" s="1019"/>
      <c r="B361" s="1020"/>
      <c r="C361" s="792" t="s">
        <v>519</v>
      </c>
      <c r="D361" s="1005">
        <f>0.4</f>
        <v>0.4</v>
      </c>
      <c r="E361" s="1008" t="s">
        <v>529</v>
      </c>
      <c r="F361" s="986">
        <f>LEAD!P7</f>
        <v>437.11999999999983</v>
      </c>
      <c r="G361" s="1023">
        <v>1</v>
      </c>
      <c r="H361" s="991" t="str">
        <f t="shared" si="45"/>
        <v>cu.m.</v>
      </c>
      <c r="I361" s="986">
        <f t="shared" si="46"/>
        <v>174.84799999999996</v>
      </c>
    </row>
    <row r="362" spans="1:9" ht="12.75" customHeight="1">
      <c r="A362" s="1019"/>
      <c r="B362" s="1020"/>
      <c r="C362" s="792" t="s">
        <v>235</v>
      </c>
      <c r="D362" s="1005">
        <v>350</v>
      </c>
      <c r="E362" s="1008" t="s">
        <v>462</v>
      </c>
      <c r="F362" s="986">
        <f>LEAD!P28</f>
        <v>7168</v>
      </c>
      <c r="G362" s="1023">
        <v>1000</v>
      </c>
      <c r="H362" s="991" t="str">
        <f t="shared" si="45"/>
        <v>kgs</v>
      </c>
      <c r="I362" s="986">
        <f t="shared" si="46"/>
        <v>2508.8000000000002</v>
      </c>
    </row>
    <row r="363" spans="1:9" ht="12.75" customHeight="1">
      <c r="A363" s="1019"/>
      <c r="B363" s="1020"/>
      <c r="C363" s="792" t="s">
        <v>420</v>
      </c>
      <c r="D363" s="1005">
        <v>1.2</v>
      </c>
      <c r="E363" s="1008" t="s">
        <v>421</v>
      </c>
      <c r="F363" s="986">
        <f>LEAD!$P$27</f>
        <v>73</v>
      </c>
      <c r="G363" s="1023">
        <v>1</v>
      </c>
      <c r="H363" s="991" t="str">
        <f>IF(E363="","",IF(E363="No.","Each",IF(E363="Nos.","Each",E363)))</f>
        <v>KL</v>
      </c>
      <c r="I363" s="986">
        <f>IF(G363="",D363*F363,(D363*F363/G363))</f>
        <v>87.6</v>
      </c>
    </row>
    <row r="364" spans="1:9" ht="12.75" customHeight="1">
      <c r="A364" s="1019"/>
      <c r="B364" s="1020"/>
      <c r="C364" s="1117" t="s">
        <v>424</v>
      </c>
      <c r="D364" s="1005"/>
      <c r="E364" s="1008"/>
      <c r="F364" s="986"/>
      <c r="G364" s="1023"/>
      <c r="H364" s="991"/>
      <c r="I364" s="986"/>
    </row>
    <row r="365" spans="1:9" ht="12.75" customHeight="1">
      <c r="A365" s="1019"/>
      <c r="B365" s="1020"/>
      <c r="C365" s="792" t="s">
        <v>321</v>
      </c>
      <c r="D365" s="1005">
        <v>1.333</v>
      </c>
      <c r="E365" s="1008" t="s">
        <v>692</v>
      </c>
      <c r="F365" s="986">
        <f>$H$209</f>
        <v>675.7</v>
      </c>
      <c r="G365" s="1023">
        <v>1</v>
      </c>
      <c r="H365" s="991" t="str">
        <f>IF(E365="","",IF(E365="No.","Each",IF(E365="Nos.","Each",E365)))</f>
        <v>Hour</v>
      </c>
      <c r="I365" s="986">
        <f>IF(G365="",D365*F365,(D365*F365/G365))</f>
        <v>900.70810000000006</v>
      </c>
    </row>
    <row r="366" spans="1:9" ht="12.75" customHeight="1">
      <c r="A366" s="1019"/>
      <c r="B366" s="1020"/>
      <c r="C366" s="792" t="s">
        <v>322</v>
      </c>
      <c r="D366" s="1005">
        <v>1.333</v>
      </c>
      <c r="E366" s="1008" t="s">
        <v>692</v>
      </c>
      <c r="F366" s="986">
        <f>$H$210</f>
        <v>237.5</v>
      </c>
      <c r="G366" s="1023">
        <v>1</v>
      </c>
      <c r="H366" s="991" t="str">
        <f>IF(E366="","",IF(E366="No.","Each",IF(E366="Nos.","Each",E366)))</f>
        <v>Hour</v>
      </c>
      <c r="I366" s="986">
        <f>IF(G366="",D366*F366,(D366*F366/G366))</f>
        <v>316.58749999999998</v>
      </c>
    </row>
    <row r="367" spans="1:9" ht="12.75" customHeight="1">
      <c r="A367" s="1019"/>
      <c r="B367" s="1020"/>
      <c r="C367" s="792" t="s">
        <v>239</v>
      </c>
      <c r="D367" s="1047">
        <f>$E$5</f>
        <v>0</v>
      </c>
      <c r="E367" s="1008"/>
      <c r="F367" s="986">
        <f>ROUND((D365*$G$209)+(D366*$G$210),2)</f>
        <v>841.92</v>
      </c>
      <c r="G367" s="1023">
        <v>1</v>
      </c>
      <c r="H367" s="991" t="str">
        <f>IF(E367="","",IF(E367="No.","Each",IF(E367="Nos.","Each",E367)))</f>
        <v/>
      </c>
      <c r="I367" s="986">
        <f>IF(G367="",D367*F367,(D367*F367/G367))</f>
        <v>0</v>
      </c>
    </row>
    <row r="368" spans="1:9" ht="12.75" customHeight="1">
      <c r="A368" s="1019"/>
      <c r="B368" s="1020"/>
      <c r="C368" s="1117" t="s">
        <v>690</v>
      </c>
      <c r="D368" s="1047"/>
      <c r="E368" s="1008"/>
      <c r="F368" s="986"/>
      <c r="G368" s="1023"/>
      <c r="H368" s="991"/>
      <c r="I368" s="986"/>
    </row>
    <row r="369" spans="1:9" ht="12.75" customHeight="1">
      <c r="A369" s="1019"/>
      <c r="B369" s="1020"/>
      <c r="C369" s="792" t="s">
        <v>375</v>
      </c>
      <c r="D369" s="1021">
        <v>0.1</v>
      </c>
      <c r="E369" s="1008" t="s">
        <v>499</v>
      </c>
      <c r="F369" s="986">
        <f>$F$9</f>
        <v>545</v>
      </c>
      <c r="G369" s="1023">
        <v>1</v>
      </c>
      <c r="H369" s="991" t="str">
        <f t="shared" si="45"/>
        <v>Each</v>
      </c>
      <c r="I369" s="986">
        <f t="shared" si="46"/>
        <v>54.5</v>
      </c>
    </row>
    <row r="370" spans="1:9" ht="12.75" customHeight="1">
      <c r="A370" s="1019"/>
      <c r="B370" s="1020"/>
      <c r="C370" s="792" t="s">
        <v>323</v>
      </c>
      <c r="D370" s="1021">
        <v>1.39</v>
      </c>
      <c r="E370" s="1008" t="s">
        <v>499</v>
      </c>
      <c r="F370" s="986">
        <f>$F$22</f>
        <v>490</v>
      </c>
      <c r="G370" s="1023">
        <v>1</v>
      </c>
      <c r="H370" s="991" t="str">
        <f t="shared" si="45"/>
        <v>Each</v>
      </c>
      <c r="I370" s="986">
        <f t="shared" si="46"/>
        <v>681.09999999999991</v>
      </c>
    </row>
    <row r="371" spans="1:9" ht="12.75" customHeight="1">
      <c r="A371" s="1019"/>
      <c r="B371" s="1020"/>
      <c r="C371" s="980" t="s">
        <v>593</v>
      </c>
      <c r="D371" s="1021"/>
      <c r="E371" s="1022"/>
      <c r="F371" s="1003"/>
      <c r="G371" s="1023"/>
      <c r="H371" s="1118"/>
      <c r="I371" s="1012">
        <f>SUM(I360:I370)</f>
        <v>6005.4796000000006</v>
      </c>
    </row>
    <row r="372" spans="1:9">
      <c r="A372" s="1019"/>
      <c r="B372" s="1020"/>
      <c r="C372" s="1117" t="s">
        <v>428</v>
      </c>
      <c r="E372" s="1131" t="s">
        <v>501</v>
      </c>
      <c r="F372" s="1048" t="s">
        <v>502</v>
      </c>
      <c r="G372" s="1131" t="s">
        <v>503</v>
      </c>
      <c r="H372" s="1048" t="s">
        <v>709</v>
      </c>
      <c r="I372" s="1048" t="s">
        <v>502</v>
      </c>
    </row>
    <row r="373" spans="1:9">
      <c r="A373" s="1019"/>
      <c r="B373" s="1020"/>
      <c r="C373" s="792" t="s">
        <v>376</v>
      </c>
      <c r="E373" s="986">
        <f>I371</f>
        <v>6005.4796000000006</v>
      </c>
      <c r="F373" s="986">
        <f>I371</f>
        <v>6005.4796000000006</v>
      </c>
      <c r="G373" s="986">
        <f>I371</f>
        <v>6005.4796000000006</v>
      </c>
      <c r="H373" s="986">
        <f>I371</f>
        <v>6005.4796000000006</v>
      </c>
      <c r="I373" s="986">
        <f>I371</f>
        <v>6005.4796000000006</v>
      </c>
    </row>
    <row r="374" spans="1:9">
      <c r="A374" s="1019"/>
      <c r="B374" s="1020"/>
      <c r="C374" s="792" t="s">
        <v>580</v>
      </c>
      <c r="E374" s="986">
        <f>$F$51</f>
        <v>67</v>
      </c>
      <c r="F374" s="986">
        <f>$F$51</f>
        <v>67</v>
      </c>
      <c r="G374" s="986">
        <f>$F$51</f>
        <v>67</v>
      </c>
      <c r="H374" s="986">
        <f>$F$51</f>
        <v>67</v>
      </c>
      <c r="I374" s="986">
        <f>$F$51</f>
        <v>67</v>
      </c>
    </row>
    <row r="375" spans="1:9">
      <c r="A375" s="1019"/>
      <c r="B375" s="1020"/>
      <c r="C375" s="792" t="s">
        <v>581</v>
      </c>
      <c r="E375" s="986">
        <f>$H$51</f>
        <v>370</v>
      </c>
      <c r="F375" s="986">
        <f>E375*1.1</f>
        <v>407.00000000000006</v>
      </c>
      <c r="G375" s="986">
        <f>E375*1.2</f>
        <v>444</v>
      </c>
      <c r="H375" s="986">
        <f>E375*1.3</f>
        <v>481</v>
      </c>
      <c r="I375" s="986">
        <f>E375*1.4</f>
        <v>518</v>
      </c>
    </row>
    <row r="376" spans="1:9">
      <c r="A376" s="1019"/>
      <c r="B376" s="1020"/>
      <c r="C376" s="792" t="s">
        <v>417</v>
      </c>
      <c r="D376" s="1049">
        <f>$E$5</f>
        <v>0</v>
      </c>
      <c r="E376" s="986">
        <f>ROUND($D$463*E375,2)</f>
        <v>0</v>
      </c>
      <c r="F376" s="986">
        <f>ROUND($D$463*F375,2)</f>
        <v>0</v>
      </c>
      <c r="G376" s="986">
        <f>ROUND($D$463*G375,2)</f>
        <v>0</v>
      </c>
      <c r="H376" s="986">
        <f>ROUND($D$463*H375,2)</f>
        <v>0</v>
      </c>
      <c r="I376" s="986">
        <f>ROUND($D$463*I375,2)</f>
        <v>0</v>
      </c>
    </row>
    <row r="377" spans="1:9">
      <c r="A377" s="1019"/>
      <c r="B377" s="1020"/>
      <c r="C377" s="792" t="s">
        <v>590</v>
      </c>
      <c r="E377" s="986">
        <v>0</v>
      </c>
      <c r="F377" s="986">
        <f>ROUND(0.1*(I369+I370),2)</f>
        <v>73.56</v>
      </c>
      <c r="G377" s="986">
        <f>ROUND(0.2*(I369+I370),2)</f>
        <v>147.12</v>
      </c>
      <c r="H377" s="986">
        <f>ROUND(0.3*(I369+I370),2)</f>
        <v>220.68</v>
      </c>
      <c r="I377" s="986">
        <f>ROUND(0.4*(I369+I370),2)</f>
        <v>294.24</v>
      </c>
    </row>
    <row r="378" spans="1:9">
      <c r="A378" s="1019"/>
      <c r="B378" s="1020"/>
      <c r="E378" s="986">
        <f>SUM(E373:E377)</f>
        <v>6442.4796000000006</v>
      </c>
      <c r="F378" s="986">
        <f>SUM(F373:F377)</f>
        <v>6553.039600000001</v>
      </c>
      <c r="G378" s="986">
        <f>SUM(G373:G377)</f>
        <v>6663.5996000000005</v>
      </c>
      <c r="H378" s="986">
        <f>SUM(H373:H377)</f>
        <v>6774.1596000000009</v>
      </c>
      <c r="I378" s="986">
        <f>SUM(I373:I377)</f>
        <v>6884.7196000000004</v>
      </c>
    </row>
    <row r="379" spans="1:9">
      <c r="A379" s="1019"/>
      <c r="B379" s="1020"/>
      <c r="C379" s="1124" t="s">
        <v>1014</v>
      </c>
      <c r="D379" s="1026">
        <f>$D$3</f>
        <v>0</v>
      </c>
      <c r="E379" s="986">
        <f>ROUND(E378*$D$312,2)</f>
        <v>0</v>
      </c>
      <c r="F379" s="986">
        <f>ROUND(F378*$D$312,2)</f>
        <v>0</v>
      </c>
      <c r="G379" s="986">
        <f>ROUND(G378*$D$312,2)</f>
        <v>0</v>
      </c>
      <c r="H379" s="986">
        <f>ROUND(H378*$D$312,2)</f>
        <v>0</v>
      </c>
      <c r="I379" s="986">
        <f>ROUND(I378*$D$312,2)</f>
        <v>0</v>
      </c>
    </row>
    <row r="380" spans="1:9">
      <c r="A380" s="1019"/>
      <c r="B380" s="1020"/>
      <c r="C380" s="980" t="s">
        <v>539</v>
      </c>
      <c r="D380" s="980" t="s">
        <v>466</v>
      </c>
      <c r="E380" s="1012">
        <f>CEILING(SUM(E378:E379),0.05)</f>
        <v>6442.5</v>
      </c>
      <c r="F380" s="1012">
        <f>CEILING(SUM(F378:F379),0.05)</f>
        <v>6553.05</v>
      </c>
      <c r="G380" s="1012">
        <f>CEILING(SUM(G378:G379),0.05)</f>
        <v>6663.6</v>
      </c>
      <c r="H380" s="1012">
        <f>CEILING(SUM(H378:H379),0.05)</f>
        <v>6774.2000000000007</v>
      </c>
      <c r="I380" s="1012">
        <f>CEILING(SUM(I378:I379),0.05)</f>
        <v>6884.75</v>
      </c>
    </row>
    <row r="381" spans="1:9">
      <c r="A381" s="1019"/>
      <c r="B381" s="1020"/>
      <c r="C381" s="980"/>
      <c r="D381" s="980"/>
      <c r="E381" s="1012"/>
      <c r="F381" s="1012"/>
      <c r="G381" s="1012"/>
      <c r="H381" s="1012"/>
    </row>
    <row r="382" spans="1:9" ht="12.75" customHeight="1">
      <c r="A382" s="1019"/>
      <c r="B382" s="1020"/>
      <c r="C382" s="980"/>
      <c r="D382" s="980"/>
      <c r="E382" s="1012"/>
      <c r="F382" s="1012"/>
      <c r="G382" s="1012"/>
      <c r="H382" s="1012"/>
    </row>
    <row r="383" spans="1:9" ht="69" customHeight="1">
      <c r="A383" s="1019">
        <f>A358+1</f>
        <v>11</v>
      </c>
      <c r="B383" s="1020"/>
      <c r="C383" s="1504" t="s">
        <v>2403</v>
      </c>
      <c r="D383" s="1504"/>
      <c r="E383" s="1504"/>
      <c r="F383" s="1504"/>
      <c r="G383" s="1504"/>
      <c r="H383" s="1504"/>
      <c r="I383" s="1504"/>
    </row>
    <row r="384" spans="1:9" ht="18" customHeight="1">
      <c r="A384" s="1048"/>
      <c r="B384" s="1020"/>
      <c r="C384" s="1115" t="s">
        <v>520</v>
      </c>
      <c r="D384" s="1021">
        <v>59.4</v>
      </c>
      <c r="E384" s="1003" t="s">
        <v>364</v>
      </c>
      <c r="F384" s="986">
        <f>LEAD!P28</f>
        <v>7168</v>
      </c>
      <c r="G384" s="1023">
        <v>1000</v>
      </c>
      <c r="H384" s="991" t="str">
        <f>IF(E384="","",IF(E384="No.","Each",IF(E384="Nos.","Each",E384)))</f>
        <v>Kgs</v>
      </c>
      <c r="I384" s="986">
        <f>IF(G384="",D384*F384,(D384*F384/G384))</f>
        <v>425.7792</v>
      </c>
    </row>
    <row r="385" spans="1:9" ht="18" customHeight="1">
      <c r="A385" s="1048"/>
      <c r="B385" s="1020"/>
      <c r="C385" s="792" t="s">
        <v>278</v>
      </c>
      <c r="D385" s="1021">
        <v>0.5</v>
      </c>
      <c r="E385" s="1003" t="s">
        <v>465</v>
      </c>
      <c r="F385" s="986">
        <f>LEAD!P11</f>
        <v>785.41999999999985</v>
      </c>
      <c r="G385" s="1023">
        <v>1</v>
      </c>
      <c r="H385" s="979" t="s">
        <v>465</v>
      </c>
      <c r="I385" s="986">
        <f t="shared" ref="I385:I390" si="47">IF(G385="",D385*F385,(D385*F385/G385))</f>
        <v>392.70999999999992</v>
      </c>
    </row>
    <row r="386" spans="1:9" ht="18" customHeight="1">
      <c r="A386" s="1048"/>
      <c r="B386" s="1020"/>
      <c r="C386" s="792" t="s">
        <v>522</v>
      </c>
      <c r="D386" s="1021">
        <v>0.44</v>
      </c>
      <c r="E386" s="1003" t="s">
        <v>465</v>
      </c>
      <c r="F386" s="986">
        <f>LEAD!P12</f>
        <v>795.41999999999985</v>
      </c>
      <c r="G386" s="1023">
        <v>1</v>
      </c>
      <c r="H386" s="979" t="s">
        <v>465</v>
      </c>
      <c r="I386" s="986">
        <f>IF(G386="",D386*F386,(D386*F386/G386))</f>
        <v>349.98479999999995</v>
      </c>
    </row>
    <row r="387" spans="1:9" ht="18" customHeight="1">
      <c r="A387" s="1048"/>
      <c r="B387" s="1020"/>
      <c r="C387" s="792" t="s">
        <v>2592</v>
      </c>
      <c r="D387" s="1021">
        <v>0.16</v>
      </c>
      <c r="E387" s="1003" t="s">
        <v>465</v>
      </c>
      <c r="F387" s="986">
        <f>LEAD!P14</f>
        <v>1754.7533333333329</v>
      </c>
      <c r="G387" s="1023">
        <v>1</v>
      </c>
      <c r="H387" s="979" t="s">
        <v>465</v>
      </c>
      <c r="I387" s="986">
        <f>IF(G387="",D387*F387,(D387*F387/G387))</f>
        <v>280.76053333333329</v>
      </c>
    </row>
    <row r="388" spans="1:9" ht="18" customHeight="1">
      <c r="A388" s="1048"/>
      <c r="B388" s="1020"/>
      <c r="C388" s="792" t="s">
        <v>519</v>
      </c>
      <c r="D388" s="1005">
        <v>0.33</v>
      </c>
      <c r="E388" s="1008" t="s">
        <v>529</v>
      </c>
      <c r="F388" s="986">
        <f>LEAD!$P$7</f>
        <v>437.11999999999983</v>
      </c>
      <c r="G388" s="1023">
        <v>1</v>
      </c>
      <c r="H388" s="991" t="str">
        <f>IF(E388="","",IF(E388="No.","Each",IF(E388="Nos.","Each",E388)))</f>
        <v>cu.m.</v>
      </c>
      <c r="I388" s="986">
        <f>IF(G388="",D388*F388,(D388*F388/G388))</f>
        <v>144.24959999999996</v>
      </c>
    </row>
    <row r="389" spans="1:9" ht="18" customHeight="1">
      <c r="A389" s="1048"/>
      <c r="B389" s="1020"/>
      <c r="C389" s="792" t="s">
        <v>377</v>
      </c>
      <c r="D389" s="1021">
        <v>1.2</v>
      </c>
      <c r="E389" s="1008" t="s">
        <v>327</v>
      </c>
      <c r="F389" s="986">
        <f>$F$9</f>
        <v>545</v>
      </c>
      <c r="G389" s="1023">
        <v>1</v>
      </c>
      <c r="H389" s="1116" t="s">
        <v>268</v>
      </c>
      <c r="I389" s="986">
        <f t="shared" si="47"/>
        <v>654</v>
      </c>
    </row>
    <row r="390" spans="1:9" ht="18" customHeight="1">
      <c r="A390" s="1048"/>
      <c r="B390" s="1020"/>
      <c r="C390" s="792" t="s">
        <v>524</v>
      </c>
      <c r="D390" s="1050">
        <v>2</v>
      </c>
      <c r="E390" s="1003" t="s">
        <v>327</v>
      </c>
      <c r="F390" s="986">
        <f>$F$22</f>
        <v>490</v>
      </c>
      <c r="G390" s="1023">
        <v>1</v>
      </c>
      <c r="H390" s="979" t="s">
        <v>268</v>
      </c>
      <c r="I390" s="986">
        <f t="shared" si="47"/>
        <v>980</v>
      </c>
    </row>
    <row r="391" spans="1:9" ht="18" customHeight="1">
      <c r="A391" s="1048"/>
      <c r="B391" s="1020"/>
      <c r="D391" s="1050"/>
      <c r="E391" s="1003"/>
      <c r="F391" s="986"/>
      <c r="G391" s="1023"/>
      <c r="I391" s="986">
        <f>SUM(I384:I390)</f>
        <v>3227.4841333333334</v>
      </c>
    </row>
    <row r="392" spans="1:9" ht="34.5" customHeight="1">
      <c r="A392" s="1048"/>
      <c r="B392" s="1020"/>
      <c r="C392" s="792" t="s">
        <v>719</v>
      </c>
      <c r="D392" s="1050">
        <f>I391</f>
        <v>3227.4841333333334</v>
      </c>
      <c r="E392" s="1003"/>
      <c r="F392" s="986">
        <v>0.01</v>
      </c>
      <c r="G392" s="1023"/>
      <c r="I392" s="986"/>
    </row>
    <row r="393" spans="1:9" ht="18" customHeight="1">
      <c r="A393" s="1048"/>
      <c r="B393" s="1020"/>
      <c r="D393" s="1050"/>
      <c r="E393" s="1003"/>
      <c r="F393" s="986"/>
      <c r="G393" s="1023"/>
      <c r="I393" s="986">
        <f>SUM(I391:I392)</f>
        <v>3227.4841333333334</v>
      </c>
    </row>
    <row r="394" spans="1:9" ht="18" customHeight="1">
      <c r="A394" s="1048"/>
      <c r="B394" s="1020"/>
      <c r="C394" s="1124" t="s">
        <v>1014</v>
      </c>
      <c r="D394" s="1010">
        <f>I393</f>
        <v>3227.4841333333334</v>
      </c>
      <c r="E394" s="1025" t="s">
        <v>529</v>
      </c>
      <c r="F394" s="1026">
        <f>$D$3</f>
        <v>0</v>
      </c>
      <c r="G394" s="1027">
        <v>1</v>
      </c>
      <c r="H394" s="1011" t="s">
        <v>529</v>
      </c>
      <c r="I394" s="1012">
        <f>IF(G394="",D394*F394,(D394*F394/G394))</f>
        <v>0</v>
      </c>
    </row>
    <row r="395" spans="1:9" ht="18" customHeight="1">
      <c r="A395" s="1048"/>
      <c r="B395" s="1003"/>
      <c r="C395" s="980" t="s">
        <v>539</v>
      </c>
      <c r="D395" s="1003"/>
      <c r="E395" s="1003"/>
      <c r="F395" s="1003"/>
      <c r="G395" s="1023"/>
      <c r="H395" s="980"/>
      <c r="I395" s="1012">
        <f>CEILING(SUM(I393:I394),0.05)</f>
        <v>3227.5</v>
      </c>
    </row>
    <row r="396" spans="1:9" ht="18" customHeight="1">
      <c r="A396" s="1048"/>
      <c r="B396" s="1003"/>
      <c r="C396" s="980"/>
      <c r="D396" s="1003"/>
      <c r="E396" s="1003"/>
      <c r="F396" s="1003"/>
      <c r="G396" s="1023"/>
      <c r="H396" s="980"/>
      <c r="I396" s="1012"/>
    </row>
    <row r="397" spans="1:9" ht="63" customHeight="1">
      <c r="A397" s="1048">
        <f>+A383+1</f>
        <v>12</v>
      </c>
      <c r="B397" s="1020"/>
      <c r="C397" s="1505" t="s">
        <v>2404</v>
      </c>
      <c r="D397" s="1505"/>
      <c r="E397" s="1505"/>
      <c r="F397" s="1505"/>
      <c r="G397" s="1505"/>
      <c r="H397" s="1505"/>
      <c r="I397" s="1505"/>
    </row>
    <row r="398" spans="1:9" ht="15.75" customHeight="1">
      <c r="A398" s="1048"/>
      <c r="B398" s="1020"/>
      <c r="C398" s="1115" t="s">
        <v>520</v>
      </c>
      <c r="D398" s="1021">
        <v>1.44</v>
      </c>
      <c r="E398" s="1003" t="s">
        <v>364</v>
      </c>
      <c r="F398" s="986">
        <f>LEAD!$P$28</f>
        <v>7168</v>
      </c>
      <c r="G398" s="1023">
        <v>1000</v>
      </c>
      <c r="H398" s="991" t="str">
        <f>IF(E398="","",IF(E398="No.","Each",IF(E398="Nos.","Each",E398)))</f>
        <v>Kgs</v>
      </c>
      <c r="I398" s="986">
        <f>IF(G398="",D398*F398,(D398*F398/G398))</f>
        <v>10.32192</v>
      </c>
    </row>
    <row r="399" spans="1:9" ht="15.75" customHeight="1">
      <c r="A399" s="1048"/>
      <c r="B399" s="1020"/>
      <c r="C399" s="792" t="s">
        <v>519</v>
      </c>
      <c r="D399" s="1005">
        <v>3.0000000000000001E-3</v>
      </c>
      <c r="E399" s="1008" t="s">
        <v>529</v>
      </c>
      <c r="F399" s="986">
        <f>LEAD!$P$7</f>
        <v>437.11999999999983</v>
      </c>
      <c r="G399" s="1023">
        <v>1</v>
      </c>
      <c r="H399" s="991" t="str">
        <f>IF(E399="","",IF(E399="No.","Each",IF(E399="Nos.","Each",E399)))</f>
        <v>cu.m.</v>
      </c>
      <c r="I399" s="986">
        <f>IF(G399="",D399*F399,(D399*F399/G399))</f>
        <v>1.3113599999999996</v>
      </c>
    </row>
    <row r="400" spans="1:9" ht="15.75" customHeight="1">
      <c r="A400" s="1048"/>
      <c r="B400" s="1020"/>
      <c r="C400" s="792" t="s">
        <v>377</v>
      </c>
      <c r="D400" s="1021">
        <v>0.05</v>
      </c>
      <c r="E400" s="1008" t="s">
        <v>499</v>
      </c>
      <c r="F400" s="986">
        <f>F10</f>
        <v>515</v>
      </c>
      <c r="G400" s="1023">
        <v>1</v>
      </c>
      <c r="H400" s="991" t="str">
        <f>IF(E400="","",IF(E400="No.","Each",IF(E400="Nos.","Each",E400)))</f>
        <v>Each</v>
      </c>
      <c r="I400" s="986">
        <f>IF(G400="",D400*F400,(D400*F400/G400))</f>
        <v>25.75</v>
      </c>
    </row>
    <row r="401" spans="1:9" ht="15.75" customHeight="1">
      <c r="A401" s="1048"/>
      <c r="B401" s="1020"/>
      <c r="C401" s="792" t="s">
        <v>621</v>
      </c>
      <c r="D401" s="1021">
        <v>7.3999999999999996E-2</v>
      </c>
      <c r="E401" s="1022" t="s">
        <v>499</v>
      </c>
      <c r="F401" s="986">
        <f>$F$22</f>
        <v>490</v>
      </c>
      <c r="G401" s="1023">
        <v>1</v>
      </c>
      <c r="H401" s="991" t="str">
        <f>IF(E401="","",IF(E401="No.","Each",IF(E401="Nos.","Each",E401)))</f>
        <v>Each</v>
      </c>
      <c r="I401" s="986">
        <f>IF(G401="",D401*F401,(D401*F401/G401))</f>
        <v>36.26</v>
      </c>
    </row>
    <row r="402" spans="1:9" ht="15.75" customHeight="1">
      <c r="A402" s="1048"/>
      <c r="B402" s="1020"/>
      <c r="D402" s="1021"/>
      <c r="E402" s="1022"/>
      <c r="F402" s="986"/>
      <c r="G402" s="1023"/>
      <c r="H402" s="991"/>
      <c r="I402" s="986">
        <f>SUM(I398:I401)</f>
        <v>73.643280000000004</v>
      </c>
    </row>
    <row r="403" spans="1:9" ht="30" customHeight="1">
      <c r="A403" s="1048"/>
      <c r="B403" s="1020"/>
      <c r="C403" s="792" t="s">
        <v>719</v>
      </c>
      <c r="D403" s="1050">
        <f>I402</f>
        <v>73.643280000000004</v>
      </c>
      <c r="E403" s="1003"/>
      <c r="F403" s="986">
        <v>0.01</v>
      </c>
      <c r="G403" s="1023"/>
      <c r="I403" s="986">
        <f>ROUND(D403*F403,2)</f>
        <v>0.74</v>
      </c>
    </row>
    <row r="404" spans="1:9" ht="15.75" customHeight="1">
      <c r="A404" s="1048"/>
      <c r="B404" s="1020"/>
      <c r="D404" s="1050"/>
      <c r="E404" s="1003"/>
      <c r="F404" s="986"/>
      <c r="G404" s="1023"/>
      <c r="I404" s="986">
        <f>SUM(I402:I403)</f>
        <v>74.383279999999999</v>
      </c>
    </row>
    <row r="405" spans="1:9" ht="15.75" customHeight="1">
      <c r="A405" s="1048"/>
      <c r="B405" s="1020"/>
      <c r="C405" s="1124" t="s">
        <v>1014</v>
      </c>
      <c r="D405" s="1010">
        <f>I404</f>
        <v>74.383279999999999</v>
      </c>
      <c r="E405" s="1025" t="s">
        <v>529</v>
      </c>
      <c r="F405" s="1026">
        <f>$D$3</f>
        <v>0</v>
      </c>
      <c r="G405" s="1027">
        <v>1</v>
      </c>
      <c r="H405" s="1011" t="s">
        <v>547</v>
      </c>
      <c r="I405" s="1012">
        <f>IF(G405="",D405*F405,(D405*F405/G405))</f>
        <v>0</v>
      </c>
    </row>
    <row r="406" spans="1:9">
      <c r="A406" s="1048"/>
      <c r="B406" s="1020"/>
      <c r="C406" s="980" t="s">
        <v>425</v>
      </c>
      <c r="D406" s="1021"/>
      <c r="E406" s="1003"/>
      <c r="F406" s="986"/>
      <c r="G406" s="1023"/>
      <c r="H406" s="980" t="s">
        <v>279</v>
      </c>
      <c r="I406" s="1012">
        <f>CEILING(SUM(I404:I405),0.05)</f>
        <v>74.400000000000006</v>
      </c>
    </row>
    <row r="407" spans="1:9" ht="80.25" customHeight="1">
      <c r="A407" s="1019">
        <f>A358+1</f>
        <v>11</v>
      </c>
      <c r="B407" s="1020"/>
      <c r="C407" s="1499" t="s">
        <v>2226</v>
      </c>
      <c r="D407" s="1499"/>
      <c r="E407" s="1499"/>
      <c r="F407" s="1499"/>
      <c r="G407" s="1499"/>
      <c r="H407" s="1499"/>
      <c r="I407" s="1499"/>
    </row>
    <row r="408" spans="1:9" ht="31.5" customHeight="1">
      <c r="A408" s="1019"/>
      <c r="B408" s="1020"/>
      <c r="C408" s="1117" t="s">
        <v>768</v>
      </c>
      <c r="D408" s="1021"/>
      <c r="E408" s="1126"/>
      <c r="F408" s="1003"/>
      <c r="G408" s="1023"/>
      <c r="H408" s="1116"/>
      <c r="I408" s="1003"/>
    </row>
    <row r="409" spans="1:9" ht="15.75" customHeight="1">
      <c r="A409" s="1019"/>
      <c r="B409" s="1020"/>
      <c r="C409" s="1117" t="s">
        <v>557</v>
      </c>
      <c r="D409" s="1021"/>
      <c r="E409" s="1126"/>
      <c r="F409" s="1003"/>
      <c r="G409" s="1023"/>
      <c r="H409" s="1116"/>
      <c r="I409" s="1003"/>
    </row>
    <row r="410" spans="1:9" ht="15.75" customHeight="1">
      <c r="A410" s="1019"/>
      <c r="B410" s="1020"/>
      <c r="C410" s="792" t="s">
        <v>284</v>
      </c>
      <c r="D410" s="1005">
        <v>0.8</v>
      </c>
      <c r="E410" s="1008" t="s">
        <v>529</v>
      </c>
      <c r="F410" s="986">
        <f>$I$205</f>
        <v>1601.6699999999998</v>
      </c>
      <c r="G410" s="1023">
        <v>1</v>
      </c>
      <c r="H410" s="991" t="str">
        <f t="shared" ref="H410:H421" si="48">IF(E410="","",IF(E410="No.","Each",IF(E410="Nos.","Each",E410)))</f>
        <v>cu.m.</v>
      </c>
      <c r="I410" s="986">
        <f t="shared" ref="I410:I421" si="49">IF(G410="",D410*F410,(D410*F410/G410))</f>
        <v>1281.336</v>
      </c>
    </row>
    <row r="411" spans="1:9" ht="15.75" customHeight="1">
      <c r="A411" s="1019"/>
      <c r="B411" s="1020"/>
      <c r="C411" s="792" t="s">
        <v>519</v>
      </c>
      <c r="D411" s="1005">
        <v>0.4</v>
      </c>
      <c r="E411" s="1008" t="s">
        <v>529</v>
      </c>
      <c r="F411" s="986">
        <f>LEAD!$P$7</f>
        <v>437.11999999999983</v>
      </c>
      <c r="G411" s="1023">
        <v>1</v>
      </c>
      <c r="H411" s="991" t="str">
        <f t="shared" si="48"/>
        <v>cu.m.</v>
      </c>
      <c r="I411" s="986">
        <f t="shared" si="49"/>
        <v>174.84799999999996</v>
      </c>
    </row>
    <row r="412" spans="1:9" ht="15.75" customHeight="1">
      <c r="A412" s="1019"/>
      <c r="B412" s="1020"/>
      <c r="C412" s="792" t="s">
        <v>235</v>
      </c>
      <c r="D412" s="1005">
        <v>350</v>
      </c>
      <c r="E412" s="1008" t="s">
        <v>462</v>
      </c>
      <c r="F412" s="986">
        <f>LEAD!$P$28</f>
        <v>7168</v>
      </c>
      <c r="G412" s="1023">
        <v>1000</v>
      </c>
      <c r="H412" s="991" t="str">
        <f t="shared" si="48"/>
        <v>kgs</v>
      </c>
      <c r="I412" s="986">
        <f t="shared" si="49"/>
        <v>2508.8000000000002</v>
      </c>
    </row>
    <row r="413" spans="1:9" ht="15.75" customHeight="1">
      <c r="A413" s="1019"/>
      <c r="B413" s="1020"/>
      <c r="C413" s="792" t="s">
        <v>420</v>
      </c>
      <c r="D413" s="1005">
        <v>1.2</v>
      </c>
      <c r="E413" s="1008" t="s">
        <v>421</v>
      </c>
      <c r="F413" s="986">
        <f>LEAD!$P$27</f>
        <v>73</v>
      </c>
      <c r="G413" s="1023">
        <v>1</v>
      </c>
      <c r="H413" s="991" t="str">
        <f>IF(E413="","",IF(E413="No.","Each",IF(E413="Nos.","Each",E413)))</f>
        <v>KL</v>
      </c>
      <c r="I413" s="986">
        <f>IF(G413="",D413*F413,(D413*F413/G413))</f>
        <v>87.6</v>
      </c>
    </row>
    <row r="414" spans="1:9" ht="15.75" customHeight="1">
      <c r="A414" s="1019"/>
      <c r="B414" s="1020"/>
      <c r="C414" s="1117" t="s">
        <v>424</v>
      </c>
      <c r="D414" s="1005"/>
      <c r="E414" s="1008"/>
      <c r="F414" s="986"/>
      <c r="G414" s="1023"/>
      <c r="H414" s="991"/>
      <c r="I414" s="986"/>
    </row>
    <row r="415" spans="1:9" ht="15.75" customHeight="1">
      <c r="A415" s="1019"/>
      <c r="B415" s="1020"/>
      <c r="C415" s="792" t="s">
        <v>321</v>
      </c>
      <c r="D415" s="1005">
        <v>1.333</v>
      </c>
      <c r="E415" s="1008" t="s">
        <v>692</v>
      </c>
      <c r="F415" s="986">
        <f>$H$209</f>
        <v>675.7</v>
      </c>
      <c r="G415" s="1023">
        <v>1</v>
      </c>
      <c r="H415" s="991" t="str">
        <f>IF(E415="","",IF(E415="No.","Each",IF(E415="Nos.","Each",E415)))</f>
        <v>Hour</v>
      </c>
      <c r="I415" s="986">
        <f>IF(G415="",D415*F415,(D415*F415/G415))</f>
        <v>900.70810000000006</v>
      </c>
    </row>
    <row r="416" spans="1:9" ht="15.75" customHeight="1">
      <c r="A416" s="1019"/>
      <c r="B416" s="1020"/>
      <c r="C416" s="792" t="s">
        <v>322</v>
      </c>
      <c r="D416" s="1005">
        <v>1.333</v>
      </c>
      <c r="E416" s="1008" t="s">
        <v>692</v>
      </c>
      <c r="F416" s="986">
        <f>$H$210</f>
        <v>237.5</v>
      </c>
      <c r="G416" s="1023">
        <v>1</v>
      </c>
      <c r="H416" s="991" t="str">
        <f>IF(E416="","",IF(E416="No.","Each",IF(E416="Nos.","Each",E416)))</f>
        <v>Hour</v>
      </c>
      <c r="I416" s="986">
        <f>IF(G416="",D416*F416,(D416*F416/G416))</f>
        <v>316.58749999999998</v>
      </c>
    </row>
    <row r="417" spans="1:9" ht="15.75" customHeight="1">
      <c r="A417" s="1019"/>
      <c r="B417" s="1020"/>
      <c r="C417" s="792" t="s">
        <v>239</v>
      </c>
      <c r="D417" s="1047">
        <f>$E$5</f>
        <v>0</v>
      </c>
      <c r="E417" s="1008"/>
      <c r="F417" s="986">
        <f>ROUND((D415*$G$209)+(D416*$G$210),2)</f>
        <v>841.92</v>
      </c>
      <c r="G417" s="1023">
        <v>1</v>
      </c>
      <c r="H417" s="991" t="str">
        <f>IF(E417="","",IF(E417="No.","Each",IF(E417="Nos.","Each",E417)))</f>
        <v/>
      </c>
      <c r="I417" s="986">
        <f>IF(G417="",D417*F417,(D417*F417/G417))</f>
        <v>0</v>
      </c>
    </row>
    <row r="418" spans="1:9" ht="15.75" customHeight="1">
      <c r="A418" s="1019"/>
      <c r="B418" s="1020"/>
      <c r="C418" s="1117" t="s">
        <v>132</v>
      </c>
      <c r="D418" s="1047"/>
      <c r="E418" s="1008"/>
      <c r="F418" s="986"/>
      <c r="G418" s="1023"/>
      <c r="H418" s="991"/>
      <c r="I418" s="986"/>
    </row>
    <row r="419" spans="1:9" ht="15.75" customHeight="1">
      <c r="A419" s="1019"/>
      <c r="B419" s="1020"/>
      <c r="C419" s="792" t="s">
        <v>377</v>
      </c>
      <c r="D419" s="1021">
        <v>0.13300000000000001</v>
      </c>
      <c r="E419" s="1008" t="s">
        <v>499</v>
      </c>
      <c r="F419" s="986">
        <f>$F$9</f>
        <v>545</v>
      </c>
      <c r="G419" s="1023">
        <v>1</v>
      </c>
      <c r="H419" s="991" t="str">
        <f t="shared" si="48"/>
        <v>Each</v>
      </c>
      <c r="I419" s="986">
        <f t="shared" si="49"/>
        <v>72.484999999999999</v>
      </c>
    </row>
    <row r="420" spans="1:9" ht="15.75" customHeight="1">
      <c r="A420" s="1019"/>
      <c r="B420" s="1020"/>
      <c r="C420" s="792" t="s">
        <v>378</v>
      </c>
      <c r="D420" s="1021">
        <v>0.26700000000000002</v>
      </c>
      <c r="E420" s="1008" t="s">
        <v>499</v>
      </c>
      <c r="F420" s="986">
        <f>$F$10</f>
        <v>515</v>
      </c>
      <c r="G420" s="1023">
        <v>1</v>
      </c>
      <c r="H420" s="991" t="str">
        <f t="shared" si="48"/>
        <v>Each</v>
      </c>
      <c r="I420" s="986">
        <f t="shared" si="49"/>
        <v>137.505</v>
      </c>
    </row>
    <row r="421" spans="1:9" ht="15.75" customHeight="1">
      <c r="A421" s="1019"/>
      <c r="B421" s="1020"/>
      <c r="C421" s="792" t="s">
        <v>396</v>
      </c>
      <c r="D421" s="1021">
        <v>4.5999999999999996</v>
      </c>
      <c r="E421" s="1008" t="s">
        <v>499</v>
      </c>
      <c r="F421" s="986">
        <f>$F$22</f>
        <v>490</v>
      </c>
      <c r="G421" s="1023">
        <v>1</v>
      </c>
      <c r="H421" s="991" t="str">
        <f t="shared" si="48"/>
        <v>Each</v>
      </c>
      <c r="I421" s="986">
        <f t="shared" si="49"/>
        <v>2254</v>
      </c>
    </row>
    <row r="422" spans="1:9" ht="15.75" customHeight="1">
      <c r="A422" s="1019"/>
      <c r="B422" s="1020"/>
      <c r="C422" s="980" t="s">
        <v>593</v>
      </c>
      <c r="D422" s="1021"/>
      <c r="E422" s="1003"/>
      <c r="F422" s="1003"/>
      <c r="G422" s="1023"/>
      <c r="H422" s="1118" t="s">
        <v>466</v>
      </c>
      <c r="I422" s="1012">
        <f>SUM(I410:I421)</f>
        <v>7733.8696</v>
      </c>
    </row>
    <row r="423" spans="1:9" ht="31.5" customHeight="1">
      <c r="A423" s="1019"/>
      <c r="B423" s="1020" t="s">
        <v>469</v>
      </c>
      <c r="C423" s="1004" t="s">
        <v>2210</v>
      </c>
      <c r="D423" s="1021"/>
      <c r="E423" s="1003"/>
      <c r="F423" s="1003"/>
      <c r="G423" s="1023"/>
      <c r="H423" s="1116"/>
      <c r="I423" s="1003"/>
    </row>
    <row r="424" spans="1:9" ht="15.75" customHeight="1">
      <c r="A424" s="1019"/>
      <c r="B424" s="1020"/>
      <c r="C424" s="792" t="s">
        <v>379</v>
      </c>
      <c r="D424" s="1021">
        <v>1</v>
      </c>
      <c r="E424" s="1003" t="s">
        <v>529</v>
      </c>
      <c r="F424" s="986">
        <f>$I$422</f>
        <v>7733.8696</v>
      </c>
      <c r="G424" s="1023">
        <v>1</v>
      </c>
      <c r="H424" s="991" t="str">
        <f>IF(E424="","",IF(E424="No.","Each",IF(E424="Nos.","Each",E424)))</f>
        <v>cu.m.</v>
      </c>
      <c r="I424" s="986">
        <f>IF(G424="",D424*F424,(D424*F424/G424))</f>
        <v>7733.8696</v>
      </c>
    </row>
    <row r="425" spans="1:9" ht="15.75" customHeight="1">
      <c r="A425" s="1019"/>
      <c r="B425" s="1020"/>
      <c r="C425" s="1003" t="s">
        <v>380</v>
      </c>
      <c r="D425" s="1021">
        <v>1</v>
      </c>
      <c r="E425" s="1003" t="s">
        <v>529</v>
      </c>
      <c r="F425" s="986">
        <f>J50</f>
        <v>1022</v>
      </c>
      <c r="G425" s="1023">
        <v>1</v>
      </c>
      <c r="H425" s="991" t="str">
        <f>IF(E425="","",IF(E425="No.","Each",IF(E425="Nos.","Each",E425)))</f>
        <v>cu.m.</v>
      </c>
      <c r="I425" s="986">
        <f>IF(G425="",D425*F425,(D425*F425/G425))</f>
        <v>1022</v>
      </c>
    </row>
    <row r="426" spans="1:9" ht="30" customHeight="1">
      <c r="A426" s="1019"/>
      <c r="B426" s="1020"/>
      <c r="C426" s="1003" t="s">
        <v>546</v>
      </c>
      <c r="D426" s="1047">
        <f>$E$5</f>
        <v>0</v>
      </c>
      <c r="E426" s="1003"/>
      <c r="F426" s="986">
        <f>H50</f>
        <v>718</v>
      </c>
      <c r="G426" s="1023"/>
      <c r="H426" s="991"/>
      <c r="I426" s="986">
        <f>IF(G426="",D426*F426,(D426*F426/G426))</f>
        <v>0</v>
      </c>
    </row>
    <row r="427" spans="1:9" ht="15.75" customHeight="1">
      <c r="A427" s="1019"/>
      <c r="B427" s="1020"/>
      <c r="C427" s="1124" t="s">
        <v>1014</v>
      </c>
      <c r="D427" s="1010">
        <f>SUM(I424:I426)</f>
        <v>8755.8696</v>
      </c>
      <c r="E427" s="1025" t="s">
        <v>529</v>
      </c>
      <c r="F427" s="1026">
        <f>$D$3</f>
        <v>0</v>
      </c>
      <c r="G427" s="1027">
        <v>1</v>
      </c>
      <c r="H427" s="1011" t="s">
        <v>529</v>
      </c>
      <c r="I427" s="1012">
        <f>IF(G427="",D427*F427,(D427*F427/G427))</f>
        <v>0</v>
      </c>
    </row>
    <row r="428" spans="1:9" ht="15.75" customHeight="1">
      <c r="A428" s="1019"/>
      <c r="B428" s="1020"/>
      <c r="C428" s="1051" t="s">
        <v>539</v>
      </c>
      <c r="D428" s="1021"/>
      <c r="E428" s="1003"/>
      <c r="F428" s="1003"/>
      <c r="G428" s="1023"/>
      <c r="H428" s="980" t="s">
        <v>467</v>
      </c>
      <c r="I428" s="1012">
        <f>CEILING(SUM(I424:I427),0.05)</f>
        <v>8755.9</v>
      </c>
    </row>
    <row r="429" spans="1:9" ht="31.5" customHeight="1">
      <c r="A429" s="1019"/>
      <c r="B429" s="1020" t="s">
        <v>1</v>
      </c>
      <c r="C429" s="1004" t="s">
        <v>2211</v>
      </c>
      <c r="D429" s="1021"/>
      <c r="E429" s="1003"/>
      <c r="F429" s="1003"/>
      <c r="G429" s="1023"/>
      <c r="H429" s="1116"/>
      <c r="I429" s="1003"/>
    </row>
    <row r="430" spans="1:9" ht="15.75" customHeight="1">
      <c r="A430" s="1019"/>
      <c r="B430" s="1020"/>
      <c r="C430" s="792" t="s">
        <v>379</v>
      </c>
      <c r="D430" s="1021">
        <v>1</v>
      </c>
      <c r="E430" s="1003" t="s">
        <v>529</v>
      </c>
      <c r="F430" s="986">
        <f>$I$422</f>
        <v>7733.8696</v>
      </c>
      <c r="G430" s="1023">
        <v>1</v>
      </c>
      <c r="H430" s="991" t="str">
        <f>IF(E430="","",IF(E430="No.","Each",IF(E430="Nos.","Each",E430)))</f>
        <v>cu.m.</v>
      </c>
      <c r="I430" s="986">
        <f>IF(G430="",D430*F430,(D430*F430/G430))</f>
        <v>7733.8696</v>
      </c>
    </row>
    <row r="431" spans="1:9" ht="15.75" customHeight="1">
      <c r="A431" s="1019"/>
      <c r="B431" s="1020"/>
      <c r="C431" s="1003" t="s">
        <v>380</v>
      </c>
      <c r="D431" s="1021">
        <v>1</v>
      </c>
      <c r="E431" s="1003" t="s">
        <v>529</v>
      </c>
      <c r="F431" s="986">
        <f>J53</f>
        <v>3197</v>
      </c>
      <c r="G431" s="1023">
        <v>1</v>
      </c>
      <c r="H431" s="991" t="str">
        <f>IF(E431="","",IF(E431="No.","Each",IF(E431="Nos.","Each",E431)))</f>
        <v>cu.m.</v>
      </c>
      <c r="I431" s="986">
        <f>IF(G431="",D431*F431,(D431*F431/G431))</f>
        <v>3197</v>
      </c>
    </row>
    <row r="432" spans="1:9" ht="30" customHeight="1">
      <c r="A432" s="1019"/>
      <c r="B432" s="1020"/>
      <c r="C432" s="1003" t="s">
        <v>546</v>
      </c>
      <c r="D432" s="1047">
        <f>$E$5</f>
        <v>0</v>
      </c>
      <c r="E432" s="1003"/>
      <c r="F432" s="986">
        <f>H53</f>
        <v>1730</v>
      </c>
      <c r="G432" s="1023"/>
      <c r="H432" s="991"/>
      <c r="I432" s="986">
        <f>IF(G432="",D432*F432,(D432*F432/G432))</f>
        <v>0</v>
      </c>
    </row>
    <row r="433" spans="1:9" ht="15.75" customHeight="1">
      <c r="A433" s="1019"/>
      <c r="B433" s="1020"/>
      <c r="C433" s="1124" t="s">
        <v>1014</v>
      </c>
      <c r="D433" s="1010">
        <f>SUM(I430:I432)</f>
        <v>10930.8696</v>
      </c>
      <c r="E433" s="1025" t="s">
        <v>529</v>
      </c>
      <c r="F433" s="1026">
        <f>$D$3</f>
        <v>0</v>
      </c>
      <c r="G433" s="1027">
        <v>1</v>
      </c>
      <c r="H433" s="1011" t="s">
        <v>529</v>
      </c>
      <c r="I433" s="1012">
        <f>IF(G433="",D433*F433,(D433*F433/G433))</f>
        <v>0</v>
      </c>
    </row>
    <row r="434" spans="1:9" ht="15.75" customHeight="1">
      <c r="A434" s="1019"/>
      <c r="B434" s="1020"/>
      <c r="C434" s="1051" t="s">
        <v>539</v>
      </c>
      <c r="D434" s="1021"/>
      <c r="E434" s="1003"/>
      <c r="F434" s="1003"/>
      <c r="G434" s="1023"/>
      <c r="H434" s="980" t="s">
        <v>467</v>
      </c>
      <c r="I434" s="1012">
        <f>CEILING(SUM(I430:I433),0.05)</f>
        <v>10930.900000000001</v>
      </c>
    </row>
    <row r="435" spans="1:9" ht="15.75" customHeight="1">
      <c r="A435" s="1019"/>
      <c r="B435" s="1020" t="s">
        <v>363</v>
      </c>
      <c r="C435" s="1004" t="s">
        <v>2212</v>
      </c>
      <c r="D435" s="1021"/>
      <c r="E435" s="1003"/>
      <c r="F435" s="1003"/>
      <c r="G435" s="1023"/>
      <c r="H435" s="1116"/>
      <c r="I435" s="1003"/>
    </row>
    <row r="436" spans="1:9" ht="15.75" customHeight="1">
      <c r="A436" s="1019"/>
      <c r="B436" s="1020"/>
      <c r="C436" s="792" t="s">
        <v>379</v>
      </c>
      <c r="D436" s="1021">
        <v>1</v>
      </c>
      <c r="E436" s="1003" t="s">
        <v>529</v>
      </c>
      <c r="F436" s="986">
        <f>$I$422</f>
        <v>7733.8696</v>
      </c>
      <c r="G436" s="1023">
        <v>1</v>
      </c>
      <c r="H436" s="991" t="str">
        <f>IF(E436="","",IF(E436="No.","Each",IF(E436="Nos.","Each",E436)))</f>
        <v>cu.m.</v>
      </c>
      <c r="I436" s="986">
        <f>IF(G436="",D436*F436,(D436*F436/G436))</f>
        <v>7733.8696</v>
      </c>
    </row>
    <row r="437" spans="1:9" ht="15.75" customHeight="1">
      <c r="A437" s="1019"/>
      <c r="B437" s="1020"/>
      <c r="C437" s="1003" t="s">
        <v>380</v>
      </c>
      <c r="D437" s="1021">
        <v>1</v>
      </c>
      <c r="E437" s="1003" t="s">
        <v>529</v>
      </c>
      <c r="F437" s="986">
        <f>J52</f>
        <v>1487</v>
      </c>
      <c r="G437" s="1023">
        <v>1</v>
      </c>
      <c r="H437" s="991" t="str">
        <f>IF(E437="","",IF(E437="No.","Each",IF(E437="Nos.","Each",E437)))</f>
        <v>cu.m.</v>
      </c>
      <c r="I437" s="986">
        <f>IF(G437="",D437*F437,(D437*F437/G437))</f>
        <v>1487</v>
      </c>
    </row>
    <row r="438" spans="1:9" ht="30" customHeight="1">
      <c r="A438" s="1019"/>
      <c r="B438" s="1020"/>
      <c r="C438" s="1003" t="s">
        <v>546</v>
      </c>
      <c r="D438" s="1047">
        <f>$E$5</f>
        <v>0</v>
      </c>
      <c r="E438" s="1003"/>
      <c r="F438" s="986">
        <f>H52</f>
        <v>1141</v>
      </c>
      <c r="G438" s="1023"/>
      <c r="H438" s="991"/>
      <c r="I438" s="986">
        <f>IF(G438="",D438*F438,(D438*F438/G438))</f>
        <v>0</v>
      </c>
    </row>
    <row r="439" spans="1:9" ht="15.75" customHeight="1">
      <c r="A439" s="1019"/>
      <c r="B439" s="1020"/>
      <c r="C439" s="1124" t="s">
        <v>1014</v>
      </c>
      <c r="D439" s="1010">
        <f>SUM(I436:I438)</f>
        <v>9220.8696</v>
      </c>
      <c r="E439" s="1025" t="s">
        <v>529</v>
      </c>
      <c r="F439" s="1026">
        <f>$D$3</f>
        <v>0</v>
      </c>
      <c r="G439" s="1027">
        <v>1</v>
      </c>
      <c r="H439" s="1011" t="s">
        <v>529</v>
      </c>
      <c r="I439" s="1012">
        <f>IF(G439="",D439*F439,(D439*F439/G439))</f>
        <v>0</v>
      </c>
    </row>
    <row r="440" spans="1:9" ht="15.75" customHeight="1">
      <c r="A440" s="1019"/>
      <c r="B440" s="1020"/>
      <c r="C440" s="1051" t="s">
        <v>539</v>
      </c>
      <c r="D440" s="1021"/>
      <c r="E440" s="1003"/>
      <c r="F440" s="1003"/>
      <c r="G440" s="1023"/>
      <c r="H440" s="980" t="s">
        <v>467</v>
      </c>
      <c r="I440" s="1012">
        <f>CEILING(SUM(I436:I439),0.05)</f>
        <v>9220.9</v>
      </c>
    </row>
    <row r="441" spans="1:9" ht="81.75" customHeight="1">
      <c r="A441" s="1019">
        <f>A407+1</f>
        <v>12</v>
      </c>
      <c r="B441" s="1020"/>
      <c r="C441" s="1499" t="s">
        <v>2227</v>
      </c>
      <c r="D441" s="1499"/>
      <c r="E441" s="1499"/>
      <c r="F441" s="1499"/>
      <c r="G441" s="1499"/>
      <c r="H441" s="1499"/>
      <c r="I441" s="1499"/>
    </row>
    <row r="442" spans="1:9" ht="31.5" customHeight="1">
      <c r="A442" s="1019"/>
      <c r="B442" s="1020"/>
      <c r="C442" s="1117" t="s">
        <v>500</v>
      </c>
      <c r="D442" s="1021"/>
      <c r="E442" s="1126"/>
      <c r="F442" s="1003"/>
      <c r="G442" s="1023"/>
      <c r="H442" s="1116"/>
      <c r="I442" s="1003"/>
    </row>
    <row r="443" spans="1:9" ht="15.75" customHeight="1">
      <c r="A443" s="1019"/>
      <c r="B443" s="1020"/>
      <c r="C443" s="1117" t="s">
        <v>557</v>
      </c>
      <c r="D443" s="1021"/>
      <c r="E443" s="1126"/>
      <c r="F443" s="1003"/>
      <c r="G443" s="1023"/>
      <c r="H443" s="1116"/>
      <c r="I443" s="1003"/>
    </row>
    <row r="444" spans="1:9" ht="15.75" customHeight="1">
      <c r="A444" s="1019"/>
      <c r="B444" s="1020"/>
      <c r="C444" s="792" t="s">
        <v>284</v>
      </c>
      <c r="D444" s="1005">
        <v>0.8</v>
      </c>
      <c r="E444" s="1008" t="s">
        <v>529</v>
      </c>
      <c r="F444" s="986">
        <f>$I$205</f>
        <v>1601.6699999999998</v>
      </c>
      <c r="G444" s="1023">
        <v>1</v>
      </c>
      <c r="H444" s="991" t="str">
        <f>IF(E444="","",IF(E444="No.","Each",IF(E444="Nos.","Each",E444)))</f>
        <v>cu.m.</v>
      </c>
      <c r="I444" s="986">
        <f>IF(G444="",D444*F444,(D444*F444/G444))</f>
        <v>1281.336</v>
      </c>
    </row>
    <row r="445" spans="1:9" ht="15.75" customHeight="1">
      <c r="A445" s="1019"/>
      <c r="B445" s="1020"/>
      <c r="C445" s="792" t="s">
        <v>519</v>
      </c>
      <c r="D445" s="1005">
        <v>0.4</v>
      </c>
      <c r="E445" s="1008" t="s">
        <v>529</v>
      </c>
      <c r="F445" s="986">
        <f>LEAD!$P$7</f>
        <v>437.11999999999983</v>
      </c>
      <c r="G445" s="1023">
        <v>1</v>
      </c>
      <c r="H445" s="991" t="str">
        <f>IF(E445="","",IF(E445="No.","Each",IF(E445="Nos.","Each",E445)))</f>
        <v>cu.m.</v>
      </c>
      <c r="I445" s="986">
        <f>IF(G445="",D445*F445,(D445*F445/G445))</f>
        <v>174.84799999999996</v>
      </c>
    </row>
    <row r="446" spans="1:9" ht="15.75" customHeight="1">
      <c r="A446" s="1019"/>
      <c r="B446" s="1020"/>
      <c r="C446" s="792" t="s">
        <v>235</v>
      </c>
      <c r="D446" s="1005">
        <v>350</v>
      </c>
      <c r="E446" s="1008" t="s">
        <v>462</v>
      </c>
      <c r="F446" s="986">
        <f>LEAD!$P$28</f>
        <v>7168</v>
      </c>
      <c r="G446" s="1023">
        <v>1000</v>
      </c>
      <c r="H446" s="991" t="str">
        <f>IF(E446="","",IF(E446="No.","Each",IF(E446="Nos.","Each",E446)))</f>
        <v>kgs</v>
      </c>
      <c r="I446" s="986">
        <f>IF(G446="",D446*F446,(D446*F446/G446))</f>
        <v>2508.8000000000002</v>
      </c>
    </row>
    <row r="447" spans="1:9" ht="15.75" customHeight="1">
      <c r="A447" s="1019"/>
      <c r="B447" s="1020"/>
      <c r="C447" s="792" t="s">
        <v>420</v>
      </c>
      <c r="D447" s="1005">
        <v>1.2</v>
      </c>
      <c r="E447" s="1008" t="s">
        <v>421</v>
      </c>
      <c r="F447" s="986">
        <f>LEAD!$P$27</f>
        <v>73</v>
      </c>
      <c r="G447" s="1023">
        <v>1</v>
      </c>
      <c r="H447" s="991" t="str">
        <f>IF(E447="","",IF(E447="No.","Each",IF(E447="Nos.","Each",E447)))</f>
        <v>KL</v>
      </c>
      <c r="I447" s="986">
        <f>IF(G447="",D447*F447,(D447*F447/G447))</f>
        <v>87.6</v>
      </c>
    </row>
    <row r="448" spans="1:9" ht="15.75" customHeight="1">
      <c r="A448" s="1019"/>
      <c r="B448" s="1020"/>
      <c r="C448" s="1117" t="s">
        <v>424</v>
      </c>
      <c r="D448" s="1005"/>
      <c r="E448" s="1008"/>
      <c r="F448" s="986"/>
      <c r="G448" s="1023"/>
      <c r="H448" s="991"/>
      <c r="I448" s="986"/>
    </row>
    <row r="449" spans="1:10" ht="15.75" customHeight="1">
      <c r="A449" s="1019"/>
      <c r="B449" s="1020"/>
      <c r="C449" s="792" t="s">
        <v>321</v>
      </c>
      <c r="D449" s="1005">
        <v>1.333</v>
      </c>
      <c r="E449" s="1008" t="s">
        <v>692</v>
      </c>
      <c r="F449" s="986">
        <f>$H$209</f>
        <v>675.7</v>
      </c>
      <c r="G449" s="1023">
        <v>1</v>
      </c>
      <c r="H449" s="991" t="str">
        <f>IF(E449="","",IF(E449="No.","Each",IF(E449="Nos.","Each",E449)))</f>
        <v>Hour</v>
      </c>
      <c r="I449" s="986">
        <f>IF(G449="",D449*F449,(D449*F449/G449))</f>
        <v>900.70810000000006</v>
      </c>
    </row>
    <row r="450" spans="1:10" ht="15.75" customHeight="1">
      <c r="A450" s="1019"/>
      <c r="B450" s="1020"/>
      <c r="C450" s="792" t="s">
        <v>322</v>
      </c>
      <c r="D450" s="1005">
        <v>1.333</v>
      </c>
      <c r="E450" s="1008" t="s">
        <v>692</v>
      </c>
      <c r="F450" s="986">
        <f>$H$210</f>
        <v>237.5</v>
      </c>
      <c r="G450" s="1023">
        <v>1</v>
      </c>
      <c r="H450" s="991" t="str">
        <f>IF(E450="","",IF(E450="No.","Each",IF(E450="Nos.","Each",E450)))</f>
        <v>Hour</v>
      </c>
      <c r="I450" s="986">
        <f>IF(G450="",D450*F450,(D450*F450/G450))</f>
        <v>316.58749999999998</v>
      </c>
    </row>
    <row r="451" spans="1:10" ht="15.75" customHeight="1">
      <c r="A451" s="1019"/>
      <c r="B451" s="1020"/>
      <c r="C451" s="792" t="s">
        <v>239</v>
      </c>
      <c r="D451" s="1047">
        <f>$E$5</f>
        <v>0</v>
      </c>
      <c r="E451" s="1008"/>
      <c r="F451" s="986">
        <f>ROUND((D449*$G$209)+(D450*$G$210),2)</f>
        <v>841.92</v>
      </c>
      <c r="G451" s="1023">
        <v>1</v>
      </c>
      <c r="H451" s="991" t="str">
        <f>IF(E451="","",IF(E451="No.","Each",IF(E451="Nos.","Each",E451)))</f>
        <v/>
      </c>
      <c r="I451" s="986">
        <f>IF(G451="",D451*F451,(D451*F451/G451))</f>
        <v>0</v>
      </c>
    </row>
    <row r="452" spans="1:10" ht="15.75" customHeight="1">
      <c r="A452" s="1019"/>
      <c r="B452" s="1020"/>
      <c r="C452" s="1117" t="s">
        <v>132</v>
      </c>
      <c r="D452" s="1047"/>
      <c r="E452" s="1008"/>
      <c r="F452" s="986"/>
      <c r="G452" s="1023"/>
      <c r="H452" s="991"/>
      <c r="I452" s="986"/>
    </row>
    <row r="453" spans="1:10" ht="15.75" customHeight="1">
      <c r="A453" s="1019"/>
      <c r="B453" s="1020"/>
      <c r="C453" s="792" t="s">
        <v>377</v>
      </c>
      <c r="D453" s="1021">
        <v>0.16700000000000001</v>
      </c>
      <c r="E453" s="1008" t="s">
        <v>499</v>
      </c>
      <c r="F453" s="986">
        <f>$F$9</f>
        <v>545</v>
      </c>
      <c r="G453" s="1023">
        <v>1</v>
      </c>
      <c r="H453" s="991" t="str">
        <f>IF(E453="","",IF(E453="No.","Each",IF(E453="Nos.","Each",E453)))</f>
        <v>Each</v>
      </c>
      <c r="I453" s="986">
        <f>IF(G453="",D453*F453,(D453*F453/G453))</f>
        <v>91.015000000000001</v>
      </c>
    </row>
    <row r="454" spans="1:10" ht="15.75" customHeight="1">
      <c r="A454" s="1019"/>
      <c r="B454" s="1020"/>
      <c r="C454" s="792" t="s">
        <v>378</v>
      </c>
      <c r="D454" s="1021">
        <v>0.16700000000000001</v>
      </c>
      <c r="E454" s="1008" t="s">
        <v>499</v>
      </c>
      <c r="F454" s="986">
        <f>$F$10</f>
        <v>515</v>
      </c>
      <c r="G454" s="1023">
        <v>1</v>
      </c>
      <c r="H454" s="991" t="str">
        <f>IF(E454="","",IF(E454="No.","Each",IF(E454="Nos.","Each",E454)))</f>
        <v>Each</v>
      </c>
      <c r="I454" s="986">
        <f>IF(G454="",D454*F454,(D454*F454/G454))</f>
        <v>86.00500000000001</v>
      </c>
    </row>
    <row r="455" spans="1:10" ht="15.75" customHeight="1">
      <c r="A455" s="1019"/>
      <c r="B455" s="1020"/>
      <c r="C455" s="792" t="s">
        <v>396</v>
      </c>
      <c r="D455" s="1021">
        <v>5.6</v>
      </c>
      <c r="E455" s="1008" t="s">
        <v>499</v>
      </c>
      <c r="F455" s="986">
        <f>$F$22</f>
        <v>490</v>
      </c>
      <c r="G455" s="1023">
        <v>1</v>
      </c>
      <c r="H455" s="991" t="str">
        <f>IF(E455="","",IF(E455="No.","Each",IF(E455="Nos.","Each",E455)))</f>
        <v>Each</v>
      </c>
      <c r="I455" s="986">
        <f>IF(G455="",D455*F455,(D455*F455/G455))</f>
        <v>2744</v>
      </c>
    </row>
    <row r="456" spans="1:10" ht="15.75" customHeight="1">
      <c r="A456" s="1019"/>
      <c r="C456" s="980" t="s">
        <v>593</v>
      </c>
      <c r="D456" s="1021"/>
      <c r="E456" s="1003"/>
      <c r="F456" s="1003"/>
      <c r="G456" s="1023"/>
      <c r="H456" s="1118" t="s">
        <v>466</v>
      </c>
      <c r="I456" s="1012">
        <f>SUM(I444:I455)</f>
        <v>8190.8996000000006</v>
      </c>
    </row>
    <row r="457" spans="1:10" ht="30" customHeight="1">
      <c r="A457" s="1019"/>
      <c r="B457" s="1020" t="s">
        <v>469</v>
      </c>
      <c r="C457" s="1022" t="s">
        <v>500</v>
      </c>
      <c r="D457" s="1021"/>
      <c r="E457" s="1003"/>
      <c r="F457" s="986"/>
      <c r="G457" s="1023"/>
      <c r="H457" s="980"/>
      <c r="I457" s="1012"/>
    </row>
    <row r="458" spans="1:10" ht="15.75" customHeight="1">
      <c r="A458" s="1019"/>
      <c r="C458" s="1051"/>
      <c r="D458" s="1021"/>
      <c r="E458" s="1003"/>
      <c r="F458" s="986"/>
      <c r="G458" s="1023"/>
      <c r="H458" s="980"/>
      <c r="I458" s="1012"/>
    </row>
    <row r="459" spans="1:10" ht="15.75" customHeight="1">
      <c r="A459" s="1019"/>
      <c r="B459" s="1020"/>
      <c r="C459" s="1004" t="s">
        <v>428</v>
      </c>
      <c r="E459" s="1131" t="s">
        <v>501</v>
      </c>
      <c r="F459" s="1048" t="s">
        <v>502</v>
      </c>
      <c r="G459" s="1131" t="s">
        <v>503</v>
      </c>
      <c r="H459" s="1048" t="s">
        <v>709</v>
      </c>
      <c r="I459" s="1048" t="s">
        <v>502</v>
      </c>
      <c r="J459" s="1048" t="s">
        <v>502</v>
      </c>
    </row>
    <row r="460" spans="1:10" ht="15.75" customHeight="1">
      <c r="A460" s="1019"/>
      <c r="B460" s="1020"/>
      <c r="C460" s="792" t="s">
        <v>381</v>
      </c>
      <c r="E460" s="986">
        <f t="shared" ref="E460:J460" si="50">$I$456</f>
        <v>8190.8996000000006</v>
      </c>
      <c r="F460" s="986">
        <f t="shared" si="50"/>
        <v>8190.8996000000006</v>
      </c>
      <c r="G460" s="986">
        <f t="shared" si="50"/>
        <v>8190.8996000000006</v>
      </c>
      <c r="H460" s="986">
        <f t="shared" si="50"/>
        <v>8190.8996000000006</v>
      </c>
      <c r="I460" s="986">
        <f t="shared" si="50"/>
        <v>8190.8996000000006</v>
      </c>
      <c r="J460" s="986">
        <f t="shared" si="50"/>
        <v>8190.8996000000006</v>
      </c>
    </row>
    <row r="461" spans="1:10" ht="15.75" customHeight="1">
      <c r="A461" s="1019"/>
      <c r="B461" s="1020"/>
      <c r="C461" s="792" t="s">
        <v>580</v>
      </c>
      <c r="E461" s="986">
        <f t="shared" ref="E461:J461" si="51">$F$36</f>
        <v>250</v>
      </c>
      <c r="F461" s="986">
        <f t="shared" si="51"/>
        <v>250</v>
      </c>
      <c r="G461" s="986">
        <f t="shared" si="51"/>
        <v>250</v>
      </c>
      <c r="H461" s="986">
        <f t="shared" si="51"/>
        <v>250</v>
      </c>
      <c r="I461" s="986">
        <f t="shared" si="51"/>
        <v>250</v>
      </c>
      <c r="J461" s="986">
        <f t="shared" si="51"/>
        <v>250</v>
      </c>
    </row>
    <row r="462" spans="1:10" ht="15.75" customHeight="1">
      <c r="A462" s="1019"/>
      <c r="B462" s="1020"/>
      <c r="C462" s="792" t="s">
        <v>581</v>
      </c>
      <c r="E462" s="986">
        <f>$H$36</f>
        <v>1965</v>
      </c>
      <c r="F462" s="986">
        <f>$K$36</f>
        <v>2161.5</v>
      </c>
      <c r="G462" s="986">
        <f>$M$36</f>
        <v>2358</v>
      </c>
      <c r="H462" s="986">
        <f>$O$36</f>
        <v>2554.5</v>
      </c>
      <c r="I462" s="986">
        <f>E462*1.4</f>
        <v>2751</v>
      </c>
      <c r="J462" s="986">
        <f>E462*1.5</f>
        <v>2947.5</v>
      </c>
    </row>
    <row r="463" spans="1:10" ht="15.75" customHeight="1">
      <c r="A463" s="1019"/>
      <c r="B463" s="1020"/>
      <c r="C463" s="792" t="s">
        <v>417</v>
      </c>
      <c r="D463" s="1049">
        <f>$E$5</f>
        <v>0</v>
      </c>
      <c r="E463" s="986">
        <f>ROUND($D$463*E462,2)</f>
        <v>0</v>
      </c>
      <c r="F463" s="986">
        <f t="shared" ref="F463:J463" si="52">ROUND($D$463*F462,2)</f>
        <v>0</v>
      </c>
      <c r="G463" s="986">
        <f t="shared" si="52"/>
        <v>0</v>
      </c>
      <c r="H463" s="986">
        <f t="shared" si="52"/>
        <v>0</v>
      </c>
      <c r="I463" s="986">
        <f t="shared" si="52"/>
        <v>0</v>
      </c>
      <c r="J463" s="986">
        <f t="shared" si="52"/>
        <v>0</v>
      </c>
    </row>
    <row r="464" spans="1:10" ht="30" customHeight="1">
      <c r="A464" s="1019"/>
      <c r="B464" s="1020"/>
      <c r="C464" s="792" t="s">
        <v>418</v>
      </c>
      <c r="E464" s="986"/>
      <c r="F464" s="986">
        <f>ROUND(0.1*($I$453+$I$454+$I$455),2)</f>
        <v>292.10000000000002</v>
      </c>
      <c r="G464" s="986">
        <f>ROUND(0.2*($I$453+$I$454+$I$455),2)</f>
        <v>584.20000000000005</v>
      </c>
      <c r="H464" s="986">
        <f>ROUND(0.3*($I$453+$I$454+$I$455),2)</f>
        <v>876.31</v>
      </c>
      <c r="I464" s="986">
        <f>ROUND(0.4*($I$453+$I$454+$I$455),2)</f>
        <v>1168.4100000000001</v>
      </c>
      <c r="J464" s="986">
        <f>ROUND(0.5*($I$453+$I$454+$I$455),2)</f>
        <v>1460.51</v>
      </c>
    </row>
    <row r="465" spans="1:10" ht="15.75" customHeight="1">
      <c r="A465" s="1019"/>
      <c r="B465" s="1020"/>
      <c r="E465" s="986">
        <f t="shared" ref="E465:J465" si="53">SUM(E460:E464)</f>
        <v>10405.899600000001</v>
      </c>
      <c r="F465" s="986">
        <f t="shared" si="53"/>
        <v>10894.499600000001</v>
      </c>
      <c r="G465" s="986">
        <f t="shared" si="53"/>
        <v>11383.099600000001</v>
      </c>
      <c r="H465" s="986">
        <f t="shared" si="53"/>
        <v>11871.7096</v>
      </c>
      <c r="I465" s="986">
        <f t="shared" si="53"/>
        <v>12360.309600000001</v>
      </c>
      <c r="J465" s="986">
        <f t="shared" si="53"/>
        <v>12848.909600000001</v>
      </c>
    </row>
    <row r="466" spans="1:10" ht="15.75" customHeight="1">
      <c r="A466" s="1019"/>
      <c r="B466" s="1020"/>
      <c r="C466" s="1124" t="s">
        <v>1014</v>
      </c>
      <c r="D466" s="1026">
        <f>$D$3</f>
        <v>0</v>
      </c>
      <c r="E466" s="986">
        <f t="shared" ref="E466:J466" si="54">ROUND(E465*$D$312,2)</f>
        <v>0</v>
      </c>
      <c r="F466" s="986">
        <f t="shared" si="54"/>
        <v>0</v>
      </c>
      <c r="G466" s="986">
        <f t="shared" si="54"/>
        <v>0</v>
      </c>
      <c r="H466" s="986">
        <f t="shared" si="54"/>
        <v>0</v>
      </c>
      <c r="I466" s="986">
        <f t="shared" si="54"/>
        <v>0</v>
      </c>
      <c r="J466" s="986">
        <f t="shared" si="54"/>
        <v>0</v>
      </c>
    </row>
    <row r="467" spans="1:10" ht="15.75" customHeight="1">
      <c r="A467" s="1019"/>
      <c r="B467" s="1020"/>
      <c r="C467" s="1003"/>
      <c r="E467" s="986"/>
      <c r="F467" s="986"/>
      <c r="G467" s="986"/>
      <c r="H467" s="986"/>
    </row>
    <row r="468" spans="1:10" ht="15.75" customHeight="1">
      <c r="A468" s="1019"/>
      <c r="B468" s="1020"/>
      <c r="C468" s="980" t="s">
        <v>539</v>
      </c>
      <c r="D468" s="980" t="s">
        <v>466</v>
      </c>
      <c r="E468" s="1012">
        <f>CEILING(SUM(E465:E467),0.05)</f>
        <v>10405.900000000001</v>
      </c>
      <c r="F468" s="1012">
        <f>CEILING(SUM(F465:F467),0.05)</f>
        <v>10894.5</v>
      </c>
      <c r="G468" s="1012">
        <f>CEILING(SUM(G465:G467),0.05)</f>
        <v>11383.1</v>
      </c>
      <c r="H468" s="1012">
        <f>CEILING(SUM(H465:H467),0.05)</f>
        <v>11871.75</v>
      </c>
      <c r="I468" s="1012">
        <f>CEILING(SUM(I465:I467),1)</f>
        <v>12361</v>
      </c>
      <c r="J468" s="1012">
        <f>CEILING(SUM(J465:J467),1)</f>
        <v>12849</v>
      </c>
    </row>
    <row r="469" spans="1:10" ht="18" customHeight="1">
      <c r="A469" s="1019"/>
      <c r="B469" s="1020"/>
      <c r="C469" s="980"/>
      <c r="D469" s="980"/>
      <c r="E469" s="1012"/>
      <c r="F469" s="1012"/>
      <c r="G469" s="1012"/>
      <c r="H469" s="1012"/>
      <c r="I469" s="1003"/>
    </row>
    <row r="470" spans="1:10" ht="83.25" customHeight="1">
      <c r="A470" s="1019">
        <f>A441+1</f>
        <v>13</v>
      </c>
      <c r="B470" s="1020"/>
      <c r="C470" s="1493" t="s">
        <v>2228</v>
      </c>
      <c r="D470" s="1493"/>
      <c r="E470" s="1493"/>
      <c r="F470" s="1493"/>
      <c r="G470" s="1493"/>
      <c r="H470" s="1493"/>
      <c r="I470" s="1493"/>
    </row>
    <row r="471" spans="1:10" ht="15.75" customHeight="1">
      <c r="A471" s="1019"/>
      <c r="B471" s="1020"/>
      <c r="C471" s="1117" t="s">
        <v>769</v>
      </c>
      <c r="D471" s="1021"/>
      <c r="E471" s="1126"/>
      <c r="F471" s="1003"/>
      <c r="G471" s="1023"/>
      <c r="H471" s="1116"/>
      <c r="I471" s="1003"/>
    </row>
    <row r="472" spans="1:10" ht="15.75" customHeight="1">
      <c r="A472" s="1019"/>
      <c r="B472" s="1020"/>
      <c r="C472" s="1117" t="s">
        <v>557</v>
      </c>
      <c r="D472" s="1021"/>
      <c r="E472" s="1126"/>
      <c r="F472" s="1003"/>
      <c r="G472" s="1023"/>
      <c r="H472" s="1116"/>
      <c r="I472" s="1003"/>
    </row>
    <row r="473" spans="1:10" ht="15.75" customHeight="1">
      <c r="A473" s="1019"/>
      <c r="B473" s="1020"/>
      <c r="C473" s="792" t="s">
        <v>284</v>
      </c>
      <c r="D473" s="1005">
        <v>0.8</v>
      </c>
      <c r="E473" s="1008" t="s">
        <v>529</v>
      </c>
      <c r="F473" s="986">
        <f>$I$205</f>
        <v>1601.6699999999998</v>
      </c>
      <c r="G473" s="1023">
        <v>1</v>
      </c>
      <c r="H473" s="991" t="str">
        <f>IF(E473="","",IF(E473="No.","Each",IF(E473="Nos.","Each",E473)))</f>
        <v>cu.m.</v>
      </c>
      <c r="I473" s="986">
        <f>IF(G473="",D473*F473,(D473*F473/G473))</f>
        <v>1281.336</v>
      </c>
    </row>
    <row r="474" spans="1:10" ht="15.75" customHeight="1">
      <c r="A474" s="1019"/>
      <c r="B474" s="1020"/>
      <c r="C474" s="792" t="s">
        <v>519</v>
      </c>
      <c r="D474" s="1005">
        <f>0.4</f>
        <v>0.4</v>
      </c>
      <c r="E474" s="1008" t="s">
        <v>529</v>
      </c>
      <c r="F474" s="986">
        <f>LEAD!$P$7</f>
        <v>437.11999999999983</v>
      </c>
      <c r="G474" s="1023">
        <v>1</v>
      </c>
      <c r="H474" s="991" t="str">
        <f>IF(E474="","",IF(E474="No.","Each",IF(E474="Nos.","Each",E474)))</f>
        <v>cu.m.</v>
      </c>
      <c r="I474" s="986">
        <f>IF(G474="",D474*F474,(D474*F474/G474))</f>
        <v>174.84799999999996</v>
      </c>
    </row>
    <row r="475" spans="1:10" ht="15.75" customHeight="1">
      <c r="A475" s="1019"/>
      <c r="B475" s="1020"/>
      <c r="C475" s="792" t="s">
        <v>235</v>
      </c>
      <c r="D475" s="1005">
        <v>350</v>
      </c>
      <c r="E475" s="1008" t="s">
        <v>462</v>
      </c>
      <c r="F475" s="986">
        <f>LEAD!$P$28</f>
        <v>7168</v>
      </c>
      <c r="G475" s="1023">
        <v>1000</v>
      </c>
      <c r="H475" s="991" t="str">
        <f>IF(E475="","",IF(E475="No.","Each",IF(E475="Nos.","Each",E475)))</f>
        <v>kgs</v>
      </c>
      <c r="I475" s="986">
        <f>IF(G475="",D475*F475,(D475*F475/G475))</f>
        <v>2508.8000000000002</v>
      </c>
    </row>
    <row r="476" spans="1:10" ht="15.75" customHeight="1">
      <c r="A476" s="1019"/>
      <c r="B476" s="1020"/>
      <c r="C476" s="792" t="s">
        <v>420</v>
      </c>
      <c r="D476" s="1005">
        <v>1.2</v>
      </c>
      <c r="E476" s="1008" t="s">
        <v>421</v>
      </c>
      <c r="F476" s="986">
        <f>LEAD!$P$27</f>
        <v>73</v>
      </c>
      <c r="G476" s="1023">
        <v>1</v>
      </c>
      <c r="H476" s="991" t="str">
        <f>IF(E476="","",IF(E476="No.","Each",IF(E476="Nos.","Each",E476)))</f>
        <v>KL</v>
      </c>
      <c r="I476" s="986">
        <f>IF(G476="",D476*F476,(D476*F476/G476))</f>
        <v>87.6</v>
      </c>
    </row>
    <row r="477" spans="1:10" ht="15.75" customHeight="1">
      <c r="A477" s="1019"/>
      <c r="B477" s="1020"/>
      <c r="C477" s="1117" t="s">
        <v>424</v>
      </c>
      <c r="D477" s="1005"/>
      <c r="E477" s="1008"/>
      <c r="F477" s="986"/>
      <c r="G477" s="1023"/>
      <c r="H477" s="991"/>
      <c r="I477" s="986"/>
    </row>
    <row r="478" spans="1:10" ht="15.75" customHeight="1">
      <c r="A478" s="1019"/>
      <c r="B478" s="1020"/>
      <c r="C478" s="792" t="s">
        <v>321</v>
      </c>
      <c r="D478" s="1005">
        <v>0.308</v>
      </c>
      <c r="E478" s="1008" t="s">
        <v>692</v>
      </c>
      <c r="F478" s="986">
        <f>$H$209</f>
        <v>675.7</v>
      </c>
      <c r="G478" s="1023">
        <v>1</v>
      </c>
      <c r="H478" s="991" t="str">
        <f>IF(E478="","",IF(E478="No.","Each",IF(E478="Nos.","Each",E478)))</f>
        <v>Hour</v>
      </c>
      <c r="I478" s="986">
        <f>IF(G478="",D478*F478,(D478*F478/G478))</f>
        <v>208.1156</v>
      </c>
    </row>
    <row r="479" spans="1:10" ht="15.75" customHeight="1">
      <c r="A479" s="1019"/>
      <c r="B479" s="1020"/>
      <c r="C479" s="792" t="s">
        <v>322</v>
      </c>
      <c r="D479" s="1005">
        <v>0.308</v>
      </c>
      <c r="E479" s="1008" t="s">
        <v>692</v>
      </c>
      <c r="F479" s="986">
        <f>$H$210</f>
        <v>237.5</v>
      </c>
      <c r="G479" s="1023">
        <v>1</v>
      </c>
      <c r="H479" s="991" t="str">
        <f>IF(E479="","",IF(E479="No.","Each",IF(E479="Nos.","Each",E479)))</f>
        <v>Hour</v>
      </c>
      <c r="I479" s="986">
        <f>IF(G479="",D479*F479,(D479*F479/G479))</f>
        <v>73.150000000000006</v>
      </c>
    </row>
    <row r="480" spans="1:10" ht="15.75" customHeight="1">
      <c r="A480" s="1019"/>
      <c r="B480" s="1020"/>
      <c r="C480" s="792" t="s">
        <v>239</v>
      </c>
      <c r="D480" s="1047">
        <f>$E$5</f>
        <v>0</v>
      </c>
      <c r="E480" s="1008"/>
      <c r="F480" s="986">
        <f>ROUND((D478*$G$209)+(D479*$G$210),2)</f>
        <v>194.53</v>
      </c>
      <c r="G480" s="1023">
        <v>1</v>
      </c>
      <c r="H480" s="991" t="str">
        <f>IF(E480="","",IF(E480="No.","Each",IF(E480="Nos.","Each",E480)))</f>
        <v/>
      </c>
      <c r="I480" s="986">
        <f>IF(G480="",D480*F480,(D480*F480/G480))</f>
        <v>0</v>
      </c>
    </row>
    <row r="481" spans="1:10" ht="15.75" customHeight="1">
      <c r="A481" s="1019"/>
      <c r="B481" s="1020"/>
      <c r="C481" s="1117" t="s">
        <v>132</v>
      </c>
      <c r="D481" s="1047"/>
      <c r="E481" s="1008"/>
      <c r="F481" s="986"/>
      <c r="G481" s="1023"/>
      <c r="H481" s="991"/>
      <c r="I481" s="986"/>
    </row>
    <row r="482" spans="1:10" ht="15.75" customHeight="1">
      <c r="A482" s="1019"/>
      <c r="B482" s="1020"/>
      <c r="C482" s="792" t="s">
        <v>377</v>
      </c>
      <c r="D482" s="1021">
        <v>6.7000000000000004E-2</v>
      </c>
      <c r="E482" s="1008" t="s">
        <v>499</v>
      </c>
      <c r="F482" s="986">
        <f>$F$9</f>
        <v>545</v>
      </c>
      <c r="G482" s="1023">
        <v>1</v>
      </c>
      <c r="H482" s="991" t="str">
        <f>IF(E482="","",IF(E482="No.","Each",IF(E482="Nos.","Each",E482)))</f>
        <v>Each</v>
      </c>
      <c r="I482" s="986">
        <f>IF(G482="",D482*F482,(D482*F482/G482))</f>
        <v>36.515000000000001</v>
      </c>
    </row>
    <row r="483" spans="1:10" ht="15.75" customHeight="1">
      <c r="A483" s="1019"/>
      <c r="B483" s="1020"/>
      <c r="C483" s="792" t="s">
        <v>378</v>
      </c>
      <c r="D483" s="1021">
        <v>0.13300000000000001</v>
      </c>
      <c r="E483" s="1008" t="s">
        <v>499</v>
      </c>
      <c r="F483" s="986">
        <f>$F$10</f>
        <v>515</v>
      </c>
      <c r="G483" s="1023">
        <v>1</v>
      </c>
      <c r="H483" s="991" t="str">
        <f>IF(E483="","",IF(E483="No.","Each",IF(E483="Nos.","Each",E483)))</f>
        <v>Each</v>
      </c>
      <c r="I483" s="986">
        <f>IF(G483="",D483*F483,(D483*F483/G483))</f>
        <v>68.495000000000005</v>
      </c>
    </row>
    <row r="484" spans="1:10" ht="15.75" customHeight="1">
      <c r="A484" s="1019"/>
      <c r="B484" s="1020"/>
      <c r="C484" s="792" t="s">
        <v>396</v>
      </c>
      <c r="D484" s="1021">
        <v>3.077</v>
      </c>
      <c r="E484" s="1008" t="s">
        <v>499</v>
      </c>
      <c r="F484" s="986">
        <f>$F$22</f>
        <v>490</v>
      </c>
      <c r="G484" s="1023">
        <v>1</v>
      </c>
      <c r="H484" s="991" t="str">
        <f>IF(E484="","",IF(E484="No.","Each",IF(E484="Nos.","Each",E484)))</f>
        <v>Each</v>
      </c>
      <c r="I484" s="986">
        <f>IF(G484="",D484*F484,(D484*F484/G484))</f>
        <v>1507.73</v>
      </c>
    </row>
    <row r="485" spans="1:10" ht="15.75" customHeight="1">
      <c r="A485" s="1019"/>
      <c r="B485" s="1020"/>
      <c r="C485" s="980" t="s">
        <v>593</v>
      </c>
      <c r="D485" s="1021"/>
      <c r="E485" s="1003"/>
      <c r="F485" s="1003"/>
      <c r="G485" s="1023"/>
      <c r="H485" s="1118" t="s">
        <v>466</v>
      </c>
      <c r="I485" s="1012">
        <f>SUM(I473:I484)</f>
        <v>5946.5895999999993</v>
      </c>
    </row>
    <row r="486" spans="1:10" ht="15.75" customHeight="1">
      <c r="A486" s="1019"/>
      <c r="B486" s="1020" t="s">
        <v>469</v>
      </c>
      <c r="C486" s="1118" t="s">
        <v>545</v>
      </c>
      <c r="D486" s="980"/>
      <c r="E486" s="1012"/>
      <c r="F486" s="1012"/>
      <c r="G486" s="1012"/>
      <c r="H486" s="1012"/>
      <c r="I486" s="1003"/>
    </row>
    <row r="487" spans="1:10" ht="15.75" customHeight="1">
      <c r="A487" s="1019"/>
      <c r="B487" s="1020"/>
      <c r="C487" s="1004" t="s">
        <v>428</v>
      </c>
      <c r="E487" s="1131" t="s">
        <v>501</v>
      </c>
      <c r="F487" s="1048" t="s">
        <v>502</v>
      </c>
      <c r="G487" s="1131" t="s">
        <v>503</v>
      </c>
      <c r="H487" s="1048" t="s">
        <v>709</v>
      </c>
      <c r="I487" s="1048" t="s">
        <v>502</v>
      </c>
      <c r="J487" s="1048" t="s">
        <v>502</v>
      </c>
    </row>
    <row r="488" spans="1:10" ht="15.75" customHeight="1">
      <c r="A488" s="1019"/>
      <c r="B488" s="1020"/>
      <c r="C488" s="792" t="s">
        <v>381</v>
      </c>
      <c r="E488" s="986">
        <f t="shared" ref="E488:J488" si="55">$I$485</f>
        <v>5946.5895999999993</v>
      </c>
      <c r="F488" s="986">
        <f t="shared" si="55"/>
        <v>5946.5895999999993</v>
      </c>
      <c r="G488" s="986">
        <f t="shared" si="55"/>
        <v>5946.5895999999993</v>
      </c>
      <c r="H488" s="986">
        <f t="shared" si="55"/>
        <v>5946.5895999999993</v>
      </c>
      <c r="I488" s="986">
        <f t="shared" si="55"/>
        <v>5946.5895999999993</v>
      </c>
      <c r="J488" s="986">
        <f t="shared" si="55"/>
        <v>5946.5895999999993</v>
      </c>
    </row>
    <row r="489" spans="1:10" ht="15.75" customHeight="1">
      <c r="A489" s="1019"/>
      <c r="B489" s="1020"/>
      <c r="C489" s="792" t="s">
        <v>580</v>
      </c>
      <c r="E489" s="986">
        <f t="shared" ref="E489:J489" si="56">$F$37</f>
        <v>1467</v>
      </c>
      <c r="F489" s="986">
        <f t="shared" si="56"/>
        <v>1467</v>
      </c>
      <c r="G489" s="986">
        <f t="shared" si="56"/>
        <v>1467</v>
      </c>
      <c r="H489" s="986">
        <f t="shared" si="56"/>
        <v>1467</v>
      </c>
      <c r="I489" s="986">
        <f t="shared" si="56"/>
        <v>1467</v>
      </c>
      <c r="J489" s="986">
        <f t="shared" si="56"/>
        <v>1467</v>
      </c>
    </row>
    <row r="490" spans="1:10" ht="15.75" customHeight="1">
      <c r="A490" s="1019"/>
      <c r="B490" s="1020"/>
      <c r="C490" s="792" t="s">
        <v>581</v>
      </c>
      <c r="E490" s="986">
        <f>$H$37</f>
        <v>1648</v>
      </c>
      <c r="F490" s="986">
        <f>$K$37</f>
        <v>1812.8</v>
      </c>
      <c r="G490" s="986">
        <f>$M$37</f>
        <v>1977.6</v>
      </c>
      <c r="H490" s="986">
        <f>$O$37</f>
        <v>2142.4</v>
      </c>
      <c r="I490" s="979">
        <f>E490*1.4</f>
        <v>2307.1999999999998</v>
      </c>
      <c r="J490" s="979">
        <f>E490*1.5</f>
        <v>2472</v>
      </c>
    </row>
    <row r="491" spans="1:10" ht="15.75" customHeight="1">
      <c r="A491" s="1019"/>
      <c r="B491" s="1020"/>
      <c r="C491" s="792" t="s">
        <v>417</v>
      </c>
      <c r="D491" s="1049">
        <f>$E$5</f>
        <v>0</v>
      </c>
      <c r="E491" s="986">
        <f t="shared" ref="E491:J491" si="57">ROUND($D$491*E490,2)</f>
        <v>0</v>
      </c>
      <c r="F491" s="986">
        <f t="shared" si="57"/>
        <v>0</v>
      </c>
      <c r="G491" s="986">
        <f t="shared" si="57"/>
        <v>0</v>
      </c>
      <c r="H491" s="986">
        <f t="shared" si="57"/>
        <v>0</v>
      </c>
      <c r="I491" s="986">
        <f t="shared" si="57"/>
        <v>0</v>
      </c>
      <c r="J491" s="986">
        <f t="shared" si="57"/>
        <v>0</v>
      </c>
    </row>
    <row r="492" spans="1:10" ht="15.75" customHeight="1">
      <c r="A492" s="1019"/>
      <c r="B492" s="1020"/>
      <c r="C492" s="792" t="s">
        <v>418</v>
      </c>
      <c r="E492" s="986"/>
      <c r="F492" s="986">
        <f>ROUND(0.1*($I$484+$I$483+$I$482),2)</f>
        <v>161.27000000000001</v>
      </c>
      <c r="G492" s="986">
        <f>ROUND(0.2*($I$484+$I$483+$I$482),2)</f>
        <v>322.55</v>
      </c>
      <c r="H492" s="986">
        <f>ROUND(0.3*($I$484+$I$483+$I$482),2)</f>
        <v>483.82</v>
      </c>
      <c r="I492" s="986">
        <f>ROUND(0.4*($I$484+$I$483+$I$482),2)</f>
        <v>645.1</v>
      </c>
      <c r="J492" s="986">
        <f>ROUND(0.5*($I$484+$I$483+$I$482),2)</f>
        <v>806.37</v>
      </c>
    </row>
    <row r="493" spans="1:10" ht="15.75" customHeight="1">
      <c r="A493" s="1019"/>
      <c r="B493" s="1020"/>
      <c r="E493" s="986">
        <f t="shared" ref="E493:J493" si="58">SUM(E488:E492)</f>
        <v>9061.5895999999993</v>
      </c>
      <c r="F493" s="986">
        <f t="shared" si="58"/>
        <v>9387.659599999999</v>
      </c>
      <c r="G493" s="986">
        <f t="shared" si="58"/>
        <v>9713.739599999999</v>
      </c>
      <c r="H493" s="986">
        <f t="shared" si="58"/>
        <v>10039.809599999999</v>
      </c>
      <c r="I493" s="986">
        <f t="shared" si="58"/>
        <v>10365.8896</v>
      </c>
      <c r="J493" s="986">
        <f t="shared" si="58"/>
        <v>10691.9596</v>
      </c>
    </row>
    <row r="494" spans="1:10" ht="15.75" customHeight="1">
      <c r="A494" s="1019"/>
      <c r="B494" s="1020"/>
      <c r="C494" s="1124" t="s">
        <v>1014</v>
      </c>
      <c r="D494" s="1026">
        <f>$D$3</f>
        <v>0</v>
      </c>
      <c r="E494" s="986">
        <f t="shared" ref="E494:J494" si="59">ROUND(E493*$D$312,2)</f>
        <v>0</v>
      </c>
      <c r="F494" s="986">
        <f t="shared" si="59"/>
        <v>0</v>
      </c>
      <c r="G494" s="986">
        <f t="shared" si="59"/>
        <v>0</v>
      </c>
      <c r="H494" s="986">
        <f t="shared" si="59"/>
        <v>0</v>
      </c>
      <c r="I494" s="986">
        <f t="shared" si="59"/>
        <v>0</v>
      </c>
      <c r="J494" s="986">
        <f t="shared" si="59"/>
        <v>0</v>
      </c>
    </row>
    <row r="495" spans="1:10" ht="15.75" customHeight="1">
      <c r="A495" s="1019"/>
      <c r="B495" s="1020"/>
      <c r="C495" s="980" t="s">
        <v>539</v>
      </c>
      <c r="D495" s="980" t="s">
        <v>466</v>
      </c>
      <c r="E495" s="1012">
        <f>CEILING(SUM(E493:E494),0.05)</f>
        <v>9061.6</v>
      </c>
      <c r="F495" s="1012">
        <f>CEILING(SUM(F493:F494),0.05)</f>
        <v>9387.7000000000007</v>
      </c>
      <c r="G495" s="1012">
        <f>CEILING(SUM(G493:G494),0.05)</f>
        <v>9713.75</v>
      </c>
      <c r="H495" s="1012">
        <f>CEILING(SUM(H493:H494),0.05)</f>
        <v>10039.85</v>
      </c>
      <c r="I495" s="1012">
        <f>CEILING(SUM(I493:I494),1)</f>
        <v>10366</v>
      </c>
      <c r="J495" s="1012">
        <f>CEILING(SUM(J493:J494),1)</f>
        <v>10692</v>
      </c>
    </row>
    <row r="496" spans="1:10" ht="15.75" customHeight="1">
      <c r="A496" s="1019"/>
      <c r="B496" s="1020"/>
      <c r="C496" s="980"/>
      <c r="D496" s="980"/>
      <c r="E496" s="1012"/>
      <c r="F496" s="1012"/>
      <c r="G496" s="1012"/>
      <c r="H496" s="1012"/>
    </row>
    <row r="497" spans="1:9" ht="25.5" customHeight="1">
      <c r="A497" s="1019"/>
      <c r="B497" s="1020" t="s">
        <v>1</v>
      </c>
      <c r="C497" s="1127" t="s">
        <v>2213</v>
      </c>
      <c r="D497" s="1021"/>
      <c r="E497" s="1003"/>
      <c r="F497" s="1003"/>
      <c r="G497" s="1023"/>
      <c r="H497" s="1116"/>
      <c r="I497" s="1003"/>
    </row>
    <row r="498" spans="1:9" ht="12.75" customHeight="1">
      <c r="A498" s="1019"/>
      <c r="B498" s="1020"/>
      <c r="C498" s="792" t="s">
        <v>280</v>
      </c>
      <c r="D498" s="1021">
        <v>7.4999999999999997E-2</v>
      </c>
      <c r="E498" s="1003" t="s">
        <v>529</v>
      </c>
      <c r="F498" s="986">
        <f>$I$485</f>
        <v>5946.5895999999993</v>
      </c>
      <c r="G498" s="1023">
        <v>1</v>
      </c>
      <c r="H498" s="991" t="str">
        <f>IF(E498="","",IF(E498="No.","Each",IF(E498="Nos.","Each",E498)))</f>
        <v>cu.m.</v>
      </c>
      <c r="I498" s="986">
        <f>IF(G498="",D498*F498,(D498*F498/G498))</f>
        <v>445.99421999999993</v>
      </c>
    </row>
    <row r="499" spans="1:9" ht="12.75" customHeight="1">
      <c r="A499" s="1019"/>
      <c r="B499" s="1020"/>
      <c r="D499" s="1021"/>
      <c r="E499" s="1003"/>
      <c r="F499" s="986"/>
      <c r="G499" s="1023"/>
      <c r="H499" s="991"/>
      <c r="I499" s="986"/>
    </row>
    <row r="500" spans="1:9" ht="12.75" customHeight="1">
      <c r="A500" s="1019"/>
      <c r="B500" s="1020"/>
      <c r="C500" s="1004" t="s">
        <v>428</v>
      </c>
      <c r="E500" s="1131" t="s">
        <v>501</v>
      </c>
      <c r="F500" s="1048" t="s">
        <v>502</v>
      </c>
      <c r="G500" s="1131" t="s">
        <v>503</v>
      </c>
      <c r="H500" s="1048" t="s">
        <v>709</v>
      </c>
      <c r="I500" s="1048"/>
    </row>
    <row r="501" spans="1:9" ht="12.75" customHeight="1">
      <c r="A501" s="1019"/>
      <c r="B501" s="1020"/>
      <c r="C501" s="792" t="s">
        <v>381</v>
      </c>
      <c r="E501" s="986">
        <f>$I$498</f>
        <v>445.99421999999993</v>
      </c>
      <c r="F501" s="986">
        <f>$I$498</f>
        <v>445.99421999999993</v>
      </c>
      <c r="G501" s="986">
        <f>$I$498</f>
        <v>445.99421999999993</v>
      </c>
      <c r="H501" s="986">
        <f>$I$498</f>
        <v>445.99421999999993</v>
      </c>
      <c r="I501" s="986"/>
    </row>
    <row r="502" spans="1:9" ht="12.75" customHeight="1">
      <c r="A502" s="1019"/>
      <c r="B502" s="1020"/>
      <c r="C502" s="792" t="s">
        <v>580</v>
      </c>
      <c r="E502" s="986">
        <f>$F$38</f>
        <v>166</v>
      </c>
      <c r="F502" s="986">
        <f>$F$38</f>
        <v>166</v>
      </c>
      <c r="G502" s="986">
        <f>$F$38</f>
        <v>166</v>
      </c>
      <c r="H502" s="986">
        <f>$F$38</f>
        <v>166</v>
      </c>
      <c r="I502" s="986"/>
    </row>
    <row r="503" spans="1:9" ht="12.75" customHeight="1">
      <c r="A503" s="1019"/>
      <c r="B503" s="1020"/>
      <c r="C503" s="792" t="s">
        <v>581</v>
      </c>
      <c r="E503" s="986">
        <f>$H$38</f>
        <v>187</v>
      </c>
      <c r="F503" s="986">
        <f>$K$38</f>
        <v>205.7</v>
      </c>
      <c r="G503" s="986">
        <f>$M$38</f>
        <v>224.4</v>
      </c>
      <c r="H503" s="986">
        <f>$O$38</f>
        <v>243.1</v>
      </c>
      <c r="I503" s="986"/>
    </row>
    <row r="504" spans="1:9" ht="12.75" customHeight="1">
      <c r="A504" s="1019"/>
      <c r="B504" s="1020"/>
      <c r="C504" s="792" t="s">
        <v>417</v>
      </c>
      <c r="D504" s="1049">
        <f>$E$5</f>
        <v>0</v>
      </c>
      <c r="E504" s="986">
        <f>ROUND($D$504*E503,2)</f>
        <v>0</v>
      </c>
      <c r="F504" s="986">
        <f>ROUND($D$504*F503,2)</f>
        <v>0</v>
      </c>
      <c r="G504" s="986">
        <f>ROUND($D$504*G503,2)</f>
        <v>0</v>
      </c>
      <c r="H504" s="986">
        <f>ROUND($D$504*H503,2)</f>
        <v>0</v>
      </c>
      <c r="I504" s="986"/>
    </row>
    <row r="505" spans="1:9" ht="12.75" customHeight="1">
      <c r="A505" s="1019"/>
      <c r="B505" s="1020"/>
      <c r="C505" s="792" t="s">
        <v>418</v>
      </c>
      <c r="E505" s="986"/>
      <c r="F505" s="986">
        <f>ROUND(0.1*D498*($I$484+$I$483+$I$482),2)</f>
        <v>12.1</v>
      </c>
      <c r="G505" s="986">
        <f>ROUND(0.2*D498*($I$484+$I$483+$I$482),2)</f>
        <v>24.19</v>
      </c>
      <c r="H505" s="986">
        <f>ROUND(0.3*D498*($I$484+$I$483+$I$482),2)</f>
        <v>36.29</v>
      </c>
      <c r="I505" s="986"/>
    </row>
    <row r="506" spans="1:9" ht="12.75" customHeight="1">
      <c r="A506" s="1019"/>
      <c r="B506" s="1020"/>
      <c r="E506" s="986">
        <f>SUM(E501:E505)</f>
        <v>798.99421999999993</v>
      </c>
      <c r="F506" s="986">
        <f>SUM(F501:F505)</f>
        <v>829.79421999999988</v>
      </c>
      <c r="G506" s="986">
        <f>SUM(G501:G505)</f>
        <v>860.58421999999996</v>
      </c>
      <c r="H506" s="986">
        <f>SUM(H501:H505)</f>
        <v>891.38421999999991</v>
      </c>
      <c r="I506" s="986"/>
    </row>
    <row r="507" spans="1:9" ht="12.75" customHeight="1">
      <c r="A507" s="1019"/>
      <c r="B507" s="1020"/>
      <c r="C507" s="1124" t="s">
        <v>1014</v>
      </c>
      <c r="D507" s="1026">
        <f>$D$3</f>
        <v>0</v>
      </c>
      <c r="E507" s="986">
        <f>ROUND(E506*$D$312,2)</f>
        <v>0</v>
      </c>
      <c r="F507" s="986">
        <f>ROUND(F506*$D$312,2)</f>
        <v>0</v>
      </c>
      <c r="G507" s="986">
        <f>ROUND(G506*$D$312,2)</f>
        <v>0</v>
      </c>
      <c r="H507" s="986">
        <f>ROUND(H506*$D$312,2)</f>
        <v>0</v>
      </c>
      <c r="I507" s="986"/>
    </row>
    <row r="508" spans="1:9" ht="12.75" customHeight="1">
      <c r="A508" s="1019"/>
      <c r="B508" s="1020"/>
      <c r="C508" s="980" t="s">
        <v>281</v>
      </c>
      <c r="D508" s="980" t="s">
        <v>466</v>
      </c>
      <c r="E508" s="1012">
        <f>CEILING(SUM(E506:E507),0.05)</f>
        <v>799</v>
      </c>
      <c r="F508" s="1012">
        <f>CEILING(SUM(F506:F507),0.05)</f>
        <v>829.80000000000007</v>
      </c>
      <c r="G508" s="1012">
        <f>CEILING(SUM(G506:G507),0.05)</f>
        <v>860.6</v>
      </c>
      <c r="H508" s="1012">
        <f>CEILING(SUM(H506:H507),0.05)</f>
        <v>891.40000000000009</v>
      </c>
    </row>
    <row r="509" spans="1:9" ht="12.75" customHeight="1">
      <c r="A509" s="1019"/>
      <c r="B509" s="1020"/>
      <c r="C509" s="980"/>
      <c r="D509" s="980"/>
      <c r="E509" s="1012"/>
      <c r="F509" s="1012"/>
      <c r="G509" s="1012"/>
      <c r="H509" s="1012"/>
    </row>
    <row r="510" spans="1:9" ht="25.5" customHeight="1">
      <c r="A510" s="1019"/>
      <c r="B510" s="1020" t="s">
        <v>363</v>
      </c>
      <c r="C510" s="1127" t="s">
        <v>2214</v>
      </c>
      <c r="D510" s="1021"/>
      <c r="E510" s="1003"/>
      <c r="F510" s="1003"/>
      <c r="G510" s="1023"/>
      <c r="H510" s="1116"/>
      <c r="I510" s="1003"/>
    </row>
    <row r="511" spans="1:9" ht="12.75" customHeight="1">
      <c r="A511" s="1019"/>
      <c r="B511" s="1020"/>
      <c r="C511" s="792" t="s">
        <v>86</v>
      </c>
      <c r="D511" s="1021">
        <v>0.1</v>
      </c>
      <c r="E511" s="1003" t="s">
        <v>529</v>
      </c>
      <c r="F511" s="986">
        <f>$I$485</f>
        <v>5946.5895999999993</v>
      </c>
      <c r="G511" s="1023">
        <v>1</v>
      </c>
      <c r="H511" s="991" t="str">
        <f>IF(E511="","",IF(E511="No.","Each",IF(E511="Nos.","Each",E511)))</f>
        <v>cu.m.</v>
      </c>
      <c r="I511" s="986">
        <f>IF(G511="",D511*F511,(D511*F511/G511))</f>
        <v>594.65895999999998</v>
      </c>
    </row>
    <row r="512" spans="1:9" ht="12.75" customHeight="1">
      <c r="A512" s="1019"/>
      <c r="B512" s="1020"/>
      <c r="D512" s="1021"/>
      <c r="E512" s="1003"/>
      <c r="F512" s="986"/>
      <c r="G512" s="1023"/>
      <c r="H512" s="991"/>
      <c r="I512" s="1048"/>
    </row>
    <row r="513" spans="1:9" ht="12.75" customHeight="1">
      <c r="A513" s="1019"/>
      <c r="B513" s="1020"/>
      <c r="C513" s="1004" t="s">
        <v>428</v>
      </c>
      <c r="E513" s="1131" t="s">
        <v>501</v>
      </c>
      <c r="F513" s="1048" t="s">
        <v>502</v>
      </c>
      <c r="G513" s="1131" t="s">
        <v>503</v>
      </c>
      <c r="H513" s="1048" t="s">
        <v>709</v>
      </c>
      <c r="I513" s="1048" t="s">
        <v>502</v>
      </c>
    </row>
    <row r="514" spans="1:9" ht="12.75" customHeight="1">
      <c r="A514" s="1019"/>
      <c r="B514" s="1020"/>
      <c r="C514" s="792" t="s">
        <v>381</v>
      </c>
      <c r="E514" s="986">
        <f>$I$511</f>
        <v>594.65895999999998</v>
      </c>
      <c r="F514" s="986">
        <f>$I$511</f>
        <v>594.65895999999998</v>
      </c>
      <c r="G514" s="986">
        <f>$I$511</f>
        <v>594.65895999999998</v>
      </c>
      <c r="H514" s="986">
        <f>$I$511</f>
        <v>594.65895999999998</v>
      </c>
      <c r="I514" s="986">
        <f>H514</f>
        <v>594.65895999999998</v>
      </c>
    </row>
    <row r="515" spans="1:9" ht="12.75" customHeight="1">
      <c r="A515" s="1019"/>
      <c r="B515" s="1020"/>
      <c r="C515" s="792" t="s">
        <v>580</v>
      </c>
      <c r="E515" s="986">
        <f>$F$38</f>
        <v>166</v>
      </c>
      <c r="F515" s="986">
        <f>$F$38</f>
        <v>166</v>
      </c>
      <c r="G515" s="986">
        <f>$F$38</f>
        <v>166</v>
      </c>
      <c r="H515" s="986">
        <f>$F$38</f>
        <v>166</v>
      </c>
      <c r="I515" s="986">
        <f>$F$38</f>
        <v>166</v>
      </c>
    </row>
    <row r="516" spans="1:9" ht="12.75" customHeight="1">
      <c r="A516" s="1019"/>
      <c r="B516" s="1020"/>
      <c r="C516" s="792" t="s">
        <v>581</v>
      </c>
      <c r="E516" s="986">
        <f>$H$38</f>
        <v>187</v>
      </c>
      <c r="F516" s="986">
        <f>$K$38</f>
        <v>205.7</v>
      </c>
      <c r="G516" s="986">
        <f>$M$38</f>
        <v>224.4</v>
      </c>
      <c r="H516" s="986">
        <f>$O$38</f>
        <v>243.1</v>
      </c>
      <c r="I516" s="986">
        <f>$Q$38</f>
        <v>261.8</v>
      </c>
    </row>
    <row r="517" spans="1:9" ht="12.75" customHeight="1">
      <c r="A517" s="1019"/>
      <c r="B517" s="1020"/>
      <c r="C517" s="792" t="s">
        <v>417</v>
      </c>
      <c r="D517" s="1049">
        <f>$E$5</f>
        <v>0</v>
      </c>
      <c r="E517" s="986">
        <f>ROUND($D$517*E516,2)</f>
        <v>0</v>
      </c>
      <c r="F517" s="986">
        <f>ROUND($D$517*F516,2)</f>
        <v>0</v>
      </c>
      <c r="G517" s="986">
        <f>ROUND($D$517*G516,2)</f>
        <v>0</v>
      </c>
      <c r="H517" s="986">
        <f>ROUND($D$517*H516,2)</f>
        <v>0</v>
      </c>
      <c r="I517" s="986">
        <f>ROUND($D$517*I516,2)</f>
        <v>0</v>
      </c>
    </row>
    <row r="518" spans="1:9" ht="12.75" customHeight="1">
      <c r="A518" s="1019"/>
      <c r="B518" s="1020"/>
      <c r="C518" s="792" t="s">
        <v>418</v>
      </c>
      <c r="E518" s="986"/>
      <c r="F518" s="986">
        <f>ROUND(0.1*D511*($I$484+$I$483+$I$482),2)</f>
        <v>16.13</v>
      </c>
      <c r="G518" s="986">
        <f>ROUND(0.2*D511*($I$484+$I$483+$I$482),2)</f>
        <v>32.25</v>
      </c>
      <c r="H518" s="986">
        <f>ROUND(0.3*D511*($I$484+$I$483+$I$482),2)</f>
        <v>48.38</v>
      </c>
      <c r="I518" s="986">
        <f>ROUND(0.4*D511*($I$484+$I$483+$I$482),2)</f>
        <v>64.510000000000005</v>
      </c>
    </row>
    <row r="519" spans="1:9" ht="12.75" customHeight="1">
      <c r="A519" s="1019"/>
      <c r="B519" s="1020"/>
      <c r="E519" s="986">
        <f>SUM(E514:E518)</f>
        <v>947.65895999999998</v>
      </c>
      <c r="F519" s="986">
        <f>SUM(F514:F518)</f>
        <v>982.48896000000002</v>
      </c>
      <c r="G519" s="986">
        <f>SUM(G514:G518)</f>
        <v>1017.30896</v>
      </c>
      <c r="H519" s="986">
        <f>SUM(H514:H518)</f>
        <v>1052.13896</v>
      </c>
      <c r="I519" s="986">
        <f>SUM(I514:I518)</f>
        <v>1086.9689599999999</v>
      </c>
    </row>
    <row r="520" spans="1:9" ht="12.75" customHeight="1">
      <c r="A520" s="1019"/>
      <c r="B520" s="1020"/>
      <c r="C520" s="1124" t="s">
        <v>1014</v>
      </c>
      <c r="D520" s="1026">
        <f>$D$3</f>
        <v>0</v>
      </c>
      <c r="E520" s="986">
        <f>ROUND(E519*$D$312,2)</f>
        <v>0</v>
      </c>
      <c r="F520" s="986">
        <f>ROUND(F519*$D$312,2)</f>
        <v>0</v>
      </c>
      <c r="G520" s="986">
        <f>ROUND(G519*$D$312,2)</f>
        <v>0</v>
      </c>
      <c r="H520" s="986">
        <f>ROUND(H519*$D$312,2)</f>
        <v>0</v>
      </c>
      <c r="I520" s="986">
        <f>ROUND(I519*$D$312,2)</f>
        <v>0</v>
      </c>
    </row>
    <row r="521" spans="1:9" ht="12.75" customHeight="1">
      <c r="A521" s="1019"/>
      <c r="B521" s="1020"/>
      <c r="C521" s="980" t="s">
        <v>281</v>
      </c>
      <c r="D521" s="980" t="s">
        <v>466</v>
      </c>
      <c r="E521" s="1012">
        <f>CEILING(SUM(E519:E520),0.05)</f>
        <v>947.7</v>
      </c>
      <c r="F521" s="1012">
        <f>CEILING(SUM(F519:F520),0.05)</f>
        <v>982.5</v>
      </c>
      <c r="G521" s="1012">
        <f>CEILING(SUM(G519:G520),0.05)</f>
        <v>1017.35</v>
      </c>
      <c r="H521" s="1012">
        <f>CEILING(SUM(H519:H520),0.05)</f>
        <v>1052.1500000000001</v>
      </c>
      <c r="I521" s="1012">
        <f>CEILING(SUM(I519:I520),0.05)</f>
        <v>1087</v>
      </c>
    </row>
    <row r="522" spans="1:9" ht="25.5" customHeight="1">
      <c r="A522" s="1019"/>
      <c r="B522" s="1020" t="s">
        <v>361</v>
      </c>
      <c r="C522" s="1127" t="s">
        <v>2215</v>
      </c>
      <c r="D522" s="1021"/>
      <c r="E522" s="1003"/>
      <c r="F522" s="1003"/>
      <c r="G522" s="1023"/>
      <c r="H522" s="1116"/>
      <c r="I522" s="1003"/>
    </row>
    <row r="523" spans="1:9" ht="12.75" customHeight="1">
      <c r="A523" s="1019"/>
      <c r="B523" s="1020"/>
      <c r="C523" s="792" t="s">
        <v>177</v>
      </c>
      <c r="D523" s="1021">
        <v>0.11</v>
      </c>
      <c r="E523" s="1003" t="s">
        <v>529</v>
      </c>
      <c r="F523" s="986">
        <f>$I$485</f>
        <v>5946.5895999999993</v>
      </c>
      <c r="G523" s="1023">
        <v>1</v>
      </c>
      <c r="H523" s="991" t="str">
        <f>IF(E523="","",IF(E523="No.","Each",IF(E523="Nos.","Each",E523)))</f>
        <v>cu.m.</v>
      </c>
      <c r="I523" s="986">
        <f>IF(G523="",D523*F523,(D523*F523/G523))</f>
        <v>654.12485599999991</v>
      </c>
    </row>
    <row r="524" spans="1:9" ht="12.75" customHeight="1">
      <c r="A524" s="1019"/>
      <c r="B524" s="1020"/>
      <c r="D524" s="1021"/>
      <c r="E524" s="1003"/>
      <c r="F524" s="986"/>
      <c r="G524" s="1023"/>
      <c r="H524" s="991"/>
      <c r="I524" s="1048"/>
    </row>
    <row r="525" spans="1:9" ht="12.75" customHeight="1">
      <c r="A525" s="1019"/>
      <c r="B525" s="1020"/>
      <c r="C525" s="1004" t="s">
        <v>428</v>
      </c>
      <c r="E525" s="1131" t="s">
        <v>501</v>
      </c>
      <c r="F525" s="1048" t="s">
        <v>502</v>
      </c>
      <c r="G525" s="1131" t="s">
        <v>503</v>
      </c>
      <c r="H525" s="1048" t="s">
        <v>709</v>
      </c>
      <c r="I525" s="986"/>
    </row>
    <row r="526" spans="1:9" ht="12.75" customHeight="1">
      <c r="A526" s="1019"/>
      <c r="B526" s="1020"/>
      <c r="C526" s="792" t="s">
        <v>381</v>
      </c>
      <c r="E526" s="986">
        <f>I523</f>
        <v>654.12485599999991</v>
      </c>
      <c r="F526" s="986">
        <f>I523</f>
        <v>654.12485599999991</v>
      </c>
      <c r="G526" s="986">
        <f>I523</f>
        <v>654.12485599999991</v>
      </c>
      <c r="H526" s="986">
        <f>I523</f>
        <v>654.12485599999991</v>
      </c>
      <c r="I526" s="986"/>
    </row>
    <row r="527" spans="1:9" ht="12.75" customHeight="1">
      <c r="A527" s="1019"/>
      <c r="B527" s="1020"/>
      <c r="C527" s="792" t="s">
        <v>580</v>
      </c>
      <c r="E527" s="986">
        <f>$F$38</f>
        <v>166</v>
      </c>
      <c r="F527" s="986">
        <f>$F$38</f>
        <v>166</v>
      </c>
      <c r="G527" s="986">
        <f>$F$38</f>
        <v>166</v>
      </c>
      <c r="H527" s="986">
        <f>$F$38</f>
        <v>166</v>
      </c>
      <c r="I527" s="986"/>
    </row>
    <row r="528" spans="1:9" ht="12.75" customHeight="1">
      <c r="A528" s="1019"/>
      <c r="B528" s="1020"/>
      <c r="C528" s="792" t="s">
        <v>581</v>
      </c>
      <c r="E528" s="986">
        <f>$H$38</f>
        <v>187</v>
      </c>
      <c r="F528" s="986">
        <f>$K$38</f>
        <v>205.7</v>
      </c>
      <c r="G528" s="986">
        <f>$M$38</f>
        <v>224.4</v>
      </c>
      <c r="H528" s="986">
        <f>$O$38</f>
        <v>243.1</v>
      </c>
      <c r="I528" s="986"/>
    </row>
    <row r="529" spans="1:9" ht="12.75" customHeight="1">
      <c r="A529" s="1019"/>
      <c r="B529" s="1020"/>
      <c r="C529" s="792" t="s">
        <v>417</v>
      </c>
      <c r="D529" s="1049">
        <f>$E$5</f>
        <v>0</v>
      </c>
      <c r="E529" s="986">
        <f>ROUND($D$529*E528,2)</f>
        <v>0</v>
      </c>
      <c r="F529" s="986">
        <f>ROUND($D$529*F528,2)</f>
        <v>0</v>
      </c>
      <c r="G529" s="986">
        <f>ROUND($D$529*G528,2)</f>
        <v>0</v>
      </c>
      <c r="H529" s="986">
        <f>ROUND($D$529*H528,2)</f>
        <v>0</v>
      </c>
      <c r="I529" s="986"/>
    </row>
    <row r="530" spans="1:9" ht="12.75" customHeight="1">
      <c r="A530" s="1019"/>
      <c r="B530" s="1020"/>
      <c r="C530" s="792" t="s">
        <v>418</v>
      </c>
      <c r="E530" s="986"/>
      <c r="F530" s="986">
        <f>ROUND(0.1*D523*($I$484+$I$483+$I$482),2)</f>
        <v>17.739999999999998</v>
      </c>
      <c r="G530" s="986">
        <f>ROUND(0.2*D523*($I$484+$I$483+$I$482),2)</f>
        <v>35.479999999999997</v>
      </c>
      <c r="H530" s="986">
        <f>ROUND(0.3*D523*($I$484+$I$483+$I$482),2)</f>
        <v>53.22</v>
      </c>
      <c r="I530" s="986"/>
    </row>
    <row r="531" spans="1:9" ht="12.75" customHeight="1">
      <c r="A531" s="1019"/>
      <c r="B531" s="1020"/>
      <c r="E531" s="986">
        <f>SUM(E526:E530)</f>
        <v>1007.1248559999999</v>
      </c>
      <c r="F531" s="986">
        <f>SUM(F526:F530)</f>
        <v>1043.564856</v>
      </c>
      <c r="G531" s="986">
        <f>SUM(G526:G530)</f>
        <v>1080.004856</v>
      </c>
      <c r="H531" s="986">
        <f>SUM(H526:H530)</f>
        <v>1116.4448559999998</v>
      </c>
      <c r="I531" s="986"/>
    </row>
    <row r="532" spans="1:9" ht="12.75" customHeight="1">
      <c r="A532" s="1019"/>
      <c r="B532" s="1020"/>
      <c r="C532" s="1124" t="s">
        <v>1014</v>
      </c>
      <c r="D532" s="1026">
        <f>$D$3</f>
        <v>0</v>
      </c>
      <c r="E532" s="986">
        <f>ROUND(E531*$D$312,2)</f>
        <v>0</v>
      </c>
      <c r="F532" s="986">
        <f>ROUND(F531*$D$312,2)</f>
        <v>0</v>
      </c>
      <c r="G532" s="986">
        <f>ROUND(G531*$D$312,2)</f>
        <v>0</v>
      </c>
      <c r="H532" s="986">
        <f>ROUND(H531*$D$312,2)</f>
        <v>0</v>
      </c>
      <c r="I532" s="986"/>
    </row>
    <row r="533" spans="1:9" ht="12.75" customHeight="1">
      <c r="A533" s="1019"/>
      <c r="B533" s="1020"/>
      <c r="C533" s="980" t="s">
        <v>281</v>
      </c>
      <c r="D533" s="980" t="s">
        <v>466</v>
      </c>
      <c r="E533" s="1012">
        <f>CEILING(SUM(E531:E532),0.05)</f>
        <v>1007.1500000000001</v>
      </c>
      <c r="F533" s="1012">
        <f>CEILING(SUM(F531:F532),0.05)</f>
        <v>1043.6000000000001</v>
      </c>
      <c r="G533" s="1012">
        <f>CEILING(SUM(G531:G532),0.05)</f>
        <v>1080.05</v>
      </c>
      <c r="H533" s="1012">
        <f>CEILING(SUM(H531:H532),0.05)</f>
        <v>1116.45</v>
      </c>
    </row>
    <row r="534" spans="1:9" ht="12.75" customHeight="1">
      <c r="A534" s="1019"/>
      <c r="B534" s="1020"/>
      <c r="C534" s="980"/>
      <c r="D534" s="980"/>
      <c r="E534" s="1012"/>
      <c r="F534" s="1012"/>
      <c r="G534" s="1012"/>
      <c r="H534" s="1012"/>
    </row>
    <row r="535" spans="1:9" ht="25.5" customHeight="1">
      <c r="A535" s="1019"/>
      <c r="B535" s="1020" t="s">
        <v>1</v>
      </c>
      <c r="C535" s="1127" t="s">
        <v>2216</v>
      </c>
      <c r="D535" s="1021"/>
      <c r="E535" s="1003"/>
      <c r="F535" s="1003"/>
      <c r="G535" s="1023"/>
      <c r="H535" s="1116"/>
      <c r="I535" s="1003"/>
    </row>
    <row r="536" spans="1:9" ht="12.75" customHeight="1">
      <c r="A536" s="1019"/>
      <c r="B536" s="1020"/>
      <c r="C536" s="792" t="s">
        <v>176</v>
      </c>
      <c r="D536" s="1021">
        <v>0.115</v>
      </c>
      <c r="E536" s="1003" t="s">
        <v>529</v>
      </c>
      <c r="F536" s="986">
        <f>$I$485</f>
        <v>5946.5895999999993</v>
      </c>
      <c r="G536" s="1023">
        <v>1</v>
      </c>
      <c r="H536" s="991" t="str">
        <f>IF(E536="","",IF(E536="No.","Each",IF(E536="Nos.","Each",E536)))</f>
        <v>cu.m.</v>
      </c>
      <c r="I536" s="986">
        <f>IF(G536="",D536*F536,(D536*F536/G536))</f>
        <v>683.85780399999999</v>
      </c>
    </row>
    <row r="537" spans="1:9" ht="12.75" customHeight="1">
      <c r="A537" s="1019"/>
      <c r="B537" s="1020"/>
      <c r="D537" s="1021"/>
      <c r="E537" s="1003"/>
      <c r="F537" s="986"/>
      <c r="G537" s="1023"/>
      <c r="H537" s="991"/>
      <c r="I537" s="986"/>
    </row>
    <row r="538" spans="1:9" ht="12.75" customHeight="1">
      <c r="A538" s="1019"/>
      <c r="B538" s="1020"/>
      <c r="C538" s="1004" t="s">
        <v>428</v>
      </c>
      <c r="E538" s="1131" t="s">
        <v>501</v>
      </c>
      <c r="F538" s="1048" t="s">
        <v>502</v>
      </c>
      <c r="G538" s="1131" t="s">
        <v>503</v>
      </c>
      <c r="H538" s="1048" t="s">
        <v>709</v>
      </c>
      <c r="I538" s="986"/>
    </row>
    <row r="539" spans="1:9" ht="12.75" customHeight="1">
      <c r="A539" s="1019"/>
      <c r="B539" s="1020"/>
      <c r="C539" s="792" t="s">
        <v>381</v>
      </c>
      <c r="E539" s="986">
        <f>I536</f>
        <v>683.85780399999999</v>
      </c>
      <c r="F539" s="986">
        <f>I536</f>
        <v>683.85780399999999</v>
      </c>
      <c r="G539" s="986">
        <f>I536</f>
        <v>683.85780399999999</v>
      </c>
      <c r="H539" s="986">
        <f>I536</f>
        <v>683.85780399999999</v>
      </c>
      <c r="I539" s="986"/>
    </row>
    <row r="540" spans="1:9" ht="12.75" customHeight="1">
      <c r="A540" s="1019"/>
      <c r="B540" s="1020"/>
      <c r="C540" s="792" t="s">
        <v>580</v>
      </c>
      <c r="E540" s="986">
        <f>$F$38</f>
        <v>166</v>
      </c>
      <c r="F540" s="986">
        <f>$F$38</f>
        <v>166</v>
      </c>
      <c r="G540" s="986">
        <f>$F$38</f>
        <v>166</v>
      </c>
      <c r="H540" s="986">
        <f>$F$38</f>
        <v>166</v>
      </c>
      <c r="I540" s="986"/>
    </row>
    <row r="541" spans="1:9" ht="12.75" customHeight="1">
      <c r="A541" s="1019"/>
      <c r="B541" s="1020"/>
      <c r="C541" s="792" t="s">
        <v>581</v>
      </c>
      <c r="E541" s="986">
        <f>$H$38</f>
        <v>187</v>
      </c>
      <c r="F541" s="986">
        <f>$K$38</f>
        <v>205.7</v>
      </c>
      <c r="G541" s="986">
        <f>$M$38</f>
        <v>224.4</v>
      </c>
      <c r="H541" s="986">
        <f>$O$38</f>
        <v>243.1</v>
      </c>
      <c r="I541" s="1012"/>
    </row>
    <row r="542" spans="1:9" ht="12.75" customHeight="1">
      <c r="A542" s="1019"/>
      <c r="B542" s="1020"/>
      <c r="C542" s="792" t="s">
        <v>417</v>
      </c>
      <c r="D542" s="1049">
        <f>$E$5</f>
        <v>0</v>
      </c>
      <c r="E542" s="986">
        <f>ROUND($D$542*E541,2)</f>
        <v>0</v>
      </c>
      <c r="F542" s="986">
        <f>ROUND($D$542*F541,2)</f>
        <v>0</v>
      </c>
      <c r="G542" s="986">
        <f>ROUND($D$542*G541,2)</f>
        <v>0</v>
      </c>
      <c r="H542" s="986">
        <f>ROUND($D$542*H541,2)</f>
        <v>0</v>
      </c>
      <c r="I542" s="1012"/>
    </row>
    <row r="543" spans="1:9" ht="12.75" customHeight="1">
      <c r="A543" s="1019"/>
      <c r="B543" s="1020"/>
      <c r="C543" s="792" t="s">
        <v>418</v>
      </c>
      <c r="E543" s="986"/>
      <c r="F543" s="986">
        <f>ROUND(0.1*D536*($I$484+$I$483+$I$482),2)</f>
        <v>18.55</v>
      </c>
      <c r="G543" s="986">
        <f>ROUND(0.2*D536*($I$484+$I$483+$I$482),2)</f>
        <v>37.090000000000003</v>
      </c>
      <c r="H543" s="986">
        <f>ROUND(0.3*D536*($I$484+$I$483+$I$482),2)</f>
        <v>55.64</v>
      </c>
      <c r="I543" s="1048"/>
    </row>
    <row r="544" spans="1:9" ht="12.75" customHeight="1">
      <c r="A544" s="1019"/>
      <c r="B544" s="1020"/>
      <c r="E544" s="986">
        <f>SUM(E539:E543)</f>
        <v>1036.857804</v>
      </c>
      <c r="F544" s="986">
        <f>SUM(F539:F543)</f>
        <v>1074.107804</v>
      </c>
      <c r="G544" s="986">
        <f>SUM(G539:G543)</f>
        <v>1111.347804</v>
      </c>
      <c r="H544" s="986">
        <f>SUM(H539:H543)</f>
        <v>1148.597804</v>
      </c>
      <c r="I544" s="986"/>
    </row>
    <row r="545" spans="1:9" ht="12.75" customHeight="1">
      <c r="A545" s="1019"/>
      <c r="B545" s="1020"/>
      <c r="C545" s="1124" t="s">
        <v>1014</v>
      </c>
      <c r="D545" s="1026">
        <f>$D$3</f>
        <v>0</v>
      </c>
      <c r="E545" s="986">
        <f>ROUND(E544*$D$312,2)</f>
        <v>0</v>
      </c>
      <c r="F545" s="986">
        <f>ROUND(F544*$D$312,2)</f>
        <v>0</v>
      </c>
      <c r="G545" s="986">
        <f>ROUND(G544*$D$312,2)</f>
        <v>0</v>
      </c>
      <c r="H545" s="986">
        <f>ROUND(H544*$D$312,2)</f>
        <v>0</v>
      </c>
      <c r="I545" s="986"/>
    </row>
    <row r="546" spans="1:9" ht="12.75" customHeight="1">
      <c r="A546" s="1019"/>
      <c r="B546" s="1020"/>
      <c r="C546" s="980" t="s">
        <v>281</v>
      </c>
      <c r="D546" s="980" t="s">
        <v>466</v>
      </c>
      <c r="E546" s="1012">
        <f>CEILING(SUM(E544:E545),0.05)</f>
        <v>1036.9000000000001</v>
      </c>
      <c r="F546" s="1012">
        <f>CEILING(SUM(F544:F545),0.05)</f>
        <v>1074.1500000000001</v>
      </c>
      <c r="G546" s="1012">
        <f>CEILING(SUM(G544:G545),0.05)</f>
        <v>1111.3500000000001</v>
      </c>
      <c r="H546" s="1012">
        <f>CEILING(SUM(H544:H545),0.05)</f>
        <v>1148.6000000000001</v>
      </c>
    </row>
    <row r="547" spans="1:9" ht="12.75" customHeight="1">
      <c r="A547" s="1019"/>
      <c r="B547" s="1020"/>
      <c r="C547" s="1051"/>
      <c r="E547" s="1012"/>
      <c r="F547" s="1012"/>
      <c r="G547" s="1012"/>
      <c r="H547" s="1012"/>
      <c r="I547" s="1012"/>
    </row>
    <row r="548" spans="1:9" ht="24.6">
      <c r="A548" s="1019">
        <f>A470+1</f>
        <v>14</v>
      </c>
      <c r="B548" s="1020" t="s">
        <v>363</v>
      </c>
      <c r="C548" s="1127" t="s">
        <v>2217</v>
      </c>
      <c r="D548" s="1021"/>
      <c r="E548" s="1003"/>
      <c r="F548" s="1003"/>
      <c r="G548" s="1023"/>
      <c r="H548" s="1116"/>
      <c r="I548" s="1003"/>
    </row>
    <row r="549" spans="1:9" ht="12.75" customHeight="1">
      <c r="A549" s="1019"/>
      <c r="B549" s="1020"/>
      <c r="C549" s="792" t="s">
        <v>178</v>
      </c>
      <c r="D549" s="1021">
        <v>0.12</v>
      </c>
      <c r="E549" s="1003" t="s">
        <v>529</v>
      </c>
      <c r="F549" s="986">
        <f>$I$485</f>
        <v>5946.5895999999993</v>
      </c>
      <c r="G549" s="1023">
        <v>1</v>
      </c>
      <c r="H549" s="991" t="str">
        <f>IF(E549="","",IF(E549="No.","Each",IF(E549="Nos.","Each",E549)))</f>
        <v>cu.m.</v>
      </c>
      <c r="I549" s="986">
        <f>IF(G549="",D549*F549,(D549*F549/G549))</f>
        <v>713.59075199999984</v>
      </c>
    </row>
    <row r="550" spans="1:9" ht="12.75" customHeight="1">
      <c r="A550" s="1019"/>
      <c r="B550" s="1020"/>
      <c r="D550" s="1021"/>
      <c r="E550" s="1003"/>
      <c r="F550" s="986"/>
      <c r="G550" s="1023"/>
      <c r="H550" s="991"/>
      <c r="I550" s="986"/>
    </row>
    <row r="551" spans="1:9" ht="12.75" customHeight="1">
      <c r="A551" s="1019"/>
      <c r="B551" s="1020"/>
      <c r="C551" s="1004" t="s">
        <v>428</v>
      </c>
      <c r="E551" s="1131" t="s">
        <v>501</v>
      </c>
      <c r="F551" s="1048" t="s">
        <v>502</v>
      </c>
      <c r="G551" s="1131" t="s">
        <v>503</v>
      </c>
      <c r="H551" s="1048" t="s">
        <v>709</v>
      </c>
      <c r="I551" s="986"/>
    </row>
    <row r="552" spans="1:9" ht="12.75" customHeight="1">
      <c r="A552" s="1019"/>
      <c r="B552" s="1020"/>
      <c r="C552" s="792" t="s">
        <v>381</v>
      </c>
      <c r="E552" s="986">
        <f>I549</f>
        <v>713.59075199999984</v>
      </c>
      <c r="F552" s="986">
        <f>I549</f>
        <v>713.59075199999984</v>
      </c>
      <c r="G552" s="986">
        <f>I549</f>
        <v>713.59075199999984</v>
      </c>
      <c r="H552" s="986">
        <f>I549</f>
        <v>713.59075199999984</v>
      </c>
      <c r="I552" s="986"/>
    </row>
    <row r="553" spans="1:9" ht="12.75" customHeight="1">
      <c r="A553" s="1019"/>
      <c r="B553" s="1020"/>
      <c r="C553" s="792" t="s">
        <v>580</v>
      </c>
      <c r="E553" s="986">
        <f>$F$38</f>
        <v>166</v>
      </c>
      <c r="F553" s="986">
        <f>$F$38</f>
        <v>166</v>
      </c>
      <c r="G553" s="986">
        <f>$F$38</f>
        <v>166</v>
      </c>
      <c r="H553" s="986">
        <f>$F$38</f>
        <v>166</v>
      </c>
      <c r="I553" s="986"/>
    </row>
    <row r="554" spans="1:9" ht="12.75" customHeight="1">
      <c r="A554" s="1019"/>
      <c r="B554" s="1020"/>
      <c r="C554" s="792" t="s">
        <v>581</v>
      </c>
      <c r="E554" s="986">
        <f>$H$38</f>
        <v>187</v>
      </c>
      <c r="F554" s="986">
        <f>$K$38</f>
        <v>205.7</v>
      </c>
      <c r="G554" s="986">
        <f>$M$38</f>
        <v>224.4</v>
      </c>
      <c r="H554" s="986">
        <f>$O$38</f>
        <v>243.1</v>
      </c>
      <c r="I554" s="1012"/>
    </row>
    <row r="555" spans="1:9" ht="12.75" customHeight="1">
      <c r="A555" s="1019"/>
      <c r="B555" s="1020"/>
      <c r="C555" s="792" t="s">
        <v>180</v>
      </c>
      <c r="D555" s="1049">
        <f>$E$5</f>
        <v>0</v>
      </c>
      <c r="E555" s="986">
        <f>ROUND($D$555*E554,2)</f>
        <v>0</v>
      </c>
      <c r="F555" s="986">
        <f>ROUND($D$555*F554,2)</f>
        <v>0</v>
      </c>
      <c r="G555" s="986">
        <f>ROUND($D$555*G554,2)</f>
        <v>0</v>
      </c>
      <c r="H555" s="986">
        <f>ROUND($D$555*H554,2)</f>
        <v>0</v>
      </c>
      <c r="I555" s="1012"/>
    </row>
    <row r="556" spans="1:9" ht="12.75" customHeight="1">
      <c r="A556" s="1019"/>
      <c r="B556" s="1020"/>
      <c r="C556" s="792" t="s">
        <v>418</v>
      </c>
      <c r="E556" s="986"/>
      <c r="F556" s="986">
        <f>ROUND(0.1*D549*($I$484+$I$483+$I$482),2)</f>
        <v>19.350000000000001</v>
      </c>
      <c r="G556" s="986">
        <f>ROUND(0.2*D549*($I$484+$I$483+$I$482),2)</f>
        <v>38.71</v>
      </c>
      <c r="H556" s="986">
        <f>ROUND(0.3*D549*($I$484+$I$483+$I$482),2)</f>
        <v>58.06</v>
      </c>
      <c r="I556" s="1048"/>
    </row>
    <row r="557" spans="1:9" ht="12.75" customHeight="1">
      <c r="A557" s="1019"/>
      <c r="B557" s="1020"/>
      <c r="E557" s="986">
        <f>SUM(E552:E556)</f>
        <v>1066.5907519999998</v>
      </c>
      <c r="F557" s="986">
        <f>SUM(F552:F556)</f>
        <v>1104.6407519999998</v>
      </c>
      <c r="G557" s="986">
        <f>SUM(G552:G556)</f>
        <v>1142.700752</v>
      </c>
      <c r="H557" s="986">
        <f>SUM(H552:H556)</f>
        <v>1180.7507519999997</v>
      </c>
      <c r="I557" s="986"/>
    </row>
    <row r="558" spans="1:9" ht="12.75" customHeight="1">
      <c r="A558" s="1019"/>
      <c r="B558" s="1020"/>
      <c r="C558" s="1124" t="s">
        <v>1014</v>
      </c>
      <c r="D558" s="1026">
        <f>$D$3</f>
        <v>0</v>
      </c>
      <c r="E558" s="986">
        <f>ROUND(E557*$D$312,2)</f>
        <v>0</v>
      </c>
      <c r="F558" s="986">
        <f>ROUND(F557*$D$312,2)</f>
        <v>0</v>
      </c>
      <c r="G558" s="986">
        <f>ROUND(G557*$D$312,2)</f>
        <v>0</v>
      </c>
      <c r="H558" s="986">
        <f>ROUND(H557*$D$312,2)</f>
        <v>0</v>
      </c>
      <c r="I558" s="986"/>
    </row>
    <row r="559" spans="1:9" ht="12.75" customHeight="1">
      <c r="A559" s="1019"/>
      <c r="B559" s="1020"/>
      <c r="C559" s="980" t="s">
        <v>281</v>
      </c>
      <c r="D559" s="980" t="s">
        <v>466</v>
      </c>
      <c r="E559" s="1012">
        <f>CEILING(SUM(E557:E558),0.05)</f>
        <v>1066.6000000000001</v>
      </c>
      <c r="F559" s="1012">
        <f>CEILING(SUM(F557:F558),0.05)</f>
        <v>1104.6500000000001</v>
      </c>
      <c r="G559" s="1012">
        <f>CEILING(SUM(G557:G558),0.05)</f>
        <v>1142.75</v>
      </c>
      <c r="H559" s="1012">
        <f>CEILING(SUM(H557:H558),0.05)</f>
        <v>1180.8</v>
      </c>
    </row>
    <row r="560" spans="1:9" ht="15.75" customHeight="1">
      <c r="A560" s="1019"/>
      <c r="B560" s="1020"/>
      <c r="C560" s="980"/>
      <c r="D560" s="980"/>
      <c r="E560" s="1012"/>
      <c r="F560" s="1012"/>
      <c r="G560" s="1012"/>
      <c r="H560" s="1012"/>
    </row>
    <row r="561" spans="1:10" ht="15.75" customHeight="1">
      <c r="A561" s="1019"/>
      <c r="B561" s="1020" t="s">
        <v>361</v>
      </c>
      <c r="C561" s="1118" t="s">
        <v>2218</v>
      </c>
      <c r="D561" s="1021"/>
      <c r="E561" s="1003"/>
      <c r="F561" s="1003"/>
      <c r="G561" s="1023"/>
      <c r="H561" s="1116"/>
      <c r="I561" s="1003"/>
    </row>
    <row r="562" spans="1:10" ht="15.75" customHeight="1">
      <c r="A562" s="1019"/>
      <c r="B562" s="1020"/>
      <c r="C562" s="792" t="s">
        <v>179</v>
      </c>
      <c r="D562" s="1021">
        <v>0.125</v>
      </c>
      <c r="E562" s="1003" t="s">
        <v>529</v>
      </c>
      <c r="F562" s="986">
        <f>$I$485</f>
        <v>5946.5895999999993</v>
      </c>
      <c r="G562" s="1023">
        <v>1</v>
      </c>
      <c r="H562" s="991" t="str">
        <f>IF(E562="","",IF(E562="No.","Each",IF(E562="Nos.","Each",E562)))</f>
        <v>cu.m.</v>
      </c>
      <c r="I562" s="986">
        <f>IF(G562="",D562*F562,(D562*F562/G562))</f>
        <v>743.32369999999992</v>
      </c>
    </row>
    <row r="563" spans="1:10" ht="15.75" customHeight="1">
      <c r="A563" s="1019"/>
      <c r="B563" s="1020"/>
      <c r="C563" s="1004" t="s">
        <v>428</v>
      </c>
      <c r="E563" s="1131" t="s">
        <v>501</v>
      </c>
      <c r="F563" s="1048" t="s">
        <v>502</v>
      </c>
      <c r="G563" s="1131" t="s">
        <v>503</v>
      </c>
      <c r="H563" s="1048" t="s">
        <v>709</v>
      </c>
      <c r="I563" s="1048" t="s">
        <v>502</v>
      </c>
      <c r="J563" s="1048" t="s">
        <v>502</v>
      </c>
    </row>
    <row r="564" spans="1:10" ht="15.75" customHeight="1">
      <c r="A564" s="1019"/>
      <c r="B564" s="1020"/>
      <c r="C564" s="792" t="s">
        <v>381</v>
      </c>
      <c r="E564" s="986">
        <f>I562</f>
        <v>743.32369999999992</v>
      </c>
      <c r="F564" s="986">
        <f>I562</f>
        <v>743.32369999999992</v>
      </c>
      <c r="G564" s="986">
        <f>I562</f>
        <v>743.32369999999992</v>
      </c>
      <c r="H564" s="986">
        <f>I562</f>
        <v>743.32369999999992</v>
      </c>
      <c r="I564" s="986">
        <f>H564</f>
        <v>743.32369999999992</v>
      </c>
      <c r="J564" s="986">
        <f>I564</f>
        <v>743.32369999999992</v>
      </c>
    </row>
    <row r="565" spans="1:10" ht="15.75" customHeight="1">
      <c r="A565" s="1019"/>
      <c r="B565" s="1020"/>
      <c r="C565" s="792" t="s">
        <v>580</v>
      </c>
      <c r="E565" s="986">
        <f t="shared" ref="E565:J565" si="60">$F$38</f>
        <v>166</v>
      </c>
      <c r="F565" s="986">
        <f t="shared" si="60"/>
        <v>166</v>
      </c>
      <c r="G565" s="986">
        <f t="shared" si="60"/>
        <v>166</v>
      </c>
      <c r="H565" s="986">
        <f t="shared" si="60"/>
        <v>166</v>
      </c>
      <c r="I565" s="986">
        <f t="shared" si="60"/>
        <v>166</v>
      </c>
      <c r="J565" s="986">
        <f t="shared" si="60"/>
        <v>166</v>
      </c>
    </row>
    <row r="566" spans="1:10" ht="15.75" customHeight="1">
      <c r="A566" s="1019"/>
      <c r="B566" s="1020"/>
      <c r="C566" s="792" t="s">
        <v>581</v>
      </c>
      <c r="E566" s="986">
        <f>$H$38</f>
        <v>187</v>
      </c>
      <c r="F566" s="986">
        <f>$K$38</f>
        <v>205.7</v>
      </c>
      <c r="G566" s="986">
        <f>$M$38</f>
        <v>224.4</v>
      </c>
      <c r="H566" s="986">
        <f>$O$38</f>
        <v>243.1</v>
      </c>
      <c r="I566" s="986">
        <f>$Q$38</f>
        <v>261.8</v>
      </c>
      <c r="J566" s="986">
        <f>$S$38</f>
        <v>280.5</v>
      </c>
    </row>
    <row r="567" spans="1:10" ht="15.75" customHeight="1">
      <c r="A567" s="1019"/>
      <c r="B567" s="1020"/>
      <c r="C567" s="792" t="s">
        <v>180</v>
      </c>
      <c r="D567" s="1049">
        <f>$E$5</f>
        <v>0</v>
      </c>
      <c r="E567" s="986">
        <f t="shared" ref="E567:J567" si="61">ROUND($D$567*E566,2)</f>
        <v>0</v>
      </c>
      <c r="F567" s="986">
        <f t="shared" si="61"/>
        <v>0</v>
      </c>
      <c r="G567" s="986">
        <f t="shared" si="61"/>
        <v>0</v>
      </c>
      <c r="H567" s="986">
        <f t="shared" si="61"/>
        <v>0</v>
      </c>
      <c r="I567" s="986">
        <f t="shared" si="61"/>
        <v>0</v>
      </c>
      <c r="J567" s="986">
        <f t="shared" si="61"/>
        <v>0</v>
      </c>
    </row>
    <row r="568" spans="1:10" ht="15.75" customHeight="1">
      <c r="A568" s="1019"/>
      <c r="B568" s="1020"/>
      <c r="C568" s="792" t="s">
        <v>418</v>
      </c>
      <c r="E568" s="986"/>
      <c r="F568" s="986">
        <f>ROUND(0.1*D562*($I$484+$I$483+$I$482),2)</f>
        <v>20.16</v>
      </c>
      <c r="G568" s="986">
        <f>ROUND(0.2*D562*($I$484+$I$483+$I$482),2)</f>
        <v>40.32</v>
      </c>
      <c r="H568" s="986">
        <f>ROUND(0.3*D562*($I$484+$I$483+$I$482),2)</f>
        <v>60.48</v>
      </c>
      <c r="I568" s="986">
        <f>ROUND(0.4*D562*($I$484+$I$483+$I$482),2)</f>
        <v>80.64</v>
      </c>
      <c r="J568" s="986">
        <f>ROUND(0.5*D562*($I$484+$I$483+$I$482),2)</f>
        <v>100.8</v>
      </c>
    </row>
    <row r="569" spans="1:10" ht="15.75" customHeight="1">
      <c r="A569" s="1019"/>
      <c r="B569" s="1020"/>
      <c r="E569" s="986">
        <f t="shared" ref="E569:J569" si="62">SUM(E564:E568)</f>
        <v>1096.3236999999999</v>
      </c>
      <c r="F569" s="986">
        <f t="shared" si="62"/>
        <v>1135.1837</v>
      </c>
      <c r="G569" s="986">
        <f t="shared" si="62"/>
        <v>1174.0436999999999</v>
      </c>
      <c r="H569" s="986">
        <f t="shared" si="62"/>
        <v>1212.9036999999998</v>
      </c>
      <c r="I569" s="986">
        <f t="shared" si="62"/>
        <v>1251.7637</v>
      </c>
      <c r="J569" s="986">
        <f t="shared" si="62"/>
        <v>1290.6236999999999</v>
      </c>
    </row>
    <row r="570" spans="1:10" ht="15.75" customHeight="1">
      <c r="A570" s="1019"/>
      <c r="B570" s="1020"/>
      <c r="C570" s="1124" t="s">
        <v>1014</v>
      </c>
      <c r="D570" s="1026">
        <f>$D$3</f>
        <v>0</v>
      </c>
      <c r="E570" s="986">
        <f t="shared" ref="E570:J570" si="63">ROUND(E569*$D$312,2)</f>
        <v>0</v>
      </c>
      <c r="F570" s="986">
        <f t="shared" si="63"/>
        <v>0</v>
      </c>
      <c r="G570" s="986">
        <f t="shared" si="63"/>
        <v>0</v>
      </c>
      <c r="H570" s="986">
        <f t="shared" si="63"/>
        <v>0</v>
      </c>
      <c r="I570" s="986">
        <f t="shared" si="63"/>
        <v>0</v>
      </c>
      <c r="J570" s="986">
        <f t="shared" si="63"/>
        <v>0</v>
      </c>
    </row>
    <row r="571" spans="1:10" ht="15.75" customHeight="1">
      <c r="A571" s="1019"/>
      <c r="B571" s="1020"/>
      <c r="C571" s="980" t="s">
        <v>281</v>
      </c>
      <c r="D571" s="980" t="s">
        <v>466</v>
      </c>
      <c r="E571" s="1012">
        <f t="shared" ref="E571:J571" si="64">CEILING(SUM(E569:E570),0.05)</f>
        <v>1096.3500000000001</v>
      </c>
      <c r="F571" s="1012">
        <f t="shared" si="64"/>
        <v>1135.2</v>
      </c>
      <c r="G571" s="1012">
        <f t="shared" si="64"/>
        <v>1174.05</v>
      </c>
      <c r="H571" s="1012">
        <f t="shared" si="64"/>
        <v>1212.95</v>
      </c>
      <c r="I571" s="1012">
        <f t="shared" si="64"/>
        <v>1251.8000000000002</v>
      </c>
      <c r="J571" s="1012">
        <f t="shared" si="64"/>
        <v>1290.6500000000001</v>
      </c>
    </row>
    <row r="572" spans="1:10" ht="12.75" customHeight="1">
      <c r="A572" s="1019"/>
      <c r="B572" s="1020" t="s">
        <v>326</v>
      </c>
      <c r="C572" s="1118" t="s">
        <v>2219</v>
      </c>
      <c r="D572" s="1021"/>
      <c r="E572" s="1003"/>
      <c r="F572" s="1003"/>
      <c r="G572" s="1023"/>
      <c r="H572" s="1116"/>
      <c r="I572" s="1003"/>
    </row>
    <row r="573" spans="1:10" ht="12.75" customHeight="1">
      <c r="A573" s="1019"/>
      <c r="B573" s="1020"/>
      <c r="C573" s="792" t="s">
        <v>181</v>
      </c>
      <c r="D573" s="1021">
        <v>0.14000000000000001</v>
      </c>
      <c r="E573" s="1003" t="s">
        <v>529</v>
      </c>
      <c r="F573" s="986">
        <f>$I$485</f>
        <v>5946.5895999999993</v>
      </c>
      <c r="G573" s="1023">
        <v>1</v>
      </c>
      <c r="H573" s="991" t="str">
        <f>IF(E573="","",IF(E573="No.","Each",IF(E573="Nos.","Each",E573)))</f>
        <v>cu.m.</v>
      </c>
      <c r="I573" s="986">
        <f>IF(G573="",D573*F573,(D573*F573/G573))</f>
        <v>832.52254400000004</v>
      </c>
    </row>
    <row r="574" spans="1:10" ht="12.75" customHeight="1">
      <c r="A574" s="1019"/>
      <c r="B574" s="1020"/>
      <c r="D574" s="1021"/>
      <c r="E574" s="1003"/>
      <c r="F574" s="986"/>
      <c r="G574" s="1023"/>
      <c r="H574" s="991"/>
      <c r="I574" s="986"/>
    </row>
    <row r="575" spans="1:10" ht="12.75" customHeight="1">
      <c r="A575" s="1019"/>
      <c r="B575" s="1020"/>
      <c r="C575" s="1004" t="s">
        <v>428</v>
      </c>
      <c r="E575" s="1131" t="s">
        <v>501</v>
      </c>
      <c r="F575" s="1048" t="s">
        <v>502</v>
      </c>
      <c r="G575" s="1131" t="s">
        <v>503</v>
      </c>
      <c r="H575" s="1048" t="s">
        <v>709</v>
      </c>
      <c r="I575" s="986"/>
    </row>
    <row r="576" spans="1:10" ht="12.75" customHeight="1">
      <c r="A576" s="1019"/>
      <c r="B576" s="1020"/>
      <c r="C576" s="792" t="s">
        <v>381</v>
      </c>
      <c r="E576" s="986">
        <f>I573</f>
        <v>832.52254400000004</v>
      </c>
      <c r="F576" s="986">
        <f>I573</f>
        <v>832.52254400000004</v>
      </c>
      <c r="G576" s="986">
        <f>I573</f>
        <v>832.52254400000004</v>
      </c>
      <c r="H576" s="986">
        <f>I573</f>
        <v>832.52254400000004</v>
      </c>
      <c r="I576" s="986"/>
    </row>
    <row r="577" spans="1:9" ht="12.75" customHeight="1">
      <c r="A577" s="1019"/>
      <c r="B577" s="1020"/>
      <c r="C577" s="792" t="s">
        <v>580</v>
      </c>
      <c r="E577" s="986">
        <f>$F$38</f>
        <v>166</v>
      </c>
      <c r="F577" s="986">
        <f>$F$38</f>
        <v>166</v>
      </c>
      <c r="G577" s="986">
        <f>$F$38</f>
        <v>166</v>
      </c>
      <c r="H577" s="986">
        <f>$F$38</f>
        <v>166</v>
      </c>
      <c r="I577" s="986"/>
    </row>
    <row r="578" spans="1:9" ht="12.75" customHeight="1">
      <c r="A578" s="1019"/>
      <c r="B578" s="1020"/>
      <c r="C578" s="792" t="s">
        <v>581</v>
      </c>
      <c r="E578" s="986">
        <f>$H$38</f>
        <v>187</v>
      </c>
      <c r="F578" s="986">
        <f>$K$38</f>
        <v>205.7</v>
      </c>
      <c r="G578" s="986">
        <f>$M$38</f>
        <v>224.4</v>
      </c>
      <c r="H578" s="986">
        <f>$O$38</f>
        <v>243.1</v>
      </c>
      <c r="I578" s="1012"/>
    </row>
    <row r="579" spans="1:9" ht="12.75" customHeight="1">
      <c r="A579" s="1019"/>
      <c r="B579" s="1020"/>
      <c r="C579" s="792" t="s">
        <v>180</v>
      </c>
      <c r="D579" s="1049">
        <f>$E$5</f>
        <v>0</v>
      </c>
      <c r="E579" s="986">
        <f>ROUND($D$579*E578,2)</f>
        <v>0</v>
      </c>
      <c r="F579" s="986">
        <f>ROUND($D$579*F578,2)</f>
        <v>0</v>
      </c>
      <c r="G579" s="986">
        <f>ROUND($D$579*G578,2)</f>
        <v>0</v>
      </c>
      <c r="H579" s="986">
        <f>ROUND($D$579*H578,2)</f>
        <v>0</v>
      </c>
      <c r="I579" s="1012"/>
    </row>
    <row r="580" spans="1:9" ht="12.75" customHeight="1">
      <c r="A580" s="1019"/>
      <c r="B580" s="1020"/>
      <c r="C580" s="792" t="s">
        <v>418</v>
      </c>
      <c r="E580" s="986"/>
      <c r="F580" s="986">
        <f>ROUND(0.1*D573*($I$484+$I$483+$I$482),2)</f>
        <v>22.58</v>
      </c>
      <c r="G580" s="986">
        <f>ROUND(0.2*D573*($I$484+$I$483+$I$482),2)</f>
        <v>45.16</v>
      </c>
      <c r="H580" s="986">
        <f>ROUND(0.3*D573*($I$484+$I$483+$I$482),2)</f>
        <v>67.739999999999995</v>
      </c>
      <c r="I580" s="1048"/>
    </row>
    <row r="581" spans="1:9" ht="12.75" customHeight="1">
      <c r="A581" s="1019"/>
      <c r="B581" s="1020"/>
      <c r="E581" s="986">
        <f>SUM(E576:E580)</f>
        <v>1185.5225439999999</v>
      </c>
      <c r="F581" s="986">
        <f>SUM(F576:F580)</f>
        <v>1226.8025439999999</v>
      </c>
      <c r="G581" s="986">
        <f>SUM(G576:G580)</f>
        <v>1268.0825440000001</v>
      </c>
      <c r="H581" s="986">
        <f>SUM(H576:H580)</f>
        <v>1309.3625440000001</v>
      </c>
      <c r="I581" s="986"/>
    </row>
    <row r="582" spans="1:9" ht="12.75" customHeight="1">
      <c r="A582" s="1019"/>
      <c r="B582" s="1020"/>
      <c r="C582" s="1124" t="s">
        <v>1014</v>
      </c>
      <c r="D582" s="1026">
        <f>$D$3</f>
        <v>0</v>
      </c>
      <c r="E582" s="986">
        <f>ROUND(E581*$D$312,2)</f>
        <v>0</v>
      </c>
      <c r="F582" s="986">
        <f>ROUND(F581*$D$312,2)</f>
        <v>0</v>
      </c>
      <c r="G582" s="986">
        <f>ROUND(G581*$D$312,2)</f>
        <v>0</v>
      </c>
      <c r="H582" s="986">
        <f>ROUND(H581*$D$312,2)</f>
        <v>0</v>
      </c>
      <c r="I582" s="986"/>
    </row>
    <row r="583" spans="1:9" ht="12.75" customHeight="1">
      <c r="A583" s="1019"/>
      <c r="B583" s="1020"/>
      <c r="C583" s="980" t="s">
        <v>281</v>
      </c>
      <c r="D583" s="980" t="s">
        <v>466</v>
      </c>
      <c r="E583" s="1012">
        <f>CEILING(SUM(E581:E582),0.05)</f>
        <v>1185.55</v>
      </c>
      <c r="F583" s="1012">
        <f>CEILING(SUM(F581:F582),0.05)</f>
        <v>1226.8500000000001</v>
      </c>
      <c r="G583" s="1012">
        <f>CEILING(SUM(G581:G582),0.05)</f>
        <v>1268.1000000000001</v>
      </c>
      <c r="H583" s="1012">
        <f>CEILING(SUM(H581:H582),0.05)</f>
        <v>1309.4000000000001</v>
      </c>
    </row>
    <row r="584" spans="1:9" ht="12.75" customHeight="1">
      <c r="A584" s="1019"/>
      <c r="B584" s="1020"/>
      <c r="C584" s="1003"/>
      <c r="D584" s="1021"/>
      <c r="E584" s="1003"/>
      <c r="F584" s="986"/>
      <c r="G584" s="1023"/>
      <c r="H584" s="1118"/>
      <c r="I584" s="1012"/>
    </row>
    <row r="585" spans="1:9" ht="25.5" customHeight="1">
      <c r="A585" s="1019"/>
      <c r="B585" s="1020" t="s">
        <v>460</v>
      </c>
      <c r="C585" s="1127" t="s">
        <v>2216</v>
      </c>
      <c r="D585" s="1021"/>
      <c r="E585" s="1003"/>
      <c r="F585" s="1003"/>
      <c r="G585" s="1023"/>
      <c r="H585" s="1116"/>
      <c r="I585" s="1003"/>
    </row>
    <row r="586" spans="1:9" ht="12.75" customHeight="1">
      <c r="A586" s="1019"/>
      <c r="B586" s="1020"/>
      <c r="C586" s="792" t="s">
        <v>176</v>
      </c>
      <c r="D586" s="1021">
        <v>0.115</v>
      </c>
      <c r="E586" s="1003" t="s">
        <v>529</v>
      </c>
      <c r="F586" s="986">
        <f>$I$485</f>
        <v>5946.5895999999993</v>
      </c>
      <c r="G586" s="1023">
        <v>1</v>
      </c>
      <c r="H586" s="991" t="str">
        <f>IF(E586="","",IF(E586="No.","Each",IF(E586="Nos.","Each",E586)))</f>
        <v>cu.m.</v>
      </c>
      <c r="I586" s="986">
        <f>IF(G586="",D586*F586,(D586*F586/G586))</f>
        <v>683.85780399999999</v>
      </c>
    </row>
    <row r="587" spans="1:9" ht="12.75" customHeight="1">
      <c r="A587" s="1019"/>
      <c r="B587" s="1020"/>
      <c r="D587" s="1021"/>
      <c r="E587" s="1003"/>
      <c r="F587" s="986"/>
      <c r="G587" s="1023"/>
      <c r="H587" s="991"/>
      <c r="I587" s="986"/>
    </row>
    <row r="588" spans="1:9" ht="12.75" customHeight="1">
      <c r="A588" s="1019"/>
      <c r="B588" s="1020"/>
      <c r="C588" s="1004" t="s">
        <v>428</v>
      </c>
      <c r="E588" s="1131" t="s">
        <v>501</v>
      </c>
      <c r="F588" s="1048" t="s">
        <v>502</v>
      </c>
      <c r="G588" s="1131" t="s">
        <v>503</v>
      </c>
      <c r="H588" s="1048" t="s">
        <v>709</v>
      </c>
      <c r="I588" s="986"/>
    </row>
    <row r="589" spans="1:9" ht="12.75" customHeight="1">
      <c r="A589" s="1019"/>
      <c r="B589" s="1020"/>
      <c r="C589" s="792" t="s">
        <v>381</v>
      </c>
      <c r="E589" s="986">
        <f>I586</f>
        <v>683.85780399999999</v>
      </c>
      <c r="F589" s="986">
        <f>I586</f>
        <v>683.85780399999999</v>
      </c>
      <c r="G589" s="986">
        <f>I586</f>
        <v>683.85780399999999</v>
      </c>
      <c r="H589" s="986">
        <f>I586</f>
        <v>683.85780399999999</v>
      </c>
      <c r="I589" s="986"/>
    </row>
    <row r="590" spans="1:9" ht="12.75" customHeight="1">
      <c r="A590" s="1019"/>
      <c r="B590" s="1020"/>
      <c r="C590" s="792" t="s">
        <v>580</v>
      </c>
      <c r="E590" s="986">
        <f>$F$38</f>
        <v>166</v>
      </c>
      <c r="F590" s="986">
        <f t="shared" ref="F590:H590" si="65">$F$38</f>
        <v>166</v>
      </c>
      <c r="G590" s="986">
        <f t="shared" si="65"/>
        <v>166</v>
      </c>
      <c r="H590" s="986">
        <f t="shared" si="65"/>
        <v>166</v>
      </c>
      <c r="I590" s="986"/>
    </row>
    <row r="591" spans="1:9" ht="12.75" customHeight="1">
      <c r="A591" s="1019"/>
      <c r="B591" s="1020"/>
      <c r="C591" s="792" t="s">
        <v>581</v>
      </c>
      <c r="E591" s="986">
        <f>$H$38</f>
        <v>187</v>
      </c>
      <c r="F591" s="986">
        <f>$K$38</f>
        <v>205.7</v>
      </c>
      <c r="G591" s="986">
        <f>$M$38</f>
        <v>224.4</v>
      </c>
      <c r="H591" s="986">
        <f>$O$38</f>
        <v>243.1</v>
      </c>
      <c r="I591" s="1012"/>
    </row>
    <row r="592" spans="1:9" ht="12.75" customHeight="1">
      <c r="A592" s="1019"/>
      <c r="B592" s="1020"/>
      <c r="C592" s="792" t="s">
        <v>417</v>
      </c>
      <c r="D592" s="1049">
        <f>$E$5</f>
        <v>0</v>
      </c>
      <c r="E592" s="986">
        <f>ROUND($D$592*E591,2)</f>
        <v>0</v>
      </c>
      <c r="F592" s="986">
        <f>ROUND($D$592*F591,2)</f>
        <v>0</v>
      </c>
      <c r="G592" s="986">
        <f>ROUND($D$592*G591,2)</f>
        <v>0</v>
      </c>
      <c r="H592" s="986">
        <f>ROUND($D$592*H591,2)</f>
        <v>0</v>
      </c>
      <c r="I592" s="1012"/>
    </row>
    <row r="593" spans="1:10" ht="12.75" customHeight="1">
      <c r="A593" s="1019"/>
      <c r="B593" s="1020"/>
      <c r="C593" s="792" t="s">
        <v>418</v>
      </c>
      <c r="E593" s="986"/>
      <c r="F593" s="986">
        <f>ROUND(0.1*D586*($I$484+$I$483+$I$482),2)</f>
        <v>18.55</v>
      </c>
      <c r="G593" s="986">
        <f>ROUND(0.2*D586*($I$484+$I$483+$I$482),2)</f>
        <v>37.090000000000003</v>
      </c>
      <c r="H593" s="986">
        <f>ROUND(0.3*D586*($I$484+$I$483+$I$482),2)</f>
        <v>55.64</v>
      </c>
      <c r="I593" s="1048"/>
    </row>
    <row r="594" spans="1:10" ht="12.75" customHeight="1">
      <c r="A594" s="1019"/>
      <c r="B594" s="1020"/>
      <c r="E594" s="986">
        <f>SUM(E589:E593)</f>
        <v>1036.857804</v>
      </c>
      <c r="F594" s="986">
        <f>SUM(F589:F593)</f>
        <v>1074.107804</v>
      </c>
      <c r="G594" s="986">
        <f>SUM(G589:G593)</f>
        <v>1111.347804</v>
      </c>
      <c r="H594" s="986">
        <f>SUM(H589:H593)</f>
        <v>1148.597804</v>
      </c>
      <c r="I594" s="986"/>
    </row>
    <row r="595" spans="1:10" ht="12.75" customHeight="1">
      <c r="A595" s="1019"/>
      <c r="B595" s="1020"/>
      <c r="C595" s="1124" t="s">
        <v>1014</v>
      </c>
      <c r="D595" s="1026">
        <f>$D$3</f>
        <v>0</v>
      </c>
      <c r="E595" s="986">
        <f>ROUND(E594*$D$312,2)</f>
        <v>0</v>
      </c>
      <c r="F595" s="986">
        <f>ROUND(F594*$D$312,2)</f>
        <v>0</v>
      </c>
      <c r="G595" s="986">
        <f>ROUND(G594*$D$312,2)</f>
        <v>0</v>
      </c>
      <c r="H595" s="986">
        <f>ROUND(H594*$D$312,2)</f>
        <v>0</v>
      </c>
      <c r="I595" s="986"/>
    </row>
    <row r="596" spans="1:10" ht="12.75" customHeight="1">
      <c r="A596" s="1019"/>
      <c r="B596" s="1020"/>
      <c r="C596" s="980" t="s">
        <v>281</v>
      </c>
      <c r="D596" s="980" t="s">
        <v>466</v>
      </c>
      <c r="E596" s="1012">
        <f>CEILING(SUM(E594:E595),0.05)</f>
        <v>1036.9000000000001</v>
      </c>
      <c r="F596" s="1012">
        <f>CEILING(SUM(F594:F595),0.05)</f>
        <v>1074.1500000000001</v>
      </c>
      <c r="G596" s="1012">
        <f>CEILING(SUM(G594:G595),0.05)</f>
        <v>1111.3500000000001</v>
      </c>
      <c r="H596" s="1012">
        <f>CEILING(SUM(H594:H595),0.05)</f>
        <v>1148.6000000000001</v>
      </c>
    </row>
    <row r="597" spans="1:10" ht="12.75" customHeight="1">
      <c r="A597" s="1019"/>
      <c r="B597" s="1020"/>
      <c r="C597" s="980"/>
      <c r="D597" s="980"/>
      <c r="E597" s="1012"/>
      <c r="F597" s="1012"/>
      <c r="G597" s="1012"/>
      <c r="H597" s="1012"/>
    </row>
    <row r="598" spans="1:10" ht="12.75" customHeight="1">
      <c r="A598" s="1019">
        <f>A561+1</f>
        <v>1</v>
      </c>
      <c r="B598" s="1020" t="s">
        <v>51</v>
      </c>
      <c r="C598" s="1118" t="s">
        <v>2220</v>
      </c>
      <c r="D598" s="1021"/>
      <c r="E598" s="1003"/>
      <c r="F598" s="1003"/>
      <c r="G598" s="1023"/>
      <c r="H598" s="1116"/>
      <c r="I598" s="1003"/>
    </row>
    <row r="599" spans="1:10" ht="12.75" customHeight="1">
      <c r="A599" s="1019"/>
      <c r="B599" s="1020"/>
      <c r="C599" s="792" t="s">
        <v>271</v>
      </c>
      <c r="D599" s="1021">
        <v>0.15</v>
      </c>
      <c r="E599" s="1003" t="s">
        <v>529</v>
      </c>
      <c r="F599" s="986">
        <f>$I$485</f>
        <v>5946.5895999999993</v>
      </c>
      <c r="G599" s="1023">
        <v>1</v>
      </c>
      <c r="H599" s="991" t="str">
        <f>IF(E599="","",IF(E599="No.","Each",IF(E599="Nos.","Each",E599)))</f>
        <v>cu.m.</v>
      </c>
      <c r="I599" s="986">
        <f>IF(G599="",D599*F599,(D599*F599/G599))</f>
        <v>891.98843999999985</v>
      </c>
    </row>
    <row r="600" spans="1:10" ht="12.75" customHeight="1">
      <c r="A600" s="1019"/>
      <c r="B600" s="1020"/>
      <c r="D600" s="1021"/>
      <c r="E600" s="1003"/>
      <c r="F600" s="986"/>
      <c r="G600" s="1023"/>
      <c r="H600" s="991"/>
      <c r="I600" s="986"/>
    </row>
    <row r="601" spans="1:10" ht="12.75" customHeight="1">
      <c r="A601" s="1019"/>
      <c r="B601" s="1020"/>
      <c r="C601" s="1004" t="s">
        <v>428</v>
      </c>
      <c r="E601" s="1131" t="s">
        <v>501</v>
      </c>
      <c r="F601" s="1048" t="s">
        <v>502</v>
      </c>
      <c r="G601" s="1131" t="s">
        <v>503</v>
      </c>
      <c r="H601" s="1048" t="s">
        <v>709</v>
      </c>
      <c r="I601" s="1048" t="s">
        <v>502</v>
      </c>
      <c r="J601" s="1048" t="s">
        <v>502</v>
      </c>
    </row>
    <row r="602" spans="1:10" ht="12.75" customHeight="1">
      <c r="A602" s="1019"/>
      <c r="B602" s="1020"/>
      <c r="C602" s="792" t="s">
        <v>381</v>
      </c>
      <c r="E602" s="986">
        <f>I599</f>
        <v>891.98843999999985</v>
      </c>
      <c r="F602" s="986">
        <f>I599</f>
        <v>891.98843999999985</v>
      </c>
      <c r="G602" s="986">
        <f>I599</f>
        <v>891.98843999999985</v>
      </c>
      <c r="H602" s="986">
        <f>I599</f>
        <v>891.98843999999985</v>
      </c>
      <c r="I602" s="986">
        <f>I599</f>
        <v>891.98843999999985</v>
      </c>
      <c r="J602" s="986">
        <f>I599</f>
        <v>891.98843999999985</v>
      </c>
    </row>
    <row r="603" spans="1:10" ht="12.75" customHeight="1">
      <c r="A603" s="1019"/>
      <c r="B603" s="1020"/>
      <c r="C603" s="792" t="s">
        <v>580</v>
      </c>
      <c r="E603" s="986">
        <f t="shared" ref="E603:J603" si="66">$F$38</f>
        <v>166</v>
      </c>
      <c r="F603" s="986">
        <f t="shared" si="66"/>
        <v>166</v>
      </c>
      <c r="G603" s="986">
        <f t="shared" si="66"/>
        <v>166</v>
      </c>
      <c r="H603" s="986">
        <f t="shared" si="66"/>
        <v>166</v>
      </c>
      <c r="I603" s="986">
        <f t="shared" si="66"/>
        <v>166</v>
      </c>
      <c r="J603" s="986">
        <f t="shared" si="66"/>
        <v>166</v>
      </c>
    </row>
    <row r="604" spans="1:10" ht="12.75" customHeight="1">
      <c r="A604" s="1019"/>
      <c r="B604" s="1020"/>
      <c r="C604" s="792" t="s">
        <v>581</v>
      </c>
      <c r="E604" s="986">
        <f>$H$38</f>
        <v>187</v>
      </c>
      <c r="F604" s="986">
        <f>$K$38</f>
        <v>205.7</v>
      </c>
      <c r="G604" s="986">
        <f>$M$38</f>
        <v>224.4</v>
      </c>
      <c r="H604" s="986">
        <f>$O$38</f>
        <v>243.1</v>
      </c>
      <c r="I604" s="986">
        <f>$Q$38</f>
        <v>261.8</v>
      </c>
      <c r="J604" s="986">
        <f>$S$38</f>
        <v>280.5</v>
      </c>
    </row>
    <row r="605" spans="1:10" ht="12.75" customHeight="1">
      <c r="A605" s="1019"/>
      <c r="B605" s="1020"/>
      <c r="C605" s="792" t="s">
        <v>180</v>
      </c>
      <c r="D605" s="1049">
        <f>$E$5</f>
        <v>0</v>
      </c>
      <c r="E605" s="986">
        <f t="shared" ref="E605:J605" si="67">ROUND($D$605*E604,2)</f>
        <v>0</v>
      </c>
      <c r="F605" s="986">
        <f t="shared" si="67"/>
        <v>0</v>
      </c>
      <c r="G605" s="986">
        <f t="shared" si="67"/>
        <v>0</v>
      </c>
      <c r="H605" s="986">
        <f t="shared" si="67"/>
        <v>0</v>
      </c>
      <c r="I605" s="986">
        <f t="shared" si="67"/>
        <v>0</v>
      </c>
      <c r="J605" s="986">
        <f t="shared" si="67"/>
        <v>0</v>
      </c>
    </row>
    <row r="606" spans="1:10" ht="12.75" customHeight="1">
      <c r="A606" s="1019"/>
      <c r="B606" s="1020"/>
      <c r="C606" s="792" t="s">
        <v>418</v>
      </c>
      <c r="E606" s="986"/>
      <c r="F606" s="986">
        <f>ROUND(0.1*D599*($I$484+$I$483+$I$482),2)</f>
        <v>24.19</v>
      </c>
      <c r="G606" s="986">
        <f>ROUND(0.2*D599*($I$484+$I$483+$I$482),2)</f>
        <v>48.38</v>
      </c>
      <c r="H606" s="986">
        <f>ROUND(0.3*D599*($I$484+$I$483+$I$482),2)</f>
        <v>72.569999999999993</v>
      </c>
      <c r="I606" s="986">
        <f>ROUND(0.4*D599*($I$484+$I$483+$I$482),2)</f>
        <v>96.76</v>
      </c>
      <c r="J606" s="986">
        <f>ROUND(0.5*D599*($I$484+$I$483+$I$482),2)</f>
        <v>120.96</v>
      </c>
    </row>
    <row r="607" spans="1:10" ht="12.75" customHeight="1">
      <c r="A607" s="1019"/>
      <c r="B607" s="1020"/>
      <c r="E607" s="986">
        <f>SUM(E602:E606)</f>
        <v>1244.9884399999999</v>
      </c>
      <c r="F607" s="986">
        <f t="shared" ref="F607:J607" si="68">SUM(F602:F606)</f>
        <v>1287.87844</v>
      </c>
      <c r="G607" s="986">
        <f t="shared" si="68"/>
        <v>1330.7684400000001</v>
      </c>
      <c r="H607" s="986">
        <f t="shared" si="68"/>
        <v>1373.6584399999997</v>
      </c>
      <c r="I607" s="986">
        <f t="shared" si="68"/>
        <v>1416.5484399999998</v>
      </c>
      <c r="J607" s="986">
        <f t="shared" si="68"/>
        <v>1459.4484399999999</v>
      </c>
    </row>
    <row r="608" spans="1:10" ht="12.75" customHeight="1">
      <c r="A608" s="1019"/>
      <c r="B608" s="1020"/>
      <c r="C608" s="1124" t="s">
        <v>1014</v>
      </c>
      <c r="D608" s="1026">
        <f>$D$3</f>
        <v>0</v>
      </c>
      <c r="E608" s="986">
        <f t="shared" ref="E608:J608" si="69">ROUND(E607*$D$312,2)</f>
        <v>0</v>
      </c>
      <c r="F608" s="986">
        <f t="shared" si="69"/>
        <v>0</v>
      </c>
      <c r="G608" s="986">
        <f t="shared" si="69"/>
        <v>0</v>
      </c>
      <c r="H608" s="986">
        <f t="shared" si="69"/>
        <v>0</v>
      </c>
      <c r="I608" s="986">
        <f t="shared" si="69"/>
        <v>0</v>
      </c>
      <c r="J608" s="986">
        <f t="shared" si="69"/>
        <v>0</v>
      </c>
    </row>
    <row r="609" spans="1:10" ht="12.75" customHeight="1">
      <c r="A609" s="1019"/>
      <c r="B609" s="1020"/>
      <c r="C609" s="980" t="s">
        <v>281</v>
      </c>
      <c r="D609" s="980" t="s">
        <v>466</v>
      </c>
      <c r="E609" s="1012">
        <f>CEILING(SUM(E607:E608),0.05)</f>
        <v>1245</v>
      </c>
      <c r="F609" s="1012">
        <f t="shared" ref="F609:J609" si="70">CEILING(SUM(F607:F608),0.05)</f>
        <v>1287.9000000000001</v>
      </c>
      <c r="G609" s="1012">
        <f t="shared" si="70"/>
        <v>1330.8000000000002</v>
      </c>
      <c r="H609" s="1012">
        <f t="shared" si="70"/>
        <v>1373.7</v>
      </c>
      <c r="I609" s="1012">
        <f t="shared" si="70"/>
        <v>1416.5500000000002</v>
      </c>
      <c r="J609" s="1012">
        <f t="shared" si="70"/>
        <v>1459.45</v>
      </c>
    </row>
    <row r="610" spans="1:10" ht="12.75" customHeight="1">
      <c r="A610" s="1019"/>
      <c r="B610" s="1020"/>
      <c r="C610" s="980"/>
      <c r="D610" s="980"/>
      <c r="E610" s="1012"/>
      <c r="F610" s="1012"/>
      <c r="G610" s="1012"/>
      <c r="H610" s="1012"/>
    </row>
    <row r="611" spans="1:10" ht="12.75" customHeight="1">
      <c r="A611" s="1019"/>
      <c r="B611" s="1020" t="s">
        <v>52</v>
      </c>
      <c r="C611" s="1127" t="s">
        <v>2221</v>
      </c>
      <c r="D611" s="1021"/>
      <c r="E611" s="1003"/>
      <c r="F611" s="1003"/>
      <c r="G611" s="1023"/>
      <c r="H611" s="1116"/>
      <c r="I611" s="1003"/>
    </row>
    <row r="612" spans="1:10" ht="12.75" customHeight="1">
      <c r="A612" s="1019"/>
      <c r="B612" s="1020"/>
      <c r="C612" s="792" t="s">
        <v>272</v>
      </c>
      <c r="D612" s="1021">
        <v>0.16500000000000001</v>
      </c>
      <c r="E612" s="1003" t="s">
        <v>529</v>
      </c>
      <c r="F612" s="986">
        <f>$I$485</f>
        <v>5946.5895999999993</v>
      </c>
      <c r="G612" s="1023">
        <v>1</v>
      </c>
      <c r="H612" s="991" t="str">
        <f>IF(E612="","",IF(E612="No.","Each",IF(E612="Nos.","Each",E612)))</f>
        <v>cu.m.</v>
      </c>
      <c r="I612" s="986">
        <f>IF(G612="",D612*F612,(D612*F612/G612))</f>
        <v>981.18728399999998</v>
      </c>
    </row>
    <row r="613" spans="1:10" ht="12.75" customHeight="1">
      <c r="A613" s="1019"/>
      <c r="B613" s="1020"/>
      <c r="D613" s="1021"/>
      <c r="E613" s="1003"/>
      <c r="F613" s="986"/>
      <c r="G613" s="1023"/>
      <c r="H613" s="991"/>
      <c r="I613" s="986"/>
    </row>
    <row r="614" spans="1:10" ht="12.75" customHeight="1">
      <c r="A614" s="1019"/>
      <c r="B614" s="1020"/>
      <c r="C614" s="1004" t="s">
        <v>428</v>
      </c>
      <c r="E614" s="1131" t="s">
        <v>501</v>
      </c>
      <c r="F614" s="1048" t="s">
        <v>502</v>
      </c>
      <c r="G614" s="1131" t="s">
        <v>503</v>
      </c>
      <c r="H614" s="1048" t="s">
        <v>709</v>
      </c>
      <c r="I614" s="986"/>
    </row>
    <row r="615" spans="1:10" ht="12.75" customHeight="1">
      <c r="A615" s="1019"/>
      <c r="B615" s="1020"/>
      <c r="C615" s="792" t="s">
        <v>381</v>
      </c>
      <c r="E615" s="986">
        <f>I612</f>
        <v>981.18728399999998</v>
      </c>
      <c r="F615" s="986">
        <f>I612</f>
        <v>981.18728399999998</v>
      </c>
      <c r="G615" s="986">
        <f>I612</f>
        <v>981.18728399999998</v>
      </c>
      <c r="H615" s="986">
        <f>I612</f>
        <v>981.18728399999998</v>
      </c>
      <c r="I615" s="986"/>
    </row>
    <row r="616" spans="1:10" ht="12.75" customHeight="1">
      <c r="A616" s="1019"/>
      <c r="B616" s="1020"/>
      <c r="C616" s="792" t="s">
        <v>580</v>
      </c>
      <c r="E616" s="986">
        <f>$F$39</f>
        <v>171</v>
      </c>
      <c r="F616" s="986">
        <f t="shared" ref="F616:H616" si="71">$F$39</f>
        <v>171</v>
      </c>
      <c r="G616" s="986">
        <f t="shared" si="71"/>
        <v>171</v>
      </c>
      <c r="H616" s="986">
        <f t="shared" si="71"/>
        <v>171</v>
      </c>
      <c r="I616" s="986"/>
    </row>
    <row r="617" spans="1:10" ht="12.75" customHeight="1">
      <c r="A617" s="1019"/>
      <c r="B617" s="1020"/>
      <c r="C617" s="792" t="s">
        <v>581</v>
      </c>
      <c r="E617" s="986">
        <f>$H$39</f>
        <v>192</v>
      </c>
      <c r="F617" s="986">
        <f>$K$39</f>
        <v>211.2</v>
      </c>
      <c r="G617" s="986">
        <f>$M$39</f>
        <v>230.4</v>
      </c>
      <c r="H617" s="986">
        <f>$O$39</f>
        <v>249.6</v>
      </c>
      <c r="I617" s="1012"/>
    </row>
    <row r="618" spans="1:10" ht="12.75" customHeight="1">
      <c r="A618" s="1019"/>
      <c r="B618" s="1020"/>
      <c r="C618" s="792" t="s">
        <v>180</v>
      </c>
      <c r="D618" s="1049">
        <f>$E$5</f>
        <v>0</v>
      </c>
      <c r="E618" s="986">
        <f>ROUND($D$618*E617,2)</f>
        <v>0</v>
      </c>
      <c r="F618" s="986">
        <f>ROUND($D$618*F617,2)</f>
        <v>0</v>
      </c>
      <c r="G618" s="986">
        <f>ROUND($D$618*G617,2)</f>
        <v>0</v>
      </c>
      <c r="H618" s="986">
        <f>ROUND($D$618*H617,2)</f>
        <v>0</v>
      </c>
      <c r="I618" s="1012"/>
    </row>
    <row r="619" spans="1:10" ht="12.75" customHeight="1">
      <c r="A619" s="1019"/>
      <c r="B619" s="1020"/>
      <c r="C619" s="792" t="s">
        <v>418</v>
      </c>
      <c r="E619" s="986"/>
      <c r="F619" s="986">
        <f>ROUND(0.1*D612*($I$484+$I$483+$I$482),2)</f>
        <v>26.61</v>
      </c>
      <c r="G619" s="986">
        <f>ROUND(0.2*D612*($I$484+$I$483+$I$482),2)</f>
        <v>53.22</v>
      </c>
      <c r="H619" s="986">
        <f>ROUND(0.3*D612*($I$484+$I$483+$I$482),2)</f>
        <v>79.83</v>
      </c>
      <c r="I619" s="1048"/>
    </row>
    <row r="620" spans="1:10" ht="12.75" customHeight="1">
      <c r="A620" s="1019"/>
      <c r="B620" s="1020"/>
      <c r="E620" s="986">
        <f>SUM(E615:E619)</f>
        <v>1344.1872840000001</v>
      </c>
      <c r="F620" s="986">
        <f>SUM(F615:F619)</f>
        <v>1389.997284</v>
      </c>
      <c r="G620" s="986">
        <f>SUM(G615:G619)</f>
        <v>1435.8072840000002</v>
      </c>
      <c r="H620" s="986">
        <f>SUM(H615:H619)</f>
        <v>1481.6172839999999</v>
      </c>
      <c r="I620" s="986"/>
    </row>
    <row r="621" spans="1:10" ht="12.75" customHeight="1">
      <c r="A621" s="1019"/>
      <c r="B621" s="1020"/>
      <c r="C621" s="1124" t="s">
        <v>1014</v>
      </c>
      <c r="D621" s="1026">
        <f>$D$3</f>
        <v>0</v>
      </c>
      <c r="E621" s="986">
        <f>ROUND(E620*$D$312,2)</f>
        <v>0</v>
      </c>
      <c r="F621" s="986">
        <f>ROUND(F620*$D$312,2)</f>
        <v>0</v>
      </c>
      <c r="G621" s="986">
        <f>ROUND(G620*$D$312,2)</f>
        <v>0</v>
      </c>
      <c r="H621" s="986">
        <f>ROUND(H620*$D$312,2)</f>
        <v>0</v>
      </c>
      <c r="I621" s="986"/>
    </row>
    <row r="622" spans="1:10" ht="12.75" customHeight="1">
      <c r="A622" s="1019"/>
      <c r="B622" s="1020"/>
      <c r="C622" s="980" t="s">
        <v>281</v>
      </c>
      <c r="D622" s="980" t="s">
        <v>466</v>
      </c>
      <c r="E622" s="1012">
        <f>CEILING(SUM(E620:E621),0.05)</f>
        <v>1344.2</v>
      </c>
      <c r="F622" s="1012">
        <f>CEILING(SUM(F620:F621),0.05)</f>
        <v>1390</v>
      </c>
      <c r="G622" s="1012">
        <f>CEILING(SUM(G620:G621),0.05)</f>
        <v>1435.8500000000001</v>
      </c>
      <c r="H622" s="1012">
        <f>CEILING(SUM(H620:H621),0.05)</f>
        <v>1481.65</v>
      </c>
    </row>
    <row r="623" spans="1:10" ht="12.75" customHeight="1">
      <c r="A623" s="1019"/>
      <c r="B623" s="1020"/>
      <c r="C623" s="980"/>
      <c r="D623" s="980"/>
      <c r="E623" s="1012"/>
      <c r="F623" s="1012"/>
      <c r="G623" s="1012"/>
      <c r="H623" s="1012"/>
    </row>
    <row r="624" spans="1:10" ht="12.75" customHeight="1">
      <c r="A624" s="1019">
        <f>A598+1</f>
        <v>2</v>
      </c>
      <c r="B624" s="1020" t="s">
        <v>695</v>
      </c>
      <c r="C624" s="1127" t="s">
        <v>2222</v>
      </c>
      <c r="D624" s="1021"/>
      <c r="E624" s="1003"/>
      <c r="F624" s="1003"/>
      <c r="G624" s="1023"/>
      <c r="H624" s="1116"/>
      <c r="I624" s="1003"/>
    </row>
    <row r="625" spans="1:10" ht="12.75" customHeight="1">
      <c r="A625" s="1019"/>
      <c r="B625" s="1020"/>
      <c r="C625" s="792" t="s">
        <v>1040</v>
      </c>
      <c r="D625" s="1021">
        <f>0.175</f>
        <v>0.17499999999999999</v>
      </c>
      <c r="E625" s="1003" t="s">
        <v>529</v>
      </c>
      <c r="F625" s="986">
        <f>$I$485</f>
        <v>5946.5895999999993</v>
      </c>
      <c r="G625" s="1023">
        <v>1</v>
      </c>
      <c r="H625" s="991" t="str">
        <f>IF(E625="","",IF(E625="No.","Each",IF(E625="Nos.","Each",E625)))</f>
        <v>cu.m.</v>
      </c>
      <c r="I625" s="986">
        <f>IF(G625="",D625*F625,(D625*F625/G625))</f>
        <v>1040.6531799999998</v>
      </c>
    </row>
    <row r="626" spans="1:10" ht="12.75" customHeight="1">
      <c r="A626" s="1019"/>
      <c r="B626" s="1020"/>
      <c r="D626" s="1021"/>
      <c r="E626" s="1003"/>
      <c r="F626" s="986"/>
      <c r="G626" s="1023"/>
      <c r="H626" s="991"/>
      <c r="I626" s="986"/>
    </row>
    <row r="627" spans="1:10" ht="12.75" customHeight="1">
      <c r="A627" s="1019"/>
      <c r="B627" s="1020"/>
      <c r="C627" s="1004" t="s">
        <v>428</v>
      </c>
      <c r="E627" s="1131" t="s">
        <v>501</v>
      </c>
      <c r="F627" s="1048" t="s">
        <v>502</v>
      </c>
      <c r="G627" s="1131" t="s">
        <v>503</v>
      </c>
      <c r="H627" s="1048" t="s">
        <v>709</v>
      </c>
      <c r="I627" s="1048" t="s">
        <v>502</v>
      </c>
      <c r="J627" s="1048" t="s">
        <v>502</v>
      </c>
    </row>
    <row r="628" spans="1:10" ht="12.75" customHeight="1">
      <c r="A628" s="1019"/>
      <c r="B628" s="1020"/>
      <c r="C628" s="792" t="s">
        <v>381</v>
      </c>
      <c r="E628" s="986">
        <f>I625</f>
        <v>1040.6531799999998</v>
      </c>
      <c r="F628" s="986">
        <f>I625</f>
        <v>1040.6531799999998</v>
      </c>
      <c r="G628" s="986">
        <f>I625</f>
        <v>1040.6531799999998</v>
      </c>
      <c r="H628" s="986">
        <f>I625</f>
        <v>1040.6531799999998</v>
      </c>
      <c r="I628" s="986">
        <f>H628</f>
        <v>1040.6531799999998</v>
      </c>
      <c r="J628" s="986">
        <f>I628</f>
        <v>1040.6531799999998</v>
      </c>
    </row>
    <row r="629" spans="1:10" ht="12.75" customHeight="1">
      <c r="A629" s="1019"/>
      <c r="B629" s="1020"/>
      <c r="C629" s="792" t="s">
        <v>580</v>
      </c>
      <c r="E629" s="986">
        <f t="shared" ref="E629:J629" si="72">$F$39</f>
        <v>171</v>
      </c>
      <c r="F629" s="986">
        <f t="shared" si="72"/>
        <v>171</v>
      </c>
      <c r="G629" s="986">
        <f t="shared" si="72"/>
        <v>171</v>
      </c>
      <c r="H629" s="986">
        <f t="shared" si="72"/>
        <v>171</v>
      </c>
      <c r="I629" s="986">
        <f t="shared" si="72"/>
        <v>171</v>
      </c>
      <c r="J629" s="986">
        <f t="shared" si="72"/>
        <v>171</v>
      </c>
    </row>
    <row r="630" spans="1:10" ht="12.75" customHeight="1">
      <c r="A630" s="1019"/>
      <c r="B630" s="1020"/>
      <c r="C630" s="792" t="s">
        <v>581</v>
      </c>
      <c r="E630" s="986">
        <f>$H$39</f>
        <v>192</v>
      </c>
      <c r="F630" s="986">
        <f>$K$39</f>
        <v>211.2</v>
      </c>
      <c r="G630" s="986">
        <f>$M$39</f>
        <v>230.4</v>
      </c>
      <c r="H630" s="986">
        <f>$O$39</f>
        <v>249.6</v>
      </c>
      <c r="I630" s="986">
        <f>$Q$39</f>
        <v>268.8</v>
      </c>
      <c r="J630" s="986">
        <f>$S$39</f>
        <v>288</v>
      </c>
    </row>
    <row r="631" spans="1:10" ht="12.75" customHeight="1">
      <c r="A631" s="1019"/>
      <c r="B631" s="1020"/>
      <c r="C631" s="792" t="s">
        <v>180</v>
      </c>
      <c r="D631" s="1049">
        <f>$E$5</f>
        <v>0</v>
      </c>
      <c r="E631" s="986">
        <f t="shared" ref="E631:J631" si="73">ROUND($D$631*E630,2)</f>
        <v>0</v>
      </c>
      <c r="F631" s="986">
        <f t="shared" si="73"/>
        <v>0</v>
      </c>
      <c r="G631" s="986">
        <f t="shared" si="73"/>
        <v>0</v>
      </c>
      <c r="H631" s="986">
        <f t="shared" si="73"/>
        <v>0</v>
      </c>
      <c r="I631" s="986">
        <f t="shared" si="73"/>
        <v>0</v>
      </c>
      <c r="J631" s="986">
        <f t="shared" si="73"/>
        <v>0</v>
      </c>
    </row>
    <row r="632" spans="1:10" ht="12.75" customHeight="1">
      <c r="A632" s="1019"/>
      <c r="B632" s="1020"/>
      <c r="C632" s="792" t="s">
        <v>418</v>
      </c>
      <c r="E632" s="986"/>
      <c r="F632" s="986">
        <f>ROUND(0.1*D625*($I$484+$I$483+$I$482),2)</f>
        <v>28.22</v>
      </c>
      <c r="G632" s="986">
        <f>ROUND(0.2*D625*($I$484+$I$483+$I$482),2)</f>
        <v>56.45</v>
      </c>
      <c r="H632" s="986">
        <f>ROUND(0.3*D625*($I$484+$I$483+$I$482),2)</f>
        <v>84.67</v>
      </c>
      <c r="I632" s="986">
        <f>ROUND(0.4*D625*($I$484+$I$483+$I$482),2)</f>
        <v>112.89</v>
      </c>
      <c r="J632" s="986">
        <f>ROUND(0.5*D625*($I$484+$I$483+$I$482),2)</f>
        <v>141.11000000000001</v>
      </c>
    </row>
    <row r="633" spans="1:10" ht="12.75" customHeight="1">
      <c r="A633" s="1019"/>
      <c r="B633" s="1020"/>
      <c r="E633" s="986">
        <f t="shared" ref="E633:J633" si="74">SUM(E628:E632)</f>
        <v>1403.6531799999998</v>
      </c>
      <c r="F633" s="986">
        <f t="shared" si="74"/>
        <v>1451.0731799999999</v>
      </c>
      <c r="G633" s="986">
        <f t="shared" si="74"/>
        <v>1498.5031799999999</v>
      </c>
      <c r="H633" s="986">
        <f t="shared" si="74"/>
        <v>1545.9231799999998</v>
      </c>
      <c r="I633" s="986">
        <f t="shared" si="74"/>
        <v>1593.3431799999998</v>
      </c>
      <c r="J633" s="986">
        <f t="shared" si="74"/>
        <v>1640.7631799999999</v>
      </c>
    </row>
    <row r="634" spans="1:10" ht="12.75" customHeight="1">
      <c r="A634" s="1019"/>
      <c r="B634" s="1020"/>
      <c r="C634" s="1124" t="s">
        <v>1014</v>
      </c>
      <c r="D634" s="1026">
        <f>$D$3</f>
        <v>0</v>
      </c>
      <c r="E634" s="986">
        <f t="shared" ref="E634:J634" si="75">ROUND(E633*$D$634,2)</f>
        <v>0</v>
      </c>
      <c r="F634" s="986">
        <f t="shared" si="75"/>
        <v>0</v>
      </c>
      <c r="G634" s="986">
        <f t="shared" si="75"/>
        <v>0</v>
      </c>
      <c r="H634" s="986">
        <f t="shared" si="75"/>
        <v>0</v>
      </c>
      <c r="I634" s="986">
        <f t="shared" si="75"/>
        <v>0</v>
      </c>
      <c r="J634" s="986">
        <f t="shared" si="75"/>
        <v>0</v>
      </c>
    </row>
    <row r="635" spans="1:10" ht="12.75" customHeight="1">
      <c r="A635" s="1019"/>
      <c r="B635" s="1020"/>
      <c r="C635" s="980" t="s">
        <v>281</v>
      </c>
      <c r="D635" s="980" t="s">
        <v>466</v>
      </c>
      <c r="E635" s="1012">
        <f t="shared" ref="E635:J635" si="76">CEILING(SUM(E633:E634),0.05)</f>
        <v>1403.7</v>
      </c>
      <c r="F635" s="1012">
        <f t="shared" si="76"/>
        <v>1451.1000000000001</v>
      </c>
      <c r="G635" s="1012">
        <f t="shared" si="76"/>
        <v>1498.5500000000002</v>
      </c>
      <c r="H635" s="1012">
        <f t="shared" si="76"/>
        <v>1545.95</v>
      </c>
      <c r="I635" s="1012">
        <f t="shared" si="76"/>
        <v>1593.3500000000001</v>
      </c>
      <c r="J635" s="1012">
        <f t="shared" si="76"/>
        <v>1640.8000000000002</v>
      </c>
    </row>
    <row r="636" spans="1:10" ht="12.75" customHeight="1">
      <c r="A636" s="1019"/>
      <c r="B636" s="1020"/>
      <c r="C636" s="1051"/>
      <c r="E636" s="1012"/>
      <c r="F636" s="1012"/>
      <c r="G636" s="1012"/>
      <c r="H636" s="1012"/>
    </row>
    <row r="637" spans="1:10" ht="25.5" customHeight="1">
      <c r="A637" s="1019"/>
      <c r="B637" s="1020" t="s">
        <v>21</v>
      </c>
      <c r="C637" s="1127" t="s">
        <v>2223</v>
      </c>
      <c r="D637" s="1021"/>
      <c r="E637" s="1003"/>
      <c r="F637" s="1003"/>
      <c r="G637" s="1023"/>
      <c r="H637" s="1116"/>
      <c r="I637" s="1003"/>
    </row>
    <row r="638" spans="1:10" ht="12.75" customHeight="1">
      <c r="A638" s="1019"/>
      <c r="B638" s="1020"/>
      <c r="C638" s="792" t="s">
        <v>274</v>
      </c>
      <c r="D638" s="1021">
        <v>0.18</v>
      </c>
      <c r="E638" s="1003" t="s">
        <v>529</v>
      </c>
      <c r="F638" s="986">
        <f>$I$485</f>
        <v>5946.5895999999993</v>
      </c>
      <c r="G638" s="1023">
        <v>1</v>
      </c>
      <c r="H638" s="991" t="str">
        <f>IF(E638="","",IF(E638="No.","Each",IF(E638="Nos.","Each",E638)))</f>
        <v>cu.m.</v>
      </c>
      <c r="I638" s="986">
        <f>IF(G638="",D638*F638,(D638*F638/G638))</f>
        <v>1070.3861279999999</v>
      </c>
    </row>
    <row r="639" spans="1:10" ht="12.75" customHeight="1">
      <c r="A639" s="1019"/>
      <c r="B639" s="1020"/>
      <c r="D639" s="1021"/>
      <c r="E639" s="1003"/>
      <c r="F639" s="986"/>
      <c r="G639" s="1023"/>
      <c r="H639" s="991"/>
      <c r="I639" s="986"/>
    </row>
    <row r="640" spans="1:10" ht="12.75" customHeight="1">
      <c r="A640" s="1019"/>
      <c r="B640" s="1020"/>
      <c r="C640" s="1004" t="s">
        <v>428</v>
      </c>
      <c r="E640" s="1131" t="s">
        <v>501</v>
      </c>
      <c r="F640" s="1048" t="s">
        <v>502</v>
      </c>
      <c r="G640" s="1131" t="s">
        <v>503</v>
      </c>
      <c r="H640" s="1048" t="s">
        <v>709</v>
      </c>
      <c r="I640" s="986"/>
    </row>
    <row r="641" spans="1:9" ht="12.75" customHeight="1">
      <c r="A641" s="1019"/>
      <c r="B641" s="1020"/>
      <c r="C641" s="792" t="s">
        <v>381</v>
      </c>
      <c r="E641" s="986">
        <f>I638</f>
        <v>1070.3861279999999</v>
      </c>
      <c r="F641" s="986">
        <f>I638</f>
        <v>1070.3861279999999</v>
      </c>
      <c r="G641" s="986">
        <f>I638</f>
        <v>1070.3861279999999</v>
      </c>
      <c r="H641" s="986">
        <f>I638</f>
        <v>1070.3861279999999</v>
      </c>
      <c r="I641" s="986"/>
    </row>
    <row r="642" spans="1:9" ht="12.75" customHeight="1">
      <c r="A642" s="1019"/>
      <c r="B642" s="1020"/>
      <c r="C642" s="792" t="s">
        <v>580</v>
      </c>
      <c r="E642" s="986">
        <f t="shared" ref="E642:H642" si="77">$F$39</f>
        <v>171</v>
      </c>
      <c r="F642" s="986">
        <f t="shared" si="77"/>
        <v>171</v>
      </c>
      <c r="G642" s="986">
        <f t="shared" si="77"/>
        <v>171</v>
      </c>
      <c r="H642" s="986">
        <f t="shared" si="77"/>
        <v>171</v>
      </c>
      <c r="I642" s="986"/>
    </row>
    <row r="643" spans="1:9" ht="12.75" customHeight="1">
      <c r="A643" s="1019"/>
      <c r="B643" s="1020"/>
      <c r="C643" s="792" t="s">
        <v>581</v>
      </c>
      <c r="E643" s="986">
        <f>$H$39</f>
        <v>192</v>
      </c>
      <c r="F643" s="986">
        <f>$K$39</f>
        <v>211.2</v>
      </c>
      <c r="G643" s="986">
        <f>$M$39</f>
        <v>230.4</v>
      </c>
      <c r="H643" s="986">
        <f>$O$39</f>
        <v>249.6</v>
      </c>
      <c r="I643" s="1012"/>
    </row>
    <row r="644" spans="1:9" ht="12.75" customHeight="1">
      <c r="A644" s="1019"/>
      <c r="B644" s="1020"/>
      <c r="C644" s="792" t="s">
        <v>180</v>
      </c>
      <c r="D644" s="1049">
        <f>$E$5</f>
        <v>0</v>
      </c>
      <c r="E644" s="986">
        <f>ROUND($D$644*E643,2)</f>
        <v>0</v>
      </c>
      <c r="F644" s="986">
        <f>ROUND($D$644*F643,2)</f>
        <v>0</v>
      </c>
      <c r="G644" s="986">
        <f>ROUND($D$644*G643,2)</f>
        <v>0</v>
      </c>
      <c r="H644" s="986">
        <f>ROUND($D$644*H643,2)</f>
        <v>0</v>
      </c>
      <c r="I644" s="1012"/>
    </row>
    <row r="645" spans="1:9" ht="12.75" customHeight="1">
      <c r="A645" s="1019"/>
      <c r="B645" s="1020"/>
      <c r="C645" s="792" t="s">
        <v>418</v>
      </c>
      <c r="E645" s="986"/>
      <c r="F645" s="986">
        <f>ROUND(0.1*D638*($I$484+$I$483+$I$482),2)</f>
        <v>29.03</v>
      </c>
      <c r="G645" s="986">
        <f>ROUND(0.2*D638*($I$484+$I$483+$I$482),2)</f>
        <v>58.06</v>
      </c>
      <c r="H645" s="986">
        <f>ROUND(0.3*D638*($I$484+$I$483+$I$482),2)</f>
        <v>87.09</v>
      </c>
      <c r="I645" s="1048"/>
    </row>
    <row r="646" spans="1:9" ht="12.75" customHeight="1">
      <c r="A646" s="1019"/>
      <c r="B646" s="1020"/>
      <c r="E646" s="986">
        <f>SUM(E641:E645)</f>
        <v>1433.3861279999999</v>
      </c>
      <c r="F646" s="986">
        <f>SUM(F641:F645)</f>
        <v>1481.6161279999999</v>
      </c>
      <c r="G646" s="986">
        <f>SUM(G641:G645)</f>
        <v>1529.8461279999999</v>
      </c>
      <c r="H646" s="986">
        <f>SUM(H641:H645)</f>
        <v>1578.0761279999997</v>
      </c>
      <c r="I646" s="986"/>
    </row>
    <row r="647" spans="1:9" ht="12.75" customHeight="1">
      <c r="A647" s="1019"/>
      <c r="B647" s="1020"/>
      <c r="C647" s="1124" t="s">
        <v>1014</v>
      </c>
      <c r="D647" s="1026">
        <f>$D$3</f>
        <v>0</v>
      </c>
      <c r="E647" s="986">
        <f>ROUND(E646*$D$312,2)</f>
        <v>0</v>
      </c>
      <c r="F647" s="986">
        <f>ROUND(F646*$D$312,2)</f>
        <v>0</v>
      </c>
      <c r="G647" s="986">
        <f>ROUND(G646*$D$312,2)</f>
        <v>0</v>
      </c>
      <c r="H647" s="986">
        <f>ROUND(H646*$D$312,2)</f>
        <v>0</v>
      </c>
      <c r="I647" s="986"/>
    </row>
    <row r="648" spans="1:9" ht="12.75" customHeight="1">
      <c r="A648" s="1019"/>
      <c r="B648" s="1020"/>
      <c r="C648" s="980" t="s">
        <v>281</v>
      </c>
      <c r="D648" s="980" t="s">
        <v>466</v>
      </c>
      <c r="E648" s="1012">
        <f>CEILING(SUM(E646:E647),0.05)</f>
        <v>1433.4</v>
      </c>
      <c r="F648" s="1012">
        <f>CEILING(SUM(F646:F647),0.05)</f>
        <v>1481.65</v>
      </c>
      <c r="G648" s="1012">
        <f>CEILING(SUM(G646:G647),0.05)</f>
        <v>1529.8500000000001</v>
      </c>
      <c r="H648" s="1012">
        <f>CEILING(SUM(H646:H647),0.05)</f>
        <v>1578.1000000000001</v>
      </c>
    </row>
    <row r="649" spans="1:9" ht="12.75" customHeight="1">
      <c r="A649" s="1019"/>
      <c r="B649" s="1020"/>
      <c r="C649" s="1051"/>
      <c r="E649" s="1012"/>
      <c r="F649" s="1012"/>
      <c r="G649" s="1012"/>
      <c r="H649" s="1012"/>
    </row>
    <row r="650" spans="1:9" ht="25.5" customHeight="1">
      <c r="A650" s="1019"/>
      <c r="B650" s="1020" t="s">
        <v>22</v>
      </c>
      <c r="C650" s="1127" t="s">
        <v>2224</v>
      </c>
      <c r="D650" s="1021"/>
      <c r="E650" s="1003"/>
      <c r="F650" s="1003"/>
      <c r="G650" s="1023"/>
      <c r="H650" s="1116"/>
      <c r="I650" s="1003"/>
    </row>
    <row r="651" spans="1:9" ht="12.75" customHeight="1">
      <c r="A651" s="1019"/>
      <c r="B651" s="1020"/>
      <c r="C651" s="792" t="s">
        <v>273</v>
      </c>
      <c r="D651" s="1021">
        <v>0.2</v>
      </c>
      <c r="E651" s="1003" t="s">
        <v>529</v>
      </c>
      <c r="F651" s="986">
        <f>$I$485</f>
        <v>5946.5895999999993</v>
      </c>
      <c r="G651" s="1023">
        <v>1</v>
      </c>
      <c r="H651" s="991" t="str">
        <f>IF(E651="","",IF(E651="No.","Each",IF(E651="Nos.","Each",E651)))</f>
        <v>cu.m.</v>
      </c>
      <c r="I651" s="986">
        <f>IF(G651="",D651*F651,(D651*F651/G651))</f>
        <v>1189.31792</v>
      </c>
    </row>
    <row r="652" spans="1:9" ht="12.75" customHeight="1">
      <c r="A652" s="1019"/>
      <c r="B652" s="1020"/>
      <c r="D652" s="1021"/>
      <c r="E652" s="1003"/>
      <c r="F652" s="986"/>
      <c r="G652" s="1023"/>
      <c r="H652" s="991"/>
      <c r="I652" s="986"/>
    </row>
    <row r="653" spans="1:9" ht="12.75" customHeight="1">
      <c r="A653" s="1019"/>
      <c r="B653" s="1020"/>
      <c r="C653" s="1004" t="s">
        <v>428</v>
      </c>
      <c r="E653" s="1131" t="s">
        <v>501</v>
      </c>
      <c r="F653" s="1048" t="s">
        <v>502</v>
      </c>
      <c r="G653" s="1131" t="s">
        <v>503</v>
      </c>
      <c r="H653" s="1048" t="s">
        <v>709</v>
      </c>
      <c r="I653" s="986"/>
    </row>
    <row r="654" spans="1:9" ht="12.75" customHeight="1">
      <c r="A654" s="1019"/>
      <c r="B654" s="1020"/>
      <c r="C654" s="792" t="s">
        <v>381</v>
      </c>
      <c r="E654" s="986">
        <f>I651</f>
        <v>1189.31792</v>
      </c>
      <c r="F654" s="986">
        <f>I651</f>
        <v>1189.31792</v>
      </c>
      <c r="G654" s="986">
        <f>I651</f>
        <v>1189.31792</v>
      </c>
      <c r="H654" s="986">
        <f>I651</f>
        <v>1189.31792</v>
      </c>
      <c r="I654" s="986"/>
    </row>
    <row r="655" spans="1:9" ht="12.75" customHeight="1">
      <c r="A655" s="1019"/>
      <c r="B655" s="1020"/>
      <c r="C655" s="792" t="s">
        <v>580</v>
      </c>
      <c r="E655" s="986">
        <f t="shared" ref="E655:H655" si="78">$F$39</f>
        <v>171</v>
      </c>
      <c r="F655" s="986">
        <f t="shared" si="78"/>
        <v>171</v>
      </c>
      <c r="G655" s="986">
        <f t="shared" si="78"/>
        <v>171</v>
      </c>
      <c r="H655" s="986">
        <f t="shared" si="78"/>
        <v>171</v>
      </c>
      <c r="I655" s="986"/>
    </row>
    <row r="656" spans="1:9" ht="12.75" customHeight="1">
      <c r="A656" s="1019"/>
      <c r="B656" s="1020"/>
      <c r="C656" s="792" t="s">
        <v>581</v>
      </c>
      <c r="E656" s="986">
        <f>$H$39</f>
        <v>192</v>
      </c>
      <c r="F656" s="986">
        <f>$K$39</f>
        <v>211.2</v>
      </c>
      <c r="G656" s="986">
        <f>$M$39</f>
        <v>230.4</v>
      </c>
      <c r="H656" s="986">
        <f>$O$39</f>
        <v>249.6</v>
      </c>
      <c r="I656" s="1012"/>
    </row>
    <row r="657" spans="1:9" ht="12.75" customHeight="1">
      <c r="A657" s="1019"/>
      <c r="B657" s="1020"/>
      <c r="C657" s="792" t="s">
        <v>180</v>
      </c>
      <c r="D657" s="1049">
        <f>$E$5</f>
        <v>0</v>
      </c>
      <c r="E657" s="986">
        <f>ROUND($D$657*E656,2)</f>
        <v>0</v>
      </c>
      <c r="F657" s="986">
        <f>ROUND($D$657*F656,2)</f>
        <v>0</v>
      </c>
      <c r="G657" s="986">
        <f>ROUND($D$657*G656,2)</f>
        <v>0</v>
      </c>
      <c r="H657" s="986">
        <f>ROUND($D$657*H656,2)</f>
        <v>0</v>
      </c>
      <c r="I657" s="1012"/>
    </row>
    <row r="658" spans="1:9" ht="12.75" customHeight="1">
      <c r="A658" s="1019"/>
      <c r="B658" s="1020"/>
      <c r="C658" s="792" t="s">
        <v>418</v>
      </c>
      <c r="E658" s="986"/>
      <c r="F658" s="986">
        <f>ROUND(0.1*D651*($I$484+$I$483+$I$482),2)</f>
        <v>32.25</v>
      </c>
      <c r="G658" s="986">
        <f>ROUND(0.2*D651*($I$484+$I$483+$I$482),2)</f>
        <v>64.510000000000005</v>
      </c>
      <c r="H658" s="986">
        <f>ROUND(0.3*D651*($I$484+$I$483+$I$482),2)</f>
        <v>96.76</v>
      </c>
      <c r="I658" s="1048"/>
    </row>
    <row r="659" spans="1:9" ht="12.75" customHeight="1">
      <c r="A659" s="1019"/>
      <c r="B659" s="1020"/>
      <c r="E659" s="986">
        <f>SUM(E654:E658)</f>
        <v>1552.31792</v>
      </c>
      <c r="F659" s="986">
        <f>SUM(F654:F658)</f>
        <v>1603.76792</v>
      </c>
      <c r="G659" s="986">
        <f>SUM(G654:G658)</f>
        <v>1655.22792</v>
      </c>
      <c r="H659" s="986">
        <f>SUM(H654:H658)</f>
        <v>1706.6779199999999</v>
      </c>
      <c r="I659" s="986"/>
    </row>
    <row r="660" spans="1:9" ht="12.75" customHeight="1">
      <c r="A660" s="1019"/>
      <c r="B660" s="1020"/>
      <c r="C660" s="1124" t="s">
        <v>1014</v>
      </c>
      <c r="D660" s="1026">
        <f>$D$3</f>
        <v>0</v>
      </c>
      <c r="E660" s="986">
        <f>ROUND(E659*$D$312,2)</f>
        <v>0</v>
      </c>
      <c r="F660" s="986">
        <f>ROUND(F659*$D$312,2)</f>
        <v>0</v>
      </c>
      <c r="G660" s="986">
        <f>ROUND(G659*$D$312,2)</f>
        <v>0</v>
      </c>
      <c r="H660" s="986">
        <f>ROUND(H659*$D$312,2)</f>
        <v>0</v>
      </c>
      <c r="I660" s="986"/>
    </row>
    <row r="661" spans="1:9" ht="12.75" customHeight="1">
      <c r="A661" s="1019"/>
      <c r="B661" s="1020"/>
      <c r="C661" s="980" t="s">
        <v>281</v>
      </c>
      <c r="D661" s="980" t="s">
        <v>466</v>
      </c>
      <c r="E661" s="1012">
        <f>CEILING(SUM(E659:E660),0.05)</f>
        <v>1552.3500000000001</v>
      </c>
      <c r="F661" s="1012">
        <f>CEILING(SUM(F659:F660),0.05)</f>
        <v>1603.8000000000002</v>
      </c>
      <c r="G661" s="1012">
        <f>CEILING(SUM(G659:G660),0.05)</f>
        <v>1655.25</v>
      </c>
      <c r="H661" s="1012">
        <f>CEILING(SUM(H659:H660),0.05)</f>
        <v>1706.7</v>
      </c>
    </row>
    <row r="662" spans="1:9" ht="12.75" customHeight="1">
      <c r="A662" s="1019"/>
      <c r="B662" s="1020"/>
      <c r="C662" s="1051"/>
      <c r="E662" s="1012"/>
      <c r="F662" s="1012"/>
      <c r="G662" s="1012"/>
      <c r="H662" s="1012"/>
    </row>
    <row r="663" spans="1:9" ht="12.75" customHeight="1">
      <c r="A663" s="1019"/>
      <c r="B663" s="1020" t="s">
        <v>487</v>
      </c>
      <c r="C663" s="1127" t="s">
        <v>2225</v>
      </c>
      <c r="D663" s="1021"/>
      <c r="E663" s="1003"/>
      <c r="F663" s="1003"/>
      <c r="G663" s="1023"/>
      <c r="H663" s="1116"/>
      <c r="I663" s="1003"/>
    </row>
    <row r="664" spans="1:9" ht="12.75" customHeight="1">
      <c r="A664" s="1019"/>
      <c r="B664" s="1020"/>
      <c r="C664" s="792" t="s">
        <v>275</v>
      </c>
      <c r="D664" s="1021">
        <v>0.22500000000000001</v>
      </c>
      <c r="E664" s="1003" t="s">
        <v>529</v>
      </c>
      <c r="F664" s="986">
        <f>$I$485</f>
        <v>5946.5895999999993</v>
      </c>
      <c r="G664" s="1023">
        <v>1</v>
      </c>
      <c r="H664" s="991" t="str">
        <f>IF(E664="","",IF(E664="No.","Each",IF(E664="Nos.","Each",E664)))</f>
        <v>cu.m.</v>
      </c>
      <c r="I664" s="986">
        <f>IF(G664="",D664*F664,(D664*F664/G664))</f>
        <v>1337.9826599999999</v>
      </c>
    </row>
    <row r="665" spans="1:9" ht="12.75" customHeight="1">
      <c r="A665" s="1019"/>
      <c r="B665" s="1020"/>
      <c r="D665" s="1021"/>
      <c r="E665" s="1003"/>
      <c r="F665" s="986"/>
      <c r="G665" s="1023"/>
      <c r="H665" s="991"/>
      <c r="I665" s="986"/>
    </row>
    <row r="666" spans="1:9" ht="12.75" customHeight="1">
      <c r="A666" s="1019"/>
      <c r="B666" s="1020"/>
      <c r="C666" s="1004" t="s">
        <v>428</v>
      </c>
      <c r="E666" s="1131" t="s">
        <v>501</v>
      </c>
      <c r="F666" s="1048" t="s">
        <v>502</v>
      </c>
      <c r="G666" s="1131" t="s">
        <v>503</v>
      </c>
      <c r="H666" s="1048" t="s">
        <v>709</v>
      </c>
      <c r="I666" s="986"/>
    </row>
    <row r="667" spans="1:9" ht="12.75" customHeight="1">
      <c r="A667" s="1019"/>
      <c r="B667" s="1020"/>
      <c r="C667" s="792" t="s">
        <v>381</v>
      </c>
      <c r="E667" s="986">
        <f>I664</f>
        <v>1337.9826599999999</v>
      </c>
      <c r="F667" s="986">
        <f>I664</f>
        <v>1337.9826599999999</v>
      </c>
      <c r="G667" s="986">
        <f>I664</f>
        <v>1337.9826599999999</v>
      </c>
      <c r="H667" s="986">
        <f>I664</f>
        <v>1337.9826599999999</v>
      </c>
      <c r="I667" s="986"/>
    </row>
    <row r="668" spans="1:9" ht="12.75" customHeight="1">
      <c r="A668" s="1019"/>
      <c r="B668" s="1020"/>
      <c r="C668" s="792" t="s">
        <v>580</v>
      </c>
      <c r="E668" s="986">
        <f t="shared" ref="E668:H668" si="79">$F$39</f>
        <v>171</v>
      </c>
      <c r="F668" s="986">
        <f t="shared" si="79"/>
        <v>171</v>
      </c>
      <c r="G668" s="986">
        <f t="shared" si="79"/>
        <v>171</v>
      </c>
      <c r="H668" s="986">
        <f t="shared" si="79"/>
        <v>171</v>
      </c>
      <c r="I668" s="986"/>
    </row>
    <row r="669" spans="1:9" ht="12.75" customHeight="1">
      <c r="A669" s="1019"/>
      <c r="B669" s="1020"/>
      <c r="C669" s="792" t="s">
        <v>581</v>
      </c>
      <c r="E669" s="986">
        <f>$H$39</f>
        <v>192</v>
      </c>
      <c r="F669" s="986">
        <f>$K$39</f>
        <v>211.2</v>
      </c>
      <c r="G669" s="986">
        <f>$M$39</f>
        <v>230.4</v>
      </c>
      <c r="H669" s="986">
        <f>$O$39</f>
        <v>249.6</v>
      </c>
      <c r="I669" s="1012"/>
    </row>
    <row r="670" spans="1:9" ht="12.75" customHeight="1">
      <c r="A670" s="1019"/>
      <c r="B670" s="1020"/>
      <c r="C670" s="792" t="s">
        <v>180</v>
      </c>
      <c r="D670" s="1049">
        <f>$E$5</f>
        <v>0</v>
      </c>
      <c r="E670" s="986">
        <f>ROUND($D$670*E669,2)</f>
        <v>0</v>
      </c>
      <c r="F670" s="986">
        <f>ROUND($D$670*F669,2)</f>
        <v>0</v>
      </c>
      <c r="G670" s="986">
        <f>ROUND($D$670*G669,2)</f>
        <v>0</v>
      </c>
      <c r="H670" s="986">
        <f>ROUND($D$670*H669,2)</f>
        <v>0</v>
      </c>
      <c r="I670" s="1012"/>
    </row>
    <row r="671" spans="1:9" ht="12.75" customHeight="1">
      <c r="A671" s="1019"/>
      <c r="B671" s="1020"/>
      <c r="C671" s="792" t="s">
        <v>418</v>
      </c>
      <c r="E671" s="986"/>
      <c r="F671" s="986">
        <f>ROUND(0.1*D664*($I$484+$I$483+$I$482),2)</f>
        <v>36.29</v>
      </c>
      <c r="G671" s="986">
        <f>ROUND(0.2*D664*($I$484+$I$483+$I$482),2)</f>
        <v>72.569999999999993</v>
      </c>
      <c r="H671" s="986">
        <f>ROUND(0.3*D664*($I$484+$I$483+$I$482),2)</f>
        <v>108.86</v>
      </c>
      <c r="I671" s="1048"/>
    </row>
    <row r="672" spans="1:9" ht="12.75" customHeight="1">
      <c r="A672" s="1019"/>
      <c r="B672" s="1020"/>
      <c r="E672" s="986">
        <f>SUM(E667:E671)</f>
        <v>1700.9826599999999</v>
      </c>
      <c r="F672" s="986">
        <f>SUM(F667:F671)</f>
        <v>1756.4726599999999</v>
      </c>
      <c r="G672" s="986">
        <f>SUM(G667:G671)</f>
        <v>1811.9526599999999</v>
      </c>
      <c r="H672" s="986">
        <f>SUM(H667:H671)</f>
        <v>1867.4426599999997</v>
      </c>
      <c r="I672" s="986"/>
    </row>
    <row r="673" spans="1:9" ht="12.75" customHeight="1">
      <c r="A673" s="1019"/>
      <c r="B673" s="1020"/>
      <c r="C673" s="1124" t="s">
        <v>1014</v>
      </c>
      <c r="D673" s="1026">
        <f>$D$3</f>
        <v>0</v>
      </c>
      <c r="E673" s="986">
        <f>ROUND(E672*$D$312,2)</f>
        <v>0</v>
      </c>
      <c r="F673" s="986">
        <f>ROUND(F672*$D$312,2)</f>
        <v>0</v>
      </c>
      <c r="G673" s="986">
        <f>ROUND(G672*$D$312,2)</f>
        <v>0</v>
      </c>
      <c r="H673" s="986">
        <f>ROUND(H672*$D$312,2)</f>
        <v>0</v>
      </c>
      <c r="I673" s="986"/>
    </row>
    <row r="674" spans="1:9" ht="12.75" customHeight="1">
      <c r="A674" s="1019"/>
      <c r="B674" s="1020"/>
      <c r="C674" s="980" t="s">
        <v>19</v>
      </c>
      <c r="D674" s="980" t="s">
        <v>466</v>
      </c>
      <c r="E674" s="1012">
        <f>CEILING(SUM(E672:E673),0.05)</f>
        <v>1701</v>
      </c>
      <c r="F674" s="1012">
        <f>CEILING(SUM(F672:F673),0.05)</f>
        <v>1756.5</v>
      </c>
      <c r="G674" s="1012">
        <f>CEILING(SUM(G672:G673),0.05)</f>
        <v>1812</v>
      </c>
      <c r="H674" s="1012">
        <f>CEILING(SUM(H672:H673),0.05)</f>
        <v>1867.45</v>
      </c>
    </row>
    <row r="675" spans="1:9" ht="12.75" customHeight="1">
      <c r="A675" s="1019"/>
      <c r="B675" s="1020"/>
      <c r="C675" s="1051"/>
      <c r="E675" s="1012"/>
      <c r="F675" s="1012"/>
      <c r="G675" s="1012"/>
      <c r="H675" s="1012"/>
    </row>
    <row r="676" spans="1:9" ht="114" customHeight="1">
      <c r="A676" s="1019">
        <f>A470+1</f>
        <v>14</v>
      </c>
      <c r="B676" s="1020"/>
      <c r="C676" s="1493" t="s">
        <v>1194</v>
      </c>
      <c r="D676" s="1493"/>
      <c r="E676" s="1493"/>
      <c r="F676" s="1493"/>
      <c r="G676" s="1493"/>
      <c r="H676" s="1493"/>
      <c r="I676" s="1493"/>
    </row>
    <row r="677" spans="1:9">
      <c r="A677" s="1019"/>
      <c r="B677" s="1020"/>
      <c r="C677" s="1117" t="s">
        <v>557</v>
      </c>
      <c r="D677" s="1021"/>
      <c r="E677" s="1008"/>
      <c r="F677" s="1003"/>
      <c r="G677" s="1023"/>
      <c r="H677" s="1116"/>
      <c r="I677" s="1003"/>
    </row>
    <row r="678" spans="1:9">
      <c r="A678" s="1019"/>
      <c r="B678" s="1020"/>
      <c r="C678" s="792" t="s">
        <v>284</v>
      </c>
      <c r="D678" s="1005">
        <v>0.8</v>
      </c>
      <c r="E678" s="1008" t="s">
        <v>529</v>
      </c>
      <c r="F678" s="986">
        <f>I205</f>
        <v>1601.6699999999998</v>
      </c>
      <c r="G678" s="1023">
        <v>1</v>
      </c>
      <c r="H678" s="991" t="str">
        <f>IF(E678="","",IF(E678="No.","Each",IF(E678="Nos.","Each",E678)))</f>
        <v>cu.m.</v>
      </c>
      <c r="I678" s="986">
        <f>IF(G678="",D678*F678,(D678*F678/G678))</f>
        <v>1281.336</v>
      </c>
    </row>
    <row r="679" spans="1:9">
      <c r="A679" s="1019"/>
      <c r="B679" s="1020"/>
      <c r="C679" s="792" t="s">
        <v>519</v>
      </c>
      <c r="D679" s="1005">
        <f>0.4</f>
        <v>0.4</v>
      </c>
      <c r="E679" s="1008" t="s">
        <v>529</v>
      </c>
      <c r="F679" s="986">
        <f>LEAD!P7</f>
        <v>437.11999999999983</v>
      </c>
      <c r="G679" s="1023">
        <v>1</v>
      </c>
      <c r="H679" s="991" t="str">
        <f>IF(E679="","",IF(E679="No.","Each",IF(E679="Nos.","Each",E679)))</f>
        <v>cu.m.</v>
      </c>
      <c r="I679" s="986">
        <f>IF(G679="",D679*F679,(D679*F679/G679))</f>
        <v>174.84799999999996</v>
      </c>
    </row>
    <row r="680" spans="1:9">
      <c r="A680" s="1019"/>
      <c r="B680" s="1020"/>
      <c r="C680" s="792" t="s">
        <v>235</v>
      </c>
      <c r="D680" s="1005">
        <v>350</v>
      </c>
      <c r="E680" s="1008" t="s">
        <v>462</v>
      </c>
      <c r="F680" s="986">
        <f>LEAD!P28</f>
        <v>7168</v>
      </c>
      <c r="G680" s="1023">
        <v>1000</v>
      </c>
      <c r="H680" s="991" t="str">
        <f>IF(E680="","",IF(E680="No.","Each",IF(E680="Nos.","Each",E680)))</f>
        <v>kgs</v>
      </c>
      <c r="I680" s="986">
        <f>IF(G680="",D680*F680,(D680*F680/G680))</f>
        <v>2508.8000000000002</v>
      </c>
    </row>
    <row r="681" spans="1:9">
      <c r="A681" s="1019"/>
      <c r="B681" s="1020"/>
      <c r="C681" s="792" t="s">
        <v>420</v>
      </c>
      <c r="D681" s="1005">
        <v>1.2</v>
      </c>
      <c r="E681" s="1008" t="s">
        <v>421</v>
      </c>
      <c r="F681" s="986">
        <f>LEAD!$P$27</f>
        <v>73</v>
      </c>
      <c r="G681" s="1023">
        <v>1</v>
      </c>
      <c r="H681" s="991" t="str">
        <f>IF(E681="","",IF(E681="No.","Each",IF(E681="Nos.","Each",E681)))</f>
        <v>KL</v>
      </c>
      <c r="I681" s="986">
        <f>IF(G681="",D681*F681,(D681*F681/G681))</f>
        <v>87.6</v>
      </c>
    </row>
    <row r="682" spans="1:9">
      <c r="A682" s="1019"/>
      <c r="B682" s="1020"/>
      <c r="C682" s="1117" t="s">
        <v>424</v>
      </c>
      <c r="D682" s="1005"/>
      <c r="E682" s="1008"/>
      <c r="F682" s="986"/>
      <c r="G682" s="1023"/>
      <c r="H682" s="991"/>
      <c r="I682" s="986"/>
    </row>
    <row r="683" spans="1:9">
      <c r="A683" s="1019"/>
      <c r="B683" s="1020"/>
      <c r="C683" s="792" t="s">
        <v>321</v>
      </c>
      <c r="D683" s="1005">
        <v>1.333</v>
      </c>
      <c r="E683" s="1008" t="s">
        <v>692</v>
      </c>
      <c r="F683" s="986">
        <f>H209</f>
        <v>675.7</v>
      </c>
      <c r="G683" s="1023">
        <v>1</v>
      </c>
      <c r="H683" s="991" t="str">
        <f>IF(E683="","",IF(E683="No.","Each",IF(E683="Nos.","Each",E683)))</f>
        <v>Hour</v>
      </c>
      <c r="I683" s="986">
        <f>IF(G683="",D683*F683,(D683*F683/G683))</f>
        <v>900.70810000000006</v>
      </c>
    </row>
    <row r="684" spans="1:9">
      <c r="A684" s="1019"/>
      <c r="B684" s="1020"/>
      <c r="C684" s="792" t="s">
        <v>239</v>
      </c>
      <c r="D684" s="1047">
        <f>$E$5</f>
        <v>0</v>
      </c>
      <c r="E684" s="1008"/>
      <c r="F684" s="986">
        <f>ROUND(D683*G209,2)</f>
        <v>568.79</v>
      </c>
      <c r="G684" s="1023">
        <v>1</v>
      </c>
      <c r="H684" s="991" t="str">
        <f>IF(E684="","",IF(E684="No.","Each",IF(E684="Nos.","Each",E684)))</f>
        <v/>
      </c>
      <c r="I684" s="986">
        <f>IF(G684="",D684*F684,(D684*F684/G684))</f>
        <v>0</v>
      </c>
    </row>
    <row r="685" spans="1:9">
      <c r="A685" s="1019"/>
      <c r="B685" s="1020"/>
      <c r="C685" s="1117" t="s">
        <v>132</v>
      </c>
      <c r="D685" s="1047"/>
      <c r="E685" s="1008"/>
      <c r="F685" s="986"/>
      <c r="G685" s="1023"/>
      <c r="H685" s="991"/>
      <c r="I685" s="986"/>
    </row>
    <row r="686" spans="1:9">
      <c r="A686" s="1019"/>
      <c r="B686" s="1020"/>
      <c r="C686" s="792" t="s">
        <v>377</v>
      </c>
      <c r="D686" s="1021">
        <v>0.16700000000000001</v>
      </c>
      <c r="E686" s="1008" t="s">
        <v>499</v>
      </c>
      <c r="F686" s="986">
        <f>$F$9</f>
        <v>545</v>
      </c>
      <c r="G686" s="1023">
        <v>1</v>
      </c>
      <c r="H686" s="991" t="str">
        <f>IF(E686="","",IF(E686="No.","Each",IF(E686="Nos.","Each",E686)))</f>
        <v>Each</v>
      </c>
      <c r="I686" s="986">
        <f>IF(G686="",D686*F686,(D686*F686/G686))</f>
        <v>91.015000000000001</v>
      </c>
    </row>
    <row r="687" spans="1:9">
      <c r="A687" s="1019"/>
      <c r="B687" s="1020"/>
      <c r="C687" s="792" t="s">
        <v>378</v>
      </c>
      <c r="D687" s="1021">
        <v>0.16700000000000001</v>
      </c>
      <c r="E687" s="1008" t="s">
        <v>499</v>
      </c>
      <c r="F687" s="986">
        <f>$F$10</f>
        <v>515</v>
      </c>
      <c r="G687" s="1023">
        <v>1</v>
      </c>
      <c r="H687" s="991" t="str">
        <f>IF(E687="","",IF(E687="No.","Each",IF(E687="Nos.","Each",E687)))</f>
        <v>Each</v>
      </c>
      <c r="I687" s="986">
        <f>IF(G687="",D687*F687,(D687*F687/G687))</f>
        <v>86.00500000000001</v>
      </c>
    </row>
    <row r="688" spans="1:9">
      <c r="A688" s="1019"/>
      <c r="B688" s="1020"/>
      <c r="C688" s="792" t="s">
        <v>396</v>
      </c>
      <c r="D688" s="1021">
        <v>5.6</v>
      </c>
      <c r="E688" s="1008" t="s">
        <v>499</v>
      </c>
      <c r="F688" s="986">
        <f>$F$22</f>
        <v>490</v>
      </c>
      <c r="G688" s="1023">
        <v>1</v>
      </c>
      <c r="H688" s="991" t="str">
        <f>IF(E688="","",IF(E688="No.","Each",IF(E688="Nos.","Each",E688)))</f>
        <v>Each</v>
      </c>
      <c r="I688" s="986">
        <f>IF(G688="",D688*F688,(D688*F688/G688))</f>
        <v>2744</v>
      </c>
    </row>
    <row r="689" spans="1:10">
      <c r="A689" s="1019"/>
      <c r="B689" s="1020"/>
      <c r="C689" s="980" t="s">
        <v>488</v>
      </c>
      <c r="D689" s="1021"/>
      <c r="E689" s="1022"/>
      <c r="F689" s="1003"/>
      <c r="G689" s="1023"/>
      <c r="H689" s="1116"/>
      <c r="I689" s="1012">
        <f>SUM(I678:I688)</f>
        <v>7874.312100000001</v>
      </c>
    </row>
    <row r="690" spans="1:10">
      <c r="A690" s="1019"/>
      <c r="B690" s="1020" t="s">
        <v>469</v>
      </c>
      <c r="C690" s="1155" t="s">
        <v>504</v>
      </c>
      <c r="D690" s="1021"/>
      <c r="E690" s="1003"/>
      <c r="F690" s="986"/>
      <c r="G690" s="1023"/>
      <c r="H690" s="980"/>
    </row>
    <row r="691" spans="1:10">
      <c r="A691" s="1019"/>
      <c r="B691" s="1020"/>
      <c r="C691" s="1004" t="s">
        <v>428</v>
      </c>
      <c r="E691" s="1131" t="s">
        <v>501</v>
      </c>
      <c r="F691" s="1048" t="s">
        <v>502</v>
      </c>
      <c r="G691" s="1131" t="s">
        <v>503</v>
      </c>
      <c r="H691" s="1048" t="s">
        <v>709</v>
      </c>
      <c r="I691" s="1048" t="s">
        <v>502</v>
      </c>
      <c r="J691" s="1048" t="s">
        <v>502</v>
      </c>
    </row>
    <row r="692" spans="1:10">
      <c r="A692" s="1019"/>
      <c r="B692" s="1020"/>
      <c r="C692" s="792" t="s">
        <v>381</v>
      </c>
      <c r="E692" s="986">
        <f t="shared" ref="E692:J692" si="80">$I$689</f>
        <v>7874.312100000001</v>
      </c>
      <c r="F692" s="986">
        <f t="shared" si="80"/>
        <v>7874.312100000001</v>
      </c>
      <c r="G692" s="986">
        <f t="shared" si="80"/>
        <v>7874.312100000001</v>
      </c>
      <c r="H692" s="986">
        <f t="shared" si="80"/>
        <v>7874.312100000001</v>
      </c>
      <c r="I692" s="986">
        <f t="shared" si="80"/>
        <v>7874.312100000001</v>
      </c>
      <c r="J692" s="986">
        <f t="shared" si="80"/>
        <v>7874.312100000001</v>
      </c>
    </row>
    <row r="693" spans="1:10">
      <c r="A693" s="1019"/>
      <c r="B693" s="1020"/>
      <c r="C693" s="792" t="s">
        <v>580</v>
      </c>
      <c r="E693" s="986">
        <f>$F$34</f>
        <v>831</v>
      </c>
      <c r="F693" s="986">
        <f>$F$34</f>
        <v>831</v>
      </c>
      <c r="G693" s="986">
        <f>$F$34</f>
        <v>831</v>
      </c>
      <c r="H693" s="986">
        <f>$F$34</f>
        <v>831</v>
      </c>
      <c r="I693" s="986">
        <f>$F$34</f>
        <v>831</v>
      </c>
      <c r="J693" s="986">
        <f t="shared" ref="J693" si="81">$F$54</f>
        <v>1246</v>
      </c>
    </row>
    <row r="694" spans="1:10">
      <c r="A694" s="1019"/>
      <c r="B694" s="1020"/>
      <c r="C694" s="792" t="s">
        <v>581</v>
      </c>
      <c r="E694" s="986">
        <f>$H$34</f>
        <v>1399</v>
      </c>
      <c r="F694" s="986">
        <f>$K$34</f>
        <v>1538.9</v>
      </c>
      <c r="G694" s="986">
        <f>$M$34</f>
        <v>1678.8</v>
      </c>
      <c r="H694" s="986">
        <f>$O$34</f>
        <v>1818.7</v>
      </c>
      <c r="I694" s="986">
        <f>E694*1.4</f>
        <v>1958.6</v>
      </c>
      <c r="J694" s="986">
        <f>E694*1.5</f>
        <v>2098.5</v>
      </c>
    </row>
    <row r="695" spans="1:10">
      <c r="A695" s="1019"/>
      <c r="B695" s="1020"/>
      <c r="C695" s="792" t="s">
        <v>417</v>
      </c>
      <c r="D695" s="1049">
        <f>$E$5</f>
        <v>0</v>
      </c>
      <c r="E695" s="986">
        <f t="shared" ref="E695:J695" si="82">ROUND($D$695*E694,2)</f>
        <v>0</v>
      </c>
      <c r="F695" s="986">
        <f t="shared" si="82"/>
        <v>0</v>
      </c>
      <c r="G695" s="986">
        <f t="shared" si="82"/>
        <v>0</v>
      </c>
      <c r="H695" s="986">
        <f t="shared" si="82"/>
        <v>0</v>
      </c>
      <c r="I695" s="986">
        <f t="shared" si="82"/>
        <v>0</v>
      </c>
      <c r="J695" s="986">
        <f t="shared" si="82"/>
        <v>0</v>
      </c>
    </row>
    <row r="696" spans="1:10">
      <c r="A696" s="1019"/>
      <c r="B696" s="1020"/>
      <c r="C696" s="792" t="s">
        <v>418</v>
      </c>
      <c r="E696" s="986"/>
      <c r="F696" s="986">
        <f>ROUND(0.1*($I$688+$I$687+$I$686),2)</f>
        <v>292.10000000000002</v>
      </c>
      <c r="G696" s="986">
        <f>ROUND(0.2*($I$688+$I$687+$I$686),2)</f>
        <v>584.20000000000005</v>
      </c>
      <c r="H696" s="986">
        <f>ROUND(0.3*($I$688+$I$687+$I$686),2)</f>
        <v>876.31</v>
      </c>
      <c r="I696" s="986">
        <f>ROUND(0.4*($I$688+$I$687+$I$686),2)</f>
        <v>1168.4100000000001</v>
      </c>
      <c r="J696" s="986">
        <f>ROUND(0.5*($I$688+$I$687+$I$686),2)</f>
        <v>1460.51</v>
      </c>
    </row>
    <row r="697" spans="1:10">
      <c r="A697" s="1019"/>
      <c r="B697" s="1020"/>
      <c r="E697" s="986">
        <f t="shared" ref="E697:J697" si="83">SUM(E692:E696)</f>
        <v>10104.312100000001</v>
      </c>
      <c r="F697" s="986">
        <f t="shared" si="83"/>
        <v>10536.312100000001</v>
      </c>
      <c r="G697" s="986">
        <f t="shared" si="83"/>
        <v>10968.312100000001</v>
      </c>
      <c r="H697" s="986">
        <f t="shared" si="83"/>
        <v>11400.322100000001</v>
      </c>
      <c r="I697" s="986">
        <f t="shared" si="83"/>
        <v>11832.322100000001</v>
      </c>
      <c r="J697" s="986">
        <f t="shared" si="83"/>
        <v>12679.322100000001</v>
      </c>
    </row>
    <row r="698" spans="1:10">
      <c r="A698" s="1019"/>
      <c r="B698" s="1020"/>
      <c r="C698" s="1124" t="s">
        <v>1014</v>
      </c>
      <c r="D698" s="1026">
        <f>$D$3</f>
        <v>0</v>
      </c>
      <c r="E698" s="986">
        <f t="shared" ref="E698:J698" si="84">ROUND(E697*$D$312,2)</f>
        <v>0</v>
      </c>
      <c r="F698" s="986">
        <f t="shared" si="84"/>
        <v>0</v>
      </c>
      <c r="G698" s="986">
        <f t="shared" si="84"/>
        <v>0</v>
      </c>
      <c r="H698" s="986">
        <f t="shared" si="84"/>
        <v>0</v>
      </c>
      <c r="I698" s="986">
        <f t="shared" si="84"/>
        <v>0</v>
      </c>
      <c r="J698" s="986">
        <f t="shared" si="84"/>
        <v>0</v>
      </c>
    </row>
    <row r="699" spans="1:10">
      <c r="A699" s="1019"/>
      <c r="B699" s="1020"/>
      <c r="C699" s="980" t="s">
        <v>308</v>
      </c>
      <c r="D699" s="980" t="s">
        <v>466</v>
      </c>
      <c r="E699" s="1012">
        <f t="shared" ref="E699:J699" si="85">CEILING(SUM(E697:E698),0.05)</f>
        <v>10104.35</v>
      </c>
      <c r="F699" s="1012">
        <f t="shared" si="85"/>
        <v>10536.35</v>
      </c>
      <c r="G699" s="1012">
        <f t="shared" si="85"/>
        <v>10968.35</v>
      </c>
      <c r="H699" s="1012">
        <f t="shared" si="85"/>
        <v>11400.35</v>
      </c>
      <c r="I699" s="1012">
        <f t="shared" si="85"/>
        <v>11832.35</v>
      </c>
      <c r="J699" s="1012">
        <f t="shared" si="85"/>
        <v>12679.35</v>
      </c>
    </row>
    <row r="700" spans="1:10">
      <c r="A700" s="1019"/>
      <c r="B700" s="1020"/>
      <c r="C700" s="980"/>
      <c r="D700" s="980"/>
      <c r="E700" s="1012"/>
      <c r="F700" s="1012"/>
      <c r="G700" s="1012"/>
      <c r="H700" s="1012"/>
      <c r="I700" s="1012"/>
      <c r="J700" s="1012"/>
    </row>
    <row r="701" spans="1:10" ht="124.5" customHeight="1">
      <c r="A701" s="1019">
        <f>A676+1</f>
        <v>15</v>
      </c>
      <c r="B701" s="1020"/>
      <c r="C701" s="1493" t="s">
        <v>1195</v>
      </c>
      <c r="D701" s="1493"/>
      <c r="E701" s="1493"/>
      <c r="F701" s="1493"/>
      <c r="G701" s="1493"/>
      <c r="H701" s="1493"/>
      <c r="I701" s="1493"/>
    </row>
    <row r="702" spans="1:10" ht="33.75" customHeight="1">
      <c r="A702" s="1019"/>
      <c r="B702" s="1020"/>
      <c r="C702" s="1502" t="s">
        <v>183</v>
      </c>
      <c r="D702" s="1502"/>
      <c r="E702" s="1502"/>
      <c r="F702" s="1502"/>
      <c r="G702" s="1502"/>
      <c r="H702" s="1502"/>
      <c r="I702" s="1502"/>
    </row>
    <row r="703" spans="1:10" ht="15.75" customHeight="1">
      <c r="A703" s="1019"/>
      <c r="B703" s="1020"/>
      <c r="C703" s="1117" t="s">
        <v>423</v>
      </c>
      <c r="D703" s="1021"/>
      <c r="E703" s="1003"/>
      <c r="F703" s="986"/>
      <c r="G703" s="1023"/>
      <c r="H703" s="1118"/>
      <c r="I703" s="1012"/>
    </row>
    <row r="704" spans="1:10" ht="15.75" customHeight="1">
      <c r="A704" s="1019"/>
      <c r="B704" s="1020"/>
      <c r="C704" s="792" t="s">
        <v>284</v>
      </c>
      <c r="D704" s="1005">
        <v>0.8</v>
      </c>
      <c r="E704" s="1008" t="s">
        <v>529</v>
      </c>
      <c r="F704" s="986">
        <f>I205</f>
        <v>1601.6699999999998</v>
      </c>
      <c r="G704" s="1023">
        <v>1</v>
      </c>
      <c r="H704" s="991" t="str">
        <f t="shared" ref="H704:H714" si="86">IF(E704="","",IF(E704="No.","Each",IF(E704="Nos.","Each",E704)))</f>
        <v>cu.m.</v>
      </c>
      <c r="I704" s="986">
        <f t="shared" ref="I704:I714" si="87">IF(G704="",D704*F704,(D704*F704/G704))</f>
        <v>1281.336</v>
      </c>
    </row>
    <row r="705" spans="1:10" ht="15.75" customHeight="1">
      <c r="A705" s="1019"/>
      <c r="B705" s="1020"/>
      <c r="C705" s="792" t="s">
        <v>519</v>
      </c>
      <c r="D705" s="1005">
        <f>0.4</f>
        <v>0.4</v>
      </c>
      <c r="E705" s="1008" t="s">
        <v>529</v>
      </c>
      <c r="F705" s="986">
        <f>LEAD!$P$7</f>
        <v>437.11999999999983</v>
      </c>
      <c r="G705" s="1023">
        <v>1</v>
      </c>
      <c r="H705" s="991" t="str">
        <f t="shared" si="86"/>
        <v>cu.m.</v>
      </c>
      <c r="I705" s="986">
        <f t="shared" si="87"/>
        <v>174.84799999999996</v>
      </c>
    </row>
    <row r="706" spans="1:10" ht="15.75" customHeight="1">
      <c r="A706" s="1019"/>
      <c r="B706" s="1020"/>
      <c r="C706" s="792" t="s">
        <v>235</v>
      </c>
      <c r="D706" s="1005">
        <v>350</v>
      </c>
      <c r="E706" s="1008" t="s">
        <v>462</v>
      </c>
      <c r="F706" s="986">
        <f>LEAD!$P$28</f>
        <v>7168</v>
      </c>
      <c r="G706" s="1023">
        <v>1000</v>
      </c>
      <c r="H706" s="991" t="str">
        <f t="shared" si="86"/>
        <v>kgs</v>
      </c>
      <c r="I706" s="986">
        <f t="shared" si="87"/>
        <v>2508.8000000000002</v>
      </c>
    </row>
    <row r="707" spans="1:10" ht="15.75" customHeight="1">
      <c r="A707" s="1019"/>
      <c r="B707" s="1020"/>
      <c r="C707" s="792" t="s">
        <v>420</v>
      </c>
      <c r="D707" s="1005">
        <v>1.2</v>
      </c>
      <c r="E707" s="1008" t="s">
        <v>421</v>
      </c>
      <c r="F707" s="986">
        <f>LEAD!$P$27</f>
        <v>73</v>
      </c>
      <c r="G707" s="1023">
        <v>1</v>
      </c>
      <c r="H707" s="991" t="str">
        <f>IF(E707="","",IF(E707="No.","Each",IF(E707="Nos.","Each",E707)))</f>
        <v>KL</v>
      </c>
      <c r="I707" s="986">
        <f>IF(G707="",D707*F707,(D707*F707/G707))</f>
        <v>87.6</v>
      </c>
    </row>
    <row r="708" spans="1:10" ht="15.75" customHeight="1">
      <c r="A708" s="1019"/>
      <c r="B708" s="1020"/>
      <c r="C708" s="1117" t="s">
        <v>424</v>
      </c>
      <c r="D708" s="1005"/>
      <c r="E708" s="1008"/>
      <c r="F708" s="986"/>
      <c r="G708" s="1023"/>
      <c r="H708" s="991"/>
      <c r="I708" s="986"/>
    </row>
    <row r="709" spans="1:10" ht="15.75" customHeight="1">
      <c r="A709" s="1019"/>
      <c r="B709" s="1020"/>
      <c r="C709" s="792" t="s">
        <v>321</v>
      </c>
      <c r="D709" s="1005">
        <v>0.308</v>
      </c>
      <c r="E709" s="1008" t="s">
        <v>692</v>
      </c>
      <c r="F709" s="986">
        <f>H209</f>
        <v>675.7</v>
      </c>
      <c r="G709" s="1023">
        <v>1</v>
      </c>
      <c r="H709" s="991" t="str">
        <f>IF(E709="","",IF(E709="No.","Each",IF(E709="Nos.","Each",E709)))</f>
        <v>Hour</v>
      </c>
      <c r="I709" s="986">
        <f>IF(G709="",D709*F709,(D709*F709/G709))</f>
        <v>208.1156</v>
      </c>
    </row>
    <row r="710" spans="1:10" ht="15.75" customHeight="1">
      <c r="A710" s="1019"/>
      <c r="B710" s="1020"/>
      <c r="C710" s="792" t="s">
        <v>239</v>
      </c>
      <c r="D710" s="1047">
        <f>$E$5</f>
        <v>0</v>
      </c>
      <c r="E710" s="1008"/>
      <c r="F710" s="986">
        <f>ROUND(D709*G209,2)</f>
        <v>131.41999999999999</v>
      </c>
      <c r="G710" s="1023">
        <v>1</v>
      </c>
      <c r="H710" s="991" t="str">
        <f>IF(E710="","",IF(E710="No.","Each",IF(E710="Nos.","Each",E710)))</f>
        <v/>
      </c>
      <c r="I710" s="986">
        <f>IF(G710="",D710*F710,(D710*F710/G710))</f>
        <v>0</v>
      </c>
    </row>
    <row r="711" spans="1:10" ht="15.75" customHeight="1">
      <c r="A711" s="1019"/>
      <c r="B711" s="1020"/>
      <c r="C711" s="1117" t="s">
        <v>132</v>
      </c>
      <c r="D711" s="1047"/>
      <c r="E711" s="1008"/>
      <c r="F711" s="986"/>
      <c r="G711" s="1023"/>
      <c r="H711" s="991"/>
      <c r="I711" s="986"/>
    </row>
    <row r="712" spans="1:10" ht="15.75" customHeight="1">
      <c r="A712" s="1019"/>
      <c r="B712" s="1020"/>
      <c r="C712" s="792" t="s">
        <v>377</v>
      </c>
      <c r="D712" s="1021">
        <v>6.7000000000000004E-2</v>
      </c>
      <c r="E712" s="1008" t="s">
        <v>499</v>
      </c>
      <c r="F712" s="986">
        <f>$F$9</f>
        <v>545</v>
      </c>
      <c r="G712" s="1023">
        <v>1</v>
      </c>
      <c r="H712" s="991" t="str">
        <f t="shared" si="86"/>
        <v>Each</v>
      </c>
      <c r="I712" s="986">
        <f t="shared" si="87"/>
        <v>36.515000000000001</v>
      </c>
    </row>
    <row r="713" spans="1:10" ht="15.75" customHeight="1">
      <c r="A713" s="1019"/>
      <c r="B713" s="1020"/>
      <c r="C713" s="792" t="s">
        <v>378</v>
      </c>
      <c r="D713" s="1021">
        <v>0.13300000000000001</v>
      </c>
      <c r="E713" s="1008" t="s">
        <v>499</v>
      </c>
      <c r="F713" s="986">
        <f>$F$10</f>
        <v>515</v>
      </c>
      <c r="G713" s="1023">
        <v>1</v>
      </c>
      <c r="H713" s="991" t="str">
        <f t="shared" si="86"/>
        <v>Each</v>
      </c>
      <c r="I713" s="986">
        <f t="shared" si="87"/>
        <v>68.495000000000005</v>
      </c>
    </row>
    <row r="714" spans="1:10" ht="15.75" customHeight="1">
      <c r="A714" s="1019"/>
      <c r="B714" s="1020"/>
      <c r="C714" s="792" t="s">
        <v>396</v>
      </c>
      <c r="D714" s="1021">
        <v>3.077</v>
      </c>
      <c r="E714" s="1008" t="s">
        <v>499</v>
      </c>
      <c r="F714" s="986">
        <f>$F$22</f>
        <v>490</v>
      </c>
      <c r="G714" s="1023">
        <v>1</v>
      </c>
      <c r="H714" s="991" t="str">
        <f t="shared" si="86"/>
        <v>Each</v>
      </c>
      <c r="I714" s="986">
        <f t="shared" si="87"/>
        <v>1507.73</v>
      </c>
    </row>
    <row r="715" spans="1:10" ht="15.75" customHeight="1">
      <c r="A715" s="1019"/>
      <c r="B715" s="1020"/>
      <c r="C715" s="980" t="s">
        <v>184</v>
      </c>
      <c r="D715" s="1021"/>
      <c r="E715" s="1003"/>
      <c r="F715" s="1003"/>
      <c r="G715" s="1023"/>
      <c r="H715" s="1118" t="s">
        <v>466</v>
      </c>
      <c r="I715" s="1012">
        <f>SUM(I704:I714)</f>
        <v>5873.4395999999997</v>
      </c>
    </row>
    <row r="716" spans="1:10" ht="15.75" customHeight="1">
      <c r="A716" s="1019"/>
      <c r="B716" s="1020" t="s">
        <v>469</v>
      </c>
      <c r="C716" s="1117" t="s">
        <v>185</v>
      </c>
      <c r="D716" s="1021"/>
      <c r="E716" s="1003"/>
      <c r="F716" s="986"/>
      <c r="G716" s="1023"/>
      <c r="H716" s="1118"/>
      <c r="I716" s="1012"/>
    </row>
    <row r="717" spans="1:10" ht="15.75" customHeight="1">
      <c r="A717" s="1019"/>
      <c r="B717" s="1020"/>
      <c r="C717" s="792" t="s">
        <v>651</v>
      </c>
      <c r="D717" s="1021">
        <v>6.25E-2</v>
      </c>
      <c r="E717" s="1003" t="s">
        <v>529</v>
      </c>
      <c r="F717" s="986">
        <f>$I$715</f>
        <v>5873.4395999999997</v>
      </c>
      <c r="G717" s="1023">
        <v>1</v>
      </c>
      <c r="H717" s="991" t="str">
        <f>IF(E717="","",IF(E717="No.","Each",IF(E717="Nos.","Each",E717)))</f>
        <v>cu.m.</v>
      </c>
      <c r="I717" s="986">
        <f>IF(G717="",D717*F717,(D717*F717/G717))</f>
        <v>367.08997499999998</v>
      </c>
    </row>
    <row r="718" spans="1:10" ht="15.75" customHeight="1">
      <c r="A718" s="1019"/>
      <c r="B718" s="1020"/>
      <c r="D718" s="1021"/>
      <c r="E718" s="1003"/>
      <c r="F718" s="986"/>
      <c r="G718" s="1023"/>
      <c r="H718" s="991"/>
      <c r="I718" s="986"/>
    </row>
    <row r="719" spans="1:10" ht="15.75" customHeight="1">
      <c r="A719" s="1019"/>
      <c r="B719" s="1020"/>
      <c r="C719" s="1004" t="s">
        <v>428</v>
      </c>
      <c r="E719" s="1131" t="s">
        <v>501</v>
      </c>
      <c r="F719" s="1048" t="s">
        <v>502</v>
      </c>
      <c r="G719" s="1131" t="s">
        <v>503</v>
      </c>
      <c r="H719" s="1048" t="s">
        <v>709</v>
      </c>
      <c r="I719" s="1048" t="s">
        <v>502</v>
      </c>
      <c r="J719" s="1048" t="s">
        <v>502</v>
      </c>
    </row>
    <row r="720" spans="1:10" ht="15.75" customHeight="1">
      <c r="A720" s="1019"/>
      <c r="B720" s="1020"/>
      <c r="C720" s="792" t="s">
        <v>381</v>
      </c>
      <c r="E720" s="986">
        <f>I717</f>
        <v>367.08997499999998</v>
      </c>
      <c r="F720" s="986">
        <f>I717</f>
        <v>367.08997499999998</v>
      </c>
      <c r="G720" s="986">
        <f>I717</f>
        <v>367.08997499999998</v>
      </c>
      <c r="H720" s="986">
        <f>I717</f>
        <v>367.08997499999998</v>
      </c>
      <c r="I720" s="986">
        <f>H720</f>
        <v>367.08997499999998</v>
      </c>
      <c r="J720" s="986">
        <f>I720</f>
        <v>367.08997499999998</v>
      </c>
    </row>
    <row r="721" spans="1:10" ht="15.75" customHeight="1">
      <c r="A721" s="1019"/>
      <c r="B721" s="1020"/>
      <c r="C721" s="792" t="s">
        <v>580</v>
      </c>
      <c r="E721" s="986">
        <f>$F$35</f>
        <v>164</v>
      </c>
      <c r="F721" s="986">
        <f>$F$35</f>
        <v>164</v>
      </c>
      <c r="G721" s="986">
        <f>$F$35</f>
        <v>164</v>
      </c>
      <c r="H721" s="986">
        <f>$F$35</f>
        <v>164</v>
      </c>
      <c r="I721" s="986">
        <f>$F$35</f>
        <v>164</v>
      </c>
      <c r="J721" s="986">
        <f t="shared" ref="J721" si="88">$F$55</f>
        <v>246</v>
      </c>
    </row>
    <row r="722" spans="1:10" ht="15.75" customHeight="1">
      <c r="A722" s="1019"/>
      <c r="B722" s="1020"/>
      <c r="C722" s="792" t="s">
        <v>581</v>
      </c>
      <c r="E722" s="986">
        <f>$H$35</f>
        <v>215</v>
      </c>
      <c r="F722" s="986">
        <f>$K$35</f>
        <v>236.5</v>
      </c>
      <c r="G722" s="986">
        <f>$M$35</f>
        <v>258</v>
      </c>
      <c r="H722" s="986">
        <f>$O$35</f>
        <v>279.5</v>
      </c>
      <c r="I722" s="986">
        <f>$Q$35</f>
        <v>301</v>
      </c>
      <c r="J722" s="986">
        <f>$S$55</f>
        <v>423</v>
      </c>
    </row>
    <row r="723" spans="1:10" ht="15.75" customHeight="1">
      <c r="A723" s="1019"/>
      <c r="B723" s="1020"/>
      <c r="C723" s="792" t="s">
        <v>417</v>
      </c>
      <c r="D723" s="1049">
        <f>$E$5</f>
        <v>0</v>
      </c>
      <c r="E723" s="986">
        <f t="shared" ref="E723:J723" si="89">ROUND($D$723*E722,2)</f>
        <v>0</v>
      </c>
      <c r="F723" s="986">
        <f t="shared" si="89"/>
        <v>0</v>
      </c>
      <c r="G723" s="986">
        <f t="shared" si="89"/>
        <v>0</v>
      </c>
      <c r="H723" s="986">
        <f t="shared" si="89"/>
        <v>0</v>
      </c>
      <c r="I723" s="986">
        <f t="shared" si="89"/>
        <v>0</v>
      </c>
      <c r="J723" s="986">
        <f t="shared" si="89"/>
        <v>0</v>
      </c>
    </row>
    <row r="724" spans="1:10" ht="15.75" customHeight="1">
      <c r="A724" s="1019"/>
      <c r="B724" s="1020"/>
      <c r="C724" s="792" t="s">
        <v>418</v>
      </c>
      <c r="E724" s="986"/>
      <c r="F724" s="986">
        <f>ROUND(0.1*D717*($I$714+$I$713+$I$712),2)</f>
        <v>10.08</v>
      </c>
      <c r="G724" s="986">
        <f>ROUND(0.2*D717*($I$714+$I$713+$I$712),2)</f>
        <v>20.16</v>
      </c>
      <c r="H724" s="986">
        <f>ROUND(0.3*D717*($I$714+$I$713+$I$712),2)</f>
        <v>30.24</v>
      </c>
      <c r="I724" s="986">
        <f>ROUND(0.4*D717*($I$714+$I$713+$I$712),2)</f>
        <v>40.32</v>
      </c>
      <c r="J724" s="986">
        <f>ROUND(0.5*D717*($I$714+$I$713+$I$712),2)</f>
        <v>50.4</v>
      </c>
    </row>
    <row r="725" spans="1:10" ht="15.75" customHeight="1">
      <c r="A725" s="1019"/>
      <c r="B725" s="1020"/>
      <c r="E725" s="986">
        <f t="shared" ref="E725:J725" si="90">SUM(E720:E724)</f>
        <v>746.08997499999998</v>
      </c>
      <c r="F725" s="986">
        <f t="shared" si="90"/>
        <v>777.66997500000002</v>
      </c>
      <c r="G725" s="986">
        <f t="shared" si="90"/>
        <v>809.24997499999995</v>
      </c>
      <c r="H725" s="986">
        <f t="shared" si="90"/>
        <v>840.82997499999999</v>
      </c>
      <c r="I725" s="986">
        <f t="shared" si="90"/>
        <v>872.40997500000003</v>
      </c>
      <c r="J725" s="986">
        <f t="shared" si="90"/>
        <v>1086.489975</v>
      </c>
    </row>
    <row r="726" spans="1:10" ht="15.75" customHeight="1">
      <c r="A726" s="1019"/>
      <c r="B726" s="1020"/>
      <c r="C726" s="1124" t="s">
        <v>1014</v>
      </c>
      <c r="D726" s="1026">
        <f>$D$3</f>
        <v>0</v>
      </c>
      <c r="E726" s="986">
        <f t="shared" ref="E726:J726" si="91">ROUND(E725*$D$312,2)</f>
        <v>0</v>
      </c>
      <c r="F726" s="986">
        <f t="shared" si="91"/>
        <v>0</v>
      </c>
      <c r="G726" s="986">
        <f t="shared" si="91"/>
        <v>0</v>
      </c>
      <c r="H726" s="986">
        <f t="shared" si="91"/>
        <v>0</v>
      </c>
      <c r="I726" s="986">
        <f t="shared" si="91"/>
        <v>0</v>
      </c>
      <c r="J726" s="986">
        <f t="shared" si="91"/>
        <v>0</v>
      </c>
    </row>
    <row r="727" spans="1:10" ht="15.75" customHeight="1">
      <c r="A727" s="1019"/>
      <c r="B727" s="1020"/>
      <c r="C727" s="980" t="s">
        <v>187</v>
      </c>
      <c r="D727" s="980" t="s">
        <v>466</v>
      </c>
      <c r="E727" s="1012">
        <f t="shared" ref="E727:J727" si="92">CEILING(SUM(E725:E726),0.05)</f>
        <v>746.1</v>
      </c>
      <c r="F727" s="1012">
        <f t="shared" si="92"/>
        <v>777.7</v>
      </c>
      <c r="G727" s="1012">
        <f t="shared" si="92"/>
        <v>809.25</v>
      </c>
      <c r="H727" s="1012">
        <f t="shared" si="92"/>
        <v>840.85</v>
      </c>
      <c r="I727" s="1012">
        <f t="shared" si="92"/>
        <v>872.45</v>
      </c>
      <c r="J727" s="1012">
        <f t="shared" si="92"/>
        <v>1086.5</v>
      </c>
    </row>
    <row r="728" spans="1:10" ht="15.75" customHeight="1">
      <c r="A728" s="1019"/>
      <c r="B728" s="1020"/>
      <c r="C728" s="980"/>
      <c r="D728" s="980"/>
      <c r="E728" s="1012"/>
      <c r="F728" s="1012"/>
      <c r="G728" s="1012"/>
      <c r="H728" s="1012"/>
    </row>
    <row r="729" spans="1:10" ht="15.75" customHeight="1">
      <c r="A729" s="1019"/>
      <c r="B729" s="1020" t="s">
        <v>1</v>
      </c>
      <c r="C729" s="1117" t="s">
        <v>742</v>
      </c>
      <c r="D729" s="1021"/>
      <c r="E729" s="1003"/>
      <c r="F729" s="986"/>
      <c r="G729" s="1023"/>
      <c r="H729" s="1118"/>
      <c r="I729" s="1012"/>
    </row>
    <row r="730" spans="1:10">
      <c r="A730" s="1019"/>
      <c r="B730" s="1020"/>
      <c r="C730" s="792" t="s">
        <v>743</v>
      </c>
      <c r="D730" s="1021">
        <v>7.4999999999999997E-2</v>
      </c>
      <c r="E730" s="1003" t="s">
        <v>529</v>
      </c>
      <c r="F730" s="986">
        <f>$I$715</f>
        <v>5873.4395999999997</v>
      </c>
      <c r="G730" s="1023">
        <v>1</v>
      </c>
      <c r="H730" s="991" t="str">
        <f>IF(E730="","",IF(E730="No.","Each",IF(E730="Nos.","Each",E730)))</f>
        <v>cu.m.</v>
      </c>
      <c r="I730" s="986">
        <f>IF(G730="",D730*F730,(D730*F730/G730))</f>
        <v>440.50796999999994</v>
      </c>
    </row>
    <row r="731" spans="1:10" ht="15.75" customHeight="1">
      <c r="A731" s="1019"/>
      <c r="B731" s="1020"/>
      <c r="D731" s="1021"/>
      <c r="E731" s="1003"/>
      <c r="F731" s="986"/>
      <c r="G731" s="1023"/>
      <c r="H731" s="991"/>
      <c r="I731" s="986"/>
    </row>
    <row r="732" spans="1:10" ht="15.75" customHeight="1">
      <c r="A732" s="1019"/>
      <c r="B732" s="1020"/>
      <c r="C732" s="1004" t="s">
        <v>428</v>
      </c>
      <c r="E732" s="1131" t="s">
        <v>501</v>
      </c>
      <c r="F732" s="1048" t="s">
        <v>502</v>
      </c>
      <c r="G732" s="1131" t="s">
        <v>503</v>
      </c>
      <c r="H732" s="1048" t="s">
        <v>709</v>
      </c>
      <c r="I732" s="1048"/>
    </row>
    <row r="733" spans="1:10" ht="15.75" customHeight="1">
      <c r="A733" s="1019"/>
      <c r="B733" s="1020"/>
      <c r="C733" s="792" t="s">
        <v>381</v>
      </c>
      <c r="E733" s="986">
        <f>I730</f>
        <v>440.50796999999994</v>
      </c>
      <c r="F733" s="986">
        <f>I730</f>
        <v>440.50796999999994</v>
      </c>
      <c r="G733" s="986">
        <f>I730</f>
        <v>440.50796999999994</v>
      </c>
      <c r="H733" s="986">
        <f>I730</f>
        <v>440.50796999999994</v>
      </c>
      <c r="I733" s="986"/>
    </row>
    <row r="734" spans="1:10" ht="15.75" customHeight="1">
      <c r="A734" s="1019"/>
      <c r="B734" s="1020"/>
      <c r="C734" s="792" t="s">
        <v>580</v>
      </c>
      <c r="E734" s="986">
        <f>$F$38</f>
        <v>166</v>
      </c>
      <c r="F734" s="986">
        <f>$F$38</f>
        <v>166</v>
      </c>
      <c r="G734" s="986">
        <f>$F$38</f>
        <v>166</v>
      </c>
      <c r="H734" s="986">
        <f>$F$38</f>
        <v>166</v>
      </c>
      <c r="I734" s="986"/>
    </row>
    <row r="735" spans="1:10" ht="15.75" customHeight="1">
      <c r="A735" s="1019"/>
      <c r="B735" s="1020"/>
      <c r="C735" s="792" t="s">
        <v>581</v>
      </c>
      <c r="E735" s="986">
        <f>$H$38</f>
        <v>187</v>
      </c>
      <c r="F735" s="986">
        <f>$K$38</f>
        <v>205.7</v>
      </c>
      <c r="G735" s="986">
        <f>$M$38</f>
        <v>224.4</v>
      </c>
      <c r="H735" s="986">
        <f>$O$38</f>
        <v>243.1</v>
      </c>
      <c r="I735" s="986"/>
    </row>
    <row r="736" spans="1:10" ht="15.75" customHeight="1">
      <c r="A736" s="1019"/>
      <c r="B736" s="1020"/>
      <c r="C736" s="792" t="s">
        <v>417</v>
      </c>
      <c r="D736" s="1049">
        <f>$E$5</f>
        <v>0</v>
      </c>
      <c r="E736" s="986">
        <f>ROUND($D$736*E735,2)</f>
        <v>0</v>
      </c>
      <c r="F736" s="986">
        <f>ROUND($D$736*F735,2)</f>
        <v>0</v>
      </c>
      <c r="G736" s="986">
        <f>ROUND($D$736*G735,2)</f>
        <v>0</v>
      </c>
      <c r="H736" s="986">
        <f>ROUND($D$736*H735,2)</f>
        <v>0</v>
      </c>
      <c r="I736" s="986"/>
    </row>
    <row r="737" spans="1:9" ht="30" customHeight="1">
      <c r="A737" s="1019"/>
      <c r="B737" s="1020"/>
      <c r="C737" s="792" t="s">
        <v>418</v>
      </c>
      <c r="E737" s="986"/>
      <c r="F737" s="986">
        <f>ROUND(0.1*D730*($I$714+$I$713+$I$712),2)</f>
        <v>12.1</v>
      </c>
      <c r="G737" s="986">
        <f>ROUND(0.2*D730*($I$714+$I$713+$I$712),2)</f>
        <v>24.19</v>
      </c>
      <c r="H737" s="986">
        <f>ROUND(0.3*D730*($I$714+$I$713+$I$712),2)</f>
        <v>36.29</v>
      </c>
      <c r="I737" s="986"/>
    </row>
    <row r="738" spans="1:9" ht="15.75" customHeight="1">
      <c r="A738" s="1019"/>
      <c r="B738" s="1020"/>
      <c r="E738" s="986">
        <f>SUM(E733:E737)</f>
        <v>793.50796999999989</v>
      </c>
      <c r="F738" s="986">
        <f>SUM(F733:F737)</f>
        <v>824.30796999999995</v>
      </c>
      <c r="G738" s="986">
        <f>SUM(G733:G737)</f>
        <v>855.09796999999992</v>
      </c>
      <c r="H738" s="986">
        <f>SUM(H733:H737)</f>
        <v>885.89796999999987</v>
      </c>
      <c r="I738" s="986"/>
    </row>
    <row r="739" spans="1:9" ht="15.75" customHeight="1">
      <c r="A739" s="1019"/>
      <c r="B739" s="1020"/>
      <c r="C739" s="1124" t="s">
        <v>1014</v>
      </c>
      <c r="D739" s="1026">
        <f>$D$3</f>
        <v>0</v>
      </c>
      <c r="E739" s="986">
        <f>ROUND(E738*$D$312,2)</f>
        <v>0</v>
      </c>
      <c r="F739" s="986">
        <f>ROUND(F738*$D$312,2)</f>
        <v>0</v>
      </c>
      <c r="G739" s="986">
        <f>ROUND(G738*$D$312,2)</f>
        <v>0</v>
      </c>
      <c r="H739" s="986">
        <f>ROUND(H738*$D$312,2)</f>
        <v>0</v>
      </c>
      <c r="I739" s="986"/>
    </row>
    <row r="740" spans="1:9" ht="15.75" customHeight="1">
      <c r="A740" s="1019"/>
      <c r="B740" s="1020"/>
      <c r="C740" s="980" t="s">
        <v>187</v>
      </c>
      <c r="D740" s="980" t="s">
        <v>466</v>
      </c>
      <c r="E740" s="1012">
        <f>CEILING(SUM(E738:E739),0.05)</f>
        <v>793.55000000000007</v>
      </c>
      <c r="F740" s="1012">
        <f>CEILING(SUM(F738:F739),0.05)</f>
        <v>824.35</v>
      </c>
      <c r="G740" s="1012">
        <f>CEILING(SUM(G738:G739),0.05)</f>
        <v>855.1</v>
      </c>
      <c r="H740" s="1012">
        <f>CEILING(SUM(H738:H739),0.05)</f>
        <v>885.90000000000009</v>
      </c>
    </row>
    <row r="741" spans="1:9" ht="15.75" customHeight="1">
      <c r="A741" s="1019"/>
      <c r="B741" s="1020"/>
      <c r="C741" s="980"/>
      <c r="D741" s="980"/>
      <c r="E741" s="1012"/>
      <c r="F741" s="1012"/>
      <c r="G741" s="1012"/>
      <c r="H741" s="1012"/>
    </row>
    <row r="742" spans="1:9" ht="12.75" hidden="1" customHeight="1">
      <c r="A742" s="1019"/>
      <c r="B742" s="1020" t="s">
        <v>363</v>
      </c>
      <c r="C742" s="1117" t="s">
        <v>106</v>
      </c>
      <c r="D742" s="1021"/>
      <c r="E742" s="1003"/>
      <c r="F742" s="986"/>
      <c r="G742" s="1023"/>
      <c r="H742" s="1118"/>
      <c r="I742" s="1012"/>
    </row>
    <row r="743" spans="1:9" ht="12.75" hidden="1" customHeight="1">
      <c r="A743" s="1019"/>
      <c r="B743" s="1020"/>
      <c r="C743" s="792" t="s">
        <v>980</v>
      </c>
      <c r="D743" s="1021">
        <v>0.05</v>
      </c>
      <c r="E743" s="1003" t="s">
        <v>529</v>
      </c>
      <c r="F743" s="986">
        <f>$I$715</f>
        <v>5873.4395999999997</v>
      </c>
      <c r="G743" s="1023">
        <v>1</v>
      </c>
      <c r="H743" s="991" t="str">
        <f>IF(E743="","",IF(E743="No.","Each",IF(E743="Nos.","Each",E743)))</f>
        <v>cu.m.</v>
      </c>
      <c r="I743" s="986">
        <f>IF(G743="",D743*F743,(D743*F743/G743))</f>
        <v>293.67198000000002</v>
      </c>
    </row>
    <row r="744" spans="1:9" ht="12.75" hidden="1" customHeight="1">
      <c r="A744" s="1019"/>
      <c r="B744" s="1020"/>
      <c r="D744" s="1021"/>
      <c r="E744" s="1003"/>
      <c r="F744" s="986"/>
      <c r="G744" s="1023"/>
      <c r="H744" s="991"/>
      <c r="I744" s="986"/>
    </row>
    <row r="745" spans="1:9" ht="12.75" hidden="1" customHeight="1">
      <c r="A745" s="1019"/>
      <c r="B745" s="1020"/>
      <c r="C745" s="1004" t="s">
        <v>428</v>
      </c>
      <c r="E745" s="1131" t="s">
        <v>501</v>
      </c>
      <c r="F745" s="1048" t="s">
        <v>502</v>
      </c>
      <c r="G745" s="1131" t="s">
        <v>503</v>
      </c>
      <c r="H745" s="1048" t="s">
        <v>709</v>
      </c>
      <c r="I745" s="1048" t="s">
        <v>502</v>
      </c>
    </row>
    <row r="746" spans="1:9" ht="12.75" hidden="1" customHeight="1">
      <c r="A746" s="1019"/>
      <c r="B746" s="1020"/>
      <c r="C746" s="792" t="s">
        <v>381</v>
      </c>
      <c r="E746" s="986">
        <f>I743</f>
        <v>293.67198000000002</v>
      </c>
      <c r="F746" s="986">
        <f>I743</f>
        <v>293.67198000000002</v>
      </c>
      <c r="G746" s="986">
        <f>I743</f>
        <v>293.67198000000002</v>
      </c>
      <c r="H746" s="986">
        <f>I743</f>
        <v>293.67198000000002</v>
      </c>
      <c r="I746" s="986">
        <f>J743</f>
        <v>0</v>
      </c>
    </row>
    <row r="747" spans="1:9" ht="12.75" hidden="1" customHeight="1">
      <c r="A747" s="1019"/>
      <c r="B747" s="1020"/>
      <c r="C747" s="792" t="s">
        <v>580</v>
      </c>
      <c r="E747" s="986">
        <f>$F$38</f>
        <v>166</v>
      </c>
      <c r="F747" s="986">
        <f>$F$38</f>
        <v>166</v>
      </c>
      <c r="G747" s="986">
        <f>$F$38</f>
        <v>166</v>
      </c>
      <c r="H747" s="986">
        <f>$F$38</f>
        <v>166</v>
      </c>
      <c r="I747" s="986">
        <f>$F$38</f>
        <v>166</v>
      </c>
    </row>
    <row r="748" spans="1:9" ht="12.75" hidden="1" customHeight="1">
      <c r="A748" s="1019"/>
      <c r="B748" s="1020"/>
      <c r="C748" s="792" t="s">
        <v>581</v>
      </c>
      <c r="E748" s="986">
        <f>$H$38</f>
        <v>187</v>
      </c>
      <c r="F748" s="986">
        <f>$K$38</f>
        <v>205.7</v>
      </c>
      <c r="G748" s="986">
        <f>$M$38</f>
        <v>224.4</v>
      </c>
      <c r="H748" s="986">
        <f>$O$38</f>
        <v>243.1</v>
      </c>
      <c r="I748" s="986">
        <f>$Q$38</f>
        <v>261.8</v>
      </c>
    </row>
    <row r="749" spans="1:9" ht="12.75" hidden="1" customHeight="1">
      <c r="A749" s="1019"/>
      <c r="B749" s="1020"/>
      <c r="C749" s="792" t="s">
        <v>417</v>
      </c>
      <c r="D749" s="1049">
        <f>$E$5</f>
        <v>0</v>
      </c>
      <c r="E749" s="986">
        <f>ROUND($D$736*E748,2)</f>
        <v>0</v>
      </c>
      <c r="F749" s="986">
        <f>ROUND($D$736*F748,2)</f>
        <v>0</v>
      </c>
      <c r="G749" s="986">
        <f>ROUND($D$736*G748,2)</f>
        <v>0</v>
      </c>
      <c r="H749" s="986">
        <f>ROUND($D$736*H748,2)</f>
        <v>0</v>
      </c>
      <c r="I749" s="986">
        <f>ROUND($D$736*I748,2)</f>
        <v>0</v>
      </c>
    </row>
    <row r="750" spans="1:9" ht="12.75" hidden="1" customHeight="1">
      <c r="A750" s="1019"/>
      <c r="B750" s="1020"/>
      <c r="C750" s="792" t="s">
        <v>418</v>
      </c>
      <c r="E750" s="986"/>
      <c r="F750" s="986">
        <f>ROUND(0.1*D743*($I$714+$I$713+$I$712),2)</f>
        <v>8.06</v>
      </c>
      <c r="G750" s="986">
        <f>ROUND(0.2*D743*($I$714+$I$713+$I$712),2)</f>
        <v>16.13</v>
      </c>
      <c r="H750" s="986">
        <f>ROUND(0.3*$D$743*($I$714+$I$713+$I$712),2)</f>
        <v>24.19</v>
      </c>
      <c r="I750" s="986">
        <f>ROUND(0.4*$D$743*($I$714+$I$713+$I$712),2)</f>
        <v>32.25</v>
      </c>
    </row>
    <row r="751" spans="1:9" ht="12.75" hidden="1" customHeight="1">
      <c r="A751" s="1019"/>
      <c r="B751" s="1020"/>
      <c r="E751" s="986">
        <f>SUM(E746:E750)</f>
        <v>646.67198000000008</v>
      </c>
      <c r="F751" s="986">
        <f>SUM(F746:F750)</f>
        <v>673.43197999999995</v>
      </c>
      <c r="G751" s="986">
        <f>SUM(G746:G750)</f>
        <v>700.20198000000005</v>
      </c>
      <c r="H751" s="986">
        <f>SUM(H746:H750)</f>
        <v>726.96198000000004</v>
      </c>
      <c r="I751" s="986">
        <f>SUM(I746:I750)</f>
        <v>460.05</v>
      </c>
    </row>
    <row r="752" spans="1:9" ht="12.75" hidden="1" customHeight="1">
      <c r="A752" s="1019"/>
      <c r="B752" s="1020"/>
      <c r="C752" s="1124" t="s">
        <v>1014</v>
      </c>
      <c r="D752" s="1026">
        <f>$D$3</f>
        <v>0</v>
      </c>
      <c r="E752" s="986">
        <f>ROUND(E751*$D$312,2)</f>
        <v>0</v>
      </c>
      <c r="F752" s="986">
        <f>ROUND(F751*$D$312,2)</f>
        <v>0</v>
      </c>
      <c r="G752" s="986">
        <f>ROUND(G751*$D$312,2)</f>
        <v>0</v>
      </c>
      <c r="H752" s="986">
        <f>ROUND(H751*$D$312,2)</f>
        <v>0</v>
      </c>
      <c r="I752" s="986">
        <f>ROUND(I751*$D$312,2)</f>
        <v>0</v>
      </c>
    </row>
    <row r="753" spans="1:9" ht="12.75" hidden="1" customHeight="1">
      <c r="A753" s="1019"/>
      <c r="B753" s="1020"/>
      <c r="C753" s="980" t="s">
        <v>187</v>
      </c>
      <c r="D753" s="980" t="s">
        <v>466</v>
      </c>
      <c r="E753" s="1012">
        <f>CEILING(SUM(E751:E752),0.05)</f>
        <v>646.70000000000005</v>
      </c>
      <c r="F753" s="1012">
        <f>CEILING(SUM(F751:F752),0.05)</f>
        <v>673.45</v>
      </c>
      <c r="G753" s="1012">
        <f>CEILING(SUM(G751:G752),0.05)</f>
        <v>700.25</v>
      </c>
      <c r="H753" s="1012">
        <f>CEILING(SUM(H751:H752),0.05)</f>
        <v>727</v>
      </c>
      <c r="I753" s="1012">
        <f>CEILING(SUM(I751:I752),0.05)</f>
        <v>460.05</v>
      </c>
    </row>
    <row r="754" spans="1:9" ht="15.75" customHeight="1">
      <c r="A754" s="1019"/>
      <c r="B754" s="1020"/>
      <c r="C754" s="980"/>
      <c r="D754" s="980"/>
      <c r="E754" s="1012"/>
      <c r="F754" s="1012"/>
      <c r="G754" s="1012"/>
      <c r="H754" s="1012"/>
    </row>
    <row r="755" spans="1:9" ht="15.75" customHeight="1">
      <c r="A755" s="1019"/>
      <c r="B755" s="1020" t="s">
        <v>361</v>
      </c>
      <c r="C755" s="1117" t="s">
        <v>107</v>
      </c>
      <c r="D755" s="1021"/>
      <c r="E755" s="1003"/>
      <c r="F755" s="986"/>
      <c r="G755" s="1023"/>
      <c r="H755" s="1118"/>
      <c r="I755" s="1012"/>
    </row>
    <row r="756" spans="1:9" ht="15.75" customHeight="1">
      <c r="A756" s="1019"/>
      <c r="B756" s="1020"/>
      <c r="C756" s="792" t="s">
        <v>108</v>
      </c>
      <c r="D756" s="1021">
        <v>2.5000000000000001E-2</v>
      </c>
      <c r="E756" s="1003" t="s">
        <v>529</v>
      </c>
      <c r="F756" s="986">
        <f>$I$715</f>
        <v>5873.4395999999997</v>
      </c>
      <c r="G756" s="1023">
        <v>1</v>
      </c>
      <c r="H756" s="991" t="str">
        <f>IF(E756="","",IF(E756="No.","Each",IF(E756="Nos.","Each",E756)))</f>
        <v>cu.m.</v>
      </c>
      <c r="I756" s="986">
        <f>IF(G756="",D756*F756,(D756*F756/G756))</f>
        <v>146.83599000000001</v>
      </c>
    </row>
    <row r="757" spans="1:9" ht="15.75" customHeight="1">
      <c r="A757" s="1019"/>
      <c r="B757" s="1020"/>
      <c r="D757" s="1021"/>
      <c r="E757" s="1003"/>
      <c r="F757" s="986"/>
      <c r="G757" s="1023"/>
      <c r="H757" s="991"/>
      <c r="I757" s="986"/>
    </row>
    <row r="758" spans="1:9" ht="15.75" customHeight="1">
      <c r="A758" s="1019"/>
      <c r="B758" s="1020"/>
      <c r="C758" s="1004" t="s">
        <v>428</v>
      </c>
      <c r="E758" s="1131" t="s">
        <v>501</v>
      </c>
      <c r="F758" s="1048" t="s">
        <v>502</v>
      </c>
      <c r="G758" s="1131" t="s">
        <v>503</v>
      </c>
      <c r="H758" s="1048" t="s">
        <v>709</v>
      </c>
      <c r="I758" s="1048" t="s">
        <v>502</v>
      </c>
    </row>
    <row r="759" spans="1:9" ht="15.75" customHeight="1">
      <c r="A759" s="1019"/>
      <c r="B759" s="1020"/>
      <c r="C759" s="792" t="s">
        <v>381</v>
      </c>
      <c r="E759" s="986">
        <f>I756</f>
        <v>146.83599000000001</v>
      </c>
      <c r="F759" s="986">
        <f>I756</f>
        <v>146.83599000000001</v>
      </c>
      <c r="G759" s="986">
        <f>I756</f>
        <v>146.83599000000001</v>
      </c>
      <c r="H759" s="986">
        <f>I756</f>
        <v>146.83599000000001</v>
      </c>
      <c r="I759" s="986">
        <f>I756</f>
        <v>146.83599000000001</v>
      </c>
    </row>
    <row r="760" spans="1:9" ht="15.75" customHeight="1">
      <c r="A760" s="1019"/>
      <c r="B760" s="1020"/>
      <c r="C760" s="792" t="s">
        <v>580</v>
      </c>
      <c r="E760" s="986">
        <f>$F$38</f>
        <v>166</v>
      </c>
      <c r="F760" s="986">
        <f>$F$38</f>
        <v>166</v>
      </c>
      <c r="G760" s="986">
        <f>$F$38</f>
        <v>166</v>
      </c>
      <c r="H760" s="986">
        <f>$F$38</f>
        <v>166</v>
      </c>
      <c r="I760" s="986">
        <f>$F$38</f>
        <v>166</v>
      </c>
    </row>
    <row r="761" spans="1:9" ht="15.75" customHeight="1">
      <c r="A761" s="1019"/>
      <c r="B761" s="1020"/>
      <c r="C761" s="792" t="s">
        <v>581</v>
      </c>
      <c r="E761" s="986">
        <f>$H$38</f>
        <v>187</v>
      </c>
      <c r="F761" s="986">
        <f>$K$38</f>
        <v>205.7</v>
      </c>
      <c r="G761" s="986">
        <f>$M$38</f>
        <v>224.4</v>
      </c>
      <c r="H761" s="986">
        <f>$O$38</f>
        <v>243.1</v>
      </c>
      <c r="I761" s="986">
        <f>$Q$38</f>
        <v>261.8</v>
      </c>
    </row>
    <row r="762" spans="1:9" ht="15.75" customHeight="1">
      <c r="A762" s="1019"/>
      <c r="B762" s="1020"/>
      <c r="C762" s="792" t="s">
        <v>417</v>
      </c>
      <c r="D762" s="1049">
        <f>$E$5</f>
        <v>0</v>
      </c>
      <c r="E762" s="986">
        <f>ROUND($D$762*E761,2)</f>
        <v>0</v>
      </c>
      <c r="F762" s="986">
        <f>ROUND($D$762*F761,2)</f>
        <v>0</v>
      </c>
      <c r="G762" s="986">
        <f>ROUND($D$762*G761,2)</f>
        <v>0</v>
      </c>
      <c r="H762" s="986">
        <f>ROUND($D$762*H761,2)</f>
        <v>0</v>
      </c>
      <c r="I762" s="986">
        <f>ROUND($D$762*I761,2)</f>
        <v>0</v>
      </c>
    </row>
    <row r="763" spans="1:9" ht="15.75" customHeight="1">
      <c r="A763" s="1019"/>
      <c r="B763" s="1020"/>
      <c r="C763" s="792" t="s">
        <v>418</v>
      </c>
      <c r="E763" s="986"/>
      <c r="F763" s="986">
        <f>ROUND(0.1*D756*($I$714+$I$713+$I$712),2)</f>
        <v>4.03</v>
      </c>
      <c r="G763" s="986">
        <f>ROUND(0.2*D756*($I$714+$I$713+$I$712),2)</f>
        <v>8.06</v>
      </c>
      <c r="H763" s="986">
        <f>ROUND(0.3*$D$756*($I$714+$I$713+$I$712),2)</f>
        <v>12.1</v>
      </c>
      <c r="I763" s="986">
        <f>ROUND(0.4*$D$756*($I$714+$I$713+$I$712),2)</f>
        <v>16.13</v>
      </c>
    </row>
    <row r="764" spans="1:9" ht="15.75" customHeight="1">
      <c r="A764" s="1019"/>
      <c r="B764" s="1020"/>
      <c r="E764" s="986">
        <f>SUM(E759:E763)</f>
        <v>499.83599000000004</v>
      </c>
      <c r="F764" s="986">
        <f>SUM(F759:F763)</f>
        <v>522.56599000000006</v>
      </c>
      <c r="G764" s="986">
        <f>SUM(G759:G763)</f>
        <v>545.29598999999996</v>
      </c>
      <c r="H764" s="986">
        <f>SUM(H759:H763)</f>
        <v>568.03599000000008</v>
      </c>
      <c r="I764" s="986">
        <f>SUM(I759:I763)</f>
        <v>590.76598999999999</v>
      </c>
    </row>
    <row r="765" spans="1:9" ht="15.75" customHeight="1">
      <c r="A765" s="1019"/>
      <c r="B765" s="1020"/>
      <c r="C765" s="1124" t="s">
        <v>1014</v>
      </c>
      <c r="D765" s="1026">
        <f>$D$3</f>
        <v>0</v>
      </c>
      <c r="E765" s="986">
        <f>ROUND(E764*$D$312,2)</f>
        <v>0</v>
      </c>
      <c r="F765" s="986">
        <f>ROUND(F764*$D$312,2)</f>
        <v>0</v>
      </c>
      <c r="G765" s="986">
        <f>ROUND(G764*$D$312,2)</f>
        <v>0</v>
      </c>
      <c r="H765" s="986">
        <f>ROUND(H764*$D$312,2)</f>
        <v>0</v>
      </c>
      <c r="I765" s="986">
        <f>ROUND(I764*$D$312,2)</f>
        <v>0</v>
      </c>
    </row>
    <row r="766" spans="1:9" ht="15.75" customHeight="1">
      <c r="A766" s="1019"/>
      <c r="B766" s="1020"/>
      <c r="C766" s="980" t="s">
        <v>187</v>
      </c>
      <c r="D766" s="980" t="s">
        <v>466</v>
      </c>
      <c r="E766" s="1012">
        <f>CEILING(SUM(E764:E765),0.05)</f>
        <v>499.85</v>
      </c>
      <c r="F766" s="1012">
        <f>CEILING(SUM(F764:F765),0.05)</f>
        <v>522.6</v>
      </c>
      <c r="G766" s="1012">
        <f>CEILING(SUM(G764:G765),0.05)</f>
        <v>545.30000000000007</v>
      </c>
      <c r="H766" s="1012">
        <f>CEILING(SUM(H764:H765),0.05)</f>
        <v>568.05000000000007</v>
      </c>
      <c r="I766" s="1012">
        <f>CEILING(SUM(I764:I765),0.05)</f>
        <v>590.80000000000007</v>
      </c>
    </row>
    <row r="767" spans="1:9" ht="15.75" customHeight="1">
      <c r="A767" s="1019"/>
      <c r="B767" s="1020"/>
      <c r="C767" s="980"/>
      <c r="D767" s="980"/>
      <c r="E767" s="1012"/>
      <c r="F767" s="1012"/>
      <c r="G767" s="1012"/>
      <c r="H767" s="1012"/>
    </row>
    <row r="768" spans="1:9" ht="114.75" customHeight="1">
      <c r="A768" s="1019">
        <f>+A701+1</f>
        <v>16</v>
      </c>
      <c r="B768" s="1020"/>
      <c r="C768" s="1117" t="s">
        <v>2293</v>
      </c>
      <c r="D768" s="1021"/>
      <c r="E768" s="1003"/>
      <c r="F768" s="986"/>
      <c r="G768" s="1023"/>
      <c r="H768" s="1118"/>
      <c r="I768" s="986"/>
    </row>
    <row r="769" spans="1:11" ht="12.75" customHeight="1">
      <c r="A769" s="1019"/>
      <c r="B769" s="1020"/>
      <c r="C769" s="792" t="s">
        <v>79</v>
      </c>
      <c r="D769" s="1021">
        <f>0.02*480/10</f>
        <v>0.96</v>
      </c>
      <c r="E769" s="1022" t="s">
        <v>364</v>
      </c>
      <c r="F769" s="986">
        <f>LEAD!P28/1000</f>
        <v>7.1680000000000001</v>
      </c>
      <c r="G769" s="1023">
        <v>1</v>
      </c>
      <c r="H769" s="991" t="str">
        <f t="shared" ref="H769:H774" si="93">IF(E769="","",IF(E769="No.","Each",IF(E769="Nos.","Each",E769)))</f>
        <v>Kgs</v>
      </c>
      <c r="I769" s="986">
        <f t="shared" ref="I769:I774" si="94">IF(G769="",D769*F769,(D769*F769/G769))</f>
        <v>6.8812800000000003</v>
      </c>
    </row>
    <row r="770" spans="1:11" ht="12.75" customHeight="1">
      <c r="A770" s="1019"/>
      <c r="B770" s="1020"/>
      <c r="C770" s="792" t="s">
        <v>269</v>
      </c>
      <c r="D770" s="1021">
        <v>2E-3</v>
      </c>
      <c r="E770" s="1022" t="s">
        <v>529</v>
      </c>
      <c r="F770" s="986">
        <f>LEAD!P7</f>
        <v>437.11999999999983</v>
      </c>
      <c r="G770" s="1023">
        <v>1</v>
      </c>
      <c r="H770" s="991" t="str">
        <f t="shared" si="93"/>
        <v>cu.m.</v>
      </c>
      <c r="I770" s="986">
        <f t="shared" si="94"/>
        <v>0.87423999999999968</v>
      </c>
    </row>
    <row r="771" spans="1:11" ht="12.75" customHeight="1">
      <c r="A771" s="1019"/>
      <c r="B771" s="1020"/>
      <c r="C771" s="792" t="s">
        <v>377</v>
      </c>
      <c r="D771" s="1021">
        <v>4.8000000000000001E-2</v>
      </c>
      <c r="E771" s="1008" t="s">
        <v>499</v>
      </c>
      <c r="F771" s="986">
        <f>$F$9</f>
        <v>545</v>
      </c>
      <c r="G771" s="1023">
        <v>1</v>
      </c>
      <c r="H771" s="991" t="str">
        <f t="shared" si="93"/>
        <v>Each</v>
      </c>
      <c r="I771" s="986">
        <f t="shared" si="94"/>
        <v>26.16</v>
      </c>
    </row>
    <row r="772" spans="1:11" ht="12.75" customHeight="1">
      <c r="A772" s="1019"/>
      <c r="B772" s="1020"/>
      <c r="C772" s="792" t="s">
        <v>378</v>
      </c>
      <c r="D772" s="1021">
        <v>0.112</v>
      </c>
      <c r="E772" s="1008" t="s">
        <v>499</v>
      </c>
      <c r="F772" s="986">
        <f>$F$10</f>
        <v>515</v>
      </c>
      <c r="G772" s="1023">
        <v>1</v>
      </c>
      <c r="H772" s="991" t="str">
        <f t="shared" si="93"/>
        <v>Each</v>
      </c>
      <c r="I772" s="986">
        <f t="shared" si="94"/>
        <v>57.68</v>
      </c>
    </row>
    <row r="773" spans="1:11" ht="12.75" customHeight="1">
      <c r="A773" s="1019"/>
      <c r="B773" s="1020"/>
      <c r="C773" s="792" t="s">
        <v>621</v>
      </c>
      <c r="D773" s="1021">
        <v>0.05</v>
      </c>
      <c r="E773" s="1022" t="s">
        <v>499</v>
      </c>
      <c r="F773" s="986">
        <f>$F$22</f>
        <v>490</v>
      </c>
      <c r="G773" s="1023">
        <v>1</v>
      </c>
      <c r="H773" s="991" t="str">
        <f t="shared" si="93"/>
        <v>Each</v>
      </c>
      <c r="I773" s="986">
        <f t="shared" si="94"/>
        <v>24.5</v>
      </c>
    </row>
    <row r="774" spans="1:11" ht="12.75" customHeight="1">
      <c r="A774" s="1019"/>
      <c r="B774" s="1020"/>
      <c r="C774" s="792" t="s">
        <v>622</v>
      </c>
      <c r="D774" s="1021">
        <v>0.11</v>
      </c>
      <c r="E774" s="1022" t="s">
        <v>499</v>
      </c>
      <c r="F774" s="986">
        <f>$F$23</f>
        <v>490</v>
      </c>
      <c r="G774" s="1023">
        <v>1</v>
      </c>
      <c r="H774" s="991" t="str">
        <f t="shared" si="93"/>
        <v>Each</v>
      </c>
      <c r="I774" s="986">
        <f t="shared" si="94"/>
        <v>53.9</v>
      </c>
    </row>
    <row r="775" spans="1:11" ht="12.75" customHeight="1">
      <c r="A775" s="1019"/>
      <c r="B775" s="1020"/>
      <c r="C775" s="980" t="s">
        <v>425</v>
      </c>
      <c r="D775" s="1021"/>
      <c r="E775" s="1003"/>
      <c r="F775" s="986"/>
      <c r="G775" s="1023"/>
      <c r="H775" s="980" t="s">
        <v>466</v>
      </c>
      <c r="I775" s="1012">
        <f>CEILING(SUM(I769:I774),0.05)-0.05</f>
        <v>169.95</v>
      </c>
    </row>
    <row r="776" spans="1:11" ht="70.5" customHeight="1">
      <c r="A776" s="1019">
        <f>+A768+1</f>
        <v>17</v>
      </c>
      <c r="B776" s="1020"/>
      <c r="C776" s="1502" t="s">
        <v>2294</v>
      </c>
      <c r="D776" s="1502"/>
      <c r="E776" s="1502"/>
      <c r="F776" s="1502"/>
      <c r="G776" s="1502"/>
      <c r="H776" s="1502"/>
      <c r="I776" s="1502"/>
    </row>
    <row r="777" spans="1:11" ht="12.75" customHeight="1">
      <c r="A777" s="1019"/>
      <c r="B777" s="1020"/>
      <c r="C777" s="1117" t="s">
        <v>333</v>
      </c>
      <c r="D777" s="1021">
        <v>0.22500000000000001</v>
      </c>
      <c r="E777" s="1003"/>
      <c r="F777" s="986"/>
      <c r="G777" s="1023"/>
      <c r="H777" s="1118"/>
      <c r="I777" s="986"/>
    </row>
    <row r="778" spans="1:11" ht="12.75" customHeight="1">
      <c r="A778" s="1019"/>
      <c r="B778" s="1020"/>
      <c r="C778" s="1117" t="s">
        <v>557</v>
      </c>
      <c r="D778" s="1021"/>
      <c r="E778" s="1003"/>
      <c r="F778" s="986"/>
      <c r="G778" s="1023"/>
      <c r="H778" s="1118"/>
      <c r="I778" s="986"/>
    </row>
    <row r="779" spans="1:11" ht="12.75" customHeight="1">
      <c r="A779" s="1019"/>
      <c r="B779" s="1020"/>
      <c r="C779" s="792" t="s">
        <v>235</v>
      </c>
      <c r="D779" s="1005">
        <v>36</v>
      </c>
      <c r="E779" s="1008" t="s">
        <v>462</v>
      </c>
      <c r="F779" s="986">
        <f>LEAD!$P$28</f>
        <v>7168</v>
      </c>
      <c r="G779" s="1023">
        <v>1000</v>
      </c>
      <c r="H779" s="991" t="str">
        <f>IF(E779="","",IF(E779="No.","Each",IF(E779="Nos.","Each",E779)))</f>
        <v>kgs</v>
      </c>
      <c r="I779" s="986">
        <f>IF(G779="",D779*F779,(D779*F779/G779))</f>
        <v>258.048</v>
      </c>
    </row>
    <row r="780" spans="1:11" ht="12.75" customHeight="1">
      <c r="A780" s="1019"/>
      <c r="B780" s="1020"/>
      <c r="C780" s="792" t="s">
        <v>309</v>
      </c>
      <c r="D780" s="1005">
        <v>512</v>
      </c>
      <c r="E780" s="1008" t="s">
        <v>327</v>
      </c>
      <c r="F780" s="986">
        <f>LEAD!P20</f>
        <v>7628.01</v>
      </c>
      <c r="G780" s="1021">
        <v>1000</v>
      </c>
      <c r="H780" s="991" t="str">
        <f t="shared" ref="H780:H785" si="95">IF(E780="","",IF(E780="No.","Each",IF(E780="Nos.","Each",E780)))</f>
        <v>Nos</v>
      </c>
      <c r="I780" s="986">
        <f t="shared" ref="I780:I785" si="96">IF(G780="",D780*F780,(D780*F780/G780))</f>
        <v>3905.5411200000003</v>
      </c>
    </row>
    <row r="781" spans="1:11" ht="12.75" customHeight="1">
      <c r="A781" s="1019"/>
      <c r="B781" s="1020"/>
      <c r="C781" s="792" t="s">
        <v>334</v>
      </c>
      <c r="D781" s="1005">
        <v>0.2</v>
      </c>
      <c r="E781" s="1008" t="s">
        <v>529</v>
      </c>
      <c r="F781" s="986">
        <f>LEAD!$P$7</f>
        <v>437.11999999999983</v>
      </c>
      <c r="G781" s="1023">
        <v>1</v>
      </c>
      <c r="H781" s="991" t="str">
        <f>IF(E781="","",IF(E781="No.","Each",IF(E781="Nos.","Each",E781)))</f>
        <v>cu.m.</v>
      </c>
      <c r="I781" s="986">
        <f>IF(G781="",D781*F781,(D781*F781/G781))</f>
        <v>87.423999999999978</v>
      </c>
    </row>
    <row r="782" spans="1:11" ht="12.75" customHeight="1">
      <c r="A782" s="1019"/>
      <c r="B782" s="1020"/>
      <c r="C782" s="1117" t="s">
        <v>335</v>
      </c>
      <c r="D782" s="1005"/>
      <c r="E782" s="1008"/>
      <c r="F782" s="986"/>
      <c r="G782" s="1023"/>
      <c r="H782" s="991"/>
      <c r="I782" s="986"/>
    </row>
    <row r="783" spans="1:11" ht="12.75" customHeight="1">
      <c r="A783" s="1019"/>
      <c r="B783" s="1020"/>
      <c r="C783" s="792" t="s">
        <v>395</v>
      </c>
      <c r="D783" s="1021">
        <v>0.24</v>
      </c>
      <c r="E783" s="1008" t="s">
        <v>499</v>
      </c>
      <c r="F783" s="986">
        <f>$F$9</f>
        <v>545</v>
      </c>
      <c r="G783" s="1023">
        <v>1</v>
      </c>
      <c r="H783" s="991" t="str">
        <f t="shared" si="95"/>
        <v>Each</v>
      </c>
      <c r="I783" s="986">
        <f t="shared" si="96"/>
        <v>130.79999999999998</v>
      </c>
    </row>
    <row r="784" spans="1:11" ht="12.75" customHeight="1">
      <c r="A784" s="1019"/>
      <c r="B784" s="1020"/>
      <c r="C784" s="792" t="s">
        <v>630</v>
      </c>
      <c r="D784" s="1021">
        <v>0.56000000000000005</v>
      </c>
      <c r="E784" s="1008" t="s">
        <v>499</v>
      </c>
      <c r="F784" s="986">
        <f>$F$10</f>
        <v>515</v>
      </c>
      <c r="G784" s="1023">
        <v>1</v>
      </c>
      <c r="H784" s="991" t="str">
        <f t="shared" si="95"/>
        <v>Each</v>
      </c>
      <c r="I784" s="986">
        <f t="shared" si="96"/>
        <v>288.40000000000003</v>
      </c>
      <c r="K784" s="986"/>
    </row>
    <row r="785" spans="1:10" ht="12.75" customHeight="1">
      <c r="A785" s="1019"/>
      <c r="B785" s="1020"/>
      <c r="C785" s="792" t="s">
        <v>396</v>
      </c>
      <c r="D785" s="1021">
        <v>1.89</v>
      </c>
      <c r="E785" s="1008" t="s">
        <v>499</v>
      </c>
      <c r="F785" s="986">
        <f>$F$22</f>
        <v>490</v>
      </c>
      <c r="G785" s="1023">
        <v>1</v>
      </c>
      <c r="H785" s="991" t="str">
        <f t="shared" si="95"/>
        <v>Each</v>
      </c>
      <c r="I785" s="986">
        <f t="shared" si="96"/>
        <v>926.09999999999991</v>
      </c>
    </row>
    <row r="786" spans="1:10" ht="12.75" customHeight="1">
      <c r="A786" s="1019"/>
      <c r="B786" s="1020"/>
      <c r="D786" s="1021"/>
      <c r="E786" s="1008"/>
      <c r="F786" s="986"/>
      <c r="G786" s="1023"/>
      <c r="H786" s="991"/>
      <c r="I786" s="986">
        <f>SUM(I779:I785)</f>
        <v>5596.3131200000007</v>
      </c>
    </row>
    <row r="787" spans="1:10" ht="25.5" customHeight="1">
      <c r="A787" s="1019"/>
      <c r="B787" s="1020"/>
      <c r="C787" s="792" t="s">
        <v>719</v>
      </c>
      <c r="D787" s="1050">
        <f>I786</f>
        <v>5596.3131200000007</v>
      </c>
      <c r="E787" s="1003"/>
      <c r="F787" s="986">
        <v>0.01</v>
      </c>
      <c r="G787" s="1023"/>
      <c r="I787" s="986">
        <f>ROUND(D787*F787,2)</f>
        <v>55.96</v>
      </c>
    </row>
    <row r="788" spans="1:10" ht="12.75" customHeight="1">
      <c r="A788" s="1019"/>
      <c r="B788" s="1020"/>
      <c r="C788" s="980" t="s">
        <v>379</v>
      </c>
      <c r="D788" s="1021"/>
      <c r="E788" s="1008"/>
      <c r="F788" s="986"/>
      <c r="G788" s="1023"/>
      <c r="H788" s="1118"/>
      <c r="I788" s="1012">
        <f>SUM(I786:I787)</f>
        <v>5652.2731200000007</v>
      </c>
    </row>
    <row r="789" spans="1:10" ht="12.75" customHeight="1">
      <c r="A789" s="1019"/>
      <c r="B789" s="1020"/>
      <c r="C789" s="1117" t="s">
        <v>428</v>
      </c>
      <c r="E789" s="1131" t="s">
        <v>501</v>
      </c>
      <c r="F789" s="1048" t="s">
        <v>502</v>
      </c>
      <c r="G789" s="1131" t="s">
        <v>503</v>
      </c>
      <c r="H789" s="1048" t="s">
        <v>709</v>
      </c>
      <c r="I789" s="1048" t="s">
        <v>502</v>
      </c>
      <c r="J789" s="1048" t="s">
        <v>502</v>
      </c>
    </row>
    <row r="790" spans="1:10" ht="12.75" customHeight="1">
      <c r="A790" s="1019"/>
      <c r="B790" s="1020"/>
      <c r="C790" s="792" t="s">
        <v>488</v>
      </c>
      <c r="E790" s="986">
        <f>I788</f>
        <v>5652.2731200000007</v>
      </c>
      <c r="F790" s="986">
        <f>I788</f>
        <v>5652.2731200000007</v>
      </c>
      <c r="G790" s="986">
        <f>I788</f>
        <v>5652.2731200000007</v>
      </c>
      <c r="H790" s="986">
        <f>I788</f>
        <v>5652.2731200000007</v>
      </c>
      <c r="I790" s="986">
        <f>I788</f>
        <v>5652.2731200000007</v>
      </c>
      <c r="J790" s="986">
        <f>I788</f>
        <v>5652.2731200000007</v>
      </c>
    </row>
    <row r="791" spans="1:10" ht="12.75" customHeight="1">
      <c r="A791" s="1019"/>
      <c r="B791" s="1020"/>
      <c r="C791" s="792" t="s">
        <v>336</v>
      </c>
      <c r="E791" s="986"/>
      <c r="F791" s="986">
        <f>ROUND($F$70/$D$777,2)</f>
        <v>48.27</v>
      </c>
      <c r="G791" s="986">
        <f>ROUND($F$71/$D$777,2)</f>
        <v>48.27</v>
      </c>
      <c r="H791" s="986">
        <f>ROUND($F$72/$D$777,2)</f>
        <v>48.27</v>
      </c>
      <c r="I791" s="986">
        <f>ROUND($F$72/$D$777,2)</f>
        <v>48.27</v>
      </c>
      <c r="J791" s="986">
        <f>ROUND($F$72/$D$777,2)</f>
        <v>48.27</v>
      </c>
    </row>
    <row r="792" spans="1:10" ht="25.5" customHeight="1">
      <c r="A792" s="1019"/>
      <c r="B792" s="1020"/>
      <c r="C792" s="792" t="s">
        <v>337</v>
      </c>
      <c r="E792" s="986"/>
      <c r="F792" s="986">
        <f>ROUND($H$70/$D$777,2)</f>
        <v>566.49</v>
      </c>
      <c r="G792" s="986">
        <f>ROUND($H$71/$D$777,2)</f>
        <v>739.24</v>
      </c>
      <c r="H792" s="986">
        <f>ROUND($H$72/$D$777,2)</f>
        <v>912</v>
      </c>
      <c r="I792" s="986">
        <f>ROUND($H$73/$D$777,2)</f>
        <v>1084.71</v>
      </c>
      <c r="J792" s="986">
        <f>ROUND($H$74/$D$777,2)</f>
        <v>1257.47</v>
      </c>
    </row>
    <row r="793" spans="1:10" ht="12.75" customHeight="1">
      <c r="A793" s="1019"/>
      <c r="B793" s="1020"/>
      <c r="C793" s="792" t="s">
        <v>338</v>
      </c>
      <c r="D793" s="1049">
        <f>$E$5</f>
        <v>0</v>
      </c>
      <c r="E793" s="986">
        <f t="shared" ref="E793:J793" si="97">ROUND($D$793*E792,2)</f>
        <v>0</v>
      </c>
      <c r="F793" s="986">
        <f t="shared" si="97"/>
        <v>0</v>
      </c>
      <c r="G793" s="986">
        <f t="shared" si="97"/>
        <v>0</v>
      </c>
      <c r="H793" s="986">
        <f t="shared" si="97"/>
        <v>0</v>
      </c>
      <c r="I793" s="986">
        <f t="shared" si="97"/>
        <v>0</v>
      </c>
      <c r="J793" s="986">
        <f t="shared" si="97"/>
        <v>0</v>
      </c>
    </row>
    <row r="794" spans="1:10" ht="12.75" customHeight="1">
      <c r="A794" s="1019"/>
      <c r="B794" s="1020"/>
      <c r="C794" s="792" t="s">
        <v>418</v>
      </c>
      <c r="E794" s="986"/>
      <c r="F794" s="986">
        <f>ROUND(0.1*($I$785+$I$784+$I$783),2)</f>
        <v>134.53</v>
      </c>
      <c r="G794" s="986">
        <f>ROUND(0.2*($I$785+$I$784+$I$783),2)</f>
        <v>269.06</v>
      </c>
      <c r="H794" s="986">
        <f>ROUND(0.3*($I$785+$I$784+$I$783),2)</f>
        <v>403.59</v>
      </c>
      <c r="I794" s="986">
        <f>ROUND(0.4*($I$785+$I$784+$I$783),2)</f>
        <v>538.12</v>
      </c>
      <c r="J794" s="986">
        <f>ROUND(0.5*($I$785+$I$784+$I$783),2)</f>
        <v>672.65</v>
      </c>
    </row>
    <row r="795" spans="1:10" ht="12.75" customHeight="1">
      <c r="A795" s="1019"/>
      <c r="B795" s="1020"/>
      <c r="E795" s="986">
        <f t="shared" ref="E795:J795" si="98">SUM(E790:E794)</f>
        <v>5652.2731200000007</v>
      </c>
      <c r="F795" s="986">
        <f t="shared" si="98"/>
        <v>6401.5631200000007</v>
      </c>
      <c r="G795" s="986">
        <f t="shared" si="98"/>
        <v>6708.8431200000014</v>
      </c>
      <c r="H795" s="986">
        <f t="shared" si="98"/>
        <v>7016.1331200000013</v>
      </c>
      <c r="I795" s="986">
        <f t="shared" si="98"/>
        <v>7323.3731200000011</v>
      </c>
      <c r="J795" s="986">
        <f t="shared" si="98"/>
        <v>7630.6631200000011</v>
      </c>
    </row>
    <row r="796" spans="1:10" ht="12.75" customHeight="1">
      <c r="A796" s="1019"/>
      <c r="B796" s="1020"/>
      <c r="C796" s="1124" t="s">
        <v>1014</v>
      </c>
      <c r="D796" s="1026">
        <f>$D$3</f>
        <v>0</v>
      </c>
      <c r="E796" s="986">
        <f t="shared" ref="E796:J796" si="99">ROUND(E795*$D$312,2)</f>
        <v>0</v>
      </c>
      <c r="F796" s="986">
        <f t="shared" si="99"/>
        <v>0</v>
      </c>
      <c r="G796" s="986">
        <f t="shared" si="99"/>
        <v>0</v>
      </c>
      <c r="H796" s="986">
        <f t="shared" si="99"/>
        <v>0</v>
      </c>
      <c r="I796" s="986">
        <f t="shared" si="99"/>
        <v>0</v>
      </c>
      <c r="J796" s="986">
        <f t="shared" si="99"/>
        <v>0</v>
      </c>
    </row>
    <row r="797" spans="1:10" ht="12.75" customHeight="1">
      <c r="A797" s="1019"/>
      <c r="B797" s="1020"/>
      <c r="C797" s="980" t="s">
        <v>308</v>
      </c>
      <c r="D797" s="980" t="s">
        <v>466</v>
      </c>
      <c r="E797" s="1012">
        <f t="shared" ref="E797:J797" si="100">CEILING(SUM(E795:E796),0.05)</f>
        <v>5652.3</v>
      </c>
      <c r="F797" s="1012">
        <f t="shared" si="100"/>
        <v>6401.6</v>
      </c>
      <c r="G797" s="1012">
        <f t="shared" si="100"/>
        <v>6708.85</v>
      </c>
      <c r="H797" s="1012">
        <f t="shared" si="100"/>
        <v>7016.1500000000005</v>
      </c>
      <c r="I797" s="1012">
        <f t="shared" si="100"/>
        <v>7323.4000000000005</v>
      </c>
      <c r="J797" s="1012">
        <f t="shared" si="100"/>
        <v>7630.7000000000007</v>
      </c>
    </row>
    <row r="798" spans="1:10" ht="12.75" customHeight="1">
      <c r="A798" s="1019">
        <f>A776+1</f>
        <v>18</v>
      </c>
      <c r="B798" s="1020"/>
      <c r="C798" s="1502" t="s">
        <v>2295</v>
      </c>
      <c r="D798" s="1502"/>
      <c r="E798" s="1502"/>
      <c r="F798" s="1502"/>
      <c r="G798" s="1502"/>
      <c r="H798" s="1502"/>
      <c r="I798" s="1502"/>
    </row>
    <row r="799" spans="1:10" ht="12.75" customHeight="1">
      <c r="A799" s="1019"/>
      <c r="B799" s="1020"/>
      <c r="C799" s="1117" t="s">
        <v>333</v>
      </c>
      <c r="D799" s="1052">
        <v>0.115</v>
      </c>
      <c r="E799" s="1003"/>
      <c r="F799" s="986"/>
      <c r="G799" s="1023"/>
      <c r="H799" s="1118"/>
      <c r="I799" s="986"/>
    </row>
    <row r="800" spans="1:10" ht="12.75" customHeight="1">
      <c r="A800" s="1019"/>
      <c r="B800" s="1020"/>
      <c r="C800" s="1117" t="s">
        <v>557</v>
      </c>
      <c r="D800" s="1021"/>
      <c r="E800" s="1003"/>
      <c r="F800" s="986"/>
      <c r="G800" s="1023"/>
      <c r="H800" s="1118"/>
      <c r="I800" s="986"/>
    </row>
    <row r="801" spans="1:10" ht="12.75" customHeight="1">
      <c r="A801" s="1019"/>
      <c r="B801" s="1020"/>
      <c r="C801" s="792" t="s">
        <v>235</v>
      </c>
      <c r="D801" s="1005">
        <v>7.56</v>
      </c>
      <c r="E801" s="1008" t="s">
        <v>462</v>
      </c>
      <c r="F801" s="986">
        <f>LEAD!$P$28</f>
        <v>7168</v>
      </c>
      <c r="G801" s="1023">
        <v>1000</v>
      </c>
      <c r="H801" s="991" t="str">
        <f>IF(E801="","",IF(E801="No.","Each",IF(E801="Nos.","Each",E801)))</f>
        <v>kgs</v>
      </c>
      <c r="I801" s="986">
        <f>IF(G801="",D801*F801,(D801*F801/G801))</f>
        <v>54.190079999999995</v>
      </c>
    </row>
    <row r="802" spans="1:10" ht="12.75" customHeight="1">
      <c r="A802" s="1019"/>
      <c r="B802" s="1020"/>
      <c r="C802" s="792" t="s">
        <v>309</v>
      </c>
      <c r="D802" s="1005">
        <v>51.2</v>
      </c>
      <c r="E802" s="1008" t="s">
        <v>327</v>
      </c>
      <c r="F802" s="986">
        <f>LEAD!P20</f>
        <v>7628.01</v>
      </c>
      <c r="G802" s="1021">
        <v>1000</v>
      </c>
      <c r="H802" s="991" t="str">
        <f>IF(E802="","",IF(E802="No.","Each",IF(E802="Nos.","Each",E802)))</f>
        <v>Nos</v>
      </c>
      <c r="I802" s="986">
        <f>IF(G802="",D802*F802,(D802*F802/G802))</f>
        <v>390.55411200000003</v>
      </c>
    </row>
    <row r="803" spans="1:10" ht="12.75" customHeight="1">
      <c r="A803" s="1019"/>
      <c r="B803" s="1020"/>
      <c r="C803" s="792" t="s">
        <v>334</v>
      </c>
      <c r="D803" s="1005">
        <v>2.1000000000000001E-2</v>
      </c>
      <c r="E803" s="1008" t="s">
        <v>529</v>
      </c>
      <c r="F803" s="986">
        <f>LEAD!$P$7</f>
        <v>437.11999999999983</v>
      </c>
      <c r="G803" s="1023">
        <v>1</v>
      </c>
      <c r="H803" s="991" t="str">
        <f>IF(E803="","",IF(E803="No.","Each",IF(E803="Nos.","Each",E803)))</f>
        <v>cu.m.</v>
      </c>
      <c r="I803" s="986">
        <f>IF(G803="",D803*F803,(D803*F803/G803))</f>
        <v>9.1795199999999966</v>
      </c>
    </row>
    <row r="804" spans="1:10" ht="12.75" customHeight="1">
      <c r="A804" s="1019"/>
      <c r="B804" s="1020"/>
      <c r="C804" s="1117" t="s">
        <v>335</v>
      </c>
      <c r="D804" s="1005"/>
      <c r="E804" s="1008"/>
      <c r="F804" s="986"/>
      <c r="G804" s="1023"/>
      <c r="H804" s="991"/>
      <c r="I804" s="986"/>
    </row>
    <row r="805" spans="1:10" ht="12.75" customHeight="1">
      <c r="A805" s="1019"/>
      <c r="B805" s="1020"/>
      <c r="C805" s="792" t="s">
        <v>395</v>
      </c>
      <c r="D805" s="1021">
        <v>0.06</v>
      </c>
      <c r="E805" s="1008" t="s">
        <v>499</v>
      </c>
      <c r="F805" s="986">
        <f>$F$9</f>
        <v>545</v>
      </c>
      <c r="G805" s="1023">
        <v>1</v>
      </c>
      <c r="H805" s="991" t="str">
        <f>IF(E805="","",IF(E805="No.","Each",IF(E805="Nos.","Each",E805)))</f>
        <v>Each</v>
      </c>
      <c r="I805" s="986">
        <f>IF(G805="",D805*F805,(D805*F805/G805))</f>
        <v>32.699999999999996</v>
      </c>
    </row>
    <row r="806" spans="1:10" ht="12.75" customHeight="1">
      <c r="A806" s="1019"/>
      <c r="B806" s="1020"/>
      <c r="C806" s="792" t="s">
        <v>630</v>
      </c>
      <c r="D806" s="1021">
        <v>0.06</v>
      </c>
      <c r="E806" s="1008" t="s">
        <v>499</v>
      </c>
      <c r="F806" s="986">
        <f>$F$10</f>
        <v>515</v>
      </c>
      <c r="G806" s="1023">
        <v>1</v>
      </c>
      <c r="H806" s="991" t="str">
        <f>IF(E806="","",IF(E806="No.","Each",IF(E806="Nos.","Each",E806)))</f>
        <v>Each</v>
      </c>
      <c r="I806" s="986">
        <f>IF(G806="",D806*F806,(D806*F806/G806))</f>
        <v>30.9</v>
      </c>
    </row>
    <row r="807" spans="1:10" ht="12.75" customHeight="1">
      <c r="A807" s="1019"/>
      <c r="B807" s="1020"/>
      <c r="C807" s="792" t="s">
        <v>396</v>
      </c>
      <c r="D807" s="1021">
        <v>0.27500000000000002</v>
      </c>
      <c r="E807" s="1008" t="s">
        <v>499</v>
      </c>
      <c r="F807" s="986">
        <f>$F$22</f>
        <v>490</v>
      </c>
      <c r="G807" s="1023">
        <v>1</v>
      </c>
      <c r="H807" s="991" t="str">
        <f>IF(E807="","",IF(E807="No.","Each",IF(E807="Nos.","Each",E807)))</f>
        <v>Each</v>
      </c>
      <c r="I807" s="986">
        <f>IF(G807="",D807*F807,(D807*F807/G807))</f>
        <v>134.75</v>
      </c>
    </row>
    <row r="808" spans="1:10" ht="12.75" customHeight="1">
      <c r="A808" s="1019"/>
      <c r="B808" s="1020"/>
      <c r="D808" s="1021"/>
      <c r="E808" s="1008"/>
      <c r="F808" s="986"/>
      <c r="G808" s="1023"/>
      <c r="H808" s="991"/>
      <c r="I808" s="986">
        <f>SUM(I801:I807)</f>
        <v>652.27371200000005</v>
      </c>
    </row>
    <row r="809" spans="1:10" ht="25.5" customHeight="1">
      <c r="A809" s="1019"/>
      <c r="B809" s="1020"/>
      <c r="C809" s="792" t="s">
        <v>719</v>
      </c>
      <c r="D809" s="1050">
        <f>I808</f>
        <v>652.27371200000005</v>
      </c>
      <c r="E809" s="1003"/>
      <c r="F809" s="986">
        <v>0.01</v>
      </c>
      <c r="G809" s="1023"/>
      <c r="I809" s="986">
        <f>ROUND(D809*F809,2)</f>
        <v>6.52</v>
      </c>
    </row>
    <row r="810" spans="1:10" ht="12.75" customHeight="1">
      <c r="A810" s="1019"/>
      <c r="B810" s="1020"/>
      <c r="C810" s="980" t="s">
        <v>310</v>
      </c>
      <c r="D810" s="1021"/>
      <c r="E810" s="1008"/>
      <c r="F810" s="986"/>
      <c r="G810" s="1023"/>
      <c r="H810" s="1118"/>
      <c r="I810" s="1012">
        <f>SUM(I808:I809)</f>
        <v>658.79371200000003</v>
      </c>
    </row>
    <row r="811" spans="1:10" ht="12.75" customHeight="1">
      <c r="A811" s="1019"/>
      <c r="B811" s="1020"/>
      <c r="C811" s="1117" t="s">
        <v>428</v>
      </c>
      <c r="E811" s="1131" t="s">
        <v>501</v>
      </c>
      <c r="F811" s="1048" t="s">
        <v>502</v>
      </c>
      <c r="G811" s="1131" t="s">
        <v>503</v>
      </c>
      <c r="H811" s="1048" t="s">
        <v>709</v>
      </c>
      <c r="I811" s="1048" t="s">
        <v>502</v>
      </c>
      <c r="J811" s="1048" t="s">
        <v>502</v>
      </c>
    </row>
    <row r="812" spans="1:10" ht="12.75" customHeight="1">
      <c r="A812" s="1019"/>
      <c r="B812" s="1020"/>
      <c r="C812" s="792" t="s">
        <v>311</v>
      </c>
      <c r="E812" s="986">
        <f>I810</f>
        <v>658.79371200000003</v>
      </c>
      <c r="F812" s="986">
        <f>I810</f>
        <v>658.79371200000003</v>
      </c>
      <c r="G812" s="986">
        <f>I810</f>
        <v>658.79371200000003</v>
      </c>
      <c r="H812" s="986">
        <f>I810</f>
        <v>658.79371200000003</v>
      </c>
      <c r="I812" s="986">
        <f>I810</f>
        <v>658.79371200000003</v>
      </c>
      <c r="J812" s="986">
        <f>I810</f>
        <v>658.79371200000003</v>
      </c>
    </row>
    <row r="813" spans="1:10" ht="12.75" customHeight="1">
      <c r="A813" s="1019"/>
      <c r="B813" s="1020"/>
      <c r="C813" s="792" t="s">
        <v>336</v>
      </c>
      <c r="E813" s="986">
        <f>ROUND($F$69/1,2)</f>
        <v>10.86</v>
      </c>
      <c r="F813" s="986">
        <f>ROUND($F$70/1,2)</f>
        <v>10.86</v>
      </c>
      <c r="G813" s="986">
        <f>ROUND($F$71/1,2)</f>
        <v>10.86</v>
      </c>
      <c r="H813" s="986">
        <f>ROUND($F$72/1,2)</f>
        <v>10.86</v>
      </c>
      <c r="I813" s="986">
        <f>ROUND($F$72/1,2)</f>
        <v>10.86</v>
      </c>
      <c r="J813" s="986">
        <f>ROUND($F$72/1,2)</f>
        <v>10.86</v>
      </c>
    </row>
    <row r="814" spans="1:10" ht="25.5" customHeight="1">
      <c r="A814" s="1019"/>
      <c r="B814" s="1020"/>
      <c r="C814" s="792" t="s">
        <v>337</v>
      </c>
      <c r="E814" s="986">
        <f>ROUND($H$69/1,2)</f>
        <v>88.6</v>
      </c>
      <c r="F814" s="986">
        <f>ROUND($H$70/1,2)</f>
        <v>127.46</v>
      </c>
      <c r="G814" s="986">
        <f>ROUND($H$71/1,2)</f>
        <v>166.33</v>
      </c>
      <c r="H814" s="986">
        <f>ROUND($H$72/1,2)</f>
        <v>205.2</v>
      </c>
      <c r="I814" s="986">
        <f>ROUND($H$73/1,2)</f>
        <v>244.06</v>
      </c>
      <c r="J814" s="986">
        <f>ROUND($H$74/1,2)</f>
        <v>282.93</v>
      </c>
    </row>
    <row r="815" spans="1:10" ht="12.75" customHeight="1">
      <c r="A815" s="1019"/>
      <c r="B815" s="1020"/>
      <c r="C815" s="792" t="s">
        <v>338</v>
      </c>
      <c r="D815" s="1049">
        <f>$E$5</f>
        <v>0</v>
      </c>
      <c r="E815" s="986">
        <f t="shared" ref="E815:J815" si="101">ROUND($D$815*E814,2)</f>
        <v>0</v>
      </c>
      <c r="F815" s="986">
        <f t="shared" si="101"/>
        <v>0</v>
      </c>
      <c r="G815" s="986">
        <f t="shared" si="101"/>
        <v>0</v>
      </c>
      <c r="H815" s="986">
        <f t="shared" si="101"/>
        <v>0</v>
      </c>
      <c r="I815" s="986">
        <f t="shared" si="101"/>
        <v>0</v>
      </c>
      <c r="J815" s="986">
        <f t="shared" si="101"/>
        <v>0</v>
      </c>
    </row>
    <row r="816" spans="1:10" ht="12.75" customHeight="1">
      <c r="A816" s="1019"/>
      <c r="B816" s="1020"/>
      <c r="C816" s="792" t="s">
        <v>418</v>
      </c>
      <c r="E816" s="986"/>
      <c r="F816" s="986">
        <f>ROUND(0.1*($I$805+$I$806+$I$807),2)</f>
        <v>19.84</v>
      </c>
      <c r="G816" s="986">
        <f>ROUND(0.2*($I$805+$I$806+$I$807),2)</f>
        <v>39.67</v>
      </c>
      <c r="H816" s="986">
        <f>ROUND(0.3*($I$805+$I$806+$I$807),2)</f>
        <v>59.51</v>
      </c>
      <c r="I816" s="986">
        <f>ROUND(0.4*($I$805+$I$806+$I$807),2)</f>
        <v>79.34</v>
      </c>
      <c r="J816" s="986">
        <f>ROUND(0.5*($I$805+$I$806+$I$807),2)</f>
        <v>99.18</v>
      </c>
    </row>
    <row r="817" spans="1:10" ht="12.75" customHeight="1">
      <c r="A817" s="1019"/>
      <c r="B817" s="1020"/>
      <c r="E817" s="986">
        <f t="shared" ref="E817:J817" si="102">SUM(E812:E816)</f>
        <v>758.25371200000006</v>
      </c>
      <c r="F817" s="986">
        <f t="shared" si="102"/>
        <v>816.95371200000011</v>
      </c>
      <c r="G817" s="986">
        <f t="shared" si="102"/>
        <v>875.65371200000004</v>
      </c>
      <c r="H817" s="986">
        <f t="shared" si="102"/>
        <v>934.36371200000008</v>
      </c>
      <c r="I817" s="986">
        <f t="shared" si="102"/>
        <v>993.05371200000002</v>
      </c>
      <c r="J817" s="986">
        <f t="shared" si="102"/>
        <v>1051.7637120000002</v>
      </c>
    </row>
    <row r="818" spans="1:10" ht="12.75" customHeight="1">
      <c r="A818" s="1019"/>
      <c r="B818" s="1020"/>
      <c r="C818" s="1124" t="s">
        <v>1014</v>
      </c>
      <c r="D818" s="1026">
        <f>$D$3</f>
        <v>0</v>
      </c>
      <c r="E818" s="986">
        <f t="shared" ref="E818:J818" si="103">ROUND(E817*$D$818,2)</f>
        <v>0</v>
      </c>
      <c r="F818" s="986">
        <f t="shared" si="103"/>
        <v>0</v>
      </c>
      <c r="G818" s="986">
        <f t="shared" si="103"/>
        <v>0</v>
      </c>
      <c r="H818" s="986">
        <f t="shared" si="103"/>
        <v>0</v>
      </c>
      <c r="I818" s="986">
        <f t="shared" si="103"/>
        <v>0</v>
      </c>
      <c r="J818" s="986">
        <f t="shared" si="103"/>
        <v>0</v>
      </c>
    </row>
    <row r="819" spans="1:10" ht="12.75" customHeight="1">
      <c r="A819" s="1019"/>
      <c r="B819" s="1020"/>
      <c r="C819" s="980" t="s">
        <v>324</v>
      </c>
      <c r="D819" s="980" t="s">
        <v>466</v>
      </c>
      <c r="E819" s="1012">
        <f t="shared" ref="E819:J819" si="104">CEILING(SUM(E817:E818),0.05)</f>
        <v>758.30000000000007</v>
      </c>
      <c r="F819" s="1012">
        <f t="shared" si="104"/>
        <v>817</v>
      </c>
      <c r="G819" s="1012">
        <f t="shared" si="104"/>
        <v>875.7</v>
      </c>
      <c r="H819" s="1012">
        <f t="shared" si="104"/>
        <v>934.40000000000009</v>
      </c>
      <c r="I819" s="1012">
        <f t="shared" si="104"/>
        <v>993.1</v>
      </c>
      <c r="J819" s="1012">
        <f t="shared" si="104"/>
        <v>1051.8</v>
      </c>
    </row>
    <row r="820" spans="1:10" ht="85.5" customHeight="1">
      <c r="A820" s="1019">
        <f>+A701+1</f>
        <v>16</v>
      </c>
      <c r="B820" s="1020"/>
      <c r="C820" s="1499" t="s">
        <v>1196</v>
      </c>
      <c r="D820" s="1499"/>
      <c r="E820" s="1499"/>
      <c r="F820" s="1499"/>
      <c r="G820" s="1499"/>
      <c r="H820" s="1499"/>
      <c r="I820" s="1499"/>
    </row>
    <row r="821" spans="1:10" ht="15.75" customHeight="1">
      <c r="A821" s="1019"/>
      <c r="B821" s="1020"/>
      <c r="C821" s="792" t="s">
        <v>340</v>
      </c>
      <c r="D821" s="1021">
        <v>0.22500000000000001</v>
      </c>
      <c r="E821" s="1003"/>
      <c r="F821" s="986"/>
      <c r="G821" s="1023"/>
      <c r="H821" s="1118"/>
      <c r="I821" s="986"/>
    </row>
    <row r="822" spans="1:10" ht="15.75" customHeight="1">
      <c r="A822" s="1019"/>
      <c r="B822" s="1020"/>
      <c r="C822" s="1117" t="s">
        <v>557</v>
      </c>
      <c r="D822" s="1021"/>
      <c r="E822" s="1003"/>
      <c r="F822" s="986"/>
      <c r="G822" s="1023"/>
      <c r="H822" s="1118"/>
      <c r="I822" s="986"/>
    </row>
    <row r="823" spans="1:10" ht="15.75" customHeight="1">
      <c r="A823" s="1019"/>
      <c r="B823" s="1020"/>
      <c r="C823" s="792" t="s">
        <v>325</v>
      </c>
      <c r="D823" s="1005">
        <v>99</v>
      </c>
      <c r="E823" s="1008" t="s">
        <v>327</v>
      </c>
      <c r="F823" s="986">
        <f>LEAD!P22</f>
        <v>27000</v>
      </c>
      <c r="G823" s="1021">
        <v>1000</v>
      </c>
      <c r="H823" s="991" t="s">
        <v>327</v>
      </c>
      <c r="I823" s="986">
        <f t="shared" ref="I823:I830" si="105">IF(G823="",D823*F823,(D823*F823/G823))</f>
        <v>2673</v>
      </c>
    </row>
    <row r="824" spans="1:10" ht="15.75" customHeight="1">
      <c r="A824" s="1019"/>
      <c r="B824" s="1020"/>
      <c r="C824" s="792" t="s">
        <v>306</v>
      </c>
      <c r="D824" s="1005">
        <f>0.1*180</f>
        <v>18</v>
      </c>
      <c r="E824" s="1008" t="s">
        <v>364</v>
      </c>
      <c r="F824" s="986">
        <f>ROUND(LEAD!$P$28/1000,2)</f>
        <v>7.17</v>
      </c>
      <c r="G824" s="1023">
        <v>1</v>
      </c>
      <c r="H824" s="991" t="str">
        <f>E824</f>
        <v>Kgs</v>
      </c>
      <c r="I824" s="986">
        <f>IF(G824="",D824*F824,(D824*F824/G824))</f>
        <v>129.06</v>
      </c>
    </row>
    <row r="825" spans="1:10" ht="15.75" customHeight="1">
      <c r="A825" s="1019"/>
      <c r="B825" s="1020"/>
      <c r="C825" s="792" t="s">
        <v>307</v>
      </c>
      <c r="D825" s="1005">
        <f>0.1</f>
        <v>0.1</v>
      </c>
      <c r="E825" s="1008" t="s">
        <v>529</v>
      </c>
      <c r="F825" s="986">
        <f>LEAD!$P$7</f>
        <v>437.11999999999983</v>
      </c>
      <c r="G825" s="1023">
        <v>1</v>
      </c>
      <c r="H825" s="991" t="s">
        <v>529</v>
      </c>
      <c r="I825" s="986">
        <f t="shared" si="105"/>
        <v>43.711999999999989</v>
      </c>
    </row>
    <row r="826" spans="1:10" ht="15.75" customHeight="1">
      <c r="A826" s="1019"/>
      <c r="B826" s="1020"/>
      <c r="C826" s="1117" t="s">
        <v>690</v>
      </c>
      <c r="D826" s="1005"/>
      <c r="E826" s="1008"/>
      <c r="F826" s="986"/>
      <c r="G826" s="1023"/>
      <c r="H826" s="991"/>
      <c r="I826" s="986"/>
    </row>
    <row r="827" spans="1:10" ht="15.75" customHeight="1">
      <c r="A827" s="1019"/>
      <c r="B827" s="1020"/>
      <c r="C827" s="792" t="s">
        <v>395</v>
      </c>
      <c r="D827" s="1021">
        <v>0.42</v>
      </c>
      <c r="E827" s="1008" t="s">
        <v>529</v>
      </c>
      <c r="F827" s="986">
        <f>$F$9</f>
        <v>545</v>
      </c>
      <c r="G827" s="1023">
        <v>1</v>
      </c>
      <c r="H827" s="991" t="s">
        <v>529</v>
      </c>
      <c r="I827" s="986">
        <f t="shared" si="105"/>
        <v>228.9</v>
      </c>
    </row>
    <row r="828" spans="1:10" ht="15.75" customHeight="1">
      <c r="A828" s="1019"/>
      <c r="B828" s="1020"/>
      <c r="C828" s="792" t="s">
        <v>630</v>
      </c>
      <c r="D828" s="1021">
        <v>0.92</v>
      </c>
      <c r="E828" s="1008" t="s">
        <v>499</v>
      </c>
      <c r="F828" s="986">
        <f>$F$10</f>
        <v>515</v>
      </c>
      <c r="G828" s="1023">
        <v>1</v>
      </c>
      <c r="H828" s="991" t="s">
        <v>268</v>
      </c>
      <c r="I828" s="986">
        <f t="shared" si="105"/>
        <v>473.8</v>
      </c>
    </row>
    <row r="829" spans="1:10" ht="15.75" customHeight="1">
      <c r="A829" s="1019"/>
      <c r="B829" s="1020"/>
      <c r="C829" s="792" t="s">
        <v>396</v>
      </c>
      <c r="D829" s="1021">
        <v>0.7</v>
      </c>
      <c r="E829" s="1008" t="s">
        <v>499</v>
      </c>
      <c r="F829" s="986">
        <f>$F$22</f>
        <v>490</v>
      </c>
      <c r="G829" s="1023">
        <v>1</v>
      </c>
      <c r="H829" s="991" t="s">
        <v>268</v>
      </c>
      <c r="I829" s="986">
        <f t="shared" si="105"/>
        <v>343</v>
      </c>
    </row>
    <row r="830" spans="1:10" ht="15.75" customHeight="1">
      <c r="A830" s="1019"/>
      <c r="B830" s="1020"/>
      <c r="C830" s="792" t="s">
        <v>397</v>
      </c>
      <c r="D830" s="1021">
        <v>2.1</v>
      </c>
      <c r="E830" s="1008" t="s">
        <v>499</v>
      </c>
      <c r="F830" s="986">
        <f>$F$23</f>
        <v>490</v>
      </c>
      <c r="G830" s="1023">
        <v>1</v>
      </c>
      <c r="H830" s="991" t="s">
        <v>268</v>
      </c>
      <c r="I830" s="986">
        <f t="shared" si="105"/>
        <v>1029</v>
      </c>
    </row>
    <row r="831" spans="1:10" ht="15.75" customHeight="1">
      <c r="A831" s="1019"/>
      <c r="B831" s="1020"/>
      <c r="D831" s="1021"/>
      <c r="E831" s="1008"/>
      <c r="F831" s="986"/>
      <c r="G831" s="1023"/>
      <c r="H831" s="991"/>
      <c r="I831" s="986">
        <f>SUM(I823:I830)</f>
        <v>4920.4719999999998</v>
      </c>
    </row>
    <row r="832" spans="1:10" ht="15.75" customHeight="1">
      <c r="A832" s="1019"/>
      <c r="B832" s="1020"/>
      <c r="C832" s="792" t="s">
        <v>719</v>
      </c>
      <c r="D832" s="1050">
        <f>I831</f>
        <v>4920.4719999999998</v>
      </c>
      <c r="E832" s="1003"/>
      <c r="F832" s="986">
        <v>0.01</v>
      </c>
      <c r="G832" s="1023"/>
      <c r="I832" s="986">
        <f>ROUND(D832*F832,2)</f>
        <v>49.2</v>
      </c>
    </row>
    <row r="833" spans="1:10" ht="15.75" customHeight="1">
      <c r="A833" s="1019"/>
      <c r="B833" s="1020"/>
      <c r="C833" s="980" t="s">
        <v>379</v>
      </c>
      <c r="D833" s="1021"/>
      <c r="E833" s="1008"/>
      <c r="F833" s="986"/>
      <c r="G833" s="1023"/>
      <c r="H833" s="1118"/>
      <c r="I833" s="1012">
        <f>SUM(I831:I832)</f>
        <v>4969.6719999999996</v>
      </c>
    </row>
    <row r="834" spans="1:10" ht="15.75" customHeight="1">
      <c r="A834" s="1019"/>
      <c r="B834" s="1020"/>
      <c r="C834" s="1117" t="s">
        <v>428</v>
      </c>
      <c r="E834" s="1131" t="s">
        <v>501</v>
      </c>
      <c r="F834" s="1048" t="s">
        <v>502</v>
      </c>
      <c r="G834" s="1131" t="s">
        <v>503</v>
      </c>
      <c r="H834" s="1048" t="s">
        <v>709</v>
      </c>
      <c r="I834" s="1048" t="s">
        <v>502</v>
      </c>
      <c r="J834" s="1048" t="s">
        <v>502</v>
      </c>
    </row>
    <row r="835" spans="1:10" ht="15.75" customHeight="1">
      <c r="A835" s="1019"/>
      <c r="B835" s="1020"/>
      <c r="C835" s="792" t="s">
        <v>488</v>
      </c>
      <c r="E835" s="986">
        <f t="shared" ref="E835:J835" si="106">$I$833</f>
        <v>4969.6719999999996</v>
      </c>
      <c r="F835" s="986">
        <f t="shared" si="106"/>
        <v>4969.6719999999996</v>
      </c>
      <c r="G835" s="986">
        <f t="shared" si="106"/>
        <v>4969.6719999999996</v>
      </c>
      <c r="H835" s="986">
        <f t="shared" si="106"/>
        <v>4969.6719999999996</v>
      </c>
      <c r="I835" s="986">
        <f t="shared" si="106"/>
        <v>4969.6719999999996</v>
      </c>
      <c r="J835" s="986">
        <f t="shared" si="106"/>
        <v>4969.6719999999996</v>
      </c>
    </row>
    <row r="836" spans="1:10" ht="15.75" customHeight="1">
      <c r="A836" s="1019"/>
      <c r="B836" s="1020"/>
      <c r="C836" s="792" t="s">
        <v>336</v>
      </c>
      <c r="E836" s="986">
        <f>ROUND($F$69/$D$821,2)</f>
        <v>48.27</v>
      </c>
      <c r="F836" s="986">
        <f>ROUND($F$70/$D$821,2)</f>
        <v>48.27</v>
      </c>
      <c r="G836" s="986">
        <f>ROUND($F$71/$D$821,2)</f>
        <v>48.27</v>
      </c>
      <c r="H836" s="986">
        <f>ROUND($F$72/$D$821,2)</f>
        <v>48.27</v>
      </c>
      <c r="I836" s="986">
        <f>ROUND($F$72/$D$821,2)</f>
        <v>48.27</v>
      </c>
      <c r="J836" s="986">
        <f>ROUND($F$72/$D$821,2)</f>
        <v>48.27</v>
      </c>
    </row>
    <row r="837" spans="1:10" ht="15.75" customHeight="1">
      <c r="A837" s="1019"/>
      <c r="B837" s="1020"/>
      <c r="C837" s="792" t="s">
        <v>337</v>
      </c>
      <c r="E837" s="986">
        <f>ROUND($H$69/$D$821,2)</f>
        <v>393.78</v>
      </c>
      <c r="F837" s="986">
        <f>ROUND($H$70/$D$821,2)</f>
        <v>566.49</v>
      </c>
      <c r="G837" s="986">
        <f>ROUND($H$71/$D$821,2)</f>
        <v>739.24</v>
      </c>
      <c r="H837" s="986">
        <f>ROUND($H$72/$D$821,2)</f>
        <v>912</v>
      </c>
      <c r="I837" s="986">
        <f>ROUND($H$73/$D$821,2)</f>
        <v>1084.71</v>
      </c>
      <c r="J837" s="986">
        <f>ROUND($H$74/$D$821,2)</f>
        <v>1257.47</v>
      </c>
    </row>
    <row r="838" spans="1:10" ht="15.75" customHeight="1">
      <c r="A838" s="1019"/>
      <c r="B838" s="1020"/>
      <c r="C838" s="792" t="s">
        <v>338</v>
      </c>
      <c r="D838" s="1049">
        <f>$E$5</f>
        <v>0</v>
      </c>
      <c r="E838" s="986">
        <f t="shared" ref="E838:J838" si="107">ROUND($D$838*E837,2)</f>
        <v>0</v>
      </c>
      <c r="F838" s="986">
        <f t="shared" si="107"/>
        <v>0</v>
      </c>
      <c r="G838" s="986">
        <f t="shared" si="107"/>
        <v>0</v>
      </c>
      <c r="H838" s="986">
        <f t="shared" si="107"/>
        <v>0</v>
      </c>
      <c r="I838" s="986">
        <f t="shared" si="107"/>
        <v>0</v>
      </c>
      <c r="J838" s="986">
        <f t="shared" si="107"/>
        <v>0</v>
      </c>
    </row>
    <row r="839" spans="1:10" ht="15.75" customHeight="1">
      <c r="A839" s="1019"/>
      <c r="B839" s="1020"/>
      <c r="C839" s="792" t="s">
        <v>418</v>
      </c>
      <c r="E839" s="986"/>
      <c r="F839" s="986">
        <f>ROUND(0.1*($I$827+$I$828+$I$829+$I$830),2)</f>
        <v>207.47</v>
      </c>
      <c r="G839" s="986">
        <f>ROUND(0.2*($I$827+$I$828+$I$829+$I$830),2)</f>
        <v>414.94</v>
      </c>
      <c r="H839" s="986">
        <f>ROUND(0.3*($I$827+$I$828+$I$829+$I$830),2)</f>
        <v>622.41</v>
      </c>
      <c r="I839" s="986">
        <f>ROUND(0.4*($I$827+$I$828+$I$829+$I$830),2)</f>
        <v>829.88</v>
      </c>
      <c r="J839" s="986">
        <f>ROUND(0.5*($I$827+$I$828+$I$829+$I$830),2)</f>
        <v>1037.3499999999999</v>
      </c>
    </row>
    <row r="840" spans="1:10" ht="15.75" customHeight="1">
      <c r="A840" s="1019"/>
      <c r="B840" s="1020"/>
      <c r="E840" s="986">
        <f t="shared" ref="E840:J840" si="108">SUM(E835:E839)</f>
        <v>5411.7219999999998</v>
      </c>
      <c r="F840" s="986">
        <f t="shared" si="108"/>
        <v>5791.902</v>
      </c>
      <c r="G840" s="986">
        <f t="shared" si="108"/>
        <v>6172.1219999999994</v>
      </c>
      <c r="H840" s="986">
        <f t="shared" si="108"/>
        <v>6552.3519999999999</v>
      </c>
      <c r="I840" s="986">
        <f t="shared" si="108"/>
        <v>6932.5320000000002</v>
      </c>
      <c r="J840" s="986">
        <f t="shared" si="108"/>
        <v>7312.7620000000006</v>
      </c>
    </row>
    <row r="841" spans="1:10" ht="15.75" customHeight="1">
      <c r="A841" s="1019"/>
      <c r="B841" s="1020"/>
      <c r="C841" s="1124" t="s">
        <v>1014</v>
      </c>
      <c r="D841" s="1026">
        <f>$D$3</f>
        <v>0</v>
      </c>
      <c r="E841" s="986">
        <f t="shared" ref="E841:J841" si="109">ROUND(E840*$D$841,2)</f>
        <v>0</v>
      </c>
      <c r="F841" s="986">
        <f t="shared" si="109"/>
        <v>0</v>
      </c>
      <c r="G841" s="986">
        <f t="shared" si="109"/>
        <v>0</v>
      </c>
      <c r="H841" s="986">
        <f t="shared" si="109"/>
        <v>0</v>
      </c>
      <c r="I841" s="986">
        <f t="shared" si="109"/>
        <v>0</v>
      </c>
      <c r="J841" s="986">
        <f t="shared" si="109"/>
        <v>0</v>
      </c>
    </row>
    <row r="842" spans="1:10" ht="15.75" customHeight="1">
      <c r="A842" s="1019"/>
      <c r="B842" s="1020"/>
      <c r="C842" s="980" t="s">
        <v>308</v>
      </c>
      <c r="D842" s="980" t="s">
        <v>466</v>
      </c>
      <c r="E842" s="1012">
        <f t="shared" ref="E842:J842" si="110">CEILING(SUM(E840:E841),0.05)</f>
        <v>5411.75</v>
      </c>
      <c r="F842" s="1012">
        <f t="shared" si="110"/>
        <v>5791.9500000000007</v>
      </c>
      <c r="G842" s="1012">
        <f t="shared" si="110"/>
        <v>6172.1500000000005</v>
      </c>
      <c r="H842" s="1012">
        <f t="shared" si="110"/>
        <v>6552.4000000000005</v>
      </c>
      <c r="I842" s="1012">
        <f t="shared" si="110"/>
        <v>6932.55</v>
      </c>
      <c r="J842" s="1012">
        <f t="shared" si="110"/>
        <v>7312.8</v>
      </c>
    </row>
    <row r="843" spans="1:10" ht="15.75" customHeight="1">
      <c r="A843" s="1019"/>
      <c r="B843" s="1020"/>
      <c r="C843" s="980"/>
      <c r="D843" s="980"/>
      <c r="E843" s="1012"/>
      <c r="F843" s="1012"/>
      <c r="G843" s="1012"/>
      <c r="H843" s="1012"/>
    </row>
    <row r="844" spans="1:10" ht="12.75" hidden="1" customHeight="1">
      <c r="A844" s="1019">
        <f>A820+1</f>
        <v>17</v>
      </c>
      <c r="B844" s="1020"/>
      <c r="C844" s="1499" t="s">
        <v>1197</v>
      </c>
      <c r="D844" s="1499"/>
      <c r="E844" s="1499"/>
      <c r="F844" s="1499"/>
      <c r="G844" s="1499"/>
      <c r="H844" s="1499"/>
      <c r="I844" s="1499"/>
    </row>
    <row r="845" spans="1:10" ht="12.75" hidden="1" customHeight="1">
      <c r="A845" s="1019"/>
      <c r="B845" s="1020"/>
      <c r="C845" s="792" t="s">
        <v>340</v>
      </c>
      <c r="D845" s="1021">
        <v>0.22500000000000001</v>
      </c>
      <c r="E845" s="1003"/>
      <c r="F845" s="986"/>
      <c r="G845" s="1023"/>
      <c r="H845" s="1118"/>
      <c r="I845" s="986"/>
    </row>
    <row r="846" spans="1:10" ht="12.75" hidden="1" customHeight="1">
      <c r="A846" s="1019"/>
      <c r="B846" s="1020"/>
      <c r="C846" s="1117" t="s">
        <v>557</v>
      </c>
      <c r="D846" s="1021"/>
      <c r="E846" s="1003"/>
      <c r="F846" s="986"/>
      <c r="G846" s="1023"/>
      <c r="H846" s="1118"/>
      <c r="I846" s="986"/>
    </row>
    <row r="847" spans="1:10" ht="12.75" hidden="1" customHeight="1">
      <c r="A847" s="1019"/>
      <c r="B847" s="1020"/>
      <c r="C847" s="792" t="s">
        <v>325</v>
      </c>
      <c r="D847" s="1005">
        <v>99</v>
      </c>
      <c r="E847" s="1008" t="s">
        <v>327</v>
      </c>
      <c r="F847" s="986">
        <f>LEAD!P22</f>
        <v>27000</v>
      </c>
      <c r="G847" s="1021">
        <v>1000</v>
      </c>
      <c r="H847" s="991" t="s">
        <v>327</v>
      </c>
      <c r="I847" s="986">
        <f>IF(G847="",D847*F847,(D847*F847/G847))</f>
        <v>2673</v>
      </c>
    </row>
    <row r="848" spans="1:10" ht="12.75" hidden="1" customHeight="1">
      <c r="A848" s="1019"/>
      <c r="B848" s="1020"/>
      <c r="C848" s="792" t="s">
        <v>306</v>
      </c>
      <c r="D848" s="1005">
        <f>0.1*240</f>
        <v>24</v>
      </c>
      <c r="E848" s="1008" t="s">
        <v>364</v>
      </c>
      <c r="F848" s="986">
        <f>ROUND(LEAD!$P$28/1000,2)</f>
        <v>7.17</v>
      </c>
      <c r="G848" s="1023">
        <v>1</v>
      </c>
      <c r="H848" s="991" t="str">
        <f>E848</f>
        <v>Kgs</v>
      </c>
      <c r="I848" s="986">
        <f>IF(G848="",D848*F848,(D848*F848/G848))</f>
        <v>172.07999999999998</v>
      </c>
    </row>
    <row r="849" spans="1:9" ht="12.75" hidden="1" customHeight="1">
      <c r="A849" s="1019"/>
      <c r="B849" s="1020"/>
      <c r="C849" s="792" t="s">
        <v>307</v>
      </c>
      <c r="D849" s="1005">
        <f>0.1</f>
        <v>0.1</v>
      </c>
      <c r="E849" s="1008" t="s">
        <v>529</v>
      </c>
      <c r="F849" s="986">
        <f>LEAD!$P$7</f>
        <v>437.11999999999983</v>
      </c>
      <c r="G849" s="1023">
        <v>1</v>
      </c>
      <c r="H849" s="991" t="s">
        <v>529</v>
      </c>
      <c r="I849" s="986">
        <f>IF(G849="",D849*F849,(D849*F849/G849))</f>
        <v>43.711999999999989</v>
      </c>
    </row>
    <row r="850" spans="1:9" ht="12.75" hidden="1" customHeight="1">
      <c r="A850" s="1019"/>
      <c r="B850" s="1020"/>
      <c r="C850" s="1117" t="s">
        <v>690</v>
      </c>
      <c r="D850" s="1005"/>
      <c r="E850" s="1008"/>
      <c r="F850" s="986"/>
      <c r="G850" s="1023"/>
      <c r="H850" s="991"/>
      <c r="I850" s="986"/>
    </row>
    <row r="851" spans="1:9" ht="12.75" hidden="1" customHeight="1">
      <c r="A851" s="1019"/>
      <c r="B851" s="1020"/>
      <c r="C851" s="792" t="s">
        <v>395</v>
      </c>
      <c r="D851" s="1021">
        <v>0.42</v>
      </c>
      <c r="E851" s="1008" t="s">
        <v>529</v>
      </c>
      <c r="F851" s="986">
        <f>$F$9</f>
        <v>545</v>
      </c>
      <c r="G851" s="1023">
        <v>1</v>
      </c>
      <c r="H851" s="991" t="s">
        <v>529</v>
      </c>
      <c r="I851" s="986">
        <f>IF(G851="",D851*F851,(D851*F851/G851))</f>
        <v>228.9</v>
      </c>
    </row>
    <row r="852" spans="1:9" ht="12.75" hidden="1" customHeight="1">
      <c r="A852" s="1019"/>
      <c r="B852" s="1020"/>
      <c r="C852" s="792" t="s">
        <v>630</v>
      </c>
      <c r="D852" s="1021">
        <v>0.92</v>
      </c>
      <c r="E852" s="1008" t="s">
        <v>499</v>
      </c>
      <c r="F852" s="986">
        <f>$F$10</f>
        <v>515</v>
      </c>
      <c r="G852" s="1023">
        <v>1</v>
      </c>
      <c r="H852" s="991" t="s">
        <v>268</v>
      </c>
      <c r="I852" s="986">
        <f>IF(G852="",D852*F852,(D852*F852/G852))</f>
        <v>473.8</v>
      </c>
    </row>
    <row r="853" spans="1:9" ht="12.75" hidden="1" customHeight="1">
      <c r="A853" s="1019"/>
      <c r="B853" s="1020"/>
      <c r="C853" s="792" t="s">
        <v>396</v>
      </c>
      <c r="D853" s="1021">
        <v>0.7</v>
      </c>
      <c r="E853" s="1008" t="s">
        <v>499</v>
      </c>
      <c r="F853" s="986">
        <f>$F$22</f>
        <v>490</v>
      </c>
      <c r="G853" s="1023">
        <v>1</v>
      </c>
      <c r="H853" s="991" t="s">
        <v>268</v>
      </c>
      <c r="I853" s="986">
        <f>IF(G853="",D853*F853,(D853*F853/G853))</f>
        <v>343</v>
      </c>
    </row>
    <row r="854" spans="1:9" ht="12.75" hidden="1" customHeight="1">
      <c r="A854" s="1019"/>
      <c r="B854" s="1020"/>
      <c r="C854" s="792" t="s">
        <v>397</v>
      </c>
      <c r="D854" s="1021">
        <v>2.1</v>
      </c>
      <c r="E854" s="1008" t="s">
        <v>499</v>
      </c>
      <c r="F854" s="986">
        <f>$F$23</f>
        <v>490</v>
      </c>
      <c r="G854" s="1023">
        <v>1</v>
      </c>
      <c r="H854" s="991" t="s">
        <v>268</v>
      </c>
      <c r="I854" s="986">
        <f>IF(G854="",D854*F854,(D854*F854/G854))</f>
        <v>1029</v>
      </c>
    </row>
    <row r="855" spans="1:9" ht="12.75" hidden="1" customHeight="1">
      <c r="A855" s="1019"/>
      <c r="B855" s="1020"/>
      <c r="C855" s="980" t="s">
        <v>513</v>
      </c>
      <c r="D855" s="1021"/>
      <c r="E855" s="1008"/>
      <c r="F855" s="986"/>
      <c r="G855" s="1023"/>
      <c r="H855" s="1118"/>
      <c r="I855" s="986">
        <f>SUM(I847:I854)</f>
        <v>4963.4920000000002</v>
      </c>
    </row>
    <row r="856" spans="1:9" ht="25.5" hidden="1" customHeight="1">
      <c r="A856" s="1019"/>
      <c r="B856" s="1020"/>
      <c r="C856" s="792" t="s">
        <v>719</v>
      </c>
      <c r="D856" s="1050">
        <f>I855</f>
        <v>4963.4920000000002</v>
      </c>
      <c r="E856" s="1003"/>
      <c r="F856" s="986">
        <v>0.01</v>
      </c>
      <c r="G856" s="1023"/>
      <c r="I856" s="986">
        <f>ROUND(D856*F856,2)</f>
        <v>49.63</v>
      </c>
    </row>
    <row r="857" spans="1:9" ht="12.75" hidden="1" customHeight="1">
      <c r="A857" s="1019"/>
      <c r="B857" s="1020"/>
      <c r="D857" s="1050"/>
      <c r="E857" s="1003"/>
      <c r="F857" s="986"/>
      <c r="G857" s="1023"/>
      <c r="I857" s="986">
        <f>SUM(I855:I856)</f>
        <v>5013.1220000000003</v>
      </c>
    </row>
    <row r="858" spans="1:9" ht="12.75" hidden="1" customHeight="1">
      <c r="A858" s="1019"/>
      <c r="B858" s="1020"/>
      <c r="C858" s="1124" t="s">
        <v>1014</v>
      </c>
      <c r="D858" s="1026">
        <f>$D$3</f>
        <v>0</v>
      </c>
      <c r="E858" s="1012"/>
      <c r="F858" s="1012"/>
      <c r="G858" s="1012"/>
      <c r="H858" s="1012"/>
      <c r="I858" s="979">
        <f>ROUND(D858*I857,2)</f>
        <v>0</v>
      </c>
    </row>
    <row r="859" spans="1:9" ht="12.75" hidden="1" customHeight="1">
      <c r="A859" s="1019"/>
      <c r="B859" s="1020"/>
      <c r="C859" s="980" t="s">
        <v>379</v>
      </c>
      <c r="D859" s="980"/>
      <c r="E859" s="1012"/>
      <c r="F859" s="1012"/>
      <c r="G859" s="1012"/>
      <c r="H859" s="1012"/>
      <c r="I859" s="998">
        <f>CEILING(SUM(I857:I858),0.05)</f>
        <v>5013.1500000000005</v>
      </c>
    </row>
    <row r="860" spans="1:9" hidden="1">
      <c r="A860" s="1019"/>
      <c r="B860" s="1020"/>
      <c r="C860" s="980"/>
      <c r="D860" s="980"/>
      <c r="E860" s="1012"/>
      <c r="F860" s="1012"/>
      <c r="G860" s="1012"/>
      <c r="H860" s="1012"/>
    </row>
    <row r="861" spans="1:9" ht="12.75" hidden="1" customHeight="1">
      <c r="A861" s="1019">
        <f>+A820+1</f>
        <v>17</v>
      </c>
      <c r="B861" s="1020"/>
      <c r="C861" s="1499" t="s">
        <v>720</v>
      </c>
      <c r="D861" s="1499"/>
      <c r="E861" s="1499"/>
      <c r="F861" s="1499"/>
      <c r="G861" s="1499"/>
      <c r="H861" s="1499"/>
      <c r="I861" s="1499"/>
    </row>
    <row r="862" spans="1:9" ht="12.75" hidden="1" customHeight="1">
      <c r="A862" s="1019"/>
      <c r="B862" s="1020"/>
      <c r="C862" s="1117" t="s">
        <v>557</v>
      </c>
      <c r="D862" s="1021"/>
      <c r="E862" s="1003"/>
      <c r="F862" s="986"/>
      <c r="G862" s="1023"/>
      <c r="H862" s="1118"/>
      <c r="I862" s="986"/>
    </row>
    <row r="863" spans="1:9" ht="12.75" hidden="1" customHeight="1">
      <c r="A863" s="1019"/>
      <c r="B863" s="1020"/>
      <c r="C863" s="792" t="s">
        <v>516</v>
      </c>
      <c r="D863" s="1005">
        <v>22</v>
      </c>
      <c r="E863" s="1008" t="s">
        <v>327</v>
      </c>
      <c r="F863" s="986">
        <f>LEAD!P21</f>
        <v>12000</v>
      </c>
      <c r="G863" s="1021">
        <v>1000</v>
      </c>
      <c r="H863" s="991" t="s">
        <v>327</v>
      </c>
      <c r="I863" s="986">
        <f t="shared" ref="I863:I869" si="111">IF(G863="",D863*F863,(D863*F863/G863))</f>
        <v>264</v>
      </c>
    </row>
    <row r="864" spans="1:9" ht="12.75" hidden="1" customHeight="1">
      <c r="A864" s="1019"/>
      <c r="B864" s="1020"/>
      <c r="C864" s="792" t="s">
        <v>568</v>
      </c>
      <c r="D864" s="1005">
        <f>D865*360</f>
        <v>7.2</v>
      </c>
      <c r="E864" s="1008" t="s">
        <v>364</v>
      </c>
      <c r="F864" s="986">
        <f>ROUND(LEAD!$P$28/1000,2)</f>
        <v>7.17</v>
      </c>
      <c r="G864" s="1021"/>
      <c r="H864" s="991" t="str">
        <f>E864</f>
        <v>Kgs</v>
      </c>
      <c r="I864" s="986">
        <f t="shared" si="111"/>
        <v>51.624000000000002</v>
      </c>
    </row>
    <row r="865" spans="1:10" ht="12.75" hidden="1" customHeight="1">
      <c r="A865" s="1019"/>
      <c r="B865" s="1020"/>
      <c r="C865" s="792" t="s">
        <v>567</v>
      </c>
      <c r="D865" s="1005">
        <f>0.02</f>
        <v>0.02</v>
      </c>
      <c r="E865" s="1008" t="s">
        <v>529</v>
      </c>
      <c r="F865" s="986">
        <f>LEAD!$P$7</f>
        <v>437.11999999999983</v>
      </c>
      <c r="G865" s="1023">
        <v>1</v>
      </c>
      <c r="H865" s="991" t="s">
        <v>529</v>
      </c>
      <c r="I865" s="986">
        <f t="shared" si="111"/>
        <v>8.7423999999999964</v>
      </c>
    </row>
    <row r="866" spans="1:10" ht="12.75" hidden="1" customHeight="1">
      <c r="A866" s="1019"/>
      <c r="B866" s="1020"/>
      <c r="C866" s="1117" t="s">
        <v>690</v>
      </c>
      <c r="D866" s="1005"/>
      <c r="E866" s="1008"/>
      <c r="F866" s="986"/>
      <c r="G866" s="1023"/>
      <c r="H866" s="991"/>
      <c r="I866" s="986"/>
    </row>
    <row r="867" spans="1:10" ht="12.75" hidden="1" customHeight="1">
      <c r="A867" s="1019"/>
      <c r="B867" s="1020"/>
      <c r="C867" s="792" t="s">
        <v>395</v>
      </c>
      <c r="D867" s="1021">
        <v>0.06</v>
      </c>
      <c r="E867" s="1008" t="s">
        <v>529</v>
      </c>
      <c r="F867" s="986">
        <f>$F$9</f>
        <v>545</v>
      </c>
      <c r="G867" s="1023">
        <v>1</v>
      </c>
      <c r="H867" s="991" t="s">
        <v>529</v>
      </c>
      <c r="I867" s="986">
        <f t="shared" si="111"/>
        <v>32.699999999999996</v>
      </c>
    </row>
    <row r="868" spans="1:10" ht="12.75" hidden="1" customHeight="1">
      <c r="A868" s="1019"/>
      <c r="B868" s="1020"/>
      <c r="C868" s="792" t="s">
        <v>630</v>
      </c>
      <c r="D868" s="1021">
        <v>0.06</v>
      </c>
      <c r="E868" s="1008" t="s">
        <v>499</v>
      </c>
      <c r="F868" s="986">
        <f>$F$10</f>
        <v>515</v>
      </c>
      <c r="G868" s="1023">
        <v>1</v>
      </c>
      <c r="H868" s="991" t="s">
        <v>268</v>
      </c>
      <c r="I868" s="986">
        <f t="shared" si="111"/>
        <v>30.9</v>
      </c>
    </row>
    <row r="869" spans="1:10" ht="12.75" hidden="1" customHeight="1">
      <c r="A869" s="1019"/>
      <c r="B869" s="1020"/>
      <c r="C869" s="792" t="s">
        <v>396</v>
      </c>
      <c r="D869" s="1021">
        <v>0.27500000000000002</v>
      </c>
      <c r="E869" s="1008" t="s">
        <v>499</v>
      </c>
      <c r="F869" s="986">
        <f>$F$22</f>
        <v>490</v>
      </c>
      <c r="G869" s="1023">
        <v>1</v>
      </c>
      <c r="H869" s="991" t="s">
        <v>268</v>
      </c>
      <c r="I869" s="986">
        <f t="shared" si="111"/>
        <v>134.75</v>
      </c>
    </row>
    <row r="870" spans="1:10" ht="12.75" hidden="1" customHeight="1">
      <c r="A870" s="1019"/>
      <c r="B870" s="1020"/>
      <c r="D870" s="1021"/>
      <c r="E870" s="1008"/>
      <c r="F870" s="986"/>
      <c r="G870" s="1023"/>
      <c r="H870" s="991"/>
      <c r="I870" s="986">
        <f>SUM(I863:I869)</f>
        <v>522.71640000000002</v>
      </c>
    </row>
    <row r="871" spans="1:10" ht="25.5" hidden="1" customHeight="1">
      <c r="A871" s="1019"/>
      <c r="B871" s="1020"/>
      <c r="C871" s="792" t="s">
        <v>719</v>
      </c>
      <c r="D871" s="1050">
        <f>I870</f>
        <v>522.71640000000002</v>
      </c>
      <c r="E871" s="1003"/>
      <c r="F871" s="986">
        <v>0.01</v>
      </c>
      <c r="G871" s="1023"/>
      <c r="I871" s="986">
        <f>ROUND(D871*F871,2)</f>
        <v>5.23</v>
      </c>
    </row>
    <row r="872" spans="1:10" ht="12.75" hidden="1" customHeight="1">
      <c r="A872" s="1019"/>
      <c r="B872" s="1020"/>
      <c r="C872" s="980" t="s">
        <v>310</v>
      </c>
      <c r="D872" s="1021"/>
      <c r="E872" s="1008"/>
      <c r="F872" s="986"/>
      <c r="G872" s="1023"/>
      <c r="H872" s="1118"/>
      <c r="I872" s="1012">
        <f>SUM(I870:I871)</f>
        <v>527.94640000000004</v>
      </c>
    </row>
    <row r="873" spans="1:10" ht="12.75" hidden="1" customHeight="1">
      <c r="A873" s="1019"/>
      <c r="B873" s="1020"/>
      <c r="C873" s="1117" t="s">
        <v>428</v>
      </c>
      <c r="E873" s="1131" t="s">
        <v>501</v>
      </c>
      <c r="F873" s="1048" t="s">
        <v>502</v>
      </c>
      <c r="G873" s="1131" t="s">
        <v>503</v>
      </c>
      <c r="H873" s="1048" t="s">
        <v>709</v>
      </c>
      <c r="I873" s="1048" t="s">
        <v>502</v>
      </c>
      <c r="J873" s="1048" t="s">
        <v>502</v>
      </c>
    </row>
    <row r="874" spans="1:10" ht="12.75" hidden="1" customHeight="1">
      <c r="A874" s="1019"/>
      <c r="B874" s="1020"/>
      <c r="C874" s="792" t="s">
        <v>311</v>
      </c>
      <c r="E874" s="986">
        <f t="shared" ref="E874:J874" si="112">$I$872</f>
        <v>527.94640000000004</v>
      </c>
      <c r="F874" s="986">
        <f t="shared" si="112"/>
        <v>527.94640000000004</v>
      </c>
      <c r="G874" s="986">
        <f t="shared" si="112"/>
        <v>527.94640000000004</v>
      </c>
      <c r="H874" s="986">
        <f t="shared" si="112"/>
        <v>527.94640000000004</v>
      </c>
      <c r="I874" s="986">
        <f t="shared" si="112"/>
        <v>527.94640000000004</v>
      </c>
      <c r="J874" s="986">
        <f t="shared" si="112"/>
        <v>527.94640000000004</v>
      </c>
    </row>
    <row r="875" spans="1:10" ht="12.75" hidden="1" customHeight="1">
      <c r="A875" s="1019"/>
      <c r="B875" s="1020"/>
      <c r="C875" s="792" t="s">
        <v>336</v>
      </c>
      <c r="E875" s="986">
        <f>ROUND($F$69/1,2)</f>
        <v>10.86</v>
      </c>
      <c r="F875" s="986">
        <f>ROUND($F$70/1,2)</f>
        <v>10.86</v>
      </c>
      <c r="G875" s="986">
        <f>ROUND($F$71/1,2)</f>
        <v>10.86</v>
      </c>
      <c r="H875" s="986">
        <f>ROUND($F$72/1,2)</f>
        <v>10.86</v>
      </c>
      <c r="I875" s="986">
        <f>ROUND($F$72/1,2)</f>
        <v>10.86</v>
      </c>
      <c r="J875" s="986">
        <f>ROUND($F$72/1,2)</f>
        <v>10.86</v>
      </c>
    </row>
    <row r="876" spans="1:10" ht="25.5" hidden="1" customHeight="1">
      <c r="A876" s="1019"/>
      <c r="B876" s="1020"/>
      <c r="C876" s="792" t="s">
        <v>337</v>
      </c>
      <c r="E876" s="986">
        <f>ROUND($H$69/1,2)</f>
        <v>88.6</v>
      </c>
      <c r="F876" s="986">
        <f>ROUND($H$70/1,2)</f>
        <v>127.46</v>
      </c>
      <c r="G876" s="986">
        <f>ROUND($H$71/1,2)</f>
        <v>166.33</v>
      </c>
      <c r="H876" s="986">
        <f>ROUND($H$72/1,2)</f>
        <v>205.2</v>
      </c>
      <c r="I876" s="986">
        <f>ROUND($H$73/1,2)</f>
        <v>244.06</v>
      </c>
      <c r="J876" s="986">
        <f>ROUND($H$74/1,2)</f>
        <v>282.93</v>
      </c>
    </row>
    <row r="877" spans="1:10" ht="12.75" hidden="1" customHeight="1">
      <c r="A877" s="1019"/>
      <c r="B877" s="1020"/>
      <c r="C877" s="792" t="s">
        <v>338</v>
      </c>
      <c r="D877" s="1049">
        <f>$E$5</f>
        <v>0</v>
      </c>
      <c r="E877" s="986">
        <f t="shared" ref="E877:J877" si="113">ROUND($D$877*E876,2)</f>
        <v>0</v>
      </c>
      <c r="F877" s="986">
        <f t="shared" si="113"/>
        <v>0</v>
      </c>
      <c r="G877" s="986">
        <f t="shared" si="113"/>
        <v>0</v>
      </c>
      <c r="H877" s="986">
        <f t="shared" si="113"/>
        <v>0</v>
      </c>
      <c r="I877" s="986">
        <f t="shared" si="113"/>
        <v>0</v>
      </c>
      <c r="J877" s="986">
        <f t="shared" si="113"/>
        <v>0</v>
      </c>
    </row>
    <row r="878" spans="1:10" ht="12.75" hidden="1" customHeight="1">
      <c r="A878" s="1019"/>
      <c r="B878" s="1020"/>
      <c r="C878" s="792" t="s">
        <v>418</v>
      </c>
      <c r="E878" s="986"/>
      <c r="F878" s="986">
        <f>ROUND(0.1*($I$867+$I$868+$I$869),2)</f>
        <v>19.84</v>
      </c>
      <c r="G878" s="986">
        <f>ROUND(0.2*($I$867+$I$868+$I$869),2)</f>
        <v>39.67</v>
      </c>
      <c r="H878" s="986">
        <f>ROUND(0.3*($I$867+$I$868+$I$869),2)</f>
        <v>59.51</v>
      </c>
      <c r="I878" s="986">
        <f>ROUND(0.4*($I$867+$I$868+$I$869),2)</f>
        <v>79.34</v>
      </c>
      <c r="J878" s="986">
        <f>ROUND(0.5*($I$867+$I$868+$I$869),2)</f>
        <v>99.18</v>
      </c>
    </row>
    <row r="879" spans="1:10" ht="12.75" hidden="1" customHeight="1">
      <c r="A879" s="1019"/>
      <c r="B879" s="1020"/>
      <c r="E879" s="986">
        <f t="shared" ref="E879:J879" si="114">SUM(E874:E878)</f>
        <v>627.40640000000008</v>
      </c>
      <c r="F879" s="986">
        <f t="shared" si="114"/>
        <v>686.10640000000012</v>
      </c>
      <c r="G879" s="986">
        <f t="shared" si="114"/>
        <v>744.80640000000005</v>
      </c>
      <c r="H879" s="986">
        <f t="shared" si="114"/>
        <v>803.51639999999998</v>
      </c>
      <c r="I879" s="986">
        <f t="shared" si="114"/>
        <v>862.20640000000014</v>
      </c>
      <c r="J879" s="986">
        <f t="shared" si="114"/>
        <v>920.91640000000007</v>
      </c>
    </row>
    <row r="880" spans="1:10" ht="12.75" hidden="1" customHeight="1">
      <c r="A880" s="1019"/>
      <c r="B880" s="1020"/>
      <c r="C880" s="1124" t="s">
        <v>1014</v>
      </c>
      <c r="D880" s="1026">
        <f>$D$3</f>
        <v>0</v>
      </c>
      <c r="E880" s="986">
        <f t="shared" ref="E880:J880" si="115">ROUND(E879*$D$880,2)</f>
        <v>0</v>
      </c>
      <c r="F880" s="986">
        <f t="shared" si="115"/>
        <v>0</v>
      </c>
      <c r="G880" s="986">
        <f t="shared" si="115"/>
        <v>0</v>
      </c>
      <c r="H880" s="986">
        <f t="shared" si="115"/>
        <v>0</v>
      </c>
      <c r="I880" s="986">
        <f t="shared" si="115"/>
        <v>0</v>
      </c>
      <c r="J880" s="986">
        <f t="shared" si="115"/>
        <v>0</v>
      </c>
    </row>
    <row r="881" spans="1:18" ht="12.75" hidden="1" customHeight="1">
      <c r="A881" s="1019"/>
      <c r="B881" s="1020"/>
      <c r="C881" s="980" t="s">
        <v>324</v>
      </c>
      <c r="D881" s="980" t="s">
        <v>466</v>
      </c>
      <c r="E881" s="1012">
        <f t="shared" ref="E881:J881" si="116">CEILING(SUM(E879:E880),0.05)</f>
        <v>627.45000000000005</v>
      </c>
      <c r="F881" s="1012">
        <f t="shared" si="116"/>
        <v>686.15000000000009</v>
      </c>
      <c r="G881" s="1012">
        <f t="shared" si="116"/>
        <v>744.85</v>
      </c>
      <c r="H881" s="1012">
        <f t="shared" si="116"/>
        <v>803.55000000000007</v>
      </c>
      <c r="I881" s="1012">
        <f t="shared" si="116"/>
        <v>862.25</v>
      </c>
      <c r="J881" s="1012">
        <f t="shared" si="116"/>
        <v>920.95</v>
      </c>
    </row>
    <row r="882" spans="1:18" s="1001" customFormat="1" ht="91.5" customHeight="1">
      <c r="A882" s="1019">
        <f>A861+1</f>
        <v>18</v>
      </c>
      <c r="B882" s="1020"/>
      <c r="C882" s="1493" t="s">
        <v>2405</v>
      </c>
      <c r="D882" s="1493"/>
      <c r="E882" s="1493"/>
      <c r="F882" s="1493"/>
      <c r="G882" s="1493"/>
      <c r="H882" s="1493"/>
      <c r="I882" s="1493"/>
      <c r="J882" s="979"/>
      <c r="K882" s="979"/>
      <c r="L882" s="1127"/>
      <c r="M882" s="979"/>
      <c r="N882" s="1127"/>
      <c r="O882" s="979"/>
      <c r="P882" s="1127"/>
      <c r="Q882" s="979"/>
      <c r="R882" s="979"/>
    </row>
    <row r="883" spans="1:18" s="1001" customFormat="1">
      <c r="A883" s="1019"/>
      <c r="B883" s="1020"/>
      <c r="C883" s="1117" t="s">
        <v>557</v>
      </c>
      <c r="D883" s="1021"/>
      <c r="E883" s="1003"/>
      <c r="F883" s="986"/>
      <c r="G883" s="1023"/>
      <c r="H883" s="1116"/>
      <c r="I883" s="986"/>
      <c r="J883" s="979"/>
      <c r="K883" s="979"/>
      <c r="L883" s="1127"/>
      <c r="M883" s="979"/>
      <c r="N883" s="1127"/>
      <c r="O883" s="979"/>
      <c r="P883" s="1127"/>
      <c r="Q883" s="979"/>
      <c r="R883" s="979"/>
    </row>
    <row r="884" spans="1:18" s="1001" customFormat="1">
      <c r="A884" s="1019"/>
      <c r="B884" s="1020"/>
      <c r="C884" s="792" t="s">
        <v>343</v>
      </c>
      <c r="D884" s="1021">
        <v>1.05</v>
      </c>
      <c r="E884" s="1003" t="s">
        <v>50</v>
      </c>
      <c r="F884" s="986">
        <f>LEAD!P30</f>
        <v>83780</v>
      </c>
      <c r="G884" s="1023">
        <v>1</v>
      </c>
      <c r="H884" s="991" t="str">
        <f>IF(E884="","",IF(E884="No.","Each",IF(E884="Nos.","Each",E884)))</f>
        <v>MT</v>
      </c>
      <c r="I884" s="986">
        <f>IF(G884="",D884*F884,(D884*F884/G884))</f>
        <v>87969</v>
      </c>
      <c r="J884" s="979"/>
      <c r="K884" s="979"/>
      <c r="L884" s="1127"/>
      <c r="M884" s="979"/>
      <c r="N884" s="1127"/>
      <c r="O884" s="979"/>
      <c r="P884" s="1127"/>
      <c r="Q884" s="979"/>
      <c r="R884" s="979"/>
    </row>
    <row r="885" spans="1:18" s="1001" customFormat="1">
      <c r="A885" s="1019"/>
      <c r="B885" s="1020"/>
      <c r="C885" s="792" t="s">
        <v>342</v>
      </c>
      <c r="D885" s="1021">
        <v>6</v>
      </c>
      <c r="E885" s="1003" t="s">
        <v>328</v>
      </c>
      <c r="F885" s="986">
        <f>$F$24</f>
        <v>66</v>
      </c>
      <c r="G885" s="1023">
        <v>1</v>
      </c>
      <c r="H885" s="991" t="str">
        <f>IF(E885="","",IF(E885="No.","Each",IF(E885="Nos.","Each",E885)))</f>
        <v>Kg</v>
      </c>
      <c r="I885" s="986">
        <f>IF(G885="",D885*F885,(D885*F885/G885))</f>
        <v>396</v>
      </c>
      <c r="J885" s="979"/>
      <c r="K885" s="979"/>
      <c r="L885" s="1127"/>
      <c r="M885" s="979"/>
      <c r="N885" s="1127"/>
      <c r="O885" s="979"/>
      <c r="P885" s="1127"/>
      <c r="Q885" s="979"/>
      <c r="R885" s="979"/>
    </row>
    <row r="886" spans="1:18" s="1001" customFormat="1">
      <c r="A886" s="1019"/>
      <c r="B886" s="1020"/>
      <c r="C886" s="1117" t="s">
        <v>690</v>
      </c>
      <c r="D886" s="1021"/>
      <c r="E886" s="1003"/>
      <c r="F886" s="986"/>
      <c r="G886" s="1023"/>
      <c r="H886" s="991"/>
      <c r="I886" s="986"/>
      <c r="J886" s="979"/>
      <c r="K886" s="979"/>
      <c r="L886" s="1127"/>
      <c r="M886" s="979"/>
      <c r="N886" s="1127"/>
      <c r="O886" s="979"/>
      <c r="P886" s="1127"/>
      <c r="Q886" s="979"/>
      <c r="R886" s="979"/>
    </row>
    <row r="887" spans="1:18" s="1001" customFormat="1">
      <c r="A887" s="1019"/>
      <c r="B887" s="1020"/>
      <c r="C887" s="792" t="s">
        <v>345</v>
      </c>
      <c r="D887" s="1021">
        <v>10</v>
      </c>
      <c r="E887" s="1003" t="s">
        <v>327</v>
      </c>
      <c r="F887" s="986">
        <f>$F$13</f>
        <v>540</v>
      </c>
      <c r="G887" s="1023">
        <v>1</v>
      </c>
      <c r="H887" s="991" t="str">
        <f>IF(E887="","",IF(E887="No.","Each",IF(E887="Nos.","Each",E887)))</f>
        <v>Nos</v>
      </c>
      <c r="I887" s="986">
        <f>IF(G887="",D887*F887,(D887*F887/G887))</f>
        <v>5400</v>
      </c>
      <c r="J887" s="979"/>
      <c r="K887" s="979"/>
      <c r="L887" s="1127"/>
      <c r="M887" s="979"/>
      <c r="N887" s="1127"/>
      <c r="O887" s="979"/>
      <c r="P887" s="1127"/>
      <c r="Q887" s="979"/>
      <c r="R887" s="979"/>
    </row>
    <row r="888" spans="1:18" s="1001" customFormat="1">
      <c r="A888" s="1019"/>
      <c r="B888" s="1020"/>
      <c r="C888" s="792" t="s">
        <v>346</v>
      </c>
      <c r="D888" s="1021">
        <v>10</v>
      </c>
      <c r="E888" s="1003" t="s">
        <v>327</v>
      </c>
      <c r="F888" s="986">
        <f>$F$22</f>
        <v>490</v>
      </c>
      <c r="G888" s="1023">
        <v>1</v>
      </c>
      <c r="H888" s="991" t="str">
        <f>IF(E888="","",IF(E888="No.","Each",IF(E888="Nos.","Each",E888)))</f>
        <v>Nos</v>
      </c>
      <c r="I888" s="986">
        <f>IF(G888="",D888*F888,(D888*F888/G888))</f>
        <v>4900</v>
      </c>
      <c r="J888" s="979"/>
      <c r="K888" s="979"/>
      <c r="L888" s="1127"/>
      <c r="M888" s="979"/>
      <c r="N888" s="1127"/>
      <c r="O888" s="979"/>
      <c r="P888" s="1127"/>
      <c r="Q888" s="979"/>
      <c r="R888" s="979"/>
    </row>
    <row r="889" spans="1:18" s="1001" customFormat="1">
      <c r="A889" s="1019"/>
      <c r="B889" s="1020"/>
      <c r="C889" s="980" t="s">
        <v>230</v>
      </c>
      <c r="D889" s="1021"/>
      <c r="E889" s="1003"/>
      <c r="F889" s="986"/>
      <c r="G889" s="1023"/>
      <c r="H889" s="980" t="s">
        <v>466</v>
      </c>
      <c r="I889" s="1012">
        <f>SUM(I884:I888)</f>
        <v>98665</v>
      </c>
      <c r="J889" s="979"/>
      <c r="K889" s="979"/>
      <c r="L889" s="1127"/>
      <c r="M889" s="979"/>
      <c r="N889" s="1127"/>
      <c r="O889" s="979"/>
      <c r="P889" s="1127"/>
      <c r="Q889" s="979"/>
      <c r="R889" s="979"/>
    </row>
    <row r="890" spans="1:18" s="1001" customFormat="1">
      <c r="A890" s="1019"/>
      <c r="B890" s="1020"/>
      <c r="C890" s="1117" t="s">
        <v>428</v>
      </c>
      <c r="D890" s="979"/>
      <c r="E890" s="1131" t="s">
        <v>501</v>
      </c>
      <c r="F890" s="1048" t="s">
        <v>502</v>
      </c>
      <c r="G890" s="1131" t="s">
        <v>503</v>
      </c>
      <c r="H890" s="1048" t="s">
        <v>709</v>
      </c>
      <c r="I890" s="1048" t="s">
        <v>502</v>
      </c>
      <c r="J890" s="1048" t="s">
        <v>502</v>
      </c>
      <c r="K890" s="979"/>
      <c r="L890" s="1127"/>
      <c r="M890" s="979"/>
      <c r="N890" s="1127"/>
      <c r="O890" s="979"/>
      <c r="P890" s="1127"/>
      <c r="Q890" s="979"/>
      <c r="R890" s="979"/>
    </row>
    <row r="891" spans="1:18">
      <c r="A891" s="1019"/>
      <c r="B891" s="1020"/>
      <c r="C891" s="792" t="s">
        <v>231</v>
      </c>
      <c r="E891" s="986">
        <f>I889</f>
        <v>98665</v>
      </c>
      <c r="F891" s="986">
        <f>I889</f>
        <v>98665</v>
      </c>
      <c r="G891" s="986">
        <f>I889</f>
        <v>98665</v>
      </c>
      <c r="H891" s="986">
        <f>I889</f>
        <v>98665</v>
      </c>
      <c r="I891" s="986">
        <f>H891</f>
        <v>98665</v>
      </c>
      <c r="J891" s="986">
        <f>I891</f>
        <v>98665</v>
      </c>
    </row>
    <row r="892" spans="1:18" ht="24.6">
      <c r="A892" s="1019"/>
      <c r="B892" s="1020"/>
      <c r="C892" s="792" t="s">
        <v>347</v>
      </c>
      <c r="E892" s="986"/>
      <c r="F892" s="986">
        <f>ROUND(0.1*(I887+I888),2)</f>
        <v>1030</v>
      </c>
      <c r="G892" s="986">
        <f>ROUND(0.2*(I887+I888),2)</f>
        <v>2060</v>
      </c>
      <c r="H892" s="986">
        <f>ROUND(0.3*(I887+I888),2)</f>
        <v>3090</v>
      </c>
      <c r="I892" s="986">
        <f>ROUND(0.4*(I887+I888),2)</f>
        <v>4120</v>
      </c>
      <c r="J892" s="986">
        <f>ROUND(0.5*(I887+I888),2)</f>
        <v>5150</v>
      </c>
    </row>
    <row r="893" spans="1:18">
      <c r="A893" s="1019"/>
      <c r="B893" s="1020"/>
      <c r="E893" s="986">
        <f t="shared" ref="E893:J893" si="117">SUM(E891:E892)</f>
        <v>98665</v>
      </c>
      <c r="F893" s="986">
        <f t="shared" si="117"/>
        <v>99695</v>
      </c>
      <c r="G893" s="986">
        <f t="shared" si="117"/>
        <v>100725</v>
      </c>
      <c r="H893" s="986">
        <f t="shared" si="117"/>
        <v>101755</v>
      </c>
      <c r="I893" s="986">
        <f t="shared" si="117"/>
        <v>102785</v>
      </c>
      <c r="J893" s="986">
        <f t="shared" si="117"/>
        <v>103815</v>
      </c>
    </row>
    <row r="894" spans="1:18">
      <c r="A894" s="1019"/>
      <c r="B894" s="1020"/>
      <c r="C894" s="1124" t="s">
        <v>1014</v>
      </c>
      <c r="D894" s="1026">
        <f>$D$3</f>
        <v>0</v>
      </c>
      <c r="E894" s="986">
        <f t="shared" ref="E894:J894" si="118">ROUND(E893*$D$894,2)</f>
        <v>0</v>
      </c>
      <c r="F894" s="986">
        <f t="shared" si="118"/>
        <v>0</v>
      </c>
      <c r="G894" s="986">
        <f t="shared" si="118"/>
        <v>0</v>
      </c>
      <c r="H894" s="986">
        <f t="shared" si="118"/>
        <v>0</v>
      </c>
      <c r="I894" s="986">
        <f t="shared" si="118"/>
        <v>0</v>
      </c>
      <c r="J894" s="986">
        <f t="shared" si="118"/>
        <v>0</v>
      </c>
    </row>
    <row r="895" spans="1:18">
      <c r="A895" s="1019"/>
      <c r="B895" s="1020"/>
      <c r="C895" s="980" t="s">
        <v>232</v>
      </c>
      <c r="D895" s="980" t="s">
        <v>466</v>
      </c>
      <c r="E895" s="1012">
        <f t="shared" ref="E895:J895" si="119">CEILING(SUM(E893:E894),0.05)</f>
        <v>98665</v>
      </c>
      <c r="F895" s="1012">
        <f t="shared" si="119"/>
        <v>99695</v>
      </c>
      <c r="G895" s="1012">
        <f t="shared" si="119"/>
        <v>100725</v>
      </c>
      <c r="H895" s="1012">
        <f t="shared" si="119"/>
        <v>101755</v>
      </c>
      <c r="I895" s="1012">
        <f t="shared" si="119"/>
        <v>102785</v>
      </c>
      <c r="J895" s="1012">
        <f t="shared" si="119"/>
        <v>103815</v>
      </c>
    </row>
    <row r="896" spans="1:18" ht="12.75" hidden="1" customHeight="1">
      <c r="A896" s="1019">
        <f>A882+1</f>
        <v>19</v>
      </c>
      <c r="B896" s="1020"/>
      <c r="C896" s="1499" t="s">
        <v>655</v>
      </c>
      <c r="D896" s="1499"/>
      <c r="E896" s="1499"/>
      <c r="F896" s="1499"/>
      <c r="G896" s="1499"/>
      <c r="H896" s="1499"/>
      <c r="I896" s="1499"/>
    </row>
    <row r="897" spans="1:18" ht="12.75" hidden="1" customHeight="1">
      <c r="A897" s="1019"/>
      <c r="B897" s="1020"/>
      <c r="C897" s="792" t="s">
        <v>557</v>
      </c>
      <c r="D897" s="1021"/>
      <c r="E897" s="1003"/>
      <c r="F897" s="986"/>
      <c r="G897" s="1023"/>
      <c r="H897" s="1116"/>
      <c r="I897" s="986"/>
    </row>
    <row r="898" spans="1:18" s="1001" customFormat="1" hidden="1">
      <c r="A898" s="1019"/>
      <c r="B898" s="1020"/>
      <c r="C898" s="792" t="s">
        <v>233</v>
      </c>
      <c r="D898" s="1021">
        <v>1.05</v>
      </c>
      <c r="E898" s="1003" t="s">
        <v>50</v>
      </c>
      <c r="F898" s="986">
        <f>LEAD!P29</f>
        <v>76700</v>
      </c>
      <c r="G898" s="1023">
        <v>1</v>
      </c>
      <c r="H898" s="991" t="str">
        <f>IF(E898="","",IF(E898="No.","Each",IF(E898="Nos.","Each",E898)))</f>
        <v>MT</v>
      </c>
      <c r="I898" s="986">
        <f>IF(G898="",D898*F898,(D898*F898/G898))</f>
        <v>80535</v>
      </c>
      <c r="J898" s="979"/>
      <c r="K898" s="986"/>
      <c r="L898" s="1127"/>
      <c r="M898" s="979"/>
      <c r="N898" s="1127"/>
      <c r="O898" s="979"/>
      <c r="P898" s="1127"/>
      <c r="Q898" s="979"/>
      <c r="R898" s="979"/>
    </row>
    <row r="899" spans="1:18" s="1001" customFormat="1" hidden="1">
      <c r="A899" s="1019"/>
      <c r="B899" s="1020"/>
      <c r="C899" s="792" t="s">
        <v>342</v>
      </c>
      <c r="D899" s="1021">
        <v>6</v>
      </c>
      <c r="E899" s="1003" t="s">
        <v>328</v>
      </c>
      <c r="F899" s="986">
        <f>$F$24</f>
        <v>66</v>
      </c>
      <c r="G899" s="1023">
        <v>1</v>
      </c>
      <c r="H899" s="991" t="str">
        <f>IF(E899="","",IF(E899="No.","Each",IF(E899="Nos.","Each",E899)))</f>
        <v>Kg</v>
      </c>
      <c r="I899" s="986">
        <f>IF(G899="",D899*F899,(D899*F899/G899))</f>
        <v>396</v>
      </c>
      <c r="J899" s="979"/>
      <c r="K899" s="979"/>
      <c r="L899" s="1127"/>
      <c r="M899" s="979"/>
      <c r="N899" s="1127"/>
      <c r="O899" s="979"/>
      <c r="P899" s="1127"/>
      <c r="Q899" s="979"/>
      <c r="R899" s="979"/>
    </row>
    <row r="900" spans="1:18" s="1001" customFormat="1" hidden="1">
      <c r="A900" s="1019"/>
      <c r="B900" s="1020"/>
      <c r="C900" s="1117" t="s">
        <v>690</v>
      </c>
      <c r="D900" s="1021"/>
      <c r="E900" s="1003"/>
      <c r="F900" s="986"/>
      <c r="G900" s="1023"/>
      <c r="H900" s="991"/>
      <c r="I900" s="986"/>
      <c r="J900" s="979"/>
      <c r="K900" s="979"/>
      <c r="L900" s="1127"/>
      <c r="M900" s="979"/>
      <c r="N900" s="1127"/>
      <c r="O900" s="979"/>
      <c r="P900" s="1127"/>
      <c r="Q900" s="979"/>
      <c r="R900" s="979"/>
    </row>
    <row r="901" spans="1:18" s="1001" customFormat="1" hidden="1">
      <c r="A901" s="1019"/>
      <c r="B901" s="1020"/>
      <c r="C901" s="792" t="s">
        <v>345</v>
      </c>
      <c r="D901" s="1021">
        <v>10</v>
      </c>
      <c r="E901" s="1003" t="s">
        <v>327</v>
      </c>
      <c r="F901" s="986">
        <f>$F$9</f>
        <v>545</v>
      </c>
      <c r="G901" s="1023">
        <v>1</v>
      </c>
      <c r="H901" s="991" t="str">
        <f>IF(E901="","",IF(E901="No.","Each",IF(E901="Nos.","Each",E901)))</f>
        <v>Nos</v>
      </c>
      <c r="I901" s="986">
        <f>IF(G901="",D901*F901,(D901*F901/G901))</f>
        <v>5450</v>
      </c>
      <c r="J901" s="979"/>
      <c r="K901" s="979"/>
      <c r="L901" s="1127"/>
      <c r="M901" s="979"/>
      <c r="N901" s="1127"/>
      <c r="O901" s="979"/>
      <c r="P901" s="1127"/>
      <c r="Q901" s="979"/>
      <c r="R901" s="979"/>
    </row>
    <row r="902" spans="1:18" s="1001" customFormat="1" hidden="1">
      <c r="A902" s="1019"/>
      <c r="B902" s="1020"/>
      <c r="C902" s="792" t="s">
        <v>346</v>
      </c>
      <c r="D902" s="1021">
        <v>10</v>
      </c>
      <c r="E902" s="1003" t="s">
        <v>327</v>
      </c>
      <c r="F902" s="986">
        <f>$F$22</f>
        <v>490</v>
      </c>
      <c r="G902" s="1023">
        <v>1</v>
      </c>
      <c r="H902" s="991" t="str">
        <f>IF(E902="","",IF(E902="No.","Each",IF(E902="Nos.","Each",E902)))</f>
        <v>Nos</v>
      </c>
      <c r="I902" s="986">
        <f>IF(G902="",D902*F902,(D902*F902/G902))</f>
        <v>4900</v>
      </c>
      <c r="J902" s="979"/>
      <c r="K902" s="979"/>
      <c r="L902" s="1127"/>
      <c r="M902" s="979"/>
      <c r="N902" s="1127"/>
      <c r="O902" s="979"/>
      <c r="P902" s="1127"/>
      <c r="Q902" s="979"/>
      <c r="R902" s="979"/>
    </row>
    <row r="903" spans="1:18" s="1001" customFormat="1" hidden="1">
      <c r="A903" s="1019"/>
      <c r="B903" s="1020"/>
      <c r="C903" s="980" t="s">
        <v>230</v>
      </c>
      <c r="D903" s="1021"/>
      <c r="E903" s="1003"/>
      <c r="F903" s="986"/>
      <c r="G903" s="1023"/>
      <c r="H903" s="980" t="s">
        <v>466</v>
      </c>
      <c r="I903" s="1012">
        <f>SUM(I898:I902)</f>
        <v>91281</v>
      </c>
      <c r="J903" s="979"/>
      <c r="K903" s="979"/>
      <c r="L903" s="1127"/>
      <c r="M903" s="979"/>
      <c r="N903" s="1127"/>
      <c r="O903" s="979"/>
      <c r="P903" s="1127"/>
      <c r="Q903" s="979"/>
      <c r="R903" s="979"/>
    </row>
    <row r="904" spans="1:18" s="1001" customFormat="1" hidden="1">
      <c r="A904" s="1019"/>
      <c r="B904" s="1020"/>
      <c r="C904" s="1117" t="s">
        <v>428</v>
      </c>
      <c r="D904" s="979"/>
      <c r="E904" s="1131" t="s">
        <v>501</v>
      </c>
      <c r="F904" s="1048" t="s">
        <v>502</v>
      </c>
      <c r="G904" s="1131" t="s">
        <v>503</v>
      </c>
      <c r="H904" s="1048" t="s">
        <v>709</v>
      </c>
      <c r="I904" s="1048" t="s">
        <v>502</v>
      </c>
      <c r="J904" s="1048" t="s">
        <v>502</v>
      </c>
      <c r="K904" s="979"/>
      <c r="L904" s="1127"/>
      <c r="M904" s="979"/>
      <c r="N904" s="1127"/>
      <c r="O904" s="979"/>
      <c r="P904" s="1127"/>
      <c r="Q904" s="979"/>
      <c r="R904" s="979"/>
    </row>
    <row r="905" spans="1:18" s="1001" customFormat="1" hidden="1">
      <c r="A905" s="1019"/>
      <c r="B905" s="1020"/>
      <c r="C905" s="792" t="s">
        <v>231</v>
      </c>
      <c r="D905" s="979"/>
      <c r="E905" s="986">
        <f>I903</f>
        <v>91281</v>
      </c>
      <c r="F905" s="986">
        <f>I903</f>
        <v>91281</v>
      </c>
      <c r="G905" s="986">
        <f>I903</f>
        <v>91281</v>
      </c>
      <c r="H905" s="986">
        <f>I903</f>
        <v>91281</v>
      </c>
      <c r="I905" s="986">
        <f>I903</f>
        <v>91281</v>
      </c>
      <c r="J905" s="986">
        <f>I903</f>
        <v>91281</v>
      </c>
      <c r="K905" s="979"/>
      <c r="L905" s="1127"/>
      <c r="M905" s="979"/>
      <c r="N905" s="1127"/>
      <c r="O905" s="979"/>
      <c r="P905" s="1127"/>
      <c r="Q905" s="979"/>
      <c r="R905" s="979"/>
    </row>
    <row r="906" spans="1:18" s="1001" customFormat="1" ht="24.6" hidden="1">
      <c r="A906" s="1019"/>
      <c r="B906" s="1020"/>
      <c r="C906" s="792" t="s">
        <v>347</v>
      </c>
      <c r="D906" s="979"/>
      <c r="E906" s="986"/>
      <c r="F906" s="986">
        <f>ROUND(0.1*(I901+I902),2)</f>
        <v>1035</v>
      </c>
      <c r="G906" s="986">
        <f>ROUND(0.2*(I901+I902),2)</f>
        <v>2070</v>
      </c>
      <c r="H906" s="986">
        <f>ROUND(0.3*(I901+I902),2)</f>
        <v>3105</v>
      </c>
      <c r="I906" s="986">
        <f>ROUND(0.4*($I$901+$I$902),2)</f>
        <v>4140</v>
      </c>
      <c r="J906" s="986">
        <f>ROUND(0.5*($I$901+$I$902),2)</f>
        <v>5175</v>
      </c>
      <c r="K906" s="979"/>
      <c r="L906" s="1127"/>
      <c r="M906" s="979"/>
      <c r="N906" s="1127"/>
      <c r="O906" s="979"/>
      <c r="P906" s="1127"/>
      <c r="Q906" s="979"/>
      <c r="R906" s="979"/>
    </row>
    <row r="907" spans="1:18" s="1001" customFormat="1" hidden="1">
      <c r="A907" s="1019"/>
      <c r="B907" s="1020"/>
      <c r="C907" s="792"/>
      <c r="D907" s="979"/>
      <c r="E907" s="986">
        <f>SUM(E902:E906)</f>
        <v>91281</v>
      </c>
      <c r="F907" s="986">
        <f>SUM(F902:F906)</f>
        <v>92806</v>
      </c>
      <c r="G907" s="986">
        <f>SUM(G902:G906)</f>
        <v>93352</v>
      </c>
      <c r="H907" s="986">
        <f>SUM(H902:H906)</f>
        <v>94386</v>
      </c>
      <c r="I907" s="986">
        <f>SUM(I905:I906)</f>
        <v>95421</v>
      </c>
      <c r="J907" s="986">
        <f>SUM(J905:J906)</f>
        <v>96456</v>
      </c>
      <c r="K907" s="979"/>
      <c r="L907" s="1127"/>
      <c r="M907" s="979"/>
      <c r="N907" s="1127"/>
      <c r="O907" s="979"/>
      <c r="P907" s="1127"/>
      <c r="Q907" s="979"/>
      <c r="R907" s="979"/>
    </row>
    <row r="908" spans="1:18" s="1001" customFormat="1" hidden="1">
      <c r="A908" s="1019"/>
      <c r="B908" s="1020"/>
      <c r="C908" s="1124" t="s">
        <v>1014</v>
      </c>
      <c r="D908" s="1026">
        <f>$D$3</f>
        <v>0</v>
      </c>
      <c r="E908" s="986">
        <f t="shared" ref="E908:J908" si="120">ROUND(E907*$D$908,2)</f>
        <v>0</v>
      </c>
      <c r="F908" s="986">
        <f t="shared" si="120"/>
        <v>0</v>
      </c>
      <c r="G908" s="986">
        <f t="shared" si="120"/>
        <v>0</v>
      </c>
      <c r="H908" s="986">
        <f t="shared" si="120"/>
        <v>0</v>
      </c>
      <c r="I908" s="986">
        <f t="shared" si="120"/>
        <v>0</v>
      </c>
      <c r="J908" s="986">
        <f t="shared" si="120"/>
        <v>0</v>
      </c>
      <c r="K908" s="979"/>
      <c r="L908" s="1127"/>
      <c r="M908" s="979"/>
      <c r="N908" s="1127"/>
      <c r="O908" s="979"/>
      <c r="P908" s="1127"/>
      <c r="Q908" s="979"/>
      <c r="R908" s="979"/>
    </row>
    <row r="909" spans="1:18" hidden="1">
      <c r="A909" s="1019"/>
      <c r="B909" s="1020"/>
      <c r="C909" s="980" t="s">
        <v>232</v>
      </c>
      <c r="D909" s="980" t="s">
        <v>466</v>
      </c>
      <c r="E909" s="1012">
        <f t="shared" ref="E909:J909" si="121">CEILING(SUM(E907:E908),0.05)</f>
        <v>91281</v>
      </c>
      <c r="F909" s="1012">
        <f t="shared" si="121"/>
        <v>92806</v>
      </c>
      <c r="G909" s="1012">
        <f t="shared" si="121"/>
        <v>93352</v>
      </c>
      <c r="H909" s="1012">
        <f t="shared" si="121"/>
        <v>94386</v>
      </c>
      <c r="I909" s="1012">
        <f t="shared" si="121"/>
        <v>95421</v>
      </c>
      <c r="J909" s="1012">
        <f t="shared" si="121"/>
        <v>96456</v>
      </c>
    </row>
    <row r="910" spans="1:18" ht="12.75" hidden="1" customHeight="1">
      <c r="A910" s="1019"/>
      <c r="B910" s="1020"/>
      <c r="C910" s="980"/>
      <c r="D910" s="980"/>
      <c r="E910" s="1012"/>
      <c r="F910" s="1012"/>
      <c r="G910" s="1012"/>
      <c r="H910" s="1012"/>
      <c r="I910" s="1012"/>
    </row>
    <row r="911" spans="1:18" ht="94.5" customHeight="1">
      <c r="A911" s="1019">
        <f>+A896+1</f>
        <v>20</v>
      </c>
      <c r="B911" s="1020"/>
      <c r="C911" s="1493" t="s">
        <v>715</v>
      </c>
      <c r="D911" s="1493"/>
      <c r="E911" s="1493"/>
      <c r="F911" s="1493"/>
      <c r="G911" s="1493"/>
      <c r="H911" s="1493"/>
      <c r="I911" s="1493"/>
    </row>
    <row r="912" spans="1:18">
      <c r="A912" s="1019"/>
      <c r="B912" s="1020"/>
      <c r="C912" s="1124" t="s">
        <v>557</v>
      </c>
      <c r="D912" s="1021"/>
      <c r="E912" s="1003"/>
      <c r="F912" s="986"/>
      <c r="G912" s="1023"/>
      <c r="H912" s="1116"/>
      <c r="I912" s="986"/>
    </row>
    <row r="913" spans="1:10">
      <c r="A913" s="1019"/>
      <c r="B913" s="1020"/>
      <c r="C913" s="1115" t="s">
        <v>566</v>
      </c>
      <c r="D913" s="1021"/>
      <c r="E913" s="1003"/>
      <c r="F913" s="986"/>
      <c r="G913" s="1023"/>
      <c r="H913" s="1116"/>
      <c r="I913" s="986"/>
    </row>
    <row r="914" spans="1:10">
      <c r="A914" s="1019"/>
      <c r="B914" s="1020"/>
      <c r="C914" s="1115" t="s">
        <v>235</v>
      </c>
      <c r="D914" s="1021">
        <v>3.17</v>
      </c>
      <c r="E914" s="1003" t="s">
        <v>462</v>
      </c>
      <c r="F914" s="986">
        <f>LEAD!$P$28</f>
        <v>7168</v>
      </c>
      <c r="G914" s="1023">
        <v>1000</v>
      </c>
      <c r="H914" s="991" t="str">
        <f>IF(E914="","",IF(E914="No.","Each",IF(E914="Nos.","Each",E914)))</f>
        <v>kgs</v>
      </c>
      <c r="I914" s="986">
        <f>IF(G914="",D914*F914,(D914*F914/G914))</f>
        <v>22.722559999999998</v>
      </c>
    </row>
    <row r="915" spans="1:10">
      <c r="A915" s="1019"/>
      <c r="B915" s="1020"/>
      <c r="C915" s="1115" t="s">
        <v>348</v>
      </c>
      <c r="D915" s="1021">
        <f>0.011</f>
        <v>1.0999999999999999E-2</v>
      </c>
      <c r="E915" s="1003" t="s">
        <v>529</v>
      </c>
      <c r="F915" s="986">
        <f>LEAD!$P$9</f>
        <v>437.11999999999983</v>
      </c>
      <c r="G915" s="1023">
        <v>1</v>
      </c>
      <c r="H915" s="991" t="str">
        <f>IF(E915="","",IF(E915="No.","Each",IF(E915="Nos.","Each",E915)))</f>
        <v>cu.m.</v>
      </c>
      <c r="I915" s="986">
        <f>IF(G915="",D915*F915,(D915*F915/G915))</f>
        <v>4.8083199999999975</v>
      </c>
    </row>
    <row r="916" spans="1:10">
      <c r="A916" s="1019"/>
      <c r="B916" s="1020"/>
      <c r="C916" s="1115" t="s">
        <v>312</v>
      </c>
      <c r="D916" s="1021"/>
      <c r="E916" s="1003"/>
      <c r="F916" s="986"/>
      <c r="G916" s="1023"/>
      <c r="H916" s="1116"/>
      <c r="I916" s="986"/>
    </row>
    <row r="917" spans="1:10">
      <c r="A917" s="1019"/>
      <c r="B917" s="1020"/>
      <c r="C917" s="1115" t="s">
        <v>235</v>
      </c>
      <c r="D917" s="1021">
        <v>1.92</v>
      </c>
      <c r="E917" s="1003" t="s">
        <v>462</v>
      </c>
      <c r="F917" s="986">
        <f>LEAD!$P$28</f>
        <v>7168</v>
      </c>
      <c r="G917" s="1023">
        <v>1000</v>
      </c>
      <c r="H917" s="991" t="str">
        <f>IF(E917="","",IF(E917="No.","Each",IF(E917="Nos.","Each",E917)))</f>
        <v>kgs</v>
      </c>
      <c r="I917" s="986">
        <f>IF(G917="",D917*F917,(D917*F917/G917))</f>
        <v>13.762559999999999</v>
      </c>
    </row>
    <row r="918" spans="1:10">
      <c r="A918" s="1019"/>
      <c r="B918" s="1020"/>
      <c r="C918" s="1115" t="s">
        <v>348</v>
      </c>
      <c r="D918" s="1021">
        <f>0.004</f>
        <v>4.0000000000000001E-3</v>
      </c>
      <c r="E918" s="1003" t="s">
        <v>529</v>
      </c>
      <c r="F918" s="986">
        <f>LEAD!$P$9</f>
        <v>437.11999999999983</v>
      </c>
      <c r="G918" s="1023">
        <v>1</v>
      </c>
      <c r="H918" s="991" t="str">
        <f>IF(E918="","",IF(E918="No.","Each",IF(E918="Nos.","Each",E918)))</f>
        <v>cu.m.</v>
      </c>
      <c r="I918" s="986">
        <f>IF(G918="",D918*F918,(D918*F918/G918))</f>
        <v>1.7484799999999994</v>
      </c>
    </row>
    <row r="919" spans="1:10">
      <c r="A919" s="1019"/>
      <c r="B919" s="1020"/>
      <c r="C919" s="1124" t="s">
        <v>690</v>
      </c>
      <c r="D919" s="1021"/>
      <c r="E919" s="1003"/>
      <c r="F919" s="986"/>
      <c r="G919" s="1023"/>
      <c r="H919" s="991"/>
      <c r="I919" s="986"/>
    </row>
    <row r="920" spans="1:10">
      <c r="A920" s="1019"/>
      <c r="B920" s="1020"/>
      <c r="C920" s="792" t="s">
        <v>377</v>
      </c>
      <c r="D920" s="1021">
        <v>6.3E-2</v>
      </c>
      <c r="E920" s="1008" t="s">
        <v>499</v>
      </c>
      <c r="F920" s="986">
        <f>$F$9</f>
        <v>545</v>
      </c>
      <c r="G920" s="1023">
        <v>1</v>
      </c>
      <c r="H920" s="991" t="str">
        <f>IF(E920="","",IF(E920="No.","Each",IF(E920="Nos.","Each",E920)))</f>
        <v>Each</v>
      </c>
      <c r="I920" s="986">
        <f>IF(G920="",D920*F920,(D920*F920/G920))</f>
        <v>34.335000000000001</v>
      </c>
    </row>
    <row r="921" spans="1:10">
      <c r="A921" s="1019"/>
      <c r="B921" s="1020"/>
      <c r="C921" s="792" t="s">
        <v>378</v>
      </c>
      <c r="D921" s="1021">
        <v>0.14699999999999999</v>
      </c>
      <c r="E921" s="1008" t="s">
        <v>499</v>
      </c>
      <c r="F921" s="986">
        <f>$F$10</f>
        <v>515</v>
      </c>
      <c r="G921" s="1023">
        <v>1</v>
      </c>
      <c r="H921" s="991" t="str">
        <f>IF(E921="","",IF(E921="No.","Each",IF(E921="Nos.","Each",E921)))</f>
        <v>Each</v>
      </c>
      <c r="I921" s="986">
        <f>IF(G921="",D921*F921,(D921*F921/G921))</f>
        <v>75.704999999999998</v>
      </c>
    </row>
    <row r="922" spans="1:10">
      <c r="A922" s="1019"/>
      <c r="B922" s="1020"/>
      <c r="C922" s="792" t="s">
        <v>346</v>
      </c>
      <c r="D922" s="1021">
        <v>0.39</v>
      </c>
      <c r="E922" s="1003" t="s">
        <v>499</v>
      </c>
      <c r="F922" s="986">
        <f>$F$22</f>
        <v>490</v>
      </c>
      <c r="G922" s="1023">
        <v>1</v>
      </c>
      <c r="H922" s="991" t="str">
        <f>IF(E922="","",IF(E922="No.","Each",IF(E922="Nos.","Each",E922)))</f>
        <v>Each</v>
      </c>
      <c r="I922" s="986">
        <f>IF(G922="",D922*F922,(D922*F922/G922))</f>
        <v>191.1</v>
      </c>
    </row>
    <row r="923" spans="1:10">
      <c r="A923" s="1019"/>
      <c r="B923" s="1020"/>
      <c r="D923" s="1021"/>
      <c r="E923" s="1008"/>
      <c r="F923" s="986"/>
      <c r="G923" s="1023"/>
      <c r="H923" s="991"/>
      <c r="I923" s="986">
        <f>SUM(I914:I922)</f>
        <v>344.18191999999999</v>
      </c>
    </row>
    <row r="924" spans="1:10" ht="24.6">
      <c r="A924" s="1019"/>
      <c r="B924" s="1020"/>
      <c r="C924" s="1116" t="s">
        <v>719</v>
      </c>
      <c r="D924" s="1050">
        <f>I923</f>
        <v>344.18191999999999</v>
      </c>
      <c r="E924" s="1003"/>
      <c r="F924" s="986">
        <v>0.01</v>
      </c>
      <c r="G924" s="1023"/>
      <c r="I924" s="986">
        <f>ROUND(D924*F924,2)</f>
        <v>3.44</v>
      </c>
    </row>
    <row r="925" spans="1:10">
      <c r="A925" s="1019"/>
      <c r="B925" s="1020"/>
      <c r="C925" s="980" t="s">
        <v>368</v>
      </c>
      <c r="D925" s="1021"/>
      <c r="E925" s="1003"/>
      <c r="F925" s="986"/>
      <c r="G925" s="1023"/>
      <c r="H925" s="1116"/>
      <c r="I925" s="1012">
        <f>SUM(I923:I924)</f>
        <v>347.62191999999999</v>
      </c>
    </row>
    <row r="926" spans="1:10">
      <c r="A926" s="1019"/>
      <c r="B926" s="1020"/>
      <c r="C926" s="1117" t="s">
        <v>428</v>
      </c>
      <c r="E926" s="1131" t="s">
        <v>501</v>
      </c>
      <c r="F926" s="1048" t="s">
        <v>502</v>
      </c>
      <c r="G926" s="1131" t="s">
        <v>503</v>
      </c>
      <c r="H926" s="1048" t="s">
        <v>709</v>
      </c>
      <c r="I926" s="1048" t="s">
        <v>502</v>
      </c>
      <c r="J926" s="1048" t="s">
        <v>502</v>
      </c>
    </row>
    <row r="927" spans="1:10">
      <c r="A927" s="1019"/>
      <c r="B927" s="1020"/>
      <c r="C927" s="792" t="s">
        <v>368</v>
      </c>
      <c r="E927" s="986">
        <f>I925</f>
        <v>347.62191999999999</v>
      </c>
      <c r="F927" s="986">
        <f>I925</f>
        <v>347.62191999999999</v>
      </c>
      <c r="G927" s="986">
        <f>I925</f>
        <v>347.62191999999999</v>
      </c>
      <c r="H927" s="986">
        <f>I925</f>
        <v>347.62191999999999</v>
      </c>
      <c r="I927" s="986">
        <f>H927</f>
        <v>347.62191999999999</v>
      </c>
      <c r="J927" s="986">
        <f>I927</f>
        <v>347.62191999999999</v>
      </c>
    </row>
    <row r="928" spans="1:10">
      <c r="A928" s="1019"/>
      <c r="B928" s="1020"/>
      <c r="C928" s="792" t="s">
        <v>372</v>
      </c>
      <c r="E928" s="986">
        <f>$F$85</f>
        <v>2.59</v>
      </c>
      <c r="F928" s="986">
        <f>$F$86</f>
        <v>2.59</v>
      </c>
      <c r="G928" s="986">
        <f>$F$87</f>
        <v>2.59</v>
      </c>
      <c r="H928" s="986">
        <f>$F$88</f>
        <v>2.59</v>
      </c>
      <c r="I928" s="986">
        <f>$F$88</f>
        <v>2.59</v>
      </c>
      <c r="J928" s="986">
        <f>$F$88</f>
        <v>2.59</v>
      </c>
    </row>
    <row r="929" spans="1:12">
      <c r="A929" s="1019"/>
      <c r="B929" s="1020"/>
      <c r="C929" s="792" t="s">
        <v>373</v>
      </c>
      <c r="E929" s="986">
        <f>$H$85</f>
        <v>17.79</v>
      </c>
      <c r="F929" s="986">
        <f>$H$86</f>
        <v>25.39</v>
      </c>
      <c r="G929" s="986">
        <f>$H$87</f>
        <v>32.99</v>
      </c>
      <c r="H929" s="986">
        <f>$H$88</f>
        <v>40.590000000000003</v>
      </c>
      <c r="I929" s="986">
        <f>$H$89</f>
        <v>48.19</v>
      </c>
      <c r="J929" s="986">
        <f>$H$90</f>
        <v>55.79</v>
      </c>
    </row>
    <row r="930" spans="1:12">
      <c r="A930" s="1019"/>
      <c r="B930" s="1020"/>
      <c r="C930" s="792" t="s">
        <v>338</v>
      </c>
      <c r="D930" s="1049">
        <f>$E$5</f>
        <v>0</v>
      </c>
      <c r="E930" s="986">
        <f t="shared" ref="E930:J930" si="122">ROUND($D$930*E929,2)</f>
        <v>0</v>
      </c>
      <c r="F930" s="986">
        <f t="shared" si="122"/>
        <v>0</v>
      </c>
      <c r="G930" s="986">
        <f t="shared" si="122"/>
        <v>0</v>
      </c>
      <c r="H930" s="986">
        <f t="shared" si="122"/>
        <v>0</v>
      </c>
      <c r="I930" s="986">
        <f t="shared" si="122"/>
        <v>0</v>
      </c>
      <c r="J930" s="986">
        <f t="shared" si="122"/>
        <v>0</v>
      </c>
    </row>
    <row r="931" spans="1:12">
      <c r="A931" s="1019"/>
      <c r="B931" s="1020"/>
      <c r="C931" s="792" t="s">
        <v>418</v>
      </c>
      <c r="E931" s="986"/>
      <c r="F931" s="986">
        <f>ROUND(0.1*($I$920+$I$921+$I$922),2)</f>
        <v>30.11</v>
      </c>
      <c r="G931" s="986">
        <f>ROUND(0.2*($I$920+$I$921+$I$922),2)</f>
        <v>60.23</v>
      </c>
      <c r="H931" s="986">
        <f>ROUND(0.3*($I$920+$I$921+$I$922),2)</f>
        <v>90.34</v>
      </c>
      <c r="I931" s="986">
        <f>ROUND(0.4*($I$920+$I$921+$I$922),2)</f>
        <v>120.46</v>
      </c>
      <c r="J931" s="986">
        <f>ROUND(0.5*($I$920+$I$921+$I$922),2)</f>
        <v>150.57</v>
      </c>
    </row>
    <row r="932" spans="1:12">
      <c r="A932" s="1019"/>
      <c r="B932" s="1020"/>
      <c r="E932" s="986">
        <f t="shared" ref="E932:J932" si="123">SUM(E927:E931)</f>
        <v>368.00191999999998</v>
      </c>
      <c r="F932" s="986">
        <f t="shared" si="123"/>
        <v>405.71191999999996</v>
      </c>
      <c r="G932" s="986">
        <f t="shared" si="123"/>
        <v>443.43191999999999</v>
      </c>
      <c r="H932" s="986">
        <f t="shared" si="123"/>
        <v>481.14192000000003</v>
      </c>
      <c r="I932" s="986">
        <f t="shared" si="123"/>
        <v>518.86191999999994</v>
      </c>
      <c r="J932" s="986">
        <f t="shared" si="123"/>
        <v>556.57191999999998</v>
      </c>
    </row>
    <row r="933" spans="1:12">
      <c r="A933" s="1019"/>
      <c r="B933" s="1020"/>
      <c r="C933" s="1124" t="s">
        <v>1014</v>
      </c>
      <c r="D933" s="1026">
        <f>$D$3</f>
        <v>0</v>
      </c>
      <c r="E933" s="986">
        <f t="shared" ref="E933:J933" si="124">ROUND(E932*$D$933,2)</f>
        <v>0</v>
      </c>
      <c r="F933" s="986">
        <f t="shared" si="124"/>
        <v>0</v>
      </c>
      <c r="G933" s="986">
        <f t="shared" si="124"/>
        <v>0</v>
      </c>
      <c r="H933" s="986">
        <f t="shared" si="124"/>
        <v>0</v>
      </c>
      <c r="I933" s="986">
        <f t="shared" si="124"/>
        <v>0</v>
      </c>
      <c r="J933" s="986">
        <f t="shared" si="124"/>
        <v>0</v>
      </c>
    </row>
    <row r="934" spans="1:12">
      <c r="A934" s="1019"/>
      <c r="B934" s="1020"/>
      <c r="C934" s="980" t="s">
        <v>349</v>
      </c>
      <c r="D934" s="980" t="s">
        <v>466</v>
      </c>
      <c r="E934" s="1012">
        <f t="shared" ref="E934:J934" si="125">SUM(E932:E933)</f>
        <v>368.00191999999998</v>
      </c>
      <c r="F934" s="1012">
        <f t="shared" si="125"/>
        <v>405.71191999999996</v>
      </c>
      <c r="G934" s="1012">
        <f t="shared" si="125"/>
        <v>443.43191999999999</v>
      </c>
      <c r="H934" s="1012">
        <f t="shared" si="125"/>
        <v>481.14192000000003</v>
      </c>
      <c r="I934" s="1012">
        <f t="shared" si="125"/>
        <v>518.86191999999994</v>
      </c>
      <c r="J934" s="1012">
        <f t="shared" si="125"/>
        <v>556.57191999999998</v>
      </c>
    </row>
    <row r="935" spans="1:12" ht="97.5" customHeight="1">
      <c r="A935" s="1019">
        <f>A911+1</f>
        <v>21</v>
      </c>
      <c r="B935" s="1020"/>
      <c r="C935" s="1493" t="s">
        <v>1198</v>
      </c>
      <c r="D935" s="1493"/>
      <c r="E935" s="1493"/>
      <c r="F935" s="1493"/>
      <c r="G935" s="1493"/>
      <c r="H935" s="1493"/>
      <c r="I935" s="1493"/>
    </row>
    <row r="936" spans="1:12">
      <c r="A936" s="1019"/>
      <c r="B936" s="1020"/>
      <c r="C936" s="1124" t="s">
        <v>557</v>
      </c>
      <c r="D936" s="1021"/>
      <c r="E936" s="1003"/>
      <c r="F936" s="986"/>
      <c r="G936" s="1023"/>
      <c r="H936" s="1116"/>
      <c r="I936" s="986"/>
    </row>
    <row r="937" spans="1:12">
      <c r="A937" s="1019"/>
      <c r="B937" s="1020"/>
      <c r="C937" s="1124" t="s">
        <v>491</v>
      </c>
      <c r="D937" s="1021"/>
      <c r="E937" s="1003"/>
      <c r="F937" s="986"/>
      <c r="G937" s="1023"/>
      <c r="H937" s="1116"/>
      <c r="I937" s="986"/>
    </row>
    <row r="938" spans="1:12">
      <c r="A938" s="1019"/>
      <c r="B938" s="1020"/>
      <c r="C938" s="979" t="s">
        <v>235</v>
      </c>
      <c r="D938" s="1021">
        <v>2.64</v>
      </c>
      <c r="E938" s="1008" t="s">
        <v>462</v>
      </c>
      <c r="F938" s="986">
        <f>LEAD!$P$28</f>
        <v>7168</v>
      </c>
      <c r="G938" s="1023">
        <v>1000</v>
      </c>
      <c r="H938" s="991" t="str">
        <f>IF(E938="","",IF(E938="No.","Each",IF(E938="Nos.","Each",E938)))</f>
        <v>kgs</v>
      </c>
      <c r="I938" s="986">
        <f>IF(G938="",D938*F938,(D938*F938/G938))</f>
        <v>18.92352</v>
      </c>
      <c r="L938" s="979"/>
    </row>
    <row r="939" spans="1:12">
      <c r="A939" s="1019"/>
      <c r="B939" s="1020"/>
      <c r="C939" s="1115" t="s">
        <v>348</v>
      </c>
      <c r="D939" s="1021">
        <f>0.011</f>
        <v>1.0999999999999999E-2</v>
      </c>
      <c r="E939" s="1003" t="s">
        <v>529</v>
      </c>
      <c r="F939" s="986">
        <f>LEAD!$P$9</f>
        <v>437.11999999999983</v>
      </c>
      <c r="G939" s="1023">
        <v>1</v>
      </c>
      <c r="H939" s="991" t="str">
        <f>IF(E939="","",IF(E939="No.","Each",IF(E939="Nos.","Each",E939)))</f>
        <v>cu.m.</v>
      </c>
      <c r="I939" s="986">
        <f>IF(G939="",D939*F939,(D939*F939/G939))</f>
        <v>4.8083199999999975</v>
      </c>
      <c r="L939" s="979"/>
    </row>
    <row r="940" spans="1:12">
      <c r="A940" s="1019"/>
      <c r="B940" s="1020"/>
      <c r="C940" s="1124" t="s">
        <v>492</v>
      </c>
      <c r="D940" s="1021"/>
      <c r="E940" s="1003"/>
      <c r="F940" s="986"/>
      <c r="G940" s="1023"/>
      <c r="H940" s="1116"/>
      <c r="I940" s="986"/>
      <c r="L940" s="979"/>
    </row>
    <row r="941" spans="1:12">
      <c r="A941" s="1019"/>
      <c r="B941" s="1020"/>
      <c r="C941" s="979" t="s">
        <v>235</v>
      </c>
      <c r="D941" s="1021">
        <v>1.44</v>
      </c>
      <c r="E941" s="1008" t="s">
        <v>462</v>
      </c>
      <c r="F941" s="986">
        <f>LEAD!$P$28</f>
        <v>7168</v>
      </c>
      <c r="G941" s="1023">
        <v>1000</v>
      </c>
      <c r="H941" s="991" t="str">
        <f>IF(E941="","",IF(E941="No.","Each",IF(E941="Nos.","Each",E941)))</f>
        <v>kgs</v>
      </c>
      <c r="I941" s="986">
        <f>IF(G941="",D941*F941,(D941*F941/G941))</f>
        <v>10.32192</v>
      </c>
      <c r="L941" s="979"/>
    </row>
    <row r="942" spans="1:12">
      <c r="A942" s="1019"/>
      <c r="B942" s="1020"/>
      <c r="C942" s="1115" t="s">
        <v>348</v>
      </c>
      <c r="D942" s="1021">
        <f>0.004</f>
        <v>4.0000000000000001E-3</v>
      </c>
      <c r="E942" s="1003" t="s">
        <v>529</v>
      </c>
      <c r="F942" s="986">
        <f>F939</f>
        <v>437.11999999999983</v>
      </c>
      <c r="G942" s="1023">
        <v>1</v>
      </c>
      <c r="H942" s="991" t="str">
        <f>IF(E942="","",IF(E942="No.","Each",IF(E942="Nos.","Each",E942)))</f>
        <v>cu.m.</v>
      </c>
      <c r="I942" s="986">
        <f>IF(G942="",D942*F942,(D942*F942/G942))</f>
        <v>1.7484799999999994</v>
      </c>
    </row>
    <row r="943" spans="1:12">
      <c r="A943" s="1019"/>
      <c r="B943" s="1020"/>
      <c r="C943" s="1124" t="s">
        <v>690</v>
      </c>
      <c r="D943" s="1021"/>
      <c r="E943" s="1003"/>
      <c r="F943" s="986"/>
      <c r="G943" s="1023"/>
      <c r="H943" s="991"/>
      <c r="I943" s="986"/>
    </row>
    <row r="944" spans="1:12">
      <c r="A944" s="1019"/>
      <c r="B944" s="1020"/>
      <c r="C944" s="792" t="s">
        <v>377</v>
      </c>
      <c r="D944" s="1021">
        <f>ROUND(0.063*1,3)</f>
        <v>6.3E-2</v>
      </c>
      <c r="E944" s="1008" t="s">
        <v>499</v>
      </c>
      <c r="F944" s="986">
        <f>$F$9</f>
        <v>545</v>
      </c>
      <c r="G944" s="1023">
        <v>1</v>
      </c>
      <c r="H944" s="991" t="str">
        <f>IF(E944="","",IF(E944="No.","Each",IF(E944="Nos.","Each",E944)))</f>
        <v>Each</v>
      </c>
      <c r="I944" s="986">
        <f>IF(G944="",D944*F944,(D944*F944/G944))</f>
        <v>34.335000000000001</v>
      </c>
    </row>
    <row r="945" spans="1:10">
      <c r="A945" s="1019"/>
      <c r="B945" s="1020"/>
      <c r="C945" s="792" t="s">
        <v>378</v>
      </c>
      <c r="D945" s="1021">
        <f>ROUND(0.147*1,2)</f>
        <v>0.15</v>
      </c>
      <c r="E945" s="1008" t="s">
        <v>499</v>
      </c>
      <c r="F945" s="986">
        <f>$F$10</f>
        <v>515</v>
      </c>
      <c r="G945" s="1023">
        <v>1</v>
      </c>
      <c r="H945" s="991" t="str">
        <f>IF(E945="","",IF(E945="No.","Each",IF(E945="Nos.","Each",E945)))</f>
        <v>Each</v>
      </c>
      <c r="I945" s="986">
        <f>IF(G945="",D945*F945,(D945*F945/G945))</f>
        <v>77.25</v>
      </c>
    </row>
    <row r="946" spans="1:10">
      <c r="A946" s="1019"/>
      <c r="B946" s="1020"/>
      <c r="C946" s="792" t="s">
        <v>346</v>
      </c>
      <c r="D946" s="1021">
        <f>ROUND(0.39*1,2)</f>
        <v>0.39</v>
      </c>
      <c r="E946" s="1003" t="s">
        <v>499</v>
      </c>
      <c r="F946" s="986">
        <f>$F$22</f>
        <v>490</v>
      </c>
      <c r="G946" s="1023">
        <v>1</v>
      </c>
      <c r="H946" s="991" t="str">
        <f>IF(E946="","",IF(E946="No.","Each",IF(E946="Nos.","Each",E946)))</f>
        <v>Each</v>
      </c>
      <c r="I946" s="986">
        <f>IF(G946="",D946*F946,(D946*F946/G946))</f>
        <v>191.1</v>
      </c>
    </row>
    <row r="947" spans="1:10">
      <c r="A947" s="1019"/>
      <c r="B947" s="1020"/>
      <c r="D947" s="1021"/>
      <c r="E947" s="1008"/>
      <c r="F947" s="986"/>
      <c r="G947" s="1023"/>
      <c r="H947" s="991"/>
      <c r="I947" s="986">
        <f>SUM(I938:I946)</f>
        <v>338.48723999999999</v>
      </c>
    </row>
    <row r="948" spans="1:10" ht="24.6">
      <c r="A948" s="1019"/>
      <c r="B948" s="1020"/>
      <c r="C948" s="1116" t="s">
        <v>719</v>
      </c>
      <c r="D948" s="1050">
        <f>I947</f>
        <v>338.48723999999999</v>
      </c>
      <c r="E948" s="1003"/>
      <c r="F948" s="986">
        <v>0.01</v>
      </c>
      <c r="G948" s="1023"/>
      <c r="I948" s="986">
        <f>ROUND(D948*F948,2)</f>
        <v>3.38</v>
      </c>
    </row>
    <row r="949" spans="1:10">
      <c r="A949" s="1019"/>
      <c r="B949" s="1020"/>
      <c r="C949" s="980" t="s">
        <v>368</v>
      </c>
      <c r="D949" s="1021"/>
      <c r="E949" s="1003"/>
      <c r="F949" s="986"/>
      <c r="G949" s="1023"/>
      <c r="H949" s="1116"/>
      <c r="I949" s="1012">
        <f>SUM(I947:I948)</f>
        <v>341.86723999999998</v>
      </c>
    </row>
    <row r="950" spans="1:10">
      <c r="A950" s="1019"/>
      <c r="B950" s="1020"/>
      <c r="C950" s="1117" t="s">
        <v>428</v>
      </c>
      <c r="E950" s="1131" t="s">
        <v>501</v>
      </c>
      <c r="F950" s="1048" t="s">
        <v>502</v>
      </c>
      <c r="G950" s="1131" t="s">
        <v>503</v>
      </c>
      <c r="H950" s="1048" t="s">
        <v>709</v>
      </c>
      <c r="I950" s="1048" t="s">
        <v>502</v>
      </c>
      <c r="J950" s="1048" t="s">
        <v>502</v>
      </c>
    </row>
    <row r="951" spans="1:10">
      <c r="A951" s="1019"/>
      <c r="B951" s="1020"/>
      <c r="C951" s="792" t="s">
        <v>368</v>
      </c>
      <c r="E951" s="986">
        <f>I949</f>
        <v>341.86723999999998</v>
      </c>
      <c r="F951" s="986">
        <f>I949</f>
        <v>341.86723999999998</v>
      </c>
      <c r="G951" s="986">
        <f>I949</f>
        <v>341.86723999999998</v>
      </c>
      <c r="H951" s="986">
        <f>I949</f>
        <v>341.86723999999998</v>
      </c>
      <c r="I951" s="986">
        <f>H951</f>
        <v>341.86723999999998</v>
      </c>
      <c r="J951" s="986">
        <f>I951</f>
        <v>341.86723999999998</v>
      </c>
    </row>
    <row r="952" spans="1:10">
      <c r="A952" s="1019"/>
      <c r="B952" s="1020"/>
      <c r="C952" s="792" t="s">
        <v>370</v>
      </c>
      <c r="E952" s="986">
        <f>$F$78</f>
        <v>1.0900000000000001</v>
      </c>
      <c r="F952" s="986">
        <f>$F$79</f>
        <v>1.0900000000000001</v>
      </c>
      <c r="G952" s="986">
        <f>$F$80</f>
        <v>1.0900000000000001</v>
      </c>
      <c r="H952" s="986">
        <f>$F$81</f>
        <v>1.0900000000000001</v>
      </c>
      <c r="I952" s="986">
        <f>$F$81</f>
        <v>1.0900000000000001</v>
      </c>
      <c r="J952" s="986">
        <f>$F$81</f>
        <v>1.0900000000000001</v>
      </c>
    </row>
    <row r="953" spans="1:10">
      <c r="A953" s="1019"/>
      <c r="B953" s="1020"/>
      <c r="C953" s="792" t="s">
        <v>371</v>
      </c>
      <c r="E953" s="986">
        <f>$H$78</f>
        <v>8.86</v>
      </c>
      <c r="F953" s="986">
        <f>$H$79</f>
        <v>12.75</v>
      </c>
      <c r="G953" s="986">
        <f>$H$80</f>
        <v>16.63</v>
      </c>
      <c r="H953" s="986">
        <f>$H$81</f>
        <v>20.52</v>
      </c>
      <c r="I953" s="986">
        <f>$H$82</f>
        <v>24.41</v>
      </c>
      <c r="J953" s="986">
        <f>$H$83</f>
        <v>28.29</v>
      </c>
    </row>
    <row r="954" spans="1:10">
      <c r="A954" s="1019"/>
      <c r="B954" s="1020"/>
      <c r="C954" s="792" t="s">
        <v>338</v>
      </c>
      <c r="D954" s="1049">
        <f>$E$5</f>
        <v>0</v>
      </c>
      <c r="E954" s="986">
        <f t="shared" ref="E954:J954" si="126">ROUND($D$954*E953,2)</f>
        <v>0</v>
      </c>
      <c r="F954" s="986">
        <f t="shared" si="126"/>
        <v>0</v>
      </c>
      <c r="G954" s="986">
        <f t="shared" si="126"/>
        <v>0</v>
      </c>
      <c r="H954" s="986">
        <f t="shared" si="126"/>
        <v>0</v>
      </c>
      <c r="I954" s="986">
        <f t="shared" si="126"/>
        <v>0</v>
      </c>
      <c r="J954" s="986">
        <f t="shared" si="126"/>
        <v>0</v>
      </c>
    </row>
    <row r="955" spans="1:10">
      <c r="A955" s="1019"/>
      <c r="B955" s="1020"/>
      <c r="C955" s="792" t="s">
        <v>418</v>
      </c>
      <c r="E955" s="986"/>
      <c r="F955" s="986">
        <f>ROUND(0.1*($I$920+$I$921+$I$922),2)</f>
        <v>30.11</v>
      </c>
      <c r="G955" s="986">
        <f>ROUND(0.2*($I$920+$I$921+$I$922),2)</f>
        <v>60.23</v>
      </c>
      <c r="H955" s="986">
        <f>ROUND(0.3*($I$920+$I$921+$I$922),2)</f>
        <v>90.34</v>
      </c>
      <c r="I955" s="986">
        <f>ROUND(0.4*($I$920+$I$921+$I$922),2)</f>
        <v>120.46</v>
      </c>
      <c r="J955" s="986">
        <f>ROUND(0.5*($I$920+$I$921+$I$922),2)</f>
        <v>150.57</v>
      </c>
    </row>
    <row r="956" spans="1:10">
      <c r="A956" s="1019"/>
      <c r="B956" s="1020"/>
      <c r="E956" s="986">
        <f t="shared" ref="E956:J956" si="127">SUM(E951:E955)</f>
        <v>351.81723999999997</v>
      </c>
      <c r="F956" s="986">
        <f t="shared" si="127"/>
        <v>385.81723999999997</v>
      </c>
      <c r="G956" s="986">
        <f t="shared" si="127"/>
        <v>419.81723999999997</v>
      </c>
      <c r="H956" s="986">
        <f t="shared" si="127"/>
        <v>453.81723999999997</v>
      </c>
      <c r="I956" s="986">
        <f t="shared" si="127"/>
        <v>487.82723999999996</v>
      </c>
      <c r="J956" s="986">
        <f t="shared" si="127"/>
        <v>521.81723999999997</v>
      </c>
    </row>
    <row r="957" spans="1:10">
      <c r="A957" s="1019"/>
      <c r="B957" s="1020"/>
      <c r="C957" s="1124" t="s">
        <v>1014</v>
      </c>
      <c r="D957" s="1026">
        <f>$D$3</f>
        <v>0</v>
      </c>
      <c r="E957" s="986">
        <f t="shared" ref="E957:J957" si="128">ROUND(E956*$D$933,2)</f>
        <v>0</v>
      </c>
      <c r="F957" s="986">
        <f t="shared" si="128"/>
        <v>0</v>
      </c>
      <c r="G957" s="986">
        <f t="shared" si="128"/>
        <v>0</v>
      </c>
      <c r="H957" s="986">
        <f t="shared" si="128"/>
        <v>0</v>
      </c>
      <c r="I957" s="986">
        <f t="shared" si="128"/>
        <v>0</v>
      </c>
      <c r="J957" s="986">
        <f t="shared" si="128"/>
        <v>0</v>
      </c>
    </row>
    <row r="958" spans="1:10">
      <c r="A958" s="1019"/>
      <c r="B958" s="1020"/>
      <c r="C958" s="980" t="s">
        <v>349</v>
      </c>
      <c r="D958" s="980" t="s">
        <v>466</v>
      </c>
      <c r="E958" s="1012">
        <f t="shared" ref="E958:J958" si="129">CEILING(SUM(E956:E957),0.05)</f>
        <v>351.85</v>
      </c>
      <c r="F958" s="1012">
        <f t="shared" si="129"/>
        <v>385.85</v>
      </c>
      <c r="G958" s="1012">
        <f t="shared" si="129"/>
        <v>419.85</v>
      </c>
      <c r="H958" s="1012">
        <f t="shared" si="129"/>
        <v>453.85</v>
      </c>
      <c r="I958" s="1012">
        <f t="shared" si="129"/>
        <v>487.85</v>
      </c>
      <c r="J958" s="1012">
        <f t="shared" si="129"/>
        <v>521.85</v>
      </c>
    </row>
    <row r="959" spans="1:10" ht="82.5" customHeight="1">
      <c r="A959" s="1019">
        <f>A935+1</f>
        <v>22</v>
      </c>
      <c r="B959" s="1020"/>
      <c r="C959" s="1502" t="s">
        <v>2296</v>
      </c>
      <c r="D959" s="1502"/>
      <c r="E959" s="1502"/>
      <c r="F959" s="1502"/>
      <c r="G959" s="1502"/>
      <c r="H959" s="1502"/>
      <c r="I959" s="1502"/>
    </row>
    <row r="960" spans="1:10" ht="12.75" customHeight="1">
      <c r="A960" s="1019"/>
      <c r="B960" s="1020"/>
      <c r="C960" s="1124" t="s">
        <v>369</v>
      </c>
      <c r="D960" s="1021"/>
      <c r="E960" s="1003"/>
      <c r="F960" s="986"/>
      <c r="G960" s="1023"/>
      <c r="H960" s="1116"/>
      <c r="I960" s="986"/>
    </row>
    <row r="961" spans="1:10" ht="12.75" customHeight="1">
      <c r="A961" s="1019"/>
      <c r="B961" s="1020"/>
      <c r="C961" s="979" t="s">
        <v>235</v>
      </c>
      <c r="D961" s="1021">
        <v>4.32</v>
      </c>
      <c r="E961" s="1008" t="s">
        <v>462</v>
      </c>
      <c r="F961" s="986">
        <f>LEAD!$P$28</f>
        <v>7168</v>
      </c>
      <c r="G961" s="1023">
        <v>1000</v>
      </c>
      <c r="H961" s="991" t="str">
        <f>IF(E961="","",IF(E961="No.","Each",IF(E961="Nos.","Each",E961)))</f>
        <v>kgs</v>
      </c>
      <c r="I961" s="986">
        <f>IF(G961="",D961*F961,(D961*F961/G961))</f>
        <v>30.965760000000003</v>
      </c>
    </row>
    <row r="962" spans="1:10" ht="12.75" customHeight="1">
      <c r="A962" s="1019"/>
      <c r="B962" s="1020"/>
      <c r="C962" s="1115" t="s">
        <v>348</v>
      </c>
      <c r="D962" s="1021">
        <v>1.7999999999999999E-2</v>
      </c>
      <c r="E962" s="1003" t="s">
        <v>529</v>
      </c>
      <c r="F962" s="986">
        <f>LEAD!$P$9</f>
        <v>437.11999999999983</v>
      </c>
      <c r="G962" s="1023">
        <v>1</v>
      </c>
      <c r="H962" s="991" t="str">
        <f>IF(E962="","",IF(E962="No.","Each",IF(E962="Nos.","Each",E962)))</f>
        <v>cu.m.</v>
      </c>
      <c r="I962" s="986">
        <f>IF(G962="",D962*F962,(D962*F962/G962))</f>
        <v>7.868159999999996</v>
      </c>
    </row>
    <row r="963" spans="1:10" ht="12.75" customHeight="1">
      <c r="A963" s="1019"/>
      <c r="B963" s="1020"/>
      <c r="C963" s="1124" t="s">
        <v>492</v>
      </c>
      <c r="D963" s="1021"/>
      <c r="E963" s="1003"/>
      <c r="F963" s="986"/>
      <c r="G963" s="1023"/>
      <c r="H963" s="1116"/>
      <c r="I963" s="986"/>
    </row>
    <row r="964" spans="1:10" ht="12.75" customHeight="1">
      <c r="A964" s="1019"/>
      <c r="B964" s="1020"/>
      <c r="C964" s="979" t="s">
        <v>235</v>
      </c>
      <c r="D964" s="1021">
        <v>1.44</v>
      </c>
      <c r="E964" s="1008" t="s">
        <v>462</v>
      </c>
      <c r="F964" s="986">
        <f>LEAD!$P$28</f>
        <v>7168</v>
      </c>
      <c r="G964" s="1023">
        <v>1000</v>
      </c>
      <c r="H964" s="991" t="str">
        <f>IF(E964="","",IF(E964="No.","Each",IF(E964="Nos.","Each",E964)))</f>
        <v>kgs</v>
      </c>
      <c r="I964" s="986">
        <f>IF(G964="",D964*F964,(D964*F964/G964))</f>
        <v>10.32192</v>
      </c>
    </row>
    <row r="965" spans="1:10" ht="12.75" customHeight="1">
      <c r="A965" s="1019"/>
      <c r="B965" s="1020"/>
      <c r="C965" s="1115" t="s">
        <v>348</v>
      </c>
      <c r="D965" s="1021">
        <v>4.0000000000000001E-3</v>
      </c>
      <c r="E965" s="1003" t="s">
        <v>529</v>
      </c>
      <c r="F965" s="986">
        <f>F962</f>
        <v>437.11999999999983</v>
      </c>
      <c r="G965" s="1023">
        <v>1</v>
      </c>
      <c r="H965" s="991" t="str">
        <f>IF(E965="","",IF(E965="No.","Each",IF(E965="Nos.","Each",E965)))</f>
        <v>cu.m.</v>
      </c>
      <c r="I965" s="986">
        <f>IF(G965="",D965*F965,(D965*F965/G965))</f>
        <v>1.7484799999999994</v>
      </c>
    </row>
    <row r="966" spans="1:10" ht="12.75" customHeight="1">
      <c r="A966" s="1019"/>
      <c r="B966" s="1020"/>
      <c r="C966" s="1124" t="s">
        <v>690</v>
      </c>
      <c r="D966" s="1021"/>
      <c r="E966" s="1003"/>
      <c r="F966" s="986"/>
      <c r="G966" s="1023"/>
      <c r="H966" s="991"/>
      <c r="I966" s="986"/>
    </row>
    <row r="967" spans="1:10" ht="12.75" customHeight="1">
      <c r="A967" s="1019"/>
      <c r="B967" s="1020"/>
      <c r="C967" s="792" t="s">
        <v>377</v>
      </c>
      <c r="D967" s="1021">
        <v>6.3E-2</v>
      </c>
      <c r="E967" s="1008" t="s">
        <v>499</v>
      </c>
      <c r="F967" s="986">
        <f>$F$9</f>
        <v>545</v>
      </c>
      <c r="G967" s="1023">
        <v>1</v>
      </c>
      <c r="H967" s="991" t="str">
        <f>IF(E967="","",IF(E967="No.","Each",IF(E967="Nos.","Each",E967)))</f>
        <v>Each</v>
      </c>
      <c r="I967" s="986">
        <f>IF(G967="",D967*F967,(D967*F967/G967))</f>
        <v>34.335000000000001</v>
      </c>
    </row>
    <row r="968" spans="1:10" ht="12.75" customHeight="1">
      <c r="A968" s="1019"/>
      <c r="B968" s="1020"/>
      <c r="C968" s="792" t="s">
        <v>378</v>
      </c>
      <c r="D968" s="1021">
        <v>0.14699999999999999</v>
      </c>
      <c r="E968" s="1008" t="s">
        <v>499</v>
      </c>
      <c r="F968" s="986">
        <f>$F$10</f>
        <v>515</v>
      </c>
      <c r="G968" s="1023">
        <v>1</v>
      </c>
      <c r="H968" s="991" t="str">
        <f>IF(E968="","",IF(E968="No.","Each",IF(E968="Nos.","Each",E968)))</f>
        <v>Each</v>
      </c>
      <c r="I968" s="986">
        <f>IF(G968="",D968*F968,(D968*F968/G968))</f>
        <v>75.704999999999998</v>
      </c>
    </row>
    <row r="969" spans="1:10" ht="12.75" customHeight="1">
      <c r="A969" s="1019"/>
      <c r="B969" s="1020"/>
      <c r="C969" s="792" t="s">
        <v>346</v>
      </c>
      <c r="D969" s="1021">
        <v>0.39</v>
      </c>
      <c r="E969" s="1003" t="s">
        <v>499</v>
      </c>
      <c r="F969" s="986">
        <f>$F$22</f>
        <v>490</v>
      </c>
      <c r="G969" s="1023">
        <v>1</v>
      </c>
      <c r="H969" s="991" t="str">
        <f>IF(E969="","",IF(E969="No.","Each",IF(E969="Nos.","Each",E969)))</f>
        <v>Each</v>
      </c>
      <c r="I969" s="986">
        <f>IF(G969="",D969*F969,(D969*F969/G969))</f>
        <v>191.1</v>
      </c>
    </row>
    <row r="970" spans="1:10" ht="12.75" customHeight="1">
      <c r="A970" s="1019"/>
      <c r="B970" s="1020"/>
      <c r="D970" s="1021"/>
      <c r="E970" s="1008"/>
      <c r="F970" s="986"/>
      <c r="G970" s="1023"/>
      <c r="H970" s="991"/>
      <c r="I970" s="986">
        <f>SUM(I961:I969)</f>
        <v>352.04431999999997</v>
      </c>
    </row>
    <row r="971" spans="1:10" ht="25.5" customHeight="1">
      <c r="A971" s="1019"/>
      <c r="B971" s="1020"/>
      <c r="C971" s="792" t="s">
        <v>719</v>
      </c>
      <c r="D971" s="1050">
        <f>I970</f>
        <v>352.04431999999997</v>
      </c>
      <c r="E971" s="1003"/>
      <c r="F971" s="986">
        <v>0.01</v>
      </c>
      <c r="G971" s="1023"/>
      <c r="I971" s="986">
        <f>ROUND(D971*F971,2)</f>
        <v>3.52</v>
      </c>
    </row>
    <row r="972" spans="1:10" ht="12.75" customHeight="1">
      <c r="A972" s="1019"/>
      <c r="B972" s="1020"/>
      <c r="C972" s="980" t="s">
        <v>368</v>
      </c>
      <c r="D972" s="1021"/>
      <c r="E972" s="1003"/>
      <c r="F972" s="986"/>
      <c r="G972" s="1023"/>
      <c r="H972" s="1116"/>
      <c r="I972" s="1012">
        <f>SUM(I970:I971)</f>
        <v>355.56431999999995</v>
      </c>
    </row>
    <row r="973" spans="1:10" ht="12.75" customHeight="1">
      <c r="A973" s="1019"/>
      <c r="B973" s="1020"/>
      <c r="C973" s="1117" t="s">
        <v>428</v>
      </c>
      <c r="E973" s="1131" t="s">
        <v>501</v>
      </c>
      <c r="F973" s="1048" t="s">
        <v>502</v>
      </c>
      <c r="G973" s="1131" t="s">
        <v>503</v>
      </c>
      <c r="H973" s="1048" t="s">
        <v>709</v>
      </c>
      <c r="I973" s="1048" t="s">
        <v>502</v>
      </c>
      <c r="J973" s="1048" t="s">
        <v>502</v>
      </c>
    </row>
    <row r="974" spans="1:10" ht="12.75" customHeight="1">
      <c r="A974" s="1019"/>
      <c r="B974" s="1020"/>
      <c r="C974" s="792" t="s">
        <v>368</v>
      </c>
      <c r="E974" s="986">
        <f>I972</f>
        <v>355.56431999999995</v>
      </c>
      <c r="F974" s="986">
        <f>I972</f>
        <v>355.56431999999995</v>
      </c>
      <c r="G974" s="986">
        <f>I972</f>
        <v>355.56431999999995</v>
      </c>
      <c r="H974" s="986">
        <f>I972</f>
        <v>355.56431999999995</v>
      </c>
      <c r="I974" s="986">
        <f>I972</f>
        <v>355.56431999999995</v>
      </c>
      <c r="J974" s="986">
        <f>I972</f>
        <v>355.56431999999995</v>
      </c>
    </row>
    <row r="975" spans="1:10" ht="12.75" customHeight="1">
      <c r="A975" s="1019"/>
      <c r="B975" s="1020"/>
      <c r="C975" s="792" t="s">
        <v>370</v>
      </c>
      <c r="E975" s="986">
        <f>$F$78</f>
        <v>1.0900000000000001</v>
      </c>
      <c r="F975" s="986">
        <f>$F$79</f>
        <v>1.0900000000000001</v>
      </c>
      <c r="G975" s="986">
        <f>$F$80</f>
        <v>1.0900000000000001</v>
      </c>
      <c r="H975" s="986">
        <f>$F$81</f>
        <v>1.0900000000000001</v>
      </c>
      <c r="I975" s="986">
        <f>$F$81</f>
        <v>1.0900000000000001</v>
      </c>
      <c r="J975" s="986">
        <f>$F$81</f>
        <v>1.0900000000000001</v>
      </c>
    </row>
    <row r="976" spans="1:10" ht="25.5" customHeight="1">
      <c r="A976" s="1019"/>
      <c r="B976" s="1020"/>
      <c r="C976" s="792" t="s">
        <v>371</v>
      </c>
      <c r="E976" s="986">
        <f>$H$78</f>
        <v>8.86</v>
      </c>
      <c r="F976" s="986">
        <f>$H$79</f>
        <v>12.75</v>
      </c>
      <c r="G976" s="986">
        <f>$H$80</f>
        <v>16.63</v>
      </c>
      <c r="H976" s="986">
        <f>$H$81</f>
        <v>20.52</v>
      </c>
      <c r="I976" s="986">
        <f>$H$82</f>
        <v>24.41</v>
      </c>
      <c r="J976" s="986">
        <f>$H$83</f>
        <v>28.29</v>
      </c>
    </row>
    <row r="977" spans="1:11" ht="12.75" customHeight="1">
      <c r="A977" s="1019"/>
      <c r="B977" s="1020"/>
      <c r="C977" s="792" t="s">
        <v>338</v>
      </c>
      <c r="D977" s="1049">
        <f>$E$5</f>
        <v>0</v>
      </c>
      <c r="E977" s="986">
        <f t="shared" ref="E977:J977" si="130">ROUND($D$977*E976,2)</f>
        <v>0</v>
      </c>
      <c r="F977" s="986">
        <f t="shared" si="130"/>
        <v>0</v>
      </c>
      <c r="G977" s="986">
        <f t="shared" si="130"/>
        <v>0</v>
      </c>
      <c r="H977" s="986">
        <f t="shared" si="130"/>
        <v>0</v>
      </c>
      <c r="I977" s="986">
        <f t="shared" si="130"/>
        <v>0</v>
      </c>
      <c r="J977" s="986">
        <f t="shared" si="130"/>
        <v>0</v>
      </c>
    </row>
    <row r="978" spans="1:11" ht="12.75" customHeight="1">
      <c r="A978" s="1019"/>
      <c r="B978" s="1020"/>
      <c r="C978" s="792" t="s">
        <v>418</v>
      </c>
      <c r="E978" s="986"/>
      <c r="F978" s="986">
        <f>ROUND(0.1*($I$920+$I$921+$I$922),2)</f>
        <v>30.11</v>
      </c>
      <c r="G978" s="986">
        <f>ROUND(0.2*($I$920+$I$921+$I$922),2)</f>
        <v>60.23</v>
      </c>
      <c r="H978" s="986">
        <f>ROUND(0.3*($I$920+$I$921+$I$922),2)</f>
        <v>90.34</v>
      </c>
      <c r="I978" s="986">
        <f>ROUND(0.4*($I$920+$I$921+$I$922),2)</f>
        <v>120.46</v>
      </c>
      <c r="J978" s="986">
        <f>ROUND(0.5*($I$920+$I$921+$I$922),2)</f>
        <v>150.57</v>
      </c>
    </row>
    <row r="979" spans="1:11" ht="12.75" customHeight="1">
      <c r="A979" s="1019"/>
      <c r="B979" s="1020"/>
      <c r="E979" s="986">
        <f t="shared" ref="E979:J979" si="131">SUM(E974:E978)</f>
        <v>365.51431999999994</v>
      </c>
      <c r="F979" s="986">
        <f t="shared" si="131"/>
        <v>399.51431999999994</v>
      </c>
      <c r="G979" s="986">
        <f t="shared" si="131"/>
        <v>433.51431999999994</v>
      </c>
      <c r="H979" s="986">
        <f t="shared" si="131"/>
        <v>467.51431999999988</v>
      </c>
      <c r="I979" s="986">
        <f t="shared" si="131"/>
        <v>501.52431999999993</v>
      </c>
      <c r="J979" s="986">
        <f t="shared" si="131"/>
        <v>535.51432</v>
      </c>
    </row>
    <row r="980" spans="1:11" ht="12.75" customHeight="1">
      <c r="A980" s="1019"/>
      <c r="B980" s="1020"/>
      <c r="C980" s="1124" t="s">
        <v>1014</v>
      </c>
      <c r="D980" s="1026">
        <f>$D$3</f>
        <v>0</v>
      </c>
      <c r="E980" s="986">
        <f t="shared" ref="E980:J980" si="132">ROUND(E979*$D$980,2)</f>
        <v>0</v>
      </c>
      <c r="F980" s="986">
        <f t="shared" si="132"/>
        <v>0</v>
      </c>
      <c r="G980" s="986">
        <f t="shared" si="132"/>
        <v>0</v>
      </c>
      <c r="H980" s="986">
        <f t="shared" si="132"/>
        <v>0</v>
      </c>
      <c r="I980" s="986">
        <f t="shared" si="132"/>
        <v>0</v>
      </c>
      <c r="J980" s="986">
        <f t="shared" si="132"/>
        <v>0</v>
      </c>
    </row>
    <row r="981" spans="1:11" ht="12.75" customHeight="1">
      <c r="A981" s="1019"/>
      <c r="B981" s="1020"/>
      <c r="C981" s="980" t="s">
        <v>349</v>
      </c>
      <c r="D981" s="980" t="s">
        <v>466</v>
      </c>
      <c r="E981" s="1012">
        <f t="shared" ref="E981:J981" si="133">CEILING(SUM(E979:E980),0.05)</f>
        <v>365.55</v>
      </c>
      <c r="F981" s="1012">
        <f t="shared" si="133"/>
        <v>399.55</v>
      </c>
      <c r="G981" s="1012">
        <f t="shared" si="133"/>
        <v>433.55</v>
      </c>
      <c r="H981" s="1012">
        <f t="shared" si="133"/>
        <v>467.55</v>
      </c>
      <c r="I981" s="1012">
        <f t="shared" si="133"/>
        <v>501.55</v>
      </c>
      <c r="J981" s="1012">
        <f t="shared" si="133"/>
        <v>535.55000000000007</v>
      </c>
    </row>
    <row r="982" spans="1:11" ht="12.75" customHeight="1">
      <c r="A982" s="1019">
        <f>A959+1</f>
        <v>23</v>
      </c>
      <c r="B982" s="1020"/>
      <c r="C982" s="1493" t="s">
        <v>2297</v>
      </c>
      <c r="D982" s="1493"/>
      <c r="E982" s="1493"/>
      <c r="F982" s="1493"/>
      <c r="G982" s="1493"/>
      <c r="H982" s="1493"/>
      <c r="I982" s="1493"/>
      <c r="J982" s="1118"/>
    </row>
    <row r="983" spans="1:11">
      <c r="A983" s="1019"/>
      <c r="B983" s="1020"/>
      <c r="C983" s="792" t="s">
        <v>1059</v>
      </c>
      <c r="D983" s="1021">
        <f>0.015*240</f>
        <v>3.5999999999999996</v>
      </c>
      <c r="E983" s="1022" t="s">
        <v>236</v>
      </c>
      <c r="F983" s="986">
        <f>ROUND(LEAD!P28/1000,2)</f>
        <v>7.17</v>
      </c>
      <c r="G983" s="1023">
        <v>1</v>
      </c>
      <c r="H983" s="991" t="str">
        <f>IF(E983="","",IF(E983="No.","Each",IF(E983="Nos.","Each",E983)))</f>
        <v>kg</v>
      </c>
      <c r="I983" s="986">
        <f>IF(G983="",D983*F983,(D983*F983/G983))</f>
        <v>25.811999999999998</v>
      </c>
      <c r="J983" s="1118"/>
    </row>
    <row r="984" spans="1:11">
      <c r="A984" s="1019"/>
      <c r="B984" s="1020"/>
      <c r="C984" s="792" t="s">
        <v>1060</v>
      </c>
      <c r="D984" s="1021">
        <f>0.015</f>
        <v>1.4999999999999999E-2</v>
      </c>
      <c r="E984" s="1022" t="s">
        <v>529</v>
      </c>
      <c r="F984" s="986">
        <f>LEAD!P9</f>
        <v>437.11999999999983</v>
      </c>
      <c r="G984" s="1023">
        <v>1</v>
      </c>
      <c r="H984" s="991" t="str">
        <f>IF(E984="","",IF(E984="No.","Each",IF(E984="Nos.","Each",E984)))</f>
        <v>cu.m.</v>
      </c>
      <c r="I984" s="986">
        <f>IF(G984="",D984*F984,(D984*F984/G984))</f>
        <v>6.5567999999999973</v>
      </c>
    </row>
    <row r="985" spans="1:11">
      <c r="A985" s="1019"/>
      <c r="B985" s="1020"/>
      <c r="C985" s="792" t="s">
        <v>377</v>
      </c>
      <c r="D985" s="1021">
        <v>0.06</v>
      </c>
      <c r="E985" s="1008" t="s">
        <v>499</v>
      </c>
      <c r="F985" s="986">
        <f>$F$9</f>
        <v>545</v>
      </c>
      <c r="G985" s="1023">
        <v>1</v>
      </c>
      <c r="H985" s="991" t="str">
        <f>IF(E985="","",IF(E985="No.","Each",IF(E985="Nos.","Each",E985)))</f>
        <v>Each</v>
      </c>
      <c r="I985" s="986">
        <f>IF(G985="",D985*F985,(D985*F985/G985))</f>
        <v>32.699999999999996</v>
      </c>
    </row>
    <row r="986" spans="1:11">
      <c r="A986" s="1019"/>
      <c r="B986" s="1020"/>
      <c r="C986" s="792" t="s">
        <v>621</v>
      </c>
      <c r="D986" s="1021">
        <v>9.6000000000000002E-2</v>
      </c>
      <c r="E986" s="1022" t="s">
        <v>499</v>
      </c>
      <c r="F986" s="986">
        <f>$F$22</f>
        <v>490</v>
      </c>
      <c r="G986" s="1023">
        <v>1</v>
      </c>
      <c r="H986" s="991" t="str">
        <f>IF(E986="","",IF(E986="No.","Each",IF(E986="Nos.","Each",E986)))</f>
        <v>Each</v>
      </c>
      <c r="I986" s="986">
        <f>IF(G986="",D986*F986,(D986*F986/G986))</f>
        <v>47.04</v>
      </c>
    </row>
    <row r="987" spans="1:11">
      <c r="A987" s="1019"/>
      <c r="B987" s="1020"/>
      <c r="D987" s="1021"/>
      <c r="E987" s="1008"/>
      <c r="F987" s="986"/>
      <c r="G987" s="1023"/>
      <c r="H987" s="991"/>
      <c r="I987" s="986">
        <f>SUM(I983:I986)</f>
        <v>112.10879999999997</v>
      </c>
    </row>
    <row r="988" spans="1:11" ht="24.6">
      <c r="A988" s="1019"/>
      <c r="B988" s="1020"/>
      <c r="C988" s="792" t="s">
        <v>719</v>
      </c>
      <c r="D988" s="1050">
        <f>I987</f>
        <v>112.10879999999997</v>
      </c>
      <c r="E988" s="1003"/>
      <c r="F988" s="986">
        <v>0.01</v>
      </c>
      <c r="G988" s="1023"/>
      <c r="I988" s="986">
        <f>ROUND(D988*F988,2)</f>
        <v>1.1200000000000001</v>
      </c>
    </row>
    <row r="989" spans="1:11">
      <c r="A989" s="1019"/>
      <c r="B989" s="1020"/>
      <c r="C989" s="980" t="s">
        <v>368</v>
      </c>
      <c r="D989" s="1021"/>
      <c r="E989" s="1003"/>
      <c r="F989" s="986"/>
      <c r="G989" s="1023"/>
      <c r="H989" s="1116"/>
      <c r="I989" s="1012">
        <f>SUM(I987:I988)</f>
        <v>113.22879999999998</v>
      </c>
      <c r="K989" s="979">
        <f>I989*D997</f>
        <v>0</v>
      </c>
    </row>
    <row r="990" spans="1:11">
      <c r="A990" s="1019"/>
      <c r="B990" s="1020"/>
      <c r="C990" s="1117" t="s">
        <v>428</v>
      </c>
      <c r="E990" s="1131" t="s">
        <v>501</v>
      </c>
      <c r="F990" s="1048" t="s">
        <v>502</v>
      </c>
      <c r="G990" s="1131" t="s">
        <v>503</v>
      </c>
      <c r="H990" s="1048" t="s">
        <v>709</v>
      </c>
      <c r="I990" s="1048" t="s">
        <v>502</v>
      </c>
      <c r="J990" s="1048" t="s">
        <v>502</v>
      </c>
      <c r="K990" s="997">
        <f>K989+I989</f>
        <v>113.22879999999998</v>
      </c>
    </row>
    <row r="991" spans="1:11">
      <c r="A991" s="1019"/>
      <c r="B991" s="1020"/>
      <c r="C991" s="792" t="s">
        <v>368</v>
      </c>
      <c r="E991" s="986">
        <f t="shared" ref="E991:J991" si="134">$I$989</f>
        <v>113.22879999999998</v>
      </c>
      <c r="F991" s="986">
        <f t="shared" si="134"/>
        <v>113.22879999999998</v>
      </c>
      <c r="G991" s="986">
        <f t="shared" si="134"/>
        <v>113.22879999999998</v>
      </c>
      <c r="H991" s="986">
        <f t="shared" si="134"/>
        <v>113.22879999999998</v>
      </c>
      <c r="I991" s="986">
        <f t="shared" si="134"/>
        <v>113.22879999999998</v>
      </c>
      <c r="J991" s="986">
        <f t="shared" si="134"/>
        <v>113.22879999999998</v>
      </c>
    </row>
    <row r="992" spans="1:11">
      <c r="A992" s="1019"/>
      <c r="B992" s="1020"/>
      <c r="C992" s="792" t="s">
        <v>370</v>
      </c>
      <c r="E992" s="986">
        <f>$F$78</f>
        <v>1.0900000000000001</v>
      </c>
      <c r="F992" s="986">
        <f>$F$79</f>
        <v>1.0900000000000001</v>
      </c>
      <c r="G992" s="986">
        <f>$F$80</f>
        <v>1.0900000000000001</v>
      </c>
      <c r="H992" s="986">
        <f>$F$81</f>
        <v>1.0900000000000001</v>
      </c>
      <c r="I992" s="986">
        <f>$F$81</f>
        <v>1.0900000000000001</v>
      </c>
      <c r="J992" s="986">
        <f>$F$81</f>
        <v>1.0900000000000001</v>
      </c>
    </row>
    <row r="993" spans="1:10">
      <c r="A993" s="1019"/>
      <c r="B993" s="1020"/>
      <c r="C993" s="792" t="s">
        <v>371</v>
      </c>
      <c r="E993" s="986">
        <f>$H$78</f>
        <v>8.86</v>
      </c>
      <c r="F993" s="986">
        <f>$H$79</f>
        <v>12.75</v>
      </c>
      <c r="G993" s="986">
        <f>$H$80</f>
        <v>16.63</v>
      </c>
      <c r="H993" s="986">
        <f>$H$81</f>
        <v>20.52</v>
      </c>
      <c r="I993" s="986">
        <f>$H$82</f>
        <v>24.41</v>
      </c>
      <c r="J993" s="986">
        <f>$H$83</f>
        <v>28.29</v>
      </c>
    </row>
    <row r="994" spans="1:10">
      <c r="A994" s="1019"/>
      <c r="B994" s="1020"/>
      <c r="C994" s="792" t="s">
        <v>338</v>
      </c>
      <c r="D994" s="1049">
        <f>$E$5</f>
        <v>0</v>
      </c>
      <c r="E994" s="986">
        <f t="shared" ref="E994:J994" si="135">ROUND($D$994*E993,2)</f>
        <v>0</v>
      </c>
      <c r="F994" s="986">
        <f t="shared" si="135"/>
        <v>0</v>
      </c>
      <c r="G994" s="986">
        <f t="shared" si="135"/>
        <v>0</v>
      </c>
      <c r="H994" s="986">
        <f t="shared" si="135"/>
        <v>0</v>
      </c>
      <c r="I994" s="986">
        <f t="shared" si="135"/>
        <v>0</v>
      </c>
      <c r="J994" s="986">
        <f t="shared" si="135"/>
        <v>0</v>
      </c>
    </row>
    <row r="995" spans="1:10">
      <c r="A995" s="1019"/>
      <c r="B995" s="1020"/>
      <c r="C995" s="792" t="s">
        <v>418</v>
      </c>
      <c r="E995" s="986"/>
      <c r="F995" s="986">
        <f>ROUND(0.1*(I985+I986),2)</f>
        <v>7.97</v>
      </c>
      <c r="G995" s="986">
        <f>ROUND(0.2*(I985+I986),2)</f>
        <v>15.95</v>
      </c>
      <c r="H995" s="986">
        <f>ROUND(0.3*($I$985+$I$986),2)</f>
        <v>23.92</v>
      </c>
      <c r="I995" s="986">
        <f>ROUND(0.4*($I$985+$I$986),2)</f>
        <v>31.9</v>
      </c>
      <c r="J995" s="986">
        <f>ROUND(0.5*($I$985+$I$986),2)</f>
        <v>39.869999999999997</v>
      </c>
    </row>
    <row r="996" spans="1:10">
      <c r="A996" s="1019"/>
      <c r="B996" s="1020"/>
      <c r="E996" s="986">
        <f t="shared" ref="E996:J996" si="136">SUM(E991:E995)</f>
        <v>123.17879999999998</v>
      </c>
      <c r="F996" s="986">
        <f t="shared" si="136"/>
        <v>135.03879999999998</v>
      </c>
      <c r="G996" s="986">
        <f t="shared" si="136"/>
        <v>146.89879999999997</v>
      </c>
      <c r="H996" s="986">
        <f t="shared" si="136"/>
        <v>158.75880000000001</v>
      </c>
      <c r="I996" s="986">
        <f t="shared" si="136"/>
        <v>170.62879999999998</v>
      </c>
      <c r="J996" s="986">
        <f t="shared" si="136"/>
        <v>182.47879999999998</v>
      </c>
    </row>
    <row r="997" spans="1:10">
      <c r="A997" s="1019"/>
      <c r="B997" s="1020"/>
      <c r="C997" s="1124" t="s">
        <v>1014</v>
      </c>
      <c r="D997" s="1026">
        <f>$D$3</f>
        <v>0</v>
      </c>
      <c r="E997" s="986">
        <f t="shared" ref="E997:J997" si="137">ROUND(E996*$D$997,2)</f>
        <v>0</v>
      </c>
      <c r="F997" s="986">
        <f t="shared" si="137"/>
        <v>0</v>
      </c>
      <c r="G997" s="986">
        <f t="shared" si="137"/>
        <v>0</v>
      </c>
      <c r="H997" s="986">
        <f t="shared" si="137"/>
        <v>0</v>
      </c>
      <c r="I997" s="986">
        <f t="shared" si="137"/>
        <v>0</v>
      </c>
      <c r="J997" s="986">
        <f t="shared" si="137"/>
        <v>0</v>
      </c>
    </row>
    <row r="998" spans="1:10">
      <c r="A998" s="1019"/>
      <c r="B998" s="1020"/>
      <c r="C998" s="980" t="s">
        <v>349</v>
      </c>
      <c r="D998" s="980" t="s">
        <v>466</v>
      </c>
      <c r="E998" s="1012">
        <f t="shared" ref="E998:J998" si="138">CEILING(SUM(E996:E997),0.05)</f>
        <v>123.2</v>
      </c>
      <c r="F998" s="1012">
        <f t="shared" si="138"/>
        <v>135.05000000000001</v>
      </c>
      <c r="G998" s="1012">
        <f t="shared" si="138"/>
        <v>146.9</v>
      </c>
      <c r="H998" s="1012">
        <f t="shared" si="138"/>
        <v>158.80000000000001</v>
      </c>
      <c r="I998" s="1012">
        <f t="shared" si="138"/>
        <v>170.65</v>
      </c>
      <c r="J998" s="1012">
        <f t="shared" si="138"/>
        <v>182.5</v>
      </c>
    </row>
    <row r="999" spans="1:10" ht="12.75" customHeight="1">
      <c r="A999" s="1019">
        <f>A982+1</f>
        <v>24</v>
      </c>
      <c r="B999" s="1020"/>
      <c r="C999" s="1502" t="s">
        <v>2298</v>
      </c>
      <c r="D999" s="1502"/>
      <c r="E999" s="1502"/>
      <c r="F999" s="1502"/>
      <c r="G999" s="1502"/>
      <c r="H999" s="1502"/>
      <c r="I999" s="1502"/>
      <c r="J999" s="1118"/>
    </row>
    <row r="1000" spans="1:10">
      <c r="A1000" s="1019"/>
      <c r="B1000" s="1020"/>
      <c r="C1000" s="792" t="s">
        <v>660</v>
      </c>
      <c r="D1000" s="1021">
        <f>0.021*360</f>
        <v>7.5600000000000005</v>
      </c>
      <c r="E1000" s="1022" t="s">
        <v>236</v>
      </c>
      <c r="F1000" s="986">
        <f>ROUND(LEAD!P28/1000,2)</f>
        <v>7.17</v>
      </c>
      <c r="G1000" s="1023">
        <v>1</v>
      </c>
      <c r="H1000" s="991" t="str">
        <f>IF(E1000="","",IF(E1000="No.","Each",IF(E1000="Nos.","Each",E1000)))</f>
        <v>kg</v>
      </c>
      <c r="I1000" s="986">
        <f>IF(G1000="",D1000*F1000,(D1000*F1000/G1000))</f>
        <v>54.205200000000005</v>
      </c>
      <c r="J1000" s="1118"/>
    </row>
    <row r="1001" spans="1:10">
      <c r="A1001" s="1019"/>
      <c r="B1001" s="1020"/>
      <c r="C1001" s="792" t="s">
        <v>661</v>
      </c>
      <c r="D1001" s="1021">
        <v>2.1000000000000001E-2</v>
      </c>
      <c r="E1001" s="1022" t="s">
        <v>529</v>
      </c>
      <c r="F1001" s="986">
        <f>LEAD!P9</f>
        <v>437.11999999999983</v>
      </c>
      <c r="G1001" s="1023">
        <v>1</v>
      </c>
      <c r="H1001" s="991" t="str">
        <f>IF(E1001="","",IF(E1001="No.","Each",IF(E1001="Nos.","Each",E1001)))</f>
        <v>cu.m.</v>
      </c>
      <c r="I1001" s="986">
        <f>IF(G1001="",D1001*F1001,(D1001*F1001/G1001))</f>
        <v>9.1795199999999966</v>
      </c>
    </row>
    <row r="1002" spans="1:10">
      <c r="A1002" s="1019"/>
      <c r="B1002" s="1020"/>
      <c r="C1002" s="792" t="s">
        <v>377</v>
      </c>
      <c r="D1002" s="1021">
        <v>9.4E-2</v>
      </c>
      <c r="E1002" s="1008" t="s">
        <v>499</v>
      </c>
      <c r="F1002" s="986">
        <f>$F$9</f>
        <v>545</v>
      </c>
      <c r="G1002" s="1023">
        <v>1</v>
      </c>
      <c r="H1002" s="991" t="str">
        <f>IF(E1002="","",IF(E1002="No.","Each",IF(E1002="Nos.","Each",E1002)))</f>
        <v>Each</v>
      </c>
      <c r="I1002" s="986">
        <f>IF(G1002="",D1002*F1002,(D1002*F1002/G1002))</f>
        <v>51.23</v>
      </c>
    </row>
    <row r="1003" spans="1:10">
      <c r="A1003" s="1019"/>
      <c r="B1003" s="1020"/>
      <c r="C1003" s="792" t="s">
        <v>621</v>
      </c>
      <c r="D1003" s="1021">
        <v>0.16</v>
      </c>
      <c r="E1003" s="1022" t="s">
        <v>499</v>
      </c>
      <c r="F1003" s="986">
        <f>$F$22</f>
        <v>490</v>
      </c>
      <c r="G1003" s="1023">
        <v>1</v>
      </c>
      <c r="H1003" s="991" t="str">
        <f>IF(E1003="","",IF(E1003="No.","Each",IF(E1003="Nos.","Each",E1003)))</f>
        <v>Each</v>
      </c>
      <c r="I1003" s="986">
        <f>IF(G1003="",D1003*F1003,(D1003*F1003/G1003))</f>
        <v>78.400000000000006</v>
      </c>
    </row>
    <row r="1004" spans="1:10">
      <c r="A1004" s="1019"/>
      <c r="B1004" s="1020"/>
      <c r="D1004" s="1021"/>
      <c r="E1004" s="1008"/>
      <c r="F1004" s="986"/>
      <c r="G1004" s="1023"/>
      <c r="H1004" s="991"/>
      <c r="I1004" s="986">
        <f>SUM(I1000:I1003)</f>
        <v>193.01472000000001</v>
      </c>
    </row>
    <row r="1005" spans="1:10" ht="24.6">
      <c r="A1005" s="1019"/>
      <c r="B1005" s="1020"/>
      <c r="C1005" s="792" t="s">
        <v>719</v>
      </c>
      <c r="D1005" s="1050">
        <f>I1004</f>
        <v>193.01472000000001</v>
      </c>
      <c r="E1005" s="1003"/>
      <c r="F1005" s="986">
        <v>0.01</v>
      </c>
      <c r="G1005" s="1023"/>
      <c r="I1005" s="986">
        <f>ROUND(D1005*F1005,2)</f>
        <v>1.93</v>
      </c>
    </row>
    <row r="1006" spans="1:10">
      <c r="A1006" s="1019"/>
      <c r="B1006" s="1020"/>
      <c r="C1006" s="980" t="s">
        <v>368</v>
      </c>
      <c r="D1006" s="1021"/>
      <c r="E1006" s="1003"/>
      <c r="F1006" s="986"/>
      <c r="G1006" s="1023"/>
      <c r="H1006" s="1116"/>
      <c r="I1006" s="1012">
        <f>SUM(I1004:I1005)</f>
        <v>194.94472000000002</v>
      </c>
    </row>
    <row r="1007" spans="1:10">
      <c r="A1007" s="1019"/>
      <c r="B1007" s="1020"/>
      <c r="C1007" s="1117" t="s">
        <v>428</v>
      </c>
      <c r="E1007" s="1131" t="s">
        <v>501</v>
      </c>
      <c r="F1007" s="1048" t="s">
        <v>502</v>
      </c>
      <c r="G1007" s="1131" t="s">
        <v>503</v>
      </c>
      <c r="H1007" s="1048" t="s">
        <v>709</v>
      </c>
      <c r="I1007" s="1012"/>
    </row>
    <row r="1008" spans="1:10">
      <c r="A1008" s="1019"/>
      <c r="B1008" s="1020"/>
      <c r="C1008" s="792" t="s">
        <v>368</v>
      </c>
      <c r="E1008" s="986">
        <f>$I$1006</f>
        <v>194.94472000000002</v>
      </c>
      <c r="F1008" s="986">
        <f>$I$1006</f>
        <v>194.94472000000002</v>
      </c>
      <c r="G1008" s="986">
        <f>$I$1006</f>
        <v>194.94472000000002</v>
      </c>
      <c r="H1008" s="986">
        <f>$I$1006</f>
        <v>194.94472000000002</v>
      </c>
      <c r="I1008" s="1012"/>
    </row>
    <row r="1009" spans="1:9">
      <c r="A1009" s="1019"/>
      <c r="B1009" s="1020"/>
      <c r="C1009" s="792" t="s">
        <v>370</v>
      </c>
      <c r="E1009" s="986">
        <f>$F$78</f>
        <v>1.0900000000000001</v>
      </c>
      <c r="F1009" s="986">
        <f>$F$79</f>
        <v>1.0900000000000001</v>
      </c>
      <c r="G1009" s="986">
        <f>$F$80</f>
        <v>1.0900000000000001</v>
      </c>
      <c r="H1009" s="986">
        <f>$F$81</f>
        <v>1.0900000000000001</v>
      </c>
      <c r="I1009" s="1012"/>
    </row>
    <row r="1010" spans="1:9">
      <c r="A1010" s="1019"/>
      <c r="B1010" s="1020"/>
      <c r="C1010" s="792" t="s">
        <v>371</v>
      </c>
      <c r="E1010" s="986">
        <f>$H$78</f>
        <v>8.86</v>
      </c>
      <c r="F1010" s="986">
        <f>$H$79</f>
        <v>12.75</v>
      </c>
      <c r="G1010" s="986">
        <f>$H$80</f>
        <v>16.63</v>
      </c>
      <c r="H1010" s="986">
        <f>$H$81</f>
        <v>20.52</v>
      </c>
      <c r="I1010" s="1012"/>
    </row>
    <row r="1011" spans="1:9">
      <c r="A1011" s="1019"/>
      <c r="B1011" s="1020"/>
      <c r="C1011" s="792" t="s">
        <v>338</v>
      </c>
      <c r="D1011" s="1049">
        <f>$E$5</f>
        <v>0</v>
      </c>
      <c r="E1011" s="986">
        <f>ROUND($D$1011*E1010,2)</f>
        <v>0</v>
      </c>
      <c r="F1011" s="986">
        <f>ROUND($D$1011*F1010,2)</f>
        <v>0</v>
      </c>
      <c r="G1011" s="986">
        <f>ROUND($D$1011*G1010,2)</f>
        <v>0</v>
      </c>
      <c r="H1011" s="986">
        <f>ROUND($D$1011*H1010,2)</f>
        <v>0</v>
      </c>
      <c r="I1011" s="1012"/>
    </row>
    <row r="1012" spans="1:9">
      <c r="A1012" s="1019"/>
      <c r="B1012" s="1020"/>
      <c r="C1012" s="792" t="s">
        <v>418</v>
      </c>
      <c r="E1012" s="986"/>
      <c r="F1012" s="986">
        <f>ROUND(0.1*(I1002+I1003),2)</f>
        <v>12.96</v>
      </c>
      <c r="G1012" s="986">
        <f>ROUND(0.2*(I1002+I1003),2)</f>
        <v>25.93</v>
      </c>
      <c r="H1012" s="986">
        <f>ROUND(0.3*(I1002+I1003),2)</f>
        <v>38.89</v>
      </c>
      <c r="I1012" s="1012"/>
    </row>
    <row r="1013" spans="1:9">
      <c r="A1013" s="1019"/>
      <c r="B1013" s="1020"/>
      <c r="E1013" s="986">
        <f>SUM(E1008:E1012)</f>
        <v>204.89472000000001</v>
      </c>
      <c r="F1013" s="986">
        <f>SUM(F1008:F1012)</f>
        <v>221.74472000000003</v>
      </c>
      <c r="G1013" s="986">
        <f>SUM(G1008:G1012)</f>
        <v>238.59472000000002</v>
      </c>
      <c r="H1013" s="986">
        <f>SUM(H1008:H1012)</f>
        <v>255.44472000000002</v>
      </c>
      <c r="I1013" s="1012"/>
    </row>
    <row r="1014" spans="1:9">
      <c r="A1014" s="1019"/>
      <c r="B1014" s="1020"/>
      <c r="C1014" s="1124" t="s">
        <v>1014</v>
      </c>
      <c r="D1014" s="1026">
        <f>$D$3</f>
        <v>0</v>
      </c>
      <c r="E1014" s="986">
        <f>ROUND(E1013*$D$1014,2)</f>
        <v>0</v>
      </c>
      <c r="F1014" s="986">
        <f>ROUND(F1013*$D$1014,2)</f>
        <v>0</v>
      </c>
      <c r="G1014" s="986">
        <f>ROUND(G1013*$D$1014,2)</f>
        <v>0</v>
      </c>
      <c r="H1014" s="986">
        <f>ROUND(H1013*$D$1014,2)</f>
        <v>0</v>
      </c>
      <c r="I1014" s="1012"/>
    </row>
    <row r="1015" spans="1:9">
      <c r="A1015" s="1019"/>
      <c r="B1015" s="1020"/>
      <c r="C1015" s="980" t="s">
        <v>349</v>
      </c>
      <c r="D1015" s="980" t="s">
        <v>466</v>
      </c>
      <c r="E1015" s="1012">
        <f>CEILING(SUM(E1013:E1014),0.05)</f>
        <v>204.9</v>
      </c>
      <c r="F1015" s="1012">
        <f>CEILING(SUM(F1013:F1014),0.05)</f>
        <v>221.75</v>
      </c>
      <c r="G1015" s="1012">
        <f>CEILING(SUM(G1013:G1014),0.05)</f>
        <v>238.60000000000002</v>
      </c>
      <c r="H1015" s="1012">
        <f>CEILING(SUM(H1013:H1014),0.05)</f>
        <v>255.45000000000002</v>
      </c>
      <c r="I1015" s="1012"/>
    </row>
    <row r="1016" spans="1:9" ht="113.25" customHeight="1">
      <c r="A1016" s="1019">
        <f>A935+1</f>
        <v>22</v>
      </c>
      <c r="B1016" s="1020"/>
      <c r="C1016" s="1493" t="s">
        <v>2406</v>
      </c>
      <c r="D1016" s="1493"/>
      <c r="E1016" s="1493"/>
      <c r="F1016" s="1493"/>
      <c r="G1016" s="1493"/>
      <c r="H1016" s="1493"/>
      <c r="I1016" s="1493"/>
    </row>
    <row r="1017" spans="1:9" ht="15" customHeight="1">
      <c r="A1017" s="1019"/>
      <c r="B1017" s="1020"/>
      <c r="C1017" s="792" t="s">
        <v>79</v>
      </c>
      <c r="D1017" s="1021">
        <v>10.08</v>
      </c>
      <c r="E1017" s="1022" t="s">
        <v>236</v>
      </c>
      <c r="F1017" s="986">
        <f>ROUND(LEAD!P28/1000,2)</f>
        <v>7.17</v>
      </c>
      <c r="G1017" s="1023">
        <v>1</v>
      </c>
      <c r="H1017" s="991" t="str">
        <f t="shared" ref="H1017:H1022" si="139">IF(E1017="","",IF(E1017="No.","Each",IF(E1017="Nos.","Each",E1017)))</f>
        <v>kg</v>
      </c>
      <c r="I1017" s="986">
        <f t="shared" ref="I1017:I1022" si="140">IF(G1017="",D1017*F1017,(D1017*F1017/G1017))</f>
        <v>72.273600000000002</v>
      </c>
    </row>
    <row r="1018" spans="1:9" ht="15" customHeight="1">
      <c r="A1018" s="1019"/>
      <c r="B1018" s="1020"/>
      <c r="C1018" s="792" t="s">
        <v>295</v>
      </c>
      <c r="D1018" s="1021">
        <v>2.1000000000000001E-2</v>
      </c>
      <c r="E1018" s="1022" t="s">
        <v>529</v>
      </c>
      <c r="F1018" s="986">
        <f>LEAD!P9</f>
        <v>437.11999999999983</v>
      </c>
      <c r="G1018" s="1023">
        <v>1</v>
      </c>
      <c r="H1018" s="991" t="str">
        <f t="shared" si="139"/>
        <v>cu.m.</v>
      </c>
      <c r="I1018" s="986">
        <f t="shared" si="140"/>
        <v>9.1795199999999966</v>
      </c>
    </row>
    <row r="1019" spans="1:9" ht="15" customHeight="1">
      <c r="A1019" s="1019"/>
      <c r="B1019" s="1020"/>
      <c r="C1019" s="792" t="s">
        <v>313</v>
      </c>
      <c r="D1019" s="1021">
        <v>0.2</v>
      </c>
      <c r="E1019" s="1003" t="s">
        <v>364</v>
      </c>
      <c r="F1019" s="986">
        <f>F135</f>
        <v>77</v>
      </c>
      <c r="G1019" s="1023">
        <v>1</v>
      </c>
      <c r="H1019" s="991" t="str">
        <f t="shared" si="139"/>
        <v>Kgs</v>
      </c>
      <c r="I1019" s="986">
        <f t="shared" si="140"/>
        <v>15.4</v>
      </c>
    </row>
    <row r="1020" spans="1:9" ht="15" customHeight="1">
      <c r="A1020" s="1019"/>
      <c r="B1020" s="1020"/>
      <c r="C1020" s="1115" t="s">
        <v>377</v>
      </c>
      <c r="D1020" s="1021">
        <v>6.6000000000000003E-2</v>
      </c>
      <c r="E1020" s="1003" t="s">
        <v>499</v>
      </c>
      <c r="F1020" s="986">
        <f>$F$9</f>
        <v>545</v>
      </c>
      <c r="G1020" s="1023">
        <v>1</v>
      </c>
      <c r="H1020" s="991" t="str">
        <f t="shared" si="139"/>
        <v>Each</v>
      </c>
      <c r="I1020" s="986">
        <f t="shared" si="140"/>
        <v>35.97</v>
      </c>
    </row>
    <row r="1021" spans="1:9" ht="15" customHeight="1">
      <c r="A1021" s="1019"/>
      <c r="B1021" s="1020"/>
      <c r="C1021" s="1115" t="s">
        <v>378</v>
      </c>
      <c r="D1021" s="1021">
        <v>0.154</v>
      </c>
      <c r="E1021" s="1003" t="s">
        <v>499</v>
      </c>
      <c r="F1021" s="986">
        <f>$F$10</f>
        <v>515</v>
      </c>
      <c r="G1021" s="1023">
        <v>1</v>
      </c>
      <c r="H1021" s="991" t="str">
        <f t="shared" si="139"/>
        <v>Each</v>
      </c>
      <c r="I1021" s="986">
        <f t="shared" si="140"/>
        <v>79.31</v>
      </c>
    </row>
    <row r="1022" spans="1:9" ht="15" customHeight="1">
      <c r="A1022" s="1019"/>
      <c r="B1022" s="1020"/>
      <c r="C1022" s="792" t="s">
        <v>396</v>
      </c>
      <c r="D1022" s="1021">
        <v>0.37</v>
      </c>
      <c r="E1022" s="1003" t="s">
        <v>499</v>
      </c>
      <c r="F1022" s="986">
        <f>$F$22</f>
        <v>490</v>
      </c>
      <c r="G1022" s="1023">
        <v>1</v>
      </c>
      <c r="H1022" s="991" t="str">
        <f t="shared" si="139"/>
        <v>Each</v>
      </c>
      <c r="I1022" s="986">
        <f t="shared" si="140"/>
        <v>181.3</v>
      </c>
    </row>
    <row r="1023" spans="1:9" ht="15" customHeight="1">
      <c r="A1023" s="1019"/>
      <c r="B1023" s="1020"/>
      <c r="D1023" s="1021"/>
      <c r="E1023" s="1008"/>
      <c r="F1023" s="986"/>
      <c r="G1023" s="1023"/>
      <c r="H1023" s="991"/>
      <c r="I1023" s="986">
        <f>SUM(I1017:I1022)</f>
        <v>393.43312000000003</v>
      </c>
    </row>
    <row r="1024" spans="1:9" ht="15" customHeight="1">
      <c r="A1024" s="1019"/>
      <c r="B1024" s="1020"/>
      <c r="C1024" s="792" t="s">
        <v>719</v>
      </c>
      <c r="D1024" s="1050">
        <f>I1023</f>
        <v>393.43312000000003</v>
      </c>
      <c r="E1024" s="1003"/>
      <c r="F1024" s="986">
        <v>0.01</v>
      </c>
      <c r="G1024" s="1023"/>
      <c r="I1024" s="986">
        <f>ROUND(D1024*F1024,2)</f>
        <v>3.93</v>
      </c>
    </row>
    <row r="1025" spans="1:15" ht="15" customHeight="1">
      <c r="A1025" s="1019"/>
      <c r="B1025" s="1020"/>
      <c r="C1025" s="980" t="s">
        <v>368</v>
      </c>
      <c r="D1025" s="1021"/>
      <c r="E1025" s="1003"/>
      <c r="F1025" s="986"/>
      <c r="G1025" s="1023"/>
      <c r="H1025" s="1116"/>
      <c r="I1025" s="1012">
        <f>SUM(I1023:I1024)</f>
        <v>397.36312000000004</v>
      </c>
    </row>
    <row r="1026" spans="1:15" ht="15" customHeight="1">
      <c r="A1026" s="1019"/>
      <c r="B1026" s="1020"/>
      <c r="C1026" s="1117" t="s">
        <v>428</v>
      </c>
      <c r="E1026" s="1131" t="s">
        <v>501</v>
      </c>
      <c r="F1026" s="1048" t="s">
        <v>502</v>
      </c>
      <c r="G1026" s="1131" t="s">
        <v>503</v>
      </c>
      <c r="H1026" s="1048" t="s">
        <v>709</v>
      </c>
      <c r="I1026" s="1048" t="s">
        <v>502</v>
      </c>
      <c r="J1026" s="1048" t="s">
        <v>502</v>
      </c>
    </row>
    <row r="1027" spans="1:15" ht="15" customHeight="1">
      <c r="A1027" s="1019"/>
      <c r="B1027" s="1020"/>
      <c r="C1027" s="792" t="s">
        <v>368</v>
      </c>
      <c r="E1027" s="986">
        <f>I1025</f>
        <v>397.36312000000004</v>
      </c>
      <c r="F1027" s="986">
        <f>E1027</f>
        <v>397.36312000000004</v>
      </c>
      <c r="G1027" s="986">
        <f>F1027</f>
        <v>397.36312000000004</v>
      </c>
      <c r="H1027" s="986">
        <f>G1027</f>
        <v>397.36312000000004</v>
      </c>
      <c r="I1027" s="986">
        <f>H1027</f>
        <v>397.36312000000004</v>
      </c>
      <c r="J1027" s="986">
        <f>I1027</f>
        <v>397.36312000000004</v>
      </c>
    </row>
    <row r="1028" spans="1:15" ht="15" customHeight="1">
      <c r="A1028" s="1019"/>
      <c r="B1028" s="1020"/>
      <c r="C1028" s="792" t="s">
        <v>418</v>
      </c>
      <c r="E1028" s="986"/>
      <c r="F1028" s="986">
        <f>ROUND(0.1*(I1020+I1021+I1022),2)</f>
        <v>29.66</v>
      </c>
      <c r="G1028" s="986">
        <f>ROUND(0.2*(I1020+I1021+I1022),2)</f>
        <v>59.32</v>
      </c>
      <c r="H1028" s="986">
        <f>ROUND(0.3*(I1020+I1021+I1022),2)</f>
        <v>88.97</v>
      </c>
      <c r="I1028" s="986">
        <f>ROUND(0.4*(I1020+I1021+I1022),2)</f>
        <v>118.63</v>
      </c>
      <c r="J1028" s="986">
        <f>ROUND(0.5*(I1020+I1021+I1022),2)</f>
        <v>148.29</v>
      </c>
    </row>
    <row r="1029" spans="1:15" ht="15" customHeight="1">
      <c r="A1029" s="1019"/>
      <c r="B1029" s="1020"/>
      <c r="E1029" s="986">
        <f t="shared" ref="E1029:J1029" si="141">SUM(E1027:E1028)</f>
        <v>397.36312000000004</v>
      </c>
      <c r="F1029" s="986">
        <f t="shared" si="141"/>
        <v>427.02312000000006</v>
      </c>
      <c r="G1029" s="986">
        <f t="shared" si="141"/>
        <v>456.68312000000003</v>
      </c>
      <c r="H1029" s="986">
        <f t="shared" si="141"/>
        <v>486.33312000000001</v>
      </c>
      <c r="I1029" s="986">
        <f t="shared" si="141"/>
        <v>515.99312000000009</v>
      </c>
      <c r="J1029" s="986">
        <f t="shared" si="141"/>
        <v>545.65312000000006</v>
      </c>
    </row>
    <row r="1030" spans="1:15" ht="15" customHeight="1">
      <c r="A1030" s="1019"/>
      <c r="B1030" s="1020"/>
      <c r="C1030" s="1124" t="s">
        <v>1014</v>
      </c>
      <c r="D1030" s="1026">
        <f>$D$3</f>
        <v>0</v>
      </c>
      <c r="E1030" s="986">
        <f t="shared" ref="E1030:J1030" si="142">ROUND(E1029*$D$1030,2)</f>
        <v>0</v>
      </c>
      <c r="F1030" s="986">
        <f t="shared" si="142"/>
        <v>0</v>
      </c>
      <c r="G1030" s="986">
        <f t="shared" si="142"/>
        <v>0</v>
      </c>
      <c r="H1030" s="986">
        <f t="shared" si="142"/>
        <v>0</v>
      </c>
      <c r="I1030" s="986">
        <f t="shared" si="142"/>
        <v>0</v>
      </c>
      <c r="J1030" s="986">
        <f t="shared" si="142"/>
        <v>0</v>
      </c>
    </row>
    <row r="1031" spans="1:15" ht="15" customHeight="1">
      <c r="A1031" s="1019"/>
      <c r="B1031" s="1020"/>
      <c r="C1031" s="980" t="s">
        <v>349</v>
      </c>
      <c r="D1031" s="980" t="s">
        <v>467</v>
      </c>
      <c r="E1031" s="1012">
        <f t="shared" ref="E1031:J1031" si="143">CEILING(SUM(E1029:E1030),0.05)</f>
        <v>397.40000000000003</v>
      </c>
      <c r="F1031" s="1012">
        <f t="shared" si="143"/>
        <v>427.05</v>
      </c>
      <c r="G1031" s="1012">
        <f t="shared" si="143"/>
        <v>456.70000000000005</v>
      </c>
      <c r="H1031" s="1012">
        <f t="shared" si="143"/>
        <v>486.35</v>
      </c>
      <c r="I1031" s="1012">
        <f t="shared" si="143"/>
        <v>516</v>
      </c>
      <c r="J1031" s="1012">
        <f t="shared" si="143"/>
        <v>545.70000000000005</v>
      </c>
    </row>
    <row r="1032" spans="1:15" ht="267.75" hidden="1" customHeight="1">
      <c r="A1032" s="1019"/>
      <c r="B1032" s="1020"/>
      <c r="C1032" s="792" t="s">
        <v>2299</v>
      </c>
      <c r="D1032" s="980" t="s">
        <v>304</v>
      </c>
      <c r="E1032" s="1012"/>
      <c r="F1032" s="1012"/>
      <c r="G1032" s="1012"/>
      <c r="H1032" s="1012"/>
      <c r="I1032" s="986"/>
    </row>
    <row r="1033" spans="1:15" ht="131.25" customHeight="1">
      <c r="A1033" s="1019">
        <f>A1016+1</f>
        <v>23</v>
      </c>
      <c r="B1033" s="1020"/>
      <c r="C1033" s="1493" t="s">
        <v>1199</v>
      </c>
      <c r="D1033" s="1493"/>
      <c r="E1033" s="1493"/>
      <c r="F1033" s="1493"/>
      <c r="G1033" s="1493"/>
      <c r="H1033" s="1493"/>
      <c r="I1033" s="1493"/>
      <c r="M1033" s="1127"/>
      <c r="O1033" s="1127"/>
    </row>
    <row r="1034" spans="1:15" ht="14.25" customHeight="1">
      <c r="A1034" s="1019"/>
      <c r="B1034" s="1020"/>
      <c r="C1034" s="1117" t="s">
        <v>557</v>
      </c>
    </row>
    <row r="1035" spans="1:15" ht="14.25" customHeight="1">
      <c r="A1035" s="1019"/>
      <c r="B1035" s="1020"/>
      <c r="C1035" s="792" t="str">
        <f>CONCATENATE("Cost of ",LEAD!B23)</f>
        <v>Cost of Polished Shabad/Tandur blue Slabas 15 to 18 mm thick  (0.457M x 0.457M)</v>
      </c>
      <c r="D1035" s="1021">
        <v>1.1000000000000001</v>
      </c>
      <c r="E1035" s="1022" t="s">
        <v>623</v>
      </c>
      <c r="F1035" s="986">
        <f>LEAD!P23</f>
        <v>198.706175</v>
      </c>
      <c r="G1035" s="1023">
        <v>1</v>
      </c>
      <c r="H1035" s="991" t="str">
        <f t="shared" ref="H1035:H1044" si="144">IF(E1035="","",IF(E1035="No.","Each",IF(E1035="Nos.","Each",E1035)))</f>
        <v>Sqmt.</v>
      </c>
      <c r="I1035" s="986">
        <f t="shared" ref="I1035:I1045" si="145">IF(G1035="",D1035*F1035,(D1035*F1035/G1035))</f>
        <v>218.57679250000001</v>
      </c>
    </row>
    <row r="1036" spans="1:15" ht="20.25" customHeight="1">
      <c r="A1036" s="1019"/>
      <c r="B1036" s="1020"/>
      <c r="C1036" s="792" t="s">
        <v>662</v>
      </c>
      <c r="D1036" s="1021">
        <v>7.46</v>
      </c>
      <c r="E1036" s="1022" t="s">
        <v>364</v>
      </c>
      <c r="F1036" s="986">
        <f>LEAD!P28</f>
        <v>7168</v>
      </c>
      <c r="G1036" s="1023">
        <v>1000</v>
      </c>
      <c r="H1036" s="991" t="str">
        <f t="shared" si="144"/>
        <v>Kgs</v>
      </c>
      <c r="I1036" s="986">
        <f>IF(G1036="",D1036*F1036,(D1036*F1036/G1036))</f>
        <v>53.473279999999995</v>
      </c>
    </row>
    <row r="1037" spans="1:15" ht="23.25" customHeight="1">
      <c r="A1037" s="1019"/>
      <c r="B1037" s="1020"/>
      <c r="C1037" s="792" t="s">
        <v>292</v>
      </c>
      <c r="D1037" s="1021">
        <f>0.012</f>
        <v>1.2E-2</v>
      </c>
      <c r="E1037" s="1022" t="s">
        <v>644</v>
      </c>
      <c r="F1037" s="986">
        <f>LEAD!P7</f>
        <v>437.11999999999983</v>
      </c>
      <c r="G1037" s="1023">
        <v>1</v>
      </c>
      <c r="H1037" s="991" t="str">
        <f>IF(E1037="","",IF(E1037="No.","Each",IF(E1037="Nos.","Each",E1037)))</f>
        <v>cum</v>
      </c>
      <c r="I1037" s="986">
        <f>IF(G1037="",D1037*F1037,(D1037*F1037/G1037))</f>
        <v>5.2454399999999985</v>
      </c>
    </row>
    <row r="1038" spans="1:15" ht="14.25" customHeight="1">
      <c r="A1038" s="1019"/>
      <c r="B1038" s="1020"/>
      <c r="C1038" s="1117" t="s">
        <v>424</v>
      </c>
      <c r="D1038" s="1021"/>
      <c r="E1038" s="1022"/>
      <c r="F1038" s="986"/>
      <c r="G1038" s="1023"/>
      <c r="H1038" s="991"/>
      <c r="I1038" s="986"/>
    </row>
    <row r="1039" spans="1:15" ht="14.25" customHeight="1">
      <c r="A1039" s="1019"/>
      <c r="B1039" s="1020"/>
      <c r="C1039" s="792" t="s">
        <v>293</v>
      </c>
      <c r="D1039" s="1021">
        <v>0.1</v>
      </c>
      <c r="E1039" s="1022" t="s">
        <v>594</v>
      </c>
      <c r="F1039" s="986">
        <v>0</v>
      </c>
      <c r="G1039" s="1023">
        <v>1</v>
      </c>
      <c r="H1039" s="991" t="s">
        <v>594</v>
      </c>
      <c r="I1039" s="986">
        <f>IF(G1039="",D1039*F1039,(D1039*F1039/G1039))</f>
        <v>0</v>
      </c>
    </row>
    <row r="1040" spans="1:15" ht="14.25" customHeight="1">
      <c r="A1040" s="1019"/>
      <c r="B1040" s="1020"/>
      <c r="C1040" s="792" t="s">
        <v>294</v>
      </c>
      <c r="D1040" s="1049">
        <f>$E$5</f>
        <v>0</v>
      </c>
      <c r="E1040" s="1022"/>
      <c r="F1040" s="986"/>
      <c r="G1040" s="1023"/>
      <c r="H1040" s="991"/>
      <c r="I1040" s="986">
        <f>IF(G1040="",D1040*F1040,(D1040*F1040/G1040))</f>
        <v>0</v>
      </c>
    </row>
    <row r="1041" spans="1:9" ht="14.25" customHeight="1">
      <c r="A1041" s="1019"/>
      <c r="B1041" s="1020"/>
      <c r="C1041" s="1117" t="s">
        <v>690</v>
      </c>
      <c r="D1041" s="1021"/>
      <c r="E1041" s="1022"/>
      <c r="F1041" s="986"/>
      <c r="G1041" s="1023"/>
      <c r="H1041" s="991"/>
      <c r="I1041" s="986"/>
    </row>
    <row r="1042" spans="1:9" ht="14.25" customHeight="1">
      <c r="A1042" s="1019"/>
      <c r="B1042" s="1020"/>
      <c r="C1042" s="1115" t="s">
        <v>377</v>
      </c>
      <c r="D1042" s="1021">
        <v>0.31</v>
      </c>
      <c r="E1042" s="1003" t="s">
        <v>499</v>
      </c>
      <c r="F1042" s="986">
        <f>$F$9</f>
        <v>545</v>
      </c>
      <c r="G1042" s="1023">
        <v>1</v>
      </c>
      <c r="H1042" s="991" t="str">
        <f t="shared" si="144"/>
        <v>Each</v>
      </c>
      <c r="I1042" s="986">
        <f t="shared" si="145"/>
        <v>168.95</v>
      </c>
    </row>
    <row r="1043" spans="1:9" ht="14.25" customHeight="1">
      <c r="A1043" s="1019"/>
      <c r="B1043" s="1020"/>
      <c r="C1043" s="1115" t="s">
        <v>378</v>
      </c>
      <c r="D1043" s="1021">
        <v>0.11</v>
      </c>
      <c r="E1043" s="1003" t="s">
        <v>499</v>
      </c>
      <c r="F1043" s="986">
        <f>$F$10</f>
        <v>515</v>
      </c>
      <c r="G1043" s="1023">
        <v>1</v>
      </c>
      <c r="H1043" s="991" t="str">
        <f t="shared" si="144"/>
        <v>Each</v>
      </c>
      <c r="I1043" s="986">
        <f t="shared" si="145"/>
        <v>56.65</v>
      </c>
    </row>
    <row r="1044" spans="1:9" ht="14.25" customHeight="1">
      <c r="A1044" s="1019"/>
      <c r="B1044" s="1020"/>
      <c r="C1044" s="792" t="s">
        <v>396</v>
      </c>
      <c r="D1044" s="1021">
        <v>8.5999999999999993E-2</v>
      </c>
      <c r="E1044" s="1022" t="s">
        <v>499</v>
      </c>
      <c r="F1044" s="986">
        <f>$F$22</f>
        <v>490</v>
      </c>
      <c r="G1044" s="1023">
        <v>1</v>
      </c>
      <c r="H1044" s="991" t="str">
        <f t="shared" si="144"/>
        <v>Each</v>
      </c>
      <c r="I1044" s="986">
        <f t="shared" si="145"/>
        <v>42.139999999999993</v>
      </c>
    </row>
    <row r="1045" spans="1:9" ht="14.25" customHeight="1">
      <c r="A1045" s="1019"/>
      <c r="B1045" s="1020"/>
      <c r="C1045" s="792" t="s">
        <v>1041</v>
      </c>
      <c r="D1045" s="1053">
        <v>0.01</v>
      </c>
      <c r="E1045" s="1022"/>
      <c r="F1045" s="986">
        <f>SUM(I1035:I1044)</f>
        <v>545.03551249999998</v>
      </c>
      <c r="G1045" s="1023"/>
      <c r="H1045" s="991"/>
      <c r="I1045" s="986">
        <f t="shared" si="145"/>
        <v>5.4503551249999997</v>
      </c>
    </row>
    <row r="1046" spans="1:9" ht="14.25" customHeight="1">
      <c r="A1046" s="1019"/>
      <c r="B1046" s="1020"/>
      <c r="C1046" s="980" t="s">
        <v>368</v>
      </c>
      <c r="D1046" s="1021"/>
      <c r="E1046" s="1022"/>
      <c r="F1046" s="986"/>
      <c r="G1046" s="1023"/>
      <c r="H1046" s="1116"/>
      <c r="I1046" s="1012">
        <f>SUM(I1035:I1045)</f>
        <v>550.48586762499997</v>
      </c>
    </row>
    <row r="1047" spans="1:9" ht="14.25" customHeight="1">
      <c r="A1047" s="1019"/>
      <c r="B1047" s="1020"/>
      <c r="C1047" s="1117" t="s">
        <v>428</v>
      </c>
      <c r="E1047" s="1131" t="s">
        <v>501</v>
      </c>
      <c r="F1047" s="1048" t="s">
        <v>502</v>
      </c>
      <c r="G1047" s="1131" t="s">
        <v>503</v>
      </c>
      <c r="H1047" s="1048" t="s">
        <v>709</v>
      </c>
      <c r="I1047" s="1048" t="s">
        <v>502</v>
      </c>
    </row>
    <row r="1048" spans="1:9" ht="14.25" customHeight="1">
      <c r="A1048" s="1019"/>
      <c r="B1048" s="1020"/>
      <c r="C1048" s="1116" t="s">
        <v>368</v>
      </c>
      <c r="E1048" s="986">
        <f>$I$1046</f>
        <v>550.48586762499997</v>
      </c>
      <c r="F1048" s="986">
        <f>$I$1046</f>
        <v>550.48586762499997</v>
      </c>
      <c r="G1048" s="986">
        <f>$I$1046</f>
        <v>550.48586762499997</v>
      </c>
      <c r="H1048" s="986">
        <f>$I$1046</f>
        <v>550.48586762499997</v>
      </c>
      <c r="I1048" s="986">
        <f>$I$1046</f>
        <v>550.48586762499997</v>
      </c>
    </row>
    <row r="1049" spans="1:9" ht="14.25" customHeight="1">
      <c r="A1049" s="1019"/>
      <c r="B1049" s="1020"/>
      <c r="C1049" s="792" t="s">
        <v>418</v>
      </c>
      <c r="E1049" s="986"/>
      <c r="F1049" s="986">
        <f>ROUND(0.1*(I1044+I1043+I1042),2)</f>
        <v>26.77</v>
      </c>
      <c r="G1049" s="986">
        <f>ROUND(0.2*(I1044+I1043+I1042),2)</f>
        <v>53.55</v>
      </c>
      <c r="H1049" s="986">
        <f>ROUND(0.3*($I$1044+$I$1043+$I$1042),2)</f>
        <v>80.319999999999993</v>
      </c>
      <c r="I1049" s="986">
        <f>ROUND(0.4*($I$1044+$I$1043+$I$1042),2)</f>
        <v>107.1</v>
      </c>
    </row>
    <row r="1050" spans="1:9" ht="14.25" customHeight="1">
      <c r="A1050" s="1019"/>
      <c r="B1050" s="1020"/>
      <c r="E1050" s="986">
        <f>SUM(E1048:E1049)</f>
        <v>550.48586762499997</v>
      </c>
      <c r="F1050" s="986">
        <f>SUM(F1048:F1049)</f>
        <v>577.25586762499995</v>
      </c>
      <c r="G1050" s="986">
        <f>SUM(G1048:G1049)</f>
        <v>604.03586762499992</v>
      </c>
      <c r="H1050" s="986">
        <f>SUM(H1048:H1049)</f>
        <v>630.80586762500002</v>
      </c>
      <c r="I1050" s="986">
        <f>SUM(I1048:I1049)</f>
        <v>657.58586762499999</v>
      </c>
    </row>
    <row r="1051" spans="1:9" ht="14.25" customHeight="1">
      <c r="A1051" s="1019"/>
      <c r="B1051" s="1020"/>
      <c r="C1051" s="1124" t="s">
        <v>1014</v>
      </c>
      <c r="D1051" s="1026">
        <f>$D$3</f>
        <v>0</v>
      </c>
      <c r="E1051" s="986">
        <f>ROUND(E1050*$D$1051,2)</f>
        <v>0</v>
      </c>
      <c r="F1051" s="986">
        <f>ROUND(F1050*$D$1051,2)</f>
        <v>0</v>
      </c>
      <c r="G1051" s="986">
        <f>ROUND(G1050*$D$1051,2)</f>
        <v>0</v>
      </c>
      <c r="H1051" s="986">
        <f>ROUND(H1050*$D$1051,2)</f>
        <v>0</v>
      </c>
      <c r="I1051" s="986">
        <f>ROUND(I1050*$D$1051,2)</f>
        <v>0</v>
      </c>
    </row>
    <row r="1052" spans="1:9" ht="37.15" customHeight="1">
      <c r="A1052" s="1019"/>
      <c r="B1052" s="1020"/>
      <c r="C1052" s="980" t="s">
        <v>349</v>
      </c>
      <c r="D1052" s="980" t="s">
        <v>466</v>
      </c>
      <c r="E1052" s="1012">
        <f>CEILING(SUM(E1050:E1051),0.05)</f>
        <v>550.5</v>
      </c>
      <c r="F1052" s="1012">
        <f>CEILING(SUM(F1050:F1051),0.05)</f>
        <v>577.30000000000007</v>
      </c>
      <c r="G1052" s="1012">
        <f>CEILING(SUM(G1050:G1051),0.05)</f>
        <v>604.05000000000007</v>
      </c>
      <c r="H1052" s="1012">
        <f>CEILING(SUM(H1050:H1051),0.05)</f>
        <v>630.85</v>
      </c>
      <c r="I1052" s="1012">
        <f>CEILING(SUM(I1050:I1051),0.05)</f>
        <v>657.6</v>
      </c>
    </row>
    <row r="1053" spans="1:9" ht="165.75" hidden="1" customHeight="1">
      <c r="A1053" s="1019"/>
      <c r="B1053" s="1020"/>
      <c r="C1053" s="792" t="s">
        <v>2300</v>
      </c>
      <c r="D1053" s="980" t="s">
        <v>304</v>
      </c>
      <c r="E1053" s="1012"/>
      <c r="F1053" s="1012"/>
      <c r="G1053" s="1012"/>
      <c r="H1053" s="1012"/>
    </row>
    <row r="1054" spans="1:9" ht="12.75" hidden="1" customHeight="1">
      <c r="A1054" s="1019">
        <f>A1033+1</f>
        <v>24</v>
      </c>
      <c r="B1054" s="1020"/>
      <c r="C1054" s="1499" t="str">
        <f>CONCATENATE(D1053,LEAD!B24,'C-data'!C1053)</f>
        <v>Flooring with   Rough shabad / Tandur Stone slabs of minimum25 to  40 mm thick (0.457 x 457M)laid over existing CC bed or roof slab set over a base coat of CM (1:8), 12mm thick and pointing with CM(1:3) to full depth of flooring slabs dully filling joints neatly , including cost and conveyance of all materials like flooring stones, cement, sand, water, etc. to site,  sales and other taxes on all materials, all operational, incidental and labour charges such as mixing of cement mortar, laying, pointing, curing, lift charges etc., complete but excluding seigniorage charges for finished item of work.(APSS No.703 &amp; 701)</v>
      </c>
      <c r="D1054" s="1499"/>
      <c r="E1054" s="1499"/>
      <c r="F1054" s="1499"/>
      <c r="G1054" s="1499"/>
      <c r="H1054" s="1499"/>
      <c r="I1054" s="1499"/>
    </row>
    <row r="1055" spans="1:9" ht="12.75" hidden="1" customHeight="1">
      <c r="A1055" s="1019"/>
      <c r="B1055" s="1020"/>
      <c r="C1055" s="792" t="s">
        <v>152</v>
      </c>
      <c r="D1055" s="1021">
        <v>1.05</v>
      </c>
      <c r="E1055" s="1022" t="s">
        <v>623</v>
      </c>
      <c r="F1055" s="986">
        <f>LEAD!P24</f>
        <v>180.633375</v>
      </c>
      <c r="G1055" s="1023">
        <v>10</v>
      </c>
      <c r="H1055" s="991" t="str">
        <f t="shared" ref="H1055:H1062" si="146">IF(E1055="","",IF(E1055="No.","Each",IF(E1055="Nos.","Each",E1055)))</f>
        <v>Sqmt.</v>
      </c>
      <c r="I1055" s="986">
        <f t="shared" ref="I1055:I1063" si="147">IF(G1055="",D1055*F1055,(D1055*F1055/G1055))</f>
        <v>18.966504375</v>
      </c>
    </row>
    <row r="1056" spans="1:9" ht="12.75" hidden="1" customHeight="1">
      <c r="A1056" s="1019"/>
      <c r="B1056" s="1020"/>
      <c r="C1056" s="792" t="s">
        <v>663</v>
      </c>
      <c r="D1056" s="1021">
        <v>2.16</v>
      </c>
      <c r="E1056" s="1022" t="s">
        <v>236</v>
      </c>
      <c r="F1056" s="986">
        <f>ROUND(LEAD!P28/1000,2)</f>
        <v>7.17</v>
      </c>
      <c r="G1056" s="1023">
        <v>1</v>
      </c>
      <c r="H1056" s="991" t="str">
        <f>IF(E1056="","",IF(E1056="No.","Each",IF(E1056="Nos.","Each",E1056)))</f>
        <v>kg</v>
      </c>
      <c r="I1056" s="986">
        <f>IF(G1056="",D1056*F1056,(D1056*F1056/G1056))</f>
        <v>15.487200000000001</v>
      </c>
    </row>
    <row r="1057" spans="1:9" ht="12.75" hidden="1" customHeight="1">
      <c r="A1057" s="1019"/>
      <c r="B1057" s="1020"/>
      <c r="C1057" s="792" t="s">
        <v>353</v>
      </c>
      <c r="D1057" s="1021">
        <v>1.2E-2</v>
      </c>
      <c r="E1057" s="1022" t="s">
        <v>529</v>
      </c>
      <c r="F1057" s="986">
        <f>LEAD!P7</f>
        <v>437.11999999999983</v>
      </c>
      <c r="G1057" s="1023">
        <v>1</v>
      </c>
      <c r="H1057" s="991" t="str">
        <f>IF(E1057="","",IF(E1057="No.","Each",IF(E1057="Nos.","Each",E1057)))</f>
        <v>cu.m.</v>
      </c>
      <c r="I1057" s="986">
        <f>IF(G1057="",D1057*F1057,(D1057*F1057/G1057))</f>
        <v>5.2454399999999985</v>
      </c>
    </row>
    <row r="1058" spans="1:9" ht="12.75" hidden="1" customHeight="1">
      <c r="A1058" s="1019"/>
      <c r="B1058" s="1020"/>
      <c r="C1058" s="792" t="s">
        <v>196</v>
      </c>
      <c r="D1058" s="1021">
        <v>1</v>
      </c>
      <c r="E1058" s="1022" t="s">
        <v>623</v>
      </c>
      <c r="F1058" s="986">
        <f>$I$775</f>
        <v>169.95</v>
      </c>
      <c r="G1058" s="1023">
        <v>1</v>
      </c>
      <c r="H1058" s="991" t="str">
        <f t="shared" si="146"/>
        <v>Sqmt.</v>
      </c>
      <c r="I1058" s="986">
        <f t="shared" si="147"/>
        <v>169.95</v>
      </c>
    </row>
    <row r="1059" spans="1:9" ht="12.75" hidden="1" customHeight="1">
      <c r="A1059" s="1019"/>
      <c r="B1059" s="1020"/>
      <c r="C1059" s="1115" t="s">
        <v>377</v>
      </c>
      <c r="D1059" s="1021">
        <v>9.6000000000000002E-2</v>
      </c>
      <c r="E1059" s="1003" t="s">
        <v>499</v>
      </c>
      <c r="F1059" s="986">
        <f>$F$9</f>
        <v>545</v>
      </c>
      <c r="G1059" s="1023">
        <v>1</v>
      </c>
      <c r="H1059" s="991" t="str">
        <f t="shared" si="146"/>
        <v>Each</v>
      </c>
      <c r="I1059" s="986">
        <f t="shared" si="147"/>
        <v>52.32</v>
      </c>
    </row>
    <row r="1060" spans="1:9" ht="12.75" hidden="1" customHeight="1">
      <c r="A1060" s="1019"/>
      <c r="B1060" s="1020"/>
      <c r="C1060" s="1115" t="s">
        <v>378</v>
      </c>
      <c r="D1060" s="1021">
        <v>0.224</v>
      </c>
      <c r="E1060" s="1003" t="s">
        <v>499</v>
      </c>
      <c r="F1060" s="986">
        <f>$F$10</f>
        <v>515</v>
      </c>
      <c r="G1060" s="1023">
        <v>1</v>
      </c>
      <c r="H1060" s="991" t="str">
        <f t="shared" si="146"/>
        <v>Each</v>
      </c>
      <c r="I1060" s="986">
        <f t="shared" si="147"/>
        <v>115.36</v>
      </c>
    </row>
    <row r="1061" spans="1:9" ht="12.75" hidden="1" customHeight="1">
      <c r="A1061" s="1019"/>
      <c r="B1061" s="1020"/>
      <c r="C1061" s="792" t="s">
        <v>396</v>
      </c>
      <c r="D1061" s="1021">
        <v>0.22</v>
      </c>
      <c r="E1061" s="1022" t="s">
        <v>499</v>
      </c>
      <c r="F1061" s="986">
        <f>$F$22</f>
        <v>490</v>
      </c>
      <c r="G1061" s="1023">
        <v>1</v>
      </c>
      <c r="H1061" s="991" t="str">
        <f t="shared" si="146"/>
        <v>Each</v>
      </c>
      <c r="I1061" s="986">
        <f t="shared" si="147"/>
        <v>107.8</v>
      </c>
    </row>
    <row r="1062" spans="1:9" ht="12.75" hidden="1" customHeight="1">
      <c r="A1062" s="1019"/>
      <c r="B1062" s="1020"/>
      <c r="C1062" s="792" t="s">
        <v>397</v>
      </c>
      <c r="D1062" s="1021">
        <v>0.11</v>
      </c>
      <c r="E1062" s="1022" t="s">
        <v>499</v>
      </c>
      <c r="F1062" s="986">
        <f>$F$23</f>
        <v>490</v>
      </c>
      <c r="G1062" s="1023">
        <v>1</v>
      </c>
      <c r="H1062" s="991" t="str">
        <f t="shared" si="146"/>
        <v>Each</v>
      </c>
      <c r="I1062" s="986">
        <f t="shared" si="147"/>
        <v>53.9</v>
      </c>
    </row>
    <row r="1063" spans="1:9" ht="25.5" hidden="1" customHeight="1">
      <c r="A1063" s="1019"/>
      <c r="B1063" s="1020"/>
      <c r="C1063" s="792" t="s">
        <v>1041</v>
      </c>
      <c r="D1063" s="1053">
        <v>0.01</v>
      </c>
      <c r="E1063" s="1022"/>
      <c r="F1063" s="986">
        <f>SUM(I1055:I1062)</f>
        <v>539.02914437499999</v>
      </c>
      <c r="G1063" s="1023"/>
      <c r="H1063" s="991"/>
      <c r="I1063" s="986">
        <f t="shared" si="147"/>
        <v>5.3902914437499998</v>
      </c>
    </row>
    <row r="1064" spans="1:9" ht="12.75" hidden="1" customHeight="1">
      <c r="A1064" s="1019"/>
      <c r="B1064" s="1020"/>
      <c r="C1064" s="980" t="s">
        <v>368</v>
      </c>
      <c r="D1064" s="1021"/>
      <c r="E1064" s="1022"/>
      <c r="F1064" s="986"/>
      <c r="G1064" s="1023"/>
      <c r="H1064" s="1116"/>
      <c r="I1064" s="1012">
        <f>SUM(I1055:I1063)</f>
        <v>544.41943581875</v>
      </c>
    </row>
    <row r="1065" spans="1:9" ht="12.75" hidden="1" customHeight="1">
      <c r="A1065" s="1019"/>
      <c r="B1065" s="1020"/>
      <c r="C1065" s="1117" t="s">
        <v>428</v>
      </c>
      <c r="E1065" s="1131" t="s">
        <v>501</v>
      </c>
      <c r="F1065" s="1048" t="s">
        <v>502</v>
      </c>
      <c r="G1065" s="1131" t="s">
        <v>503</v>
      </c>
      <c r="H1065" s="1048" t="s">
        <v>709</v>
      </c>
    </row>
    <row r="1066" spans="1:9" ht="12.75" hidden="1" customHeight="1">
      <c r="A1066" s="1019"/>
      <c r="B1066" s="1020"/>
      <c r="C1066" s="1116" t="s">
        <v>368</v>
      </c>
      <c r="E1066" s="986">
        <f>$I$1064</f>
        <v>544.41943581875</v>
      </c>
      <c r="F1066" s="986">
        <f>$I$1064</f>
        <v>544.41943581875</v>
      </c>
      <c r="G1066" s="986">
        <f>$I$1064</f>
        <v>544.41943581875</v>
      </c>
      <c r="H1066" s="986">
        <f>$I$1064</f>
        <v>544.41943581875</v>
      </c>
    </row>
    <row r="1067" spans="1:9" ht="12.75" hidden="1" customHeight="1">
      <c r="A1067" s="1019"/>
      <c r="B1067" s="1020"/>
      <c r="C1067" s="792" t="s">
        <v>418</v>
      </c>
      <c r="E1067" s="986"/>
      <c r="F1067" s="986">
        <f>ROUND(0.1*(I1061+I1062+I1060+I1059),2)</f>
        <v>32.94</v>
      </c>
      <c r="G1067" s="986">
        <f>ROUND(0.2*(I1061+I1062+I1060+I1059),2)</f>
        <v>65.88</v>
      </c>
      <c r="H1067" s="986">
        <f>ROUND(0.3*(I1061+I1062+I1060+I1059),2)</f>
        <v>98.81</v>
      </c>
    </row>
    <row r="1068" spans="1:9" ht="12.75" hidden="1" customHeight="1">
      <c r="A1068" s="1019"/>
      <c r="B1068" s="1020"/>
      <c r="E1068" s="986">
        <f>SUM(E1066:E1067)</f>
        <v>544.41943581875</v>
      </c>
      <c r="F1068" s="986">
        <f>SUM(F1066:F1067)</f>
        <v>577.35943581874994</v>
      </c>
      <c r="G1068" s="986">
        <f>SUM(G1066:G1067)</f>
        <v>610.29943581875</v>
      </c>
      <c r="H1068" s="986">
        <f>SUM(H1066:H1067)</f>
        <v>643.22943581875006</v>
      </c>
    </row>
    <row r="1069" spans="1:9" ht="12.75" hidden="1" customHeight="1">
      <c r="A1069" s="1019"/>
      <c r="B1069" s="1020"/>
      <c r="C1069" s="1124" t="s">
        <v>1014</v>
      </c>
      <c r="D1069" s="1026">
        <f>$D$3</f>
        <v>0</v>
      </c>
      <c r="E1069" s="986">
        <f>ROUND(E1068*$D$1051,2)</f>
        <v>0</v>
      </c>
      <c r="F1069" s="986">
        <f>ROUND(F1068*$D$1051,2)</f>
        <v>0</v>
      </c>
      <c r="G1069" s="986">
        <f>ROUND(G1068*$D$1051,2)</f>
        <v>0</v>
      </c>
      <c r="H1069" s="986">
        <f>ROUND(H1068*$D$1051,2)</f>
        <v>0</v>
      </c>
    </row>
    <row r="1070" spans="1:9" ht="12.75" hidden="1" customHeight="1">
      <c r="A1070" s="1019"/>
      <c r="B1070" s="1020"/>
      <c r="C1070" s="980" t="s">
        <v>349</v>
      </c>
      <c r="D1070" s="980" t="s">
        <v>466</v>
      </c>
      <c r="E1070" s="1012">
        <f>CEILING(SUM(E1068:E1069),0.05)</f>
        <v>544.45000000000005</v>
      </c>
      <c r="F1070" s="1012">
        <f>CEILING(SUM(F1068:F1069),0.05)</f>
        <v>577.4</v>
      </c>
      <c r="G1070" s="1012">
        <f>CEILING(SUM(G1068:G1069),0.05)</f>
        <v>610.30000000000007</v>
      </c>
      <c r="H1070" s="1012">
        <f>CEILING(SUM(H1068:H1069),0.05)</f>
        <v>643.25</v>
      </c>
    </row>
    <row r="1071" spans="1:9" ht="216.75" hidden="1" customHeight="1">
      <c r="A1071" s="1019"/>
      <c r="B1071" s="1020"/>
      <c r="C1071" s="792" t="s">
        <v>2301</v>
      </c>
      <c r="D1071" s="980" t="s">
        <v>656</v>
      </c>
      <c r="E1071" s="1012"/>
      <c r="F1071" s="1012"/>
      <c r="G1071" s="1012"/>
      <c r="H1071" s="1012"/>
    </row>
    <row r="1072" spans="1:9" ht="137.25" customHeight="1">
      <c r="A1072" s="1019">
        <f>+A1033+1</f>
        <v>24</v>
      </c>
      <c r="B1072" s="1020"/>
      <c r="C1072" s="1493" t="str">
        <f>CONCATENATE(D1071,LEAD!B23,'C-data'!C1071)</f>
        <v xml:space="preserve">Providing skirting to internal  walls 12.5 Cm high withPolished Shabad/Tandur blue Slabas 15 to 18 mm thick  (0.457M x 0.457M) with length equal to flooring stones set over a base coat of CM (1:3) using  12mm thick with cement slurry of honey like consistency spread @ 3.3 Kgs per sqm and jointed with neat cement paste mixed with pigment of matching shade to full depth (joints of stone should be flushed), including cost and conveyance of all materials like cement, sand, water, flooring stones etc. to site,  sales and other taxes on all materials, all operational, incidental and labour charges such as dressing of flooring stones to the required sizes, mixing of cement mortar, laying, jointing, curing, lift charges etc., complete but excluding seigniorage charges for finished item of work.(APSS No.701 &amp; 707) </v>
      </c>
      <c r="D1072" s="1493"/>
      <c r="E1072" s="1493"/>
      <c r="F1072" s="1493"/>
      <c r="G1072" s="1493"/>
      <c r="H1072" s="1493"/>
      <c r="I1072" s="1493"/>
    </row>
    <row r="1073" spans="1:9" ht="15.75" customHeight="1">
      <c r="A1073" s="1019"/>
      <c r="B1073" s="1020"/>
      <c r="C1073" s="1117" t="s">
        <v>557</v>
      </c>
      <c r="D1073" s="980"/>
      <c r="E1073" s="980"/>
      <c r="F1073" s="980"/>
      <c r="G1073" s="980"/>
      <c r="H1073" s="980"/>
      <c r="I1073" s="980"/>
    </row>
    <row r="1074" spans="1:9" ht="15.75" customHeight="1">
      <c r="A1074" s="1019"/>
      <c r="B1074" s="1020"/>
      <c r="C1074" s="792" t="str">
        <f>C1035</f>
        <v>Cost of Polished Shabad/Tandur blue Slabas 15 to 18 mm thick  (0.457M x 0.457M)</v>
      </c>
      <c r="D1074" s="1021">
        <v>1.1000000000000001</v>
      </c>
      <c r="E1074" s="1022" t="s">
        <v>623</v>
      </c>
      <c r="F1074" s="986">
        <f>LEAD!$P$23</f>
        <v>198.706175</v>
      </c>
      <c r="G1074" s="1023">
        <v>1</v>
      </c>
      <c r="H1074" s="991" t="str">
        <f>IF(E1074="","",IF(E1074="No.","Each",IF(E1074="Nos.","Each",E1074)))</f>
        <v>Sqmt.</v>
      </c>
      <c r="I1074" s="986">
        <f>IF(G1074="",D1074*F1074,(D1074*F1074/G1074))</f>
        <v>218.57679250000001</v>
      </c>
    </row>
    <row r="1075" spans="1:9" ht="15.75" customHeight="1">
      <c r="A1075" s="1019"/>
      <c r="B1075" s="1020"/>
      <c r="C1075" s="792" t="s">
        <v>295</v>
      </c>
      <c r="D1075" s="1021">
        <v>1.2E-2</v>
      </c>
      <c r="E1075" s="1022" t="s">
        <v>529</v>
      </c>
      <c r="F1075" s="986">
        <f>LEAD!$P$7</f>
        <v>437.11999999999983</v>
      </c>
      <c r="G1075" s="1023">
        <v>1</v>
      </c>
      <c r="H1075" s="991" t="str">
        <f>IF(E1075="","",IF(E1075="No.","Each",IF(E1075="Nos.","Each",E1075)))</f>
        <v>cu.m.</v>
      </c>
      <c r="I1075" s="986">
        <f>IF(G1075="",D1075*F1075,(D1075*F1075/G1075))</f>
        <v>5.2454399999999985</v>
      </c>
    </row>
    <row r="1076" spans="1:9" ht="15.75" customHeight="1">
      <c r="A1076" s="1019"/>
      <c r="B1076" s="1020"/>
      <c r="C1076" s="792" t="s">
        <v>296</v>
      </c>
      <c r="D1076" s="1021">
        <v>5.76</v>
      </c>
      <c r="E1076" s="1022" t="s">
        <v>364</v>
      </c>
      <c r="F1076" s="986">
        <f>LEAD!$P$28</f>
        <v>7168</v>
      </c>
      <c r="G1076" s="1023">
        <v>1000</v>
      </c>
      <c r="H1076" s="991" t="str">
        <f>IF(E1076="","",IF(E1076="No.","Each",IF(E1076="Nos.","Each",E1076)))</f>
        <v>Kgs</v>
      </c>
      <c r="I1076" s="986">
        <f>IF(G1076="",D1076*F1076,(D1076*F1076/G1076))</f>
        <v>41.287680000000002</v>
      </c>
    </row>
    <row r="1077" spans="1:9" ht="15.75" customHeight="1">
      <c r="A1077" s="1019"/>
      <c r="B1077" s="1020"/>
      <c r="C1077" s="792" t="s">
        <v>153</v>
      </c>
      <c r="D1077" s="1021">
        <v>3.3</v>
      </c>
      <c r="E1077" s="1022" t="s">
        <v>364</v>
      </c>
      <c r="F1077" s="986">
        <f>LEAD!$P$28</f>
        <v>7168</v>
      </c>
      <c r="G1077" s="1023">
        <v>1000</v>
      </c>
      <c r="H1077" s="991" t="str">
        <f>IF(E1077="","",IF(E1077="No.","Each",IF(E1077="Nos.","Each",E1077)))</f>
        <v>Kgs</v>
      </c>
      <c r="I1077" s="986">
        <f>IF(G1077="",D1077*F1077,(D1077*F1077/G1077))</f>
        <v>23.654399999999999</v>
      </c>
    </row>
    <row r="1078" spans="1:9" ht="15.75" customHeight="1">
      <c r="A1078" s="1019"/>
      <c r="B1078" s="1020"/>
      <c r="C1078" s="1117" t="s">
        <v>690</v>
      </c>
      <c r="D1078" s="1021"/>
      <c r="E1078" s="1022"/>
      <c r="F1078" s="986"/>
      <c r="G1078" s="1023"/>
      <c r="H1078" s="991"/>
      <c r="I1078" s="986"/>
    </row>
    <row r="1079" spans="1:9" ht="15.75" customHeight="1">
      <c r="A1079" s="1019"/>
      <c r="B1079" s="1020"/>
      <c r="C1079" s="1115" t="s">
        <v>377</v>
      </c>
      <c r="D1079" s="1021">
        <v>9.6000000000000002E-2</v>
      </c>
      <c r="E1079" s="1003" t="s">
        <v>499</v>
      </c>
      <c r="F1079" s="986">
        <f>$F$9</f>
        <v>545</v>
      </c>
      <c r="G1079" s="1023">
        <v>1</v>
      </c>
      <c r="H1079" s="991" t="str">
        <f>IF(E1079="","",IF(E1079="No.","Each",IF(E1079="Nos.","Each",E1079)))</f>
        <v>Each</v>
      </c>
      <c r="I1079" s="986">
        <f>IF(G1079="",D1079*F1079,(D1079*F1079/G1079))</f>
        <v>52.32</v>
      </c>
    </row>
    <row r="1080" spans="1:9" ht="15.75" customHeight="1">
      <c r="A1080" s="1019"/>
      <c r="B1080" s="1020"/>
      <c r="C1080" s="1115" t="s">
        <v>378</v>
      </c>
      <c r="D1080" s="1021">
        <v>0.224</v>
      </c>
      <c r="E1080" s="1003" t="s">
        <v>499</v>
      </c>
      <c r="F1080" s="986">
        <f>$F$10</f>
        <v>515</v>
      </c>
      <c r="G1080" s="1023">
        <v>1</v>
      </c>
      <c r="H1080" s="991" t="str">
        <f>IF(E1080="","",IF(E1080="No.","Each",IF(E1080="Nos.","Each",E1080)))</f>
        <v>Each</v>
      </c>
      <c r="I1080" s="986">
        <f>IF(G1080="",D1080*F1080,(D1080*F1080/G1080))</f>
        <v>115.36</v>
      </c>
    </row>
    <row r="1081" spans="1:9" ht="15.75" customHeight="1">
      <c r="A1081" s="1019"/>
      <c r="B1081" s="1020"/>
      <c r="C1081" s="792" t="s">
        <v>396</v>
      </c>
      <c r="D1081" s="1021">
        <v>0.31</v>
      </c>
      <c r="E1081" s="1022" t="s">
        <v>499</v>
      </c>
      <c r="F1081" s="986">
        <f>$F$22</f>
        <v>490</v>
      </c>
      <c r="G1081" s="1023">
        <v>1</v>
      </c>
      <c r="H1081" s="991" t="str">
        <f>IF(E1081="","",IF(E1081="No.","Each",IF(E1081="Nos.","Each",E1081)))</f>
        <v>Each</v>
      </c>
      <c r="I1081" s="986">
        <f>IF(G1081="",D1081*F1081,(D1081*F1081/G1081))</f>
        <v>151.9</v>
      </c>
    </row>
    <row r="1082" spans="1:9" ht="15.75" customHeight="1">
      <c r="A1082" s="1019"/>
      <c r="B1082" s="1020"/>
      <c r="C1082" s="792" t="s">
        <v>1041</v>
      </c>
      <c r="D1082" s="1053">
        <v>0.01</v>
      </c>
      <c r="E1082" s="1022"/>
      <c r="F1082" s="986">
        <f>SUM(I1074:I1081)</f>
        <v>608.3443125</v>
      </c>
      <c r="G1082" s="1023"/>
      <c r="H1082" s="991"/>
      <c r="I1082" s="986">
        <f>IF(G1082="",D1082*F1082,(D1082*F1082/G1082))</f>
        <v>6.0834431250000005</v>
      </c>
    </row>
    <row r="1083" spans="1:9" ht="15.75" customHeight="1">
      <c r="A1083" s="1019"/>
      <c r="B1083" s="1020"/>
      <c r="C1083" s="980" t="s">
        <v>368</v>
      </c>
      <c r="D1083" s="1021"/>
      <c r="E1083" s="1022"/>
      <c r="F1083" s="986"/>
      <c r="G1083" s="1023"/>
      <c r="H1083" s="1116"/>
      <c r="I1083" s="1012">
        <f>SUM(I1074:I1082)</f>
        <v>614.42775562500003</v>
      </c>
    </row>
    <row r="1084" spans="1:9" ht="15.75" customHeight="1">
      <c r="A1084" s="1019"/>
      <c r="B1084" s="1020"/>
      <c r="C1084" s="1117" t="s">
        <v>428</v>
      </c>
      <c r="E1084" s="1131" t="s">
        <v>501</v>
      </c>
      <c r="F1084" s="1048" t="s">
        <v>502</v>
      </c>
      <c r="G1084" s="1131" t="s">
        <v>503</v>
      </c>
      <c r="H1084" s="1048" t="s">
        <v>709</v>
      </c>
      <c r="I1084" s="1048" t="s">
        <v>502</v>
      </c>
    </row>
    <row r="1085" spans="1:9" ht="15.75" customHeight="1">
      <c r="A1085" s="1019"/>
      <c r="B1085" s="1020"/>
      <c r="C1085" s="1116" t="s">
        <v>368</v>
      </c>
      <c r="E1085" s="986">
        <f>I1083</f>
        <v>614.42775562500003</v>
      </c>
      <c r="F1085" s="986">
        <f>E1085</f>
        <v>614.42775562500003</v>
      </c>
      <c r="G1085" s="986">
        <f>F1085</f>
        <v>614.42775562500003</v>
      </c>
      <c r="H1085" s="986">
        <f>G1085</f>
        <v>614.42775562500003</v>
      </c>
      <c r="I1085" s="986">
        <f>H1085</f>
        <v>614.42775562500003</v>
      </c>
    </row>
    <row r="1086" spans="1:9" ht="15.75" customHeight="1">
      <c r="A1086" s="1019"/>
      <c r="B1086" s="1020"/>
      <c r="C1086" s="792" t="s">
        <v>418</v>
      </c>
      <c r="E1086" s="986"/>
      <c r="F1086" s="986">
        <f>ROUND(0.1*(I1079+I1080+I1081),2)</f>
        <v>31.96</v>
      </c>
      <c r="G1086" s="986">
        <f>ROUND(0.2*(I1079+I1080+I1081),2)</f>
        <v>63.92</v>
      </c>
      <c r="H1086" s="986">
        <f>ROUND(0.3*($I$1079+$I$1080+$I$1081),2)</f>
        <v>95.87</v>
      </c>
      <c r="I1086" s="986">
        <f>ROUND(0.4*($I$1079+$I$1080+$I$1081),2)</f>
        <v>127.83</v>
      </c>
    </row>
    <row r="1087" spans="1:9" ht="15.75" customHeight="1">
      <c r="A1087" s="1019"/>
      <c r="B1087" s="1020"/>
      <c r="E1087" s="986">
        <f>SUM(E1085:E1086)</f>
        <v>614.42775562500003</v>
      </c>
      <c r="F1087" s="986">
        <f>SUM(F1085:F1086)</f>
        <v>646.38775562500007</v>
      </c>
      <c r="G1087" s="986">
        <f>SUM(G1085:G1086)</f>
        <v>678.34775562499999</v>
      </c>
      <c r="H1087" s="986">
        <f>SUM(H1085:H1086)</f>
        <v>710.29775562500004</v>
      </c>
      <c r="I1087" s="986">
        <f>SUM(I1085:I1086)</f>
        <v>742.25775562500007</v>
      </c>
    </row>
    <row r="1088" spans="1:9" ht="15.75" customHeight="1">
      <c r="A1088" s="1019"/>
      <c r="B1088" s="1020"/>
      <c r="C1088" s="1124" t="s">
        <v>1014</v>
      </c>
      <c r="D1088" s="1026">
        <f>$D$3</f>
        <v>0</v>
      </c>
      <c r="E1088" s="986">
        <f>ROUND(E1087*$D$1088,2)</f>
        <v>0</v>
      </c>
      <c r="F1088" s="986">
        <f>ROUND(F1087*$D$1088,2)</f>
        <v>0</v>
      </c>
      <c r="G1088" s="986">
        <f>ROUND(G1087*$D$1088,2)</f>
        <v>0</v>
      </c>
      <c r="H1088" s="986">
        <f>ROUND(H1087*$D$1088,2)</f>
        <v>0</v>
      </c>
      <c r="I1088" s="986">
        <f>ROUND(I1087*$D$1088,2)</f>
        <v>0</v>
      </c>
    </row>
    <row r="1089" spans="1:9" ht="15.75" customHeight="1">
      <c r="A1089" s="1019"/>
      <c r="B1089" s="1020"/>
      <c r="C1089" s="980" t="s">
        <v>349</v>
      </c>
      <c r="D1089" s="980" t="s">
        <v>466</v>
      </c>
      <c r="E1089" s="1012">
        <f>CEILING(SUM(E1087:E1088),0.05)</f>
        <v>614.45000000000005</v>
      </c>
      <c r="F1089" s="1012">
        <f>CEILING(SUM(F1087:F1088),0.05)</f>
        <v>646.40000000000009</v>
      </c>
      <c r="G1089" s="1012">
        <f>CEILING(SUM(G1087:G1088),0.05)</f>
        <v>678.35</v>
      </c>
      <c r="H1089" s="1012">
        <f>CEILING(SUM(H1087:H1088),0.05)</f>
        <v>710.30000000000007</v>
      </c>
      <c r="I1089" s="1012">
        <f>CEILING(SUM(I1087:I1088),0.05)</f>
        <v>742.30000000000007</v>
      </c>
    </row>
    <row r="1090" spans="1:9" ht="12.75" customHeight="1">
      <c r="A1090" s="1019">
        <f>A1072+1</f>
        <v>25</v>
      </c>
      <c r="B1090" s="1020"/>
      <c r="C1090" s="1499" t="s">
        <v>1200</v>
      </c>
      <c r="D1090" s="1499"/>
      <c r="E1090" s="1499"/>
      <c r="F1090" s="1499"/>
      <c r="G1090" s="1499"/>
      <c r="H1090" s="1499"/>
      <c r="I1090" s="1499"/>
    </row>
    <row r="1091" spans="1:9" ht="12.75" customHeight="1">
      <c r="A1091" s="1019"/>
      <c r="B1091" s="1051"/>
      <c r="C1091" s="1117" t="s">
        <v>439</v>
      </c>
      <c r="D1091" s="1021"/>
      <c r="E1091" s="1008"/>
      <c r="F1091" s="986"/>
      <c r="G1091" s="1023"/>
      <c r="H1091" s="1118"/>
      <c r="I1091" s="1012"/>
    </row>
    <row r="1092" spans="1:9" ht="12.75" customHeight="1">
      <c r="A1092" s="1019"/>
      <c r="B1092" s="1051"/>
      <c r="C1092" s="1117" t="s">
        <v>557</v>
      </c>
      <c r="D1092" s="980"/>
      <c r="E1092" s="980"/>
      <c r="F1092" s="980"/>
      <c r="G1092" s="980"/>
      <c r="H1092" s="980"/>
      <c r="I1092" s="980"/>
    </row>
    <row r="1093" spans="1:9" ht="38.25" customHeight="1">
      <c r="A1093" s="1019"/>
      <c r="B1093" s="1051"/>
      <c r="C1093" s="792" t="str">
        <f>C1074</f>
        <v>Cost of Polished Shabad/Tandur blue Slabas 15 to 18 mm thick  (0.457M x 0.457M)</v>
      </c>
      <c r="D1093" s="1021">
        <v>1.1000000000000001</v>
      </c>
      <c r="E1093" s="1022" t="s">
        <v>623</v>
      </c>
      <c r="F1093" s="986">
        <f>LEAD!$P$23</f>
        <v>198.706175</v>
      </c>
      <c r="G1093" s="1023">
        <v>1</v>
      </c>
      <c r="H1093" s="991" t="str">
        <f>IF(E1093="","",IF(E1093="No.","Each",IF(E1093="Nos.","Each",E1093)))</f>
        <v>Sqmt.</v>
      </c>
      <c r="I1093" s="986">
        <f>IF(G1093="",D1093*F1093,(D1093*F1093/G1093))</f>
        <v>218.57679250000001</v>
      </c>
    </row>
    <row r="1094" spans="1:9" ht="12.75" customHeight="1">
      <c r="A1094" s="1019"/>
      <c r="B1094" s="1051"/>
      <c r="C1094" s="792" t="s">
        <v>295</v>
      </c>
      <c r="D1094" s="1021">
        <f>0.012</f>
        <v>1.2E-2</v>
      </c>
      <c r="E1094" s="1022" t="s">
        <v>529</v>
      </c>
      <c r="F1094" s="986">
        <f>LEAD!$P$7</f>
        <v>437.11999999999983</v>
      </c>
      <c r="G1094" s="1023">
        <v>1</v>
      </c>
      <c r="H1094" s="991" t="str">
        <f>IF(E1094="","",IF(E1094="No.","Each",IF(E1094="Nos.","Each",E1094)))</f>
        <v>cu.m.</v>
      </c>
      <c r="I1094" s="986">
        <f>IF(G1094="",D1094*F1094,(D1094*F1094/G1094))</f>
        <v>5.2454399999999985</v>
      </c>
    </row>
    <row r="1095" spans="1:9" ht="12.75" customHeight="1">
      <c r="A1095" s="1019"/>
      <c r="B1095" s="1051"/>
      <c r="C1095" s="792" t="s">
        <v>296</v>
      </c>
      <c r="D1095" s="1021">
        <v>5.76</v>
      </c>
      <c r="E1095" s="1022" t="s">
        <v>364</v>
      </c>
      <c r="F1095" s="986">
        <f>LEAD!$P$28</f>
        <v>7168</v>
      </c>
      <c r="G1095" s="1023">
        <v>1000</v>
      </c>
      <c r="H1095" s="991" t="str">
        <f>IF(E1095="","",IF(E1095="No.","Each",IF(E1095="Nos.","Each",E1095)))</f>
        <v>Kgs</v>
      </c>
      <c r="I1095" s="986">
        <f>IF(G1095="",D1095*F1095,(D1095*F1095/G1095))</f>
        <v>41.287680000000002</v>
      </c>
    </row>
    <row r="1096" spans="1:9" ht="12.75" customHeight="1">
      <c r="A1096" s="1019"/>
      <c r="B1096" s="1051"/>
      <c r="C1096" s="792" t="s">
        <v>153</v>
      </c>
      <c r="D1096" s="1021">
        <v>3.3</v>
      </c>
      <c r="E1096" s="1022" t="s">
        <v>364</v>
      </c>
      <c r="F1096" s="986">
        <f>LEAD!$P$28</f>
        <v>7168</v>
      </c>
      <c r="G1096" s="1023">
        <v>1000</v>
      </c>
      <c r="H1096" s="991" t="str">
        <f>IF(E1096="","",IF(E1096="No.","Each",IF(E1096="Nos.","Each",E1096)))</f>
        <v>Kgs</v>
      </c>
      <c r="I1096" s="986">
        <f>IF(G1096="",D1096*F1096,(D1096*F1096/G1096))</f>
        <v>23.654399999999999</v>
      </c>
    </row>
    <row r="1097" spans="1:9" ht="12.75" customHeight="1">
      <c r="A1097" s="1019"/>
      <c r="B1097" s="1051"/>
      <c r="C1097" s="1117" t="s">
        <v>690</v>
      </c>
      <c r="D1097" s="1021"/>
      <c r="E1097" s="1022"/>
      <c r="F1097" s="986"/>
      <c r="G1097" s="1023"/>
      <c r="H1097" s="991"/>
      <c r="I1097" s="986"/>
    </row>
    <row r="1098" spans="1:9" ht="12.75" customHeight="1">
      <c r="A1098" s="1019"/>
      <c r="B1098" s="1051"/>
      <c r="C1098" s="1115" t="s">
        <v>377</v>
      </c>
      <c r="D1098" s="1021">
        <v>9.6000000000000002E-2</v>
      </c>
      <c r="E1098" s="1003" t="s">
        <v>499</v>
      </c>
      <c r="F1098" s="986">
        <f>$F$9</f>
        <v>545</v>
      </c>
      <c r="G1098" s="1023">
        <v>1</v>
      </c>
      <c r="H1098" s="991" t="str">
        <f>IF(E1098="","",IF(E1098="No.","Each",IF(E1098="Nos.","Each",E1098)))</f>
        <v>Each</v>
      </c>
      <c r="I1098" s="986">
        <f>IF(G1098="",D1098*F1098,(D1098*F1098/G1098))</f>
        <v>52.32</v>
      </c>
    </row>
    <row r="1099" spans="1:9" ht="12.75" customHeight="1">
      <c r="A1099" s="1019"/>
      <c r="B1099" s="1051"/>
      <c r="C1099" s="1115" t="s">
        <v>378</v>
      </c>
      <c r="D1099" s="1021">
        <v>0.224</v>
      </c>
      <c r="E1099" s="1003" t="s">
        <v>499</v>
      </c>
      <c r="F1099" s="986">
        <f>$F$10</f>
        <v>515</v>
      </c>
      <c r="G1099" s="1023">
        <v>1</v>
      </c>
      <c r="H1099" s="991" t="str">
        <f>IF(E1099="","",IF(E1099="No.","Each",IF(E1099="Nos.","Each",E1099)))</f>
        <v>Each</v>
      </c>
      <c r="I1099" s="986">
        <f>IF(G1099="",D1099*F1099,(D1099*F1099/G1099))</f>
        <v>115.36</v>
      </c>
    </row>
    <row r="1100" spans="1:9" ht="12.75" customHeight="1">
      <c r="A1100" s="1019"/>
      <c r="B1100" s="1020"/>
      <c r="C1100" s="792" t="s">
        <v>396</v>
      </c>
      <c r="D1100" s="1021">
        <v>0.31</v>
      </c>
      <c r="E1100" s="1022" t="s">
        <v>499</v>
      </c>
      <c r="F1100" s="986">
        <f>$F$22</f>
        <v>490</v>
      </c>
      <c r="G1100" s="1023">
        <v>1</v>
      </c>
      <c r="H1100" s="991" t="str">
        <f>IF(E1100="","",IF(E1100="No.","Each",IF(E1100="Nos.","Each",E1100)))</f>
        <v>Each</v>
      </c>
      <c r="I1100" s="986">
        <f>IF(G1100="",D1100*F1100,(D1100*F1100/G1100))</f>
        <v>151.9</v>
      </c>
    </row>
    <row r="1101" spans="1:9" ht="25.5" customHeight="1">
      <c r="A1101" s="1019"/>
      <c r="B1101" s="1020"/>
      <c r="C1101" s="792" t="s">
        <v>1041</v>
      </c>
      <c r="D1101" s="1053">
        <v>0.01</v>
      </c>
      <c r="E1101" s="1022"/>
      <c r="F1101" s="986">
        <f>SUM(I1093:I1100)</f>
        <v>608.3443125</v>
      </c>
      <c r="G1101" s="1023"/>
      <c r="H1101" s="991"/>
      <c r="I1101" s="986">
        <f>IF(G1101="",D1101*F1101,(D1101*F1101/G1101))</f>
        <v>6.0834431250000005</v>
      </c>
    </row>
    <row r="1102" spans="1:9" ht="12.75" customHeight="1">
      <c r="A1102" s="1019"/>
      <c r="B1102" s="1020"/>
      <c r="C1102" s="980" t="s">
        <v>368</v>
      </c>
      <c r="D1102" s="1021"/>
      <c r="E1102" s="1022"/>
      <c r="F1102" s="986"/>
      <c r="G1102" s="1023"/>
      <c r="H1102" s="1116"/>
      <c r="I1102" s="1012">
        <f>SUM(I1093:I1101)</f>
        <v>614.42775562500003</v>
      </c>
    </row>
    <row r="1103" spans="1:9" ht="12.75" customHeight="1">
      <c r="A1103" s="1019"/>
      <c r="B1103" s="1020"/>
      <c r="C1103" s="1117" t="s">
        <v>428</v>
      </c>
      <c r="E1103" s="1131" t="s">
        <v>501</v>
      </c>
      <c r="F1103" s="1048" t="s">
        <v>502</v>
      </c>
      <c r="G1103" s="1131" t="s">
        <v>503</v>
      </c>
      <c r="H1103" s="1048" t="s">
        <v>709</v>
      </c>
      <c r="I1103" s="1048" t="s">
        <v>502</v>
      </c>
    </row>
    <row r="1104" spans="1:9" ht="12.75" customHeight="1">
      <c r="A1104" s="1019"/>
      <c r="B1104" s="1020"/>
      <c r="C1104" s="1116" t="s">
        <v>368</v>
      </c>
      <c r="E1104" s="986">
        <f>I1102</f>
        <v>614.42775562500003</v>
      </c>
      <c r="F1104" s="986">
        <f>E1104</f>
        <v>614.42775562500003</v>
      </c>
      <c r="G1104" s="986">
        <f>F1104</f>
        <v>614.42775562500003</v>
      </c>
      <c r="H1104" s="986">
        <f>G1104</f>
        <v>614.42775562500003</v>
      </c>
      <c r="I1104" s="986">
        <f>H1104</f>
        <v>614.42775562500003</v>
      </c>
    </row>
    <row r="1105" spans="1:9" ht="12.75" customHeight="1">
      <c r="A1105" s="1019"/>
      <c r="B1105" s="1020"/>
      <c r="C1105" s="792" t="s">
        <v>418</v>
      </c>
      <c r="E1105" s="986"/>
      <c r="F1105" s="986">
        <f>ROUND(0.1*(I1098+I1099+I1100),2)</f>
        <v>31.96</v>
      </c>
      <c r="G1105" s="986">
        <f>ROUND(0.2*(I1098+I1099+I1100),2)</f>
        <v>63.92</v>
      </c>
      <c r="H1105" s="986">
        <f>ROUND(0.3*($I$1098+$I$1099++$I$1100),2)</f>
        <v>95.87</v>
      </c>
      <c r="I1105" s="986">
        <f>ROUND(0.4*($I$1098+$I$1099++$I$1100),2)</f>
        <v>127.83</v>
      </c>
    </row>
    <row r="1106" spans="1:9" ht="12.75" customHeight="1">
      <c r="A1106" s="1019"/>
      <c r="B1106" s="1020"/>
      <c r="E1106" s="986">
        <f>SUM(E1104:E1105)</f>
        <v>614.42775562500003</v>
      </c>
      <c r="F1106" s="986">
        <f>SUM(F1104:F1105)</f>
        <v>646.38775562500007</v>
      </c>
      <c r="G1106" s="986">
        <f>SUM(G1104:G1105)</f>
        <v>678.34775562499999</v>
      </c>
      <c r="H1106" s="986">
        <f>SUM(H1104:H1105)</f>
        <v>710.29775562500004</v>
      </c>
      <c r="I1106" s="986">
        <f>SUM(I1104:I1105)</f>
        <v>742.25775562500007</v>
      </c>
    </row>
    <row r="1107" spans="1:9" ht="12.75" customHeight="1">
      <c r="A1107" s="1019"/>
      <c r="B1107" s="1020"/>
      <c r="C1107" s="1124" t="s">
        <v>1014</v>
      </c>
      <c r="D1107" s="1026">
        <f>$D$3</f>
        <v>0</v>
      </c>
      <c r="E1107" s="986">
        <f>ROUND(E1106*$D$1107,2)</f>
        <v>0</v>
      </c>
      <c r="F1107" s="986">
        <f>ROUND(F1106*$D$1107,2)</f>
        <v>0</v>
      </c>
      <c r="G1107" s="986">
        <f>ROUND(G1106*$D$1107,2)</f>
        <v>0</v>
      </c>
      <c r="H1107" s="986">
        <f>ROUND(H1106*$D$1107,2)</f>
        <v>0</v>
      </c>
      <c r="I1107" s="986">
        <f>ROUND(I1106*$D$1107,2)</f>
        <v>0</v>
      </c>
    </row>
    <row r="1108" spans="1:9" ht="12.75" customHeight="1">
      <c r="A1108" s="1019"/>
      <c r="B1108" s="1020"/>
      <c r="C1108" s="980" t="s">
        <v>198</v>
      </c>
      <c r="D1108" s="980"/>
      <c r="E1108" s="1012">
        <f>SUM(E1106:E1107)</f>
        <v>614.42775562500003</v>
      </c>
      <c r="F1108" s="1012">
        <f>SUM(F1106:F1107)</f>
        <v>646.38775562500007</v>
      </c>
      <c r="G1108" s="1012">
        <f>SUM(G1106:G1107)</f>
        <v>678.34775562499999</v>
      </c>
      <c r="H1108" s="1012">
        <f>SUM(H1106:H1107)</f>
        <v>710.29775562500004</v>
      </c>
      <c r="I1108" s="1012">
        <f>SUM(I1106:I1107)</f>
        <v>742.25775562500007</v>
      </c>
    </row>
    <row r="1109" spans="1:9" ht="204" customHeight="1">
      <c r="A1109" s="1019"/>
      <c r="B1109" s="1020"/>
      <c r="C1109" s="1117" t="s">
        <v>2302</v>
      </c>
      <c r="D1109" s="980" t="s">
        <v>398</v>
      </c>
      <c r="E1109" s="1012"/>
      <c r="F1109" s="1012"/>
      <c r="G1109" s="1012"/>
      <c r="H1109" s="1012"/>
      <c r="I1109" s="986"/>
    </row>
    <row r="1110" spans="1:9" ht="12.75" customHeight="1">
      <c r="A1110" s="1019">
        <f>+A1090+1</f>
        <v>26</v>
      </c>
      <c r="B1110" s="1020"/>
      <c r="C1110" s="1499" t="s">
        <v>1201</v>
      </c>
      <c r="D1110" s="1499"/>
      <c r="E1110" s="1499"/>
      <c r="F1110" s="1499"/>
      <c r="G1110" s="1499"/>
      <c r="H1110" s="1499"/>
      <c r="I1110" s="1499"/>
    </row>
    <row r="1111" spans="1:9" ht="12.75" customHeight="1">
      <c r="A1111" s="1019"/>
      <c r="B1111" s="1051"/>
      <c r="C1111" s="1117" t="s">
        <v>439</v>
      </c>
      <c r="D1111" s="1021"/>
      <c r="E1111" s="1008"/>
      <c r="F1111" s="986"/>
      <c r="G1111" s="1023"/>
      <c r="H1111" s="1118"/>
      <c r="I1111" s="1012"/>
    </row>
    <row r="1112" spans="1:9" ht="12.75" customHeight="1">
      <c r="A1112" s="1019"/>
      <c r="B1112" s="1051"/>
      <c r="C1112" s="1117" t="s">
        <v>557</v>
      </c>
      <c r="D1112" s="980"/>
      <c r="E1112" s="980"/>
      <c r="F1112" s="980"/>
      <c r="G1112" s="980"/>
      <c r="H1112" s="980"/>
      <c r="I1112" s="980"/>
    </row>
    <row r="1113" spans="1:9" ht="25.5" customHeight="1">
      <c r="A1113" s="1019"/>
      <c r="B1113" s="1051"/>
      <c r="C1113" s="792" t="str">
        <f>"Cost of "&amp;LEAD!B26</f>
        <v xml:space="preserve">Cost of High polished Granite 16 to 18 mm thick up to 8' 00" (2.43M)  black </v>
      </c>
      <c r="D1113" s="1021">
        <v>1.1000000000000001</v>
      </c>
      <c r="E1113" s="1022" t="s">
        <v>623</v>
      </c>
      <c r="F1113" s="986">
        <f>LEAD!$P$26</f>
        <v>2445.48515</v>
      </c>
      <c r="G1113" s="1023">
        <v>1</v>
      </c>
      <c r="H1113" s="991" t="str">
        <f>IF(E1113="","",IF(E1113="No.","Each",IF(E1113="Nos.","Each",E1113)))</f>
        <v>Sqmt.</v>
      </c>
      <c r="I1113" s="986">
        <f>IF(G1113="",D1113*F1113,(D1113*F1113/G1113))</f>
        <v>2690.0336650000004</v>
      </c>
    </row>
    <row r="1114" spans="1:9" ht="12.75" customHeight="1">
      <c r="A1114" s="1019"/>
      <c r="B1114" s="1051"/>
      <c r="C1114" s="792" t="s">
        <v>295</v>
      </c>
      <c r="D1114" s="1021">
        <v>1.2E-2</v>
      </c>
      <c r="E1114" s="1022" t="s">
        <v>529</v>
      </c>
      <c r="F1114" s="986">
        <f>LEAD!$P$7</f>
        <v>437.11999999999983</v>
      </c>
      <c r="G1114" s="1023">
        <v>1</v>
      </c>
      <c r="H1114" s="991" t="str">
        <f>IF(E1114="","",IF(E1114="No.","Each",IF(E1114="Nos.","Each",E1114)))</f>
        <v>cu.m.</v>
      </c>
      <c r="I1114" s="986">
        <f>IF(G1114="",D1114*F1114,(D1114*F1114/G1114))</f>
        <v>5.2454399999999985</v>
      </c>
    </row>
    <row r="1115" spans="1:9" ht="12.75" customHeight="1">
      <c r="A1115" s="1019"/>
      <c r="B1115" s="1051"/>
      <c r="C1115" s="792" t="s">
        <v>296</v>
      </c>
      <c r="D1115" s="1021">
        <v>5.76</v>
      </c>
      <c r="E1115" s="1022" t="s">
        <v>364</v>
      </c>
      <c r="F1115" s="986">
        <f>LEAD!$P$28</f>
        <v>7168</v>
      </c>
      <c r="G1115" s="1023">
        <v>1000</v>
      </c>
      <c r="H1115" s="991" t="str">
        <f>IF(E1115="","",IF(E1115="No.","Each",IF(E1115="Nos.","Each",E1115)))</f>
        <v>Kgs</v>
      </c>
      <c r="I1115" s="986">
        <f>IF(G1115="",D1115*F1115,(D1115*F1115/G1115))</f>
        <v>41.287680000000002</v>
      </c>
    </row>
    <row r="1116" spans="1:9" ht="12.75" customHeight="1">
      <c r="A1116" s="1019"/>
      <c r="B1116" s="1051"/>
      <c r="C1116" s="792" t="s">
        <v>153</v>
      </c>
      <c r="D1116" s="1021">
        <v>3.3</v>
      </c>
      <c r="E1116" s="1022" t="s">
        <v>364</v>
      </c>
      <c r="F1116" s="986">
        <f>LEAD!$P$28</f>
        <v>7168</v>
      </c>
      <c r="G1116" s="1023">
        <v>1000</v>
      </c>
      <c r="H1116" s="991" t="str">
        <f>IF(E1116="","",IF(E1116="No.","Each",IF(E1116="Nos.","Each",E1116)))</f>
        <v>Kgs</v>
      </c>
      <c r="I1116" s="986">
        <f>IF(G1116="",D1116*F1116,(D1116*F1116/G1116))</f>
        <v>23.654399999999999</v>
      </c>
    </row>
    <row r="1117" spans="1:9" ht="12.75" customHeight="1">
      <c r="A1117" s="1019"/>
      <c r="B1117" s="1051"/>
      <c r="C1117" s="1117" t="s">
        <v>690</v>
      </c>
      <c r="D1117" s="1021"/>
      <c r="E1117" s="1022"/>
      <c r="F1117" s="986"/>
      <c r="G1117" s="1023"/>
      <c r="H1117" s="991"/>
      <c r="I1117" s="986"/>
    </row>
    <row r="1118" spans="1:9" ht="12.75" customHeight="1">
      <c r="A1118" s="1019"/>
      <c r="B1118" s="1051"/>
      <c r="C1118" s="1115" t="s">
        <v>377</v>
      </c>
      <c r="D1118" s="1021">
        <v>9.6000000000000002E-2</v>
      </c>
      <c r="E1118" s="1003" t="s">
        <v>499</v>
      </c>
      <c r="F1118" s="986">
        <f>$F$9</f>
        <v>545</v>
      </c>
      <c r="G1118" s="1023">
        <v>1</v>
      </c>
      <c r="H1118" s="991" t="str">
        <f>IF(E1118="","",IF(E1118="No.","Each",IF(E1118="Nos.","Each",E1118)))</f>
        <v>Each</v>
      </c>
      <c r="I1118" s="986">
        <f>IF(G1118="",D1118*F1118,(D1118*F1118/G1118))</f>
        <v>52.32</v>
      </c>
    </row>
    <row r="1119" spans="1:9" ht="12.75" customHeight="1">
      <c r="A1119" s="1019"/>
      <c r="B1119" s="1051"/>
      <c r="C1119" s="1115" t="s">
        <v>378</v>
      </c>
      <c r="D1119" s="1021">
        <v>0.224</v>
      </c>
      <c r="E1119" s="1003" t="s">
        <v>499</v>
      </c>
      <c r="F1119" s="986">
        <f>$F$10</f>
        <v>515</v>
      </c>
      <c r="G1119" s="1023">
        <v>1</v>
      </c>
      <c r="H1119" s="991" t="str">
        <f>IF(E1119="","",IF(E1119="No.","Each",IF(E1119="Nos.","Each",E1119)))</f>
        <v>Each</v>
      </c>
      <c r="I1119" s="986">
        <f>IF(G1119="",D1119*F1119,(D1119*F1119/G1119))</f>
        <v>115.36</v>
      </c>
    </row>
    <row r="1120" spans="1:9" ht="12.75" customHeight="1">
      <c r="A1120" s="1019"/>
      <c r="B1120" s="1020"/>
      <c r="C1120" s="792" t="s">
        <v>396</v>
      </c>
      <c r="D1120" s="1021">
        <v>0.31</v>
      </c>
      <c r="E1120" s="1022" t="s">
        <v>499</v>
      </c>
      <c r="F1120" s="986">
        <f>$F$22</f>
        <v>490</v>
      </c>
      <c r="G1120" s="1023">
        <v>1</v>
      </c>
      <c r="H1120" s="991" t="str">
        <f>IF(E1120="","",IF(E1120="No.","Each",IF(E1120="Nos.","Each",E1120)))</f>
        <v>Each</v>
      </c>
      <c r="I1120" s="986">
        <f>IF(G1120="",D1120*F1120,(D1120*F1120/G1120))</f>
        <v>151.9</v>
      </c>
    </row>
    <row r="1121" spans="1:9" ht="25.5" customHeight="1">
      <c r="A1121" s="1019"/>
      <c r="B1121" s="1020"/>
      <c r="C1121" s="792" t="s">
        <v>1041</v>
      </c>
      <c r="D1121" s="1053">
        <v>0.01</v>
      </c>
      <c r="E1121" s="1022"/>
      <c r="F1121" s="986">
        <f>SUM(I1113:I1120)</f>
        <v>3079.8011850000007</v>
      </c>
      <c r="G1121" s="1023"/>
      <c r="H1121" s="991"/>
      <c r="I1121" s="986">
        <f>IF(G1121="",D1121*F1121,(D1121*F1121/G1121))</f>
        <v>30.798011850000009</v>
      </c>
    </row>
    <row r="1122" spans="1:9" ht="12.75" customHeight="1">
      <c r="A1122" s="1019"/>
      <c r="B1122" s="1020"/>
      <c r="C1122" s="980" t="s">
        <v>368</v>
      </c>
      <c r="D1122" s="1021"/>
      <c r="E1122" s="1022"/>
      <c r="F1122" s="986"/>
      <c r="G1122" s="1023"/>
      <c r="H1122" s="1116"/>
      <c r="I1122" s="1012">
        <f>SUM(I1113:I1121)</f>
        <v>3110.5991968500007</v>
      </c>
    </row>
    <row r="1123" spans="1:9" ht="12.75" customHeight="1">
      <c r="A1123" s="1019"/>
      <c r="B1123" s="1020"/>
      <c r="C1123" s="1117" t="s">
        <v>428</v>
      </c>
      <c r="E1123" s="1131" t="s">
        <v>501</v>
      </c>
      <c r="F1123" s="1048" t="s">
        <v>502</v>
      </c>
      <c r="G1123" s="1131" t="s">
        <v>503</v>
      </c>
      <c r="H1123" s="1048" t="s">
        <v>709</v>
      </c>
      <c r="I1123" s="1048" t="s">
        <v>502</v>
      </c>
    </row>
    <row r="1124" spans="1:9" ht="12.75" customHeight="1">
      <c r="A1124" s="1019"/>
      <c r="B1124" s="1020"/>
      <c r="C1124" s="1116" t="s">
        <v>368</v>
      </c>
      <c r="E1124" s="986">
        <f>I1122</f>
        <v>3110.5991968500007</v>
      </c>
      <c r="F1124" s="986">
        <f>E1124</f>
        <v>3110.5991968500007</v>
      </c>
      <c r="G1124" s="986">
        <f>F1124</f>
        <v>3110.5991968500007</v>
      </c>
      <c r="H1124" s="986">
        <f>G1124</f>
        <v>3110.5991968500007</v>
      </c>
      <c r="I1124" s="986">
        <f>H1124</f>
        <v>3110.5991968500007</v>
      </c>
    </row>
    <row r="1125" spans="1:9" ht="12.75" customHeight="1">
      <c r="A1125" s="1019"/>
      <c r="B1125" s="1020"/>
      <c r="C1125" s="792" t="s">
        <v>418</v>
      </c>
      <c r="E1125" s="986"/>
      <c r="F1125" s="986">
        <f>ROUND(0.1*(I1118+I1119+I1120),2)</f>
        <v>31.96</v>
      </c>
      <c r="G1125" s="986">
        <f>ROUND(0.2*(I1118+I1119+I1120),2)</f>
        <v>63.92</v>
      </c>
      <c r="H1125" s="986">
        <f>ROUND(0.3*(I1118+I1119+I1120),2)</f>
        <v>95.87</v>
      </c>
      <c r="I1125" s="986">
        <f>ROUND(0.4*(I1118+I1119+I1120),2)</f>
        <v>127.83</v>
      </c>
    </row>
    <row r="1126" spans="1:9" ht="12.75" customHeight="1">
      <c r="A1126" s="1019"/>
      <c r="B1126" s="1020"/>
      <c r="E1126" s="986">
        <f>SUM(E1124:E1125)</f>
        <v>3110.5991968500007</v>
      </c>
      <c r="F1126" s="986">
        <f>SUM(F1124:F1125)</f>
        <v>3142.5591968500007</v>
      </c>
      <c r="G1126" s="986">
        <f>SUM(G1124:G1125)</f>
        <v>3174.5191968500008</v>
      </c>
      <c r="H1126" s="986">
        <f>SUM(H1124:H1125)</f>
        <v>3206.4691968500006</v>
      </c>
      <c r="I1126" s="986">
        <f>SUM(I1124:I1125)</f>
        <v>3238.4291968500006</v>
      </c>
    </row>
    <row r="1127" spans="1:9" ht="12.75" customHeight="1">
      <c r="A1127" s="1019"/>
      <c r="B1127" s="1020"/>
      <c r="C1127" s="1124" t="s">
        <v>1014</v>
      </c>
      <c r="D1127" s="1026">
        <f>$D$3</f>
        <v>0</v>
      </c>
      <c r="E1127" s="986">
        <f>ROUND(E1126*$D$1107,2)</f>
        <v>0</v>
      </c>
      <c r="F1127" s="986">
        <f>ROUND(F1126*$D$1107,2)</f>
        <v>0</v>
      </c>
      <c r="G1127" s="986">
        <f>ROUND(G1126*$D$1107,2)</f>
        <v>0</v>
      </c>
      <c r="H1127" s="986">
        <f>ROUND(H1126*$D$1107,2)</f>
        <v>0</v>
      </c>
      <c r="I1127" s="986">
        <f>ROUND(I1126*$D$1107,2)</f>
        <v>0</v>
      </c>
    </row>
    <row r="1128" spans="1:9" ht="12.75" customHeight="1">
      <c r="A1128" s="1019"/>
      <c r="B1128" s="1020"/>
      <c r="C1128" s="980" t="s">
        <v>198</v>
      </c>
      <c r="D1128" s="980"/>
      <c r="E1128" s="1012">
        <f>SUM(E1126:E1127)</f>
        <v>3110.5991968500007</v>
      </c>
      <c r="F1128" s="1012">
        <f>SUM(F1126:F1127)</f>
        <v>3142.5591968500007</v>
      </c>
      <c r="G1128" s="1012">
        <f>SUM(G1126:G1127)</f>
        <v>3174.5191968500008</v>
      </c>
      <c r="H1128" s="1012">
        <f>SUM(H1126:H1127)</f>
        <v>3206.4691968500006</v>
      </c>
      <c r="I1128" s="1012">
        <f>SUM(I1126:I1127)</f>
        <v>3238.4291968500006</v>
      </c>
    </row>
    <row r="1129" spans="1:9" ht="12.75" customHeight="1">
      <c r="A1129" s="1019">
        <f>+A1090+1</f>
        <v>26</v>
      </c>
      <c r="B1129" s="1020"/>
      <c r="C1129" s="1493" t="s">
        <v>1202</v>
      </c>
      <c r="D1129" s="1493"/>
      <c r="E1129" s="1493"/>
      <c r="F1129" s="1493"/>
      <c r="G1129" s="1493"/>
      <c r="H1129" s="1493"/>
      <c r="I1129" s="1493"/>
    </row>
    <row r="1130" spans="1:9" ht="12.75" customHeight="1">
      <c r="A1130" s="1019"/>
      <c r="B1130" s="1051"/>
      <c r="C1130" s="1117" t="s">
        <v>197</v>
      </c>
      <c r="D1130" s="1021"/>
      <c r="E1130" s="1008"/>
      <c r="F1130" s="986"/>
      <c r="G1130" s="1023"/>
      <c r="H1130" s="1118"/>
      <c r="I1130" s="1012"/>
    </row>
    <row r="1131" spans="1:9" ht="38.25" customHeight="1">
      <c r="A1131" s="1019"/>
      <c r="B1131" s="1051"/>
      <c r="C1131" s="792" t="str">
        <f>CONCATENATE("cost of ",LEAD!B23)</f>
        <v>cost of Polished Shabad/Tandur blue Slabas 15 to 18 mm thick  (0.457M x 0.457M)</v>
      </c>
      <c r="D1131" s="1021">
        <v>1.1000000000000001</v>
      </c>
      <c r="E1131" s="1022" t="s">
        <v>623</v>
      </c>
      <c r="F1131" s="986">
        <f>LEAD!$P$23</f>
        <v>198.706175</v>
      </c>
      <c r="G1131" s="1023">
        <v>1</v>
      </c>
      <c r="H1131" s="991" t="str">
        <f>IF(E1131="","",IF(E1131="No.","Each",IF(E1131="Nos.","Each",E1131)))</f>
        <v>Sqmt.</v>
      </c>
      <c r="I1131" s="986">
        <f>IF(G1131="",D1131*F1131,(D1131*F1131/G1131))</f>
        <v>218.57679250000001</v>
      </c>
    </row>
    <row r="1132" spans="1:9" ht="12.75" customHeight="1">
      <c r="A1132" s="1019"/>
      <c r="B1132" s="1051"/>
      <c r="C1132" s="792" t="s">
        <v>314</v>
      </c>
      <c r="D1132" s="1021">
        <v>5.46</v>
      </c>
      <c r="E1132" s="1022" t="s">
        <v>364</v>
      </c>
      <c r="F1132" s="986">
        <f>LEAD!$P$28</f>
        <v>7168</v>
      </c>
      <c r="G1132" s="1023">
        <v>1000</v>
      </c>
      <c r="H1132" s="991" t="str">
        <f>IF(E1132="","",IF(E1132="No.","Each",IF(E1132="Nos.","Each",E1132)))</f>
        <v>Kgs</v>
      </c>
      <c r="I1132" s="986">
        <f>IF(G1132="",D1132*F1132,(D1132*F1132/G1132))</f>
        <v>39.137279999999997</v>
      </c>
    </row>
    <row r="1133" spans="1:9" ht="12.75" customHeight="1">
      <c r="A1133" s="1019"/>
      <c r="B1133" s="1051"/>
      <c r="C1133" s="792" t="s">
        <v>292</v>
      </c>
      <c r="D1133" s="1021">
        <f>0.012</f>
        <v>1.2E-2</v>
      </c>
      <c r="E1133" s="1022" t="s">
        <v>644</v>
      </c>
      <c r="F1133" s="986">
        <f>LEAD!$P$7</f>
        <v>437.11999999999983</v>
      </c>
      <c r="G1133" s="1023">
        <v>1</v>
      </c>
      <c r="H1133" s="991" t="str">
        <f>IF(E1133="","",IF(E1133="No.","Each",IF(E1133="Nos.","Each",E1133)))</f>
        <v>cum</v>
      </c>
      <c r="I1133" s="986">
        <f>IF(G1133="",D1133*F1133,(D1133*F1133/G1133))</f>
        <v>5.2454399999999985</v>
      </c>
    </row>
    <row r="1134" spans="1:9" ht="12.75" customHeight="1">
      <c r="A1134" s="1019"/>
      <c r="B1134" s="1051"/>
      <c r="C1134" s="1117" t="s">
        <v>424</v>
      </c>
      <c r="D1134" s="1021"/>
      <c r="E1134" s="1022"/>
      <c r="F1134" s="986"/>
      <c r="G1134" s="1023"/>
      <c r="H1134" s="991"/>
      <c r="I1134" s="986"/>
    </row>
    <row r="1135" spans="1:9" ht="25.5" customHeight="1">
      <c r="A1135" s="1019"/>
      <c r="B1135" s="1051"/>
      <c r="C1135" s="792" t="s">
        <v>293</v>
      </c>
      <c r="D1135" s="1021">
        <v>0.1</v>
      </c>
      <c r="E1135" s="1022" t="s">
        <v>594</v>
      </c>
      <c r="F1135" s="986">
        <v>0</v>
      </c>
      <c r="G1135" s="1023">
        <v>1</v>
      </c>
      <c r="H1135" s="991" t="s">
        <v>594</v>
      </c>
      <c r="I1135" s="986">
        <f>IF(G1135="",D1135*F1135,(D1135*F1135/G1135))</f>
        <v>0</v>
      </c>
    </row>
    <row r="1136" spans="1:9" ht="12.75" customHeight="1">
      <c r="A1136" s="1019"/>
      <c r="B1136" s="1051"/>
      <c r="C1136" s="792" t="s">
        <v>294</v>
      </c>
      <c r="D1136" s="1049">
        <f>$E$5</f>
        <v>0</v>
      </c>
      <c r="E1136" s="1022"/>
      <c r="F1136" s="986"/>
      <c r="G1136" s="1023"/>
      <c r="H1136" s="991"/>
      <c r="I1136" s="986">
        <f>IF(G1136="",D1136*F1136,(D1136*F1136/G1136))</f>
        <v>0</v>
      </c>
    </row>
    <row r="1137" spans="1:9" ht="12.75" customHeight="1">
      <c r="A1137" s="1019"/>
      <c r="B1137" s="1051"/>
      <c r="C1137" s="1117" t="s">
        <v>690</v>
      </c>
      <c r="D1137" s="1021"/>
      <c r="E1137" s="1022"/>
      <c r="F1137" s="986"/>
      <c r="G1137" s="1023"/>
      <c r="H1137" s="991"/>
      <c r="I1137" s="986"/>
    </row>
    <row r="1138" spans="1:9" ht="12.75" customHeight="1">
      <c r="A1138" s="1019"/>
      <c r="B1138" s="1020"/>
      <c r="C1138" s="1115" t="s">
        <v>377</v>
      </c>
      <c r="D1138" s="1021">
        <v>0.31</v>
      </c>
      <c r="E1138" s="1003" t="s">
        <v>499</v>
      </c>
      <c r="F1138" s="986">
        <f>$F$9</f>
        <v>545</v>
      </c>
      <c r="G1138" s="1023">
        <v>1</v>
      </c>
      <c r="H1138" s="991" t="str">
        <f>IF(E1138="","",IF(E1138="No.","Each",IF(E1138="Nos.","Each",E1138)))</f>
        <v>Each</v>
      </c>
      <c r="I1138" s="986">
        <f>IF(G1138="",D1138*F1138,(D1138*F1138/G1138))</f>
        <v>168.95</v>
      </c>
    </row>
    <row r="1139" spans="1:9" ht="12.75" customHeight="1">
      <c r="A1139" s="1019"/>
      <c r="B1139" s="1020"/>
      <c r="C1139" s="1115" t="s">
        <v>378</v>
      </c>
      <c r="D1139" s="1021">
        <v>0.11</v>
      </c>
      <c r="E1139" s="1003" t="s">
        <v>499</v>
      </c>
      <c r="F1139" s="986">
        <f>$F$10</f>
        <v>515</v>
      </c>
      <c r="G1139" s="1023">
        <v>1</v>
      </c>
      <c r="H1139" s="991" t="str">
        <f>IF(E1139="","",IF(E1139="No.","Each",IF(E1139="Nos.","Each",E1139)))</f>
        <v>Each</v>
      </c>
      <c r="I1139" s="986">
        <f>IF(G1139="",D1139*F1139,(D1139*F1139/G1139))</f>
        <v>56.65</v>
      </c>
    </row>
    <row r="1140" spans="1:9" ht="12.75" customHeight="1">
      <c r="A1140" s="1019"/>
      <c r="B1140" s="1020"/>
      <c r="C1140" s="792" t="s">
        <v>396</v>
      </c>
      <c r="D1140" s="1021">
        <v>8.5999999999999993E-2</v>
      </c>
      <c r="E1140" s="1022" t="s">
        <v>499</v>
      </c>
      <c r="F1140" s="986">
        <f>$F$22</f>
        <v>490</v>
      </c>
      <c r="G1140" s="1023">
        <v>1</v>
      </c>
      <c r="H1140" s="991" t="str">
        <f>IF(E1140="","",IF(E1140="No.","Each",IF(E1140="Nos.","Each",E1140)))</f>
        <v>Each</v>
      </c>
      <c r="I1140" s="986">
        <f>IF(G1140="",D1140*F1140,(D1140*F1140/G1140))</f>
        <v>42.139999999999993</v>
      </c>
    </row>
    <row r="1141" spans="1:9" ht="12.75" customHeight="1">
      <c r="A1141" s="1019"/>
      <c r="B1141" s="1020"/>
      <c r="C1141" s="792" t="s">
        <v>897</v>
      </c>
      <c r="D1141" s="1021">
        <f>ROUND(1/0.3,2)*0</f>
        <v>0</v>
      </c>
      <c r="E1141" s="1022" t="s">
        <v>154</v>
      </c>
      <c r="F1141" s="986"/>
      <c r="G1141" s="1023">
        <v>1</v>
      </c>
      <c r="H1141" s="991" t="str">
        <f>IF(E1141="","",IF(E1141="No.","Each",IF(E1141="Nos.","Each",E1141)))</f>
        <v>Rmt.</v>
      </c>
      <c r="I1141" s="986">
        <f>IF(G1141="",D1141*F1141,(D1141*F1141/G1141))</f>
        <v>0</v>
      </c>
    </row>
    <row r="1142" spans="1:9" ht="25.5" customHeight="1">
      <c r="A1142" s="1019"/>
      <c r="B1142" s="1020"/>
      <c r="C1142" s="792" t="s">
        <v>1041</v>
      </c>
      <c r="D1142" s="1053">
        <v>0.01</v>
      </c>
      <c r="E1142" s="1022"/>
      <c r="F1142" s="986">
        <f>SUM(I1131:I1141)</f>
        <v>530.69951249999997</v>
      </c>
      <c r="G1142" s="1023"/>
      <c r="H1142" s="991"/>
      <c r="I1142" s="986">
        <f>IF(G1142="",D1142*F1142,(D1142*F1142/G1142))</f>
        <v>5.3069951249999994</v>
      </c>
    </row>
    <row r="1143" spans="1:9" ht="12.75" customHeight="1">
      <c r="A1143" s="1019"/>
      <c r="B1143" s="1020"/>
      <c r="C1143" s="980" t="s">
        <v>368</v>
      </c>
      <c r="D1143" s="1021"/>
      <c r="E1143" s="1022"/>
      <c r="F1143" s="986"/>
      <c r="G1143" s="1023"/>
      <c r="H1143" s="1116"/>
      <c r="I1143" s="1012">
        <f>SUM(I1131:I1142)</f>
        <v>536.00650762499993</v>
      </c>
    </row>
    <row r="1144" spans="1:9" ht="12.75" customHeight="1">
      <c r="A1144" s="1019"/>
      <c r="B1144" s="1020"/>
      <c r="C1144" s="1117" t="s">
        <v>428</v>
      </c>
      <c r="E1144" s="1131" t="s">
        <v>501</v>
      </c>
      <c r="F1144" s="1048" t="s">
        <v>502</v>
      </c>
      <c r="G1144" s="1131" t="s">
        <v>503</v>
      </c>
      <c r="H1144" s="1048" t="s">
        <v>709</v>
      </c>
      <c r="I1144" s="1048" t="s">
        <v>502</v>
      </c>
    </row>
    <row r="1145" spans="1:9" ht="12.75" customHeight="1">
      <c r="A1145" s="1019"/>
      <c r="B1145" s="1020"/>
      <c r="C1145" s="1116" t="s">
        <v>368</v>
      </c>
      <c r="E1145" s="986">
        <f>I1143</f>
        <v>536.00650762499993</v>
      </c>
      <c r="F1145" s="986">
        <f>I1143</f>
        <v>536.00650762499993</v>
      </c>
      <c r="G1145" s="986">
        <f>I1143</f>
        <v>536.00650762499993</v>
      </c>
      <c r="H1145" s="986">
        <f>I1143</f>
        <v>536.00650762499993</v>
      </c>
      <c r="I1145" s="986">
        <f>I1143</f>
        <v>536.00650762499993</v>
      </c>
    </row>
    <row r="1146" spans="1:9" ht="12.75" customHeight="1">
      <c r="A1146" s="1019"/>
      <c r="B1146" s="1020"/>
      <c r="C1146" s="792" t="s">
        <v>418</v>
      </c>
      <c r="E1146" s="986"/>
      <c r="F1146" s="986">
        <f>ROUND(0.1*(I1140+I1139+I1138),2)</f>
        <v>26.77</v>
      </c>
      <c r="G1146" s="986">
        <f>ROUND(0.2*(I1140+I1139+I1138),2)</f>
        <v>53.55</v>
      </c>
      <c r="H1146" s="986">
        <f>ROUND(0.3*($I$1140+$I$1139+$I$1138),2)</f>
        <v>80.319999999999993</v>
      </c>
      <c r="I1146" s="986">
        <f>ROUND(0.4*($I$1140+$I$1139+$I$1138),2)</f>
        <v>107.1</v>
      </c>
    </row>
    <row r="1147" spans="1:9" ht="12.75" customHeight="1">
      <c r="A1147" s="1019"/>
      <c r="B1147" s="1020"/>
      <c r="E1147" s="986">
        <f>SUM(E1145:E1146)</f>
        <v>536.00650762499993</v>
      </c>
      <c r="F1147" s="986">
        <f>SUM(F1145:F1146)</f>
        <v>562.77650762499991</v>
      </c>
      <c r="G1147" s="986">
        <f>SUM(G1145:G1146)</f>
        <v>589.55650762499988</v>
      </c>
      <c r="H1147" s="986">
        <f>SUM(H1145:H1146)</f>
        <v>616.32650762499998</v>
      </c>
      <c r="I1147" s="986">
        <f>SUM(I1145:I1146)</f>
        <v>643.10650762499995</v>
      </c>
    </row>
    <row r="1148" spans="1:9" ht="12.75" customHeight="1">
      <c r="A1148" s="1019"/>
      <c r="B1148" s="1020"/>
      <c r="C1148" s="1124" t="s">
        <v>1014</v>
      </c>
      <c r="D1148" s="1026">
        <f>$D$3</f>
        <v>0</v>
      </c>
      <c r="E1148" s="986">
        <f>ROUND(E1147*$D$1148,2)</f>
        <v>0</v>
      </c>
      <c r="F1148" s="986">
        <f>ROUND(F1147*$D$1148,2)</f>
        <v>0</v>
      </c>
      <c r="G1148" s="986">
        <f>ROUND(G1147*$D$1148,2)</f>
        <v>0</v>
      </c>
      <c r="H1148" s="986">
        <f>ROUND(H1147*$D$1148,2)</f>
        <v>0</v>
      </c>
      <c r="I1148" s="986">
        <f>ROUND(I1147*$D$1148,2)</f>
        <v>0</v>
      </c>
    </row>
    <row r="1149" spans="1:9" ht="12.75" customHeight="1">
      <c r="A1149" s="1019"/>
      <c r="B1149" s="1020"/>
      <c r="C1149" s="980" t="s">
        <v>198</v>
      </c>
      <c r="D1149" s="980" t="s">
        <v>467</v>
      </c>
      <c r="E1149" s="1012">
        <f>SUM(E1147:E1148)</f>
        <v>536.00650762499993</v>
      </c>
      <c r="F1149" s="1012">
        <f>SUM(F1147:F1148)</f>
        <v>562.77650762499991</v>
      </c>
      <c r="G1149" s="1012">
        <f>SUM(G1147:G1148)</f>
        <v>589.55650762499988</v>
      </c>
      <c r="H1149" s="1012">
        <f>SUM(H1147:H1148)</f>
        <v>616.32650762499998</v>
      </c>
      <c r="I1149" s="1012">
        <f>SUM(I1147:I1148)</f>
        <v>643.10650762499995</v>
      </c>
    </row>
    <row r="1150" spans="1:9" ht="12.75" customHeight="1">
      <c r="A1150" s="1019">
        <f>+A1129+1</f>
        <v>27</v>
      </c>
      <c r="B1150" s="1020"/>
      <c r="C1150" s="1493" t="s">
        <v>1284</v>
      </c>
      <c r="D1150" s="1493"/>
      <c r="E1150" s="1493"/>
      <c r="F1150" s="1493"/>
      <c r="G1150" s="1493"/>
      <c r="H1150" s="1493"/>
      <c r="I1150" s="1493"/>
    </row>
    <row r="1151" spans="1:9" ht="12.75" customHeight="1">
      <c r="A1151" s="1019"/>
      <c r="B1151" s="1051"/>
      <c r="C1151" s="1117" t="s">
        <v>197</v>
      </c>
      <c r="D1151" s="1021"/>
      <c r="E1151" s="1008"/>
      <c r="F1151" s="986"/>
      <c r="G1151" s="1023"/>
      <c r="H1151" s="1118"/>
      <c r="I1151" s="1012"/>
    </row>
    <row r="1152" spans="1:9" ht="25.5" customHeight="1">
      <c r="A1152" s="1019"/>
      <c r="B1152" s="1051"/>
      <c r="C1152" s="1116" t="str">
        <f>CONCATENATE("cost of ",LEAD!B26)</f>
        <v xml:space="preserve">cost of High polished Granite 16 to 18 mm thick up to 8' 00" (2.43M)  black </v>
      </c>
      <c r="D1152" s="1021">
        <v>1.1000000000000001</v>
      </c>
      <c r="E1152" s="1022" t="s">
        <v>623</v>
      </c>
      <c r="F1152" s="986">
        <f>LEAD!$P$26</f>
        <v>2445.48515</v>
      </c>
      <c r="G1152" s="1023">
        <v>1</v>
      </c>
      <c r="H1152" s="991" t="str">
        <f>IF(E1152="","",IF(E1152="No.","Each",IF(E1152="Nos.","Each",E1152)))</f>
        <v>Sqmt.</v>
      </c>
      <c r="I1152" s="986">
        <f>IF(G1152="",D1152*F1152,(D1152*F1152/G1152))</f>
        <v>2690.0336650000004</v>
      </c>
    </row>
    <row r="1153" spans="1:9" ht="12.75" customHeight="1">
      <c r="A1153" s="1019"/>
      <c r="B1153" s="1051"/>
      <c r="C1153" s="792" t="s">
        <v>314</v>
      </c>
      <c r="D1153" s="1021">
        <v>5.46</v>
      </c>
      <c r="E1153" s="1022" t="s">
        <v>364</v>
      </c>
      <c r="F1153" s="986">
        <f>LEAD!$P$28</f>
        <v>7168</v>
      </c>
      <c r="G1153" s="1023">
        <v>1000</v>
      </c>
      <c r="H1153" s="991" t="str">
        <f>IF(E1153="","",IF(E1153="No.","Each",IF(E1153="Nos.","Each",E1153)))</f>
        <v>Kgs</v>
      </c>
      <c r="I1153" s="986">
        <f>IF(G1153="",D1153*F1153,(D1153*F1153/G1153))</f>
        <v>39.137279999999997</v>
      </c>
    </row>
    <row r="1154" spans="1:9" ht="12.75" customHeight="1">
      <c r="A1154" s="1019"/>
      <c r="B1154" s="1051"/>
      <c r="C1154" s="792" t="s">
        <v>292</v>
      </c>
      <c r="D1154" s="1021">
        <v>1.2E-2</v>
      </c>
      <c r="E1154" s="1022" t="s">
        <v>644</v>
      </c>
      <c r="F1154" s="986">
        <f>LEAD!$P$7</f>
        <v>437.11999999999983</v>
      </c>
      <c r="G1154" s="1023">
        <v>1</v>
      </c>
      <c r="H1154" s="991" t="str">
        <f>IF(E1154="","",IF(E1154="No.","Each",IF(E1154="Nos.","Each",E1154)))</f>
        <v>cum</v>
      </c>
      <c r="I1154" s="986">
        <f>IF(G1154="",D1154*F1154,(D1154*F1154/G1154))</f>
        <v>5.2454399999999985</v>
      </c>
    </row>
    <row r="1155" spans="1:9" ht="12.75" customHeight="1">
      <c r="A1155" s="1019"/>
      <c r="B1155" s="1051"/>
      <c r="C1155" s="1117" t="s">
        <v>424</v>
      </c>
      <c r="D1155" s="1021"/>
      <c r="E1155" s="1022"/>
      <c r="F1155" s="986"/>
      <c r="G1155" s="1023"/>
      <c r="H1155" s="991"/>
      <c r="I1155" s="986"/>
    </row>
    <row r="1156" spans="1:9" ht="25.5" customHeight="1">
      <c r="A1156" s="1019"/>
      <c r="B1156" s="1051"/>
      <c r="C1156" s="792" t="s">
        <v>293</v>
      </c>
      <c r="D1156" s="1021">
        <v>0.1</v>
      </c>
      <c r="E1156" s="1022" t="s">
        <v>594</v>
      </c>
      <c r="F1156" s="986">
        <v>0</v>
      </c>
      <c r="G1156" s="1023">
        <v>1</v>
      </c>
      <c r="H1156" s="991" t="s">
        <v>594</v>
      </c>
      <c r="I1156" s="986">
        <f>IF(G1156="",D1156*F1156,(D1156*F1156/G1156))</f>
        <v>0</v>
      </c>
    </row>
    <row r="1157" spans="1:9" ht="12.75" customHeight="1">
      <c r="A1157" s="1019"/>
      <c r="B1157" s="1051"/>
      <c r="C1157" s="792" t="s">
        <v>294</v>
      </c>
      <c r="D1157" s="1049">
        <f>$E$5</f>
        <v>0</v>
      </c>
      <c r="E1157" s="1022"/>
      <c r="F1157" s="986"/>
      <c r="G1157" s="1023"/>
      <c r="H1157" s="991"/>
      <c r="I1157" s="986">
        <f>IF(G1157="",D1157*F1157,(D1157*F1157/G1157))</f>
        <v>0</v>
      </c>
    </row>
    <row r="1158" spans="1:9" ht="12.75" customHeight="1">
      <c r="A1158" s="1019"/>
      <c r="B1158" s="1051"/>
      <c r="C1158" s="1117" t="s">
        <v>690</v>
      </c>
      <c r="D1158" s="1021"/>
      <c r="E1158" s="1022"/>
      <c r="F1158" s="986"/>
      <c r="G1158" s="1023"/>
      <c r="H1158" s="991"/>
      <c r="I1158" s="986"/>
    </row>
    <row r="1159" spans="1:9" ht="12.75" customHeight="1">
      <c r="A1159" s="1019"/>
      <c r="B1159" s="1020"/>
      <c r="C1159" s="1115" t="s">
        <v>377</v>
      </c>
      <c r="D1159" s="1021">
        <v>0.31</v>
      </c>
      <c r="E1159" s="1003" t="s">
        <v>499</v>
      </c>
      <c r="F1159" s="986">
        <f>$F$9</f>
        <v>545</v>
      </c>
      <c r="G1159" s="1023">
        <v>1</v>
      </c>
      <c r="H1159" s="991" t="str">
        <f>IF(E1159="","",IF(E1159="No.","Each",IF(E1159="Nos.","Each",E1159)))</f>
        <v>Each</v>
      </c>
      <c r="I1159" s="986">
        <f>IF(G1159="",D1159*F1159,(D1159*F1159/G1159))</f>
        <v>168.95</v>
      </c>
    </row>
    <row r="1160" spans="1:9" ht="12.75" customHeight="1">
      <c r="A1160" s="1019"/>
      <c r="B1160" s="1020"/>
      <c r="C1160" s="1115" t="s">
        <v>378</v>
      </c>
      <c r="D1160" s="1021">
        <v>0.11</v>
      </c>
      <c r="E1160" s="1003" t="s">
        <v>499</v>
      </c>
      <c r="F1160" s="986">
        <f>$F$10</f>
        <v>515</v>
      </c>
      <c r="G1160" s="1023">
        <v>1</v>
      </c>
      <c r="H1160" s="991" t="str">
        <f>IF(E1160="","",IF(E1160="No.","Each",IF(E1160="Nos.","Each",E1160)))</f>
        <v>Each</v>
      </c>
      <c r="I1160" s="986">
        <f>IF(G1160="",D1160*F1160,(D1160*F1160/G1160))</f>
        <v>56.65</v>
      </c>
    </row>
    <row r="1161" spans="1:9" ht="12.75" customHeight="1">
      <c r="A1161" s="1019"/>
      <c r="B1161" s="1020"/>
      <c r="C1161" s="792" t="s">
        <v>396</v>
      </c>
      <c r="D1161" s="1021">
        <v>8.5999999999999993E-2</v>
      </c>
      <c r="E1161" s="1022" t="s">
        <v>499</v>
      </c>
      <c r="F1161" s="986">
        <f>$F$22</f>
        <v>490</v>
      </c>
      <c r="G1161" s="1023">
        <v>1</v>
      </c>
      <c r="H1161" s="991" t="str">
        <f>IF(E1161="","",IF(E1161="No.","Each",IF(E1161="Nos.","Each",E1161)))</f>
        <v>Each</v>
      </c>
      <c r="I1161" s="986">
        <f>IF(G1161="",D1161*F1161,(D1161*F1161/G1161))</f>
        <v>42.139999999999993</v>
      </c>
    </row>
    <row r="1162" spans="1:9" ht="25.5" customHeight="1">
      <c r="A1162" s="1019"/>
      <c r="B1162" s="1020"/>
      <c r="C1162" s="792" t="s">
        <v>1041</v>
      </c>
      <c r="D1162" s="1053">
        <v>0.01</v>
      </c>
      <c r="E1162" s="1022"/>
      <c r="F1162" s="986">
        <f>SUM(I1152:I1161)</f>
        <v>3002.1563850000002</v>
      </c>
      <c r="G1162" s="1023"/>
      <c r="H1162" s="991"/>
      <c r="I1162" s="986">
        <f>IF(G1162="",D1162*F1162,(D1162*F1162/G1162))</f>
        <v>30.021563850000003</v>
      </c>
    </row>
    <row r="1163" spans="1:9" ht="12.75" customHeight="1">
      <c r="A1163" s="1019"/>
      <c r="B1163" s="1020"/>
      <c r="C1163" s="980" t="s">
        <v>368</v>
      </c>
      <c r="D1163" s="1021"/>
      <c r="E1163" s="1022"/>
      <c r="F1163" s="986"/>
      <c r="G1163" s="1023"/>
      <c r="H1163" s="1116"/>
      <c r="I1163" s="1012">
        <f>SUM(I1152:I1162)</f>
        <v>3032.1779488500001</v>
      </c>
    </row>
    <row r="1164" spans="1:9" ht="12.75" customHeight="1">
      <c r="A1164" s="1019"/>
      <c r="B1164" s="1020"/>
      <c r="C1164" s="1117" t="s">
        <v>428</v>
      </c>
      <c r="E1164" s="1131" t="s">
        <v>501</v>
      </c>
      <c r="F1164" s="1048" t="s">
        <v>502</v>
      </c>
      <c r="G1164" s="1131" t="s">
        <v>503</v>
      </c>
      <c r="H1164" s="1048" t="s">
        <v>709</v>
      </c>
      <c r="I1164" s="1048" t="s">
        <v>502</v>
      </c>
    </row>
    <row r="1165" spans="1:9" ht="12.75" customHeight="1">
      <c r="A1165" s="1019"/>
      <c r="B1165" s="1020"/>
      <c r="C1165" s="1116" t="s">
        <v>368</v>
      </c>
      <c r="E1165" s="986">
        <f>I1163</f>
        <v>3032.1779488500001</v>
      </c>
      <c r="F1165" s="986">
        <f>I1163</f>
        <v>3032.1779488500001</v>
      </c>
      <c r="G1165" s="986">
        <f>I1163</f>
        <v>3032.1779488500001</v>
      </c>
      <c r="H1165" s="986">
        <f>I1163</f>
        <v>3032.1779488500001</v>
      </c>
      <c r="I1165" s="986">
        <f>I1163</f>
        <v>3032.1779488500001</v>
      </c>
    </row>
    <row r="1166" spans="1:9" ht="12.75" customHeight="1">
      <c r="A1166" s="1019"/>
      <c r="B1166" s="1020"/>
      <c r="C1166" s="792" t="s">
        <v>418</v>
      </c>
      <c r="E1166" s="986"/>
      <c r="F1166" s="986">
        <f>ROUND(0.1*(I1161+I1160+I1159),2)</f>
        <v>26.77</v>
      </c>
      <c r="G1166" s="986">
        <f>ROUND(0.2*(I1161+I1160+I1159),2)</f>
        <v>53.55</v>
      </c>
      <c r="H1166" s="986">
        <f>ROUND(0.3*(I1161+I1160+I1159),2)</f>
        <v>80.319999999999993</v>
      </c>
      <c r="I1166" s="986">
        <f>ROUND(0.4*(I1161+I1160+I1159),2)</f>
        <v>107.1</v>
      </c>
    </row>
    <row r="1167" spans="1:9" ht="12.75" customHeight="1">
      <c r="A1167" s="1019"/>
      <c r="B1167" s="1020"/>
      <c r="E1167" s="986">
        <f>SUM(E1165:E1166)</f>
        <v>3032.1779488500001</v>
      </c>
      <c r="F1167" s="986">
        <f>SUM(F1165:F1166)</f>
        <v>3058.9479488500001</v>
      </c>
      <c r="G1167" s="986">
        <f>SUM(G1165:G1166)</f>
        <v>3085.7279488500003</v>
      </c>
      <c r="H1167" s="986">
        <f>SUM(H1165:H1166)</f>
        <v>3112.4979488500003</v>
      </c>
      <c r="I1167" s="986">
        <f>SUM(I1165:I1166)</f>
        <v>3139.27794885</v>
      </c>
    </row>
    <row r="1168" spans="1:9" ht="12.75" customHeight="1">
      <c r="A1168" s="1019"/>
      <c r="B1168" s="1020"/>
      <c r="C1168" s="1124" t="s">
        <v>1014</v>
      </c>
      <c r="D1168" s="1026">
        <f>$D$3</f>
        <v>0</v>
      </c>
      <c r="E1168" s="986">
        <f>ROUND(E1167*$D$1148,2)</f>
        <v>0</v>
      </c>
      <c r="F1168" s="986">
        <f>ROUND(F1167*$D$1148,2)</f>
        <v>0</v>
      </c>
      <c r="G1168" s="986">
        <f>ROUND(G1167*$D$1148,2)</f>
        <v>0</v>
      </c>
      <c r="H1168" s="986">
        <f>ROUND(H1167*$D$1148,2)</f>
        <v>0</v>
      </c>
      <c r="I1168" s="986">
        <f>ROUND(I1167*$D$1148,2)</f>
        <v>0</v>
      </c>
    </row>
    <row r="1169" spans="1:9" ht="12.75" customHeight="1">
      <c r="A1169" s="1019"/>
      <c r="B1169" s="1020"/>
      <c r="C1169" s="980" t="s">
        <v>198</v>
      </c>
      <c r="D1169" s="980" t="s">
        <v>467</v>
      </c>
      <c r="E1169" s="1012">
        <f>SUM(E1167:E1168)</f>
        <v>3032.1779488500001</v>
      </c>
      <c r="F1169" s="1012">
        <f>SUM(F1167:F1168)</f>
        <v>3058.9479488500001</v>
      </c>
      <c r="G1169" s="1012">
        <f>SUM(G1167:G1168)</f>
        <v>3085.7279488500003</v>
      </c>
      <c r="H1169" s="1012">
        <f>SUM(H1167:H1168)</f>
        <v>3112.4979488500003</v>
      </c>
      <c r="I1169" s="1012">
        <f>SUM(I1167:I1168)</f>
        <v>3139.27794885</v>
      </c>
    </row>
    <row r="1170" spans="1:9" ht="12.75" customHeight="1">
      <c r="A1170" s="1019">
        <f>+A1150+1</f>
        <v>28</v>
      </c>
      <c r="B1170" s="1020"/>
      <c r="C1170" s="1493" t="s">
        <v>1162</v>
      </c>
      <c r="D1170" s="1493"/>
      <c r="E1170" s="1493"/>
      <c r="F1170" s="1493"/>
      <c r="G1170" s="1493"/>
      <c r="H1170" s="1493"/>
      <c r="I1170" s="1493"/>
    </row>
    <row r="1171" spans="1:9" ht="12.75" customHeight="1">
      <c r="A1171" s="1019"/>
      <c r="B1171" s="1020"/>
      <c r="C1171" s="1116" t="s">
        <v>155</v>
      </c>
      <c r="D1171" s="984">
        <v>1.7000000000000001E-2</v>
      </c>
      <c r="E1171" s="986" t="s">
        <v>644</v>
      </c>
      <c r="F1171" s="986">
        <f>(LEAD!$P$19+LEAD!$P$18+LEAD!$P$17)/3</f>
        <v>1426.0033333333331</v>
      </c>
      <c r="G1171" s="1054">
        <v>1</v>
      </c>
      <c r="H1171" s="991" t="str">
        <f t="shared" ref="H1171:H1177" si="148">IF(E1171="","",IF(E1171="No.","Each",IF(E1171="Nos.","Each",E1171)))</f>
        <v>cum</v>
      </c>
      <c r="I1171" s="986">
        <f t="shared" ref="I1171:I1177" si="149">IF(G1171="",D1171*F1171,(D1171*F1171/G1171))</f>
        <v>24.242056666666663</v>
      </c>
    </row>
    <row r="1172" spans="1:9" ht="12.75" customHeight="1">
      <c r="A1172" s="1019"/>
      <c r="B1172" s="1020"/>
      <c r="C1172" s="1116" t="s">
        <v>519</v>
      </c>
      <c r="D1172" s="984">
        <f>0.0085</f>
        <v>8.5000000000000006E-3</v>
      </c>
      <c r="E1172" s="986" t="s">
        <v>644</v>
      </c>
      <c r="F1172" s="986">
        <f>LEAD!$P$7</f>
        <v>437.11999999999983</v>
      </c>
      <c r="G1172" s="1054">
        <v>1</v>
      </c>
      <c r="H1172" s="991" t="str">
        <f t="shared" si="148"/>
        <v>cum</v>
      </c>
      <c r="I1172" s="986">
        <f t="shared" si="149"/>
        <v>3.7155199999999988</v>
      </c>
    </row>
    <row r="1173" spans="1:9" ht="12.75" customHeight="1">
      <c r="A1173" s="1019"/>
      <c r="B1173" s="1020"/>
      <c r="C1173" s="1116" t="s">
        <v>235</v>
      </c>
      <c r="D1173" s="984">
        <v>12</v>
      </c>
      <c r="E1173" s="986" t="s">
        <v>364</v>
      </c>
      <c r="F1173" s="986">
        <f>LEAD!$P$28</f>
        <v>7168</v>
      </c>
      <c r="G1173" s="1054">
        <v>1000</v>
      </c>
      <c r="H1173" s="991" t="str">
        <f t="shared" si="148"/>
        <v>Kgs</v>
      </c>
      <c r="I1173" s="986">
        <f t="shared" si="149"/>
        <v>86.016000000000005</v>
      </c>
    </row>
    <row r="1174" spans="1:9" ht="12.75" customHeight="1">
      <c r="A1174" s="1019"/>
      <c r="B1174" s="1020"/>
      <c r="C1174" s="1116" t="s">
        <v>156</v>
      </c>
      <c r="D1174" s="987">
        <v>0.1</v>
      </c>
      <c r="E1174" s="986" t="s">
        <v>644</v>
      </c>
      <c r="F1174" s="986">
        <f>D275</f>
        <v>3537.2797999999993</v>
      </c>
      <c r="G1174" s="1054">
        <v>1</v>
      </c>
      <c r="H1174" s="991" t="str">
        <f>IF(E1174="","",IF(E1174="No.","Each",IF(E1174="Nos.","Each",E1174)))</f>
        <v>cum</v>
      </c>
      <c r="I1174" s="986">
        <f>IF(G1174="",D1174*F1174,(D1174*F1174/G1174))</f>
        <v>353.72797999999995</v>
      </c>
    </row>
    <row r="1175" spans="1:9" ht="12.75" customHeight="1">
      <c r="A1175" s="1019"/>
      <c r="B1175" s="1020"/>
      <c r="C1175" s="1115" t="s">
        <v>377</v>
      </c>
      <c r="D1175" s="1021">
        <v>0.125</v>
      </c>
      <c r="E1175" s="1003" t="s">
        <v>499</v>
      </c>
      <c r="F1175" s="986">
        <f>$F$9</f>
        <v>545</v>
      </c>
      <c r="G1175" s="1023">
        <v>1</v>
      </c>
      <c r="H1175" s="991" t="str">
        <f t="shared" si="148"/>
        <v>Each</v>
      </c>
      <c r="I1175" s="986">
        <f t="shared" si="149"/>
        <v>68.125</v>
      </c>
    </row>
    <row r="1176" spans="1:9" ht="12.75" customHeight="1">
      <c r="A1176" s="1019"/>
      <c r="B1176" s="1020"/>
      <c r="C1176" s="1115" t="s">
        <v>378</v>
      </c>
      <c r="D1176" s="1021">
        <v>6.0000000000000001E-3</v>
      </c>
      <c r="E1176" s="1003" t="s">
        <v>499</v>
      </c>
      <c r="F1176" s="986">
        <f>$F$10</f>
        <v>515</v>
      </c>
      <c r="G1176" s="1023">
        <v>1</v>
      </c>
      <c r="H1176" s="991" t="str">
        <f t="shared" si="148"/>
        <v>Each</v>
      </c>
      <c r="I1176" s="986">
        <f t="shared" si="149"/>
        <v>3.09</v>
      </c>
    </row>
    <row r="1177" spans="1:9" ht="12.75" customHeight="1">
      <c r="A1177" s="1019"/>
      <c r="B1177" s="1020"/>
      <c r="C1177" s="792" t="s">
        <v>657</v>
      </c>
      <c r="D1177" s="1021">
        <v>0.3</v>
      </c>
      <c r="E1177" s="1022" t="s">
        <v>499</v>
      </c>
      <c r="F1177" s="986">
        <f>$F$22</f>
        <v>490</v>
      </c>
      <c r="G1177" s="1023">
        <v>1</v>
      </c>
      <c r="H1177" s="991" t="str">
        <f t="shared" si="148"/>
        <v>Each</v>
      </c>
      <c r="I1177" s="986">
        <f t="shared" si="149"/>
        <v>147</v>
      </c>
    </row>
    <row r="1178" spans="1:9" ht="12.75" customHeight="1">
      <c r="A1178" s="1019"/>
      <c r="B1178" s="1020"/>
      <c r="C1178" s="979"/>
      <c r="E1178" s="1022"/>
      <c r="F1178" s="986"/>
      <c r="G1178" s="1023"/>
      <c r="H1178" s="991"/>
      <c r="I1178" s="986">
        <f>SUM(I1171:I1177)</f>
        <v>685.91655666666668</v>
      </c>
    </row>
    <row r="1179" spans="1:9" ht="12.75" customHeight="1">
      <c r="A1179" s="1019"/>
      <c r="B1179" s="1020"/>
      <c r="C1179" s="1124" t="s">
        <v>1014</v>
      </c>
      <c r="D1179" s="1026">
        <f>$D$3</f>
        <v>0</v>
      </c>
      <c r="E1179" s="1022"/>
      <c r="F1179" s="986">
        <f>I1178</f>
        <v>685.91655666666668</v>
      </c>
      <c r="G1179" s="1023"/>
      <c r="H1179" s="991"/>
      <c r="I1179" s="986">
        <f>F1179*D1179</f>
        <v>0</v>
      </c>
    </row>
    <row r="1180" spans="1:9" ht="12.75" customHeight="1">
      <c r="A1180" s="1019"/>
      <c r="B1180" s="1020"/>
      <c r="C1180" s="980" t="s">
        <v>425</v>
      </c>
      <c r="D1180" s="1021"/>
      <c r="E1180" s="1003"/>
      <c r="F1180" s="986"/>
      <c r="G1180" s="1023"/>
      <c r="H1180" s="980" t="s">
        <v>466</v>
      </c>
      <c r="I1180" s="1012">
        <f>CEILING(SUM(I1178:I1179),0.05)</f>
        <v>685.95</v>
      </c>
    </row>
    <row r="1181" spans="1:9" ht="12.75" customHeight="1">
      <c r="A1181" s="1019">
        <f>+A1129+1</f>
        <v>27</v>
      </c>
      <c r="B1181" s="1020"/>
      <c r="C1181" s="1493" t="s">
        <v>1203</v>
      </c>
      <c r="D1181" s="1493"/>
      <c r="E1181" s="1493"/>
      <c r="F1181" s="1493"/>
      <c r="G1181" s="1493"/>
      <c r="H1181" s="1493"/>
      <c r="I1181" s="1493"/>
    </row>
    <row r="1182" spans="1:9">
      <c r="A1182" s="1019"/>
      <c r="B1182" s="1020"/>
      <c r="C1182" s="1117" t="s">
        <v>557</v>
      </c>
      <c r="D1182" s="1021"/>
      <c r="E1182" s="1022"/>
      <c r="F1182" s="986"/>
      <c r="G1182" s="1023"/>
      <c r="H1182" s="1116"/>
      <c r="I1182" s="1012"/>
    </row>
    <row r="1183" spans="1:9">
      <c r="A1183" s="1019"/>
      <c r="B1183" s="1020"/>
      <c r="C1183" s="792" t="s">
        <v>157</v>
      </c>
      <c r="D1183" s="1021">
        <v>1.05</v>
      </c>
      <c r="E1183" s="1022" t="s">
        <v>623</v>
      </c>
      <c r="F1183" s="986">
        <f>F140</f>
        <v>315</v>
      </c>
      <c r="G1183" s="1023">
        <v>1</v>
      </c>
      <c r="H1183" s="991" t="str">
        <f t="shared" ref="H1183:H1191" si="150">IF(E1183="","",IF(E1183="No.","Each",IF(E1183="Nos.","Each",E1183)))</f>
        <v>Sqmt.</v>
      </c>
      <c r="I1183" s="986">
        <f t="shared" ref="I1183:I1192" si="151">IF(G1183="",D1183*F1183,(D1183*F1183/G1183))</f>
        <v>330.75</v>
      </c>
    </row>
    <row r="1184" spans="1:9">
      <c r="A1184" s="1019"/>
      <c r="B1184" s="1020"/>
      <c r="C1184" s="1116" t="s">
        <v>519</v>
      </c>
      <c r="D1184" s="984">
        <f>0.012</f>
        <v>1.2E-2</v>
      </c>
      <c r="E1184" s="986" t="s">
        <v>644</v>
      </c>
      <c r="F1184" s="986">
        <f>LEAD!$P$7</f>
        <v>437.11999999999983</v>
      </c>
      <c r="G1184" s="1054">
        <v>1</v>
      </c>
      <c r="H1184" s="991" t="str">
        <f t="shared" si="150"/>
        <v>cum</v>
      </c>
      <c r="I1184" s="986">
        <f t="shared" si="151"/>
        <v>5.2454399999999985</v>
      </c>
    </row>
    <row r="1185" spans="1:9">
      <c r="A1185" s="1019"/>
      <c r="B1185" s="1020"/>
      <c r="C1185" s="1116" t="s">
        <v>235</v>
      </c>
      <c r="D1185" s="984">
        <v>2.16</v>
      </c>
      <c r="E1185" s="986" t="s">
        <v>364</v>
      </c>
      <c r="F1185" s="986">
        <f>LEAD!$P$28</f>
        <v>7168</v>
      </c>
      <c r="G1185" s="1054">
        <v>1000</v>
      </c>
      <c r="H1185" s="991" t="str">
        <f t="shared" si="150"/>
        <v>Kgs</v>
      </c>
      <c r="I1185" s="986">
        <f t="shared" si="151"/>
        <v>15.482880000000002</v>
      </c>
    </row>
    <row r="1186" spans="1:9">
      <c r="A1186" s="1019"/>
      <c r="B1186" s="1020"/>
      <c r="C1186" s="792" t="s">
        <v>158</v>
      </c>
      <c r="D1186" s="1021">
        <v>3.3</v>
      </c>
      <c r="E1186" s="1022" t="s">
        <v>364</v>
      </c>
      <c r="F1186" s="986">
        <f>LEAD!P28</f>
        <v>7168</v>
      </c>
      <c r="G1186" s="1023">
        <v>1000</v>
      </c>
      <c r="H1186" s="991" t="str">
        <f t="shared" si="150"/>
        <v>Kgs</v>
      </c>
      <c r="I1186" s="986">
        <f t="shared" si="151"/>
        <v>23.654399999999999</v>
      </c>
    </row>
    <row r="1187" spans="1:9">
      <c r="A1187" s="1019"/>
      <c r="B1187" s="1020"/>
      <c r="C1187" s="792" t="s">
        <v>159</v>
      </c>
      <c r="D1187" s="1021">
        <v>0.2</v>
      </c>
      <c r="E1187" s="1022" t="s">
        <v>364</v>
      </c>
      <c r="F1187" s="986">
        <f>F122</f>
        <v>31</v>
      </c>
      <c r="G1187" s="1023">
        <v>1</v>
      </c>
      <c r="H1187" s="991" t="str">
        <f t="shared" si="150"/>
        <v>Kgs</v>
      </c>
      <c r="I1187" s="986">
        <f t="shared" si="151"/>
        <v>6.2</v>
      </c>
    </row>
    <row r="1188" spans="1:9">
      <c r="A1188" s="1019"/>
      <c r="B1188" s="1020"/>
      <c r="C1188" s="1117" t="s">
        <v>690</v>
      </c>
      <c r="D1188" s="1021"/>
      <c r="E1188" s="1022"/>
      <c r="F1188" s="986"/>
      <c r="G1188" s="1023"/>
      <c r="H1188" s="991"/>
      <c r="I1188" s="986"/>
    </row>
    <row r="1189" spans="1:9">
      <c r="A1189" s="1019"/>
      <c r="B1189" s="1020"/>
      <c r="C1189" s="1115" t="s">
        <v>377</v>
      </c>
      <c r="D1189" s="1021">
        <v>9.6000000000000002E-2</v>
      </c>
      <c r="E1189" s="1003" t="s">
        <v>499</v>
      </c>
      <c r="F1189" s="986">
        <f>$F$9</f>
        <v>545</v>
      </c>
      <c r="G1189" s="1023">
        <v>1</v>
      </c>
      <c r="H1189" s="991" t="str">
        <f t="shared" si="150"/>
        <v>Each</v>
      </c>
      <c r="I1189" s="986">
        <f t="shared" si="151"/>
        <v>52.32</v>
      </c>
    </row>
    <row r="1190" spans="1:9">
      <c r="A1190" s="1019"/>
      <c r="B1190" s="1020"/>
      <c r="C1190" s="1115" t="s">
        <v>378</v>
      </c>
      <c r="D1190" s="1021">
        <v>0.224</v>
      </c>
      <c r="E1190" s="1003" t="s">
        <v>499</v>
      </c>
      <c r="F1190" s="986">
        <f>$F$10</f>
        <v>515</v>
      </c>
      <c r="G1190" s="1023">
        <v>1</v>
      </c>
      <c r="H1190" s="991" t="str">
        <f t="shared" si="150"/>
        <v>Each</v>
      </c>
      <c r="I1190" s="986">
        <f t="shared" si="151"/>
        <v>115.36</v>
      </c>
    </row>
    <row r="1191" spans="1:9">
      <c r="A1191" s="1019"/>
      <c r="B1191" s="1020"/>
      <c r="C1191" s="792" t="s">
        <v>396</v>
      </c>
      <c r="D1191" s="1021">
        <v>0.33</v>
      </c>
      <c r="E1191" s="1022" t="s">
        <v>499</v>
      </c>
      <c r="F1191" s="986">
        <f>$F$22</f>
        <v>490</v>
      </c>
      <c r="G1191" s="1023">
        <v>1</v>
      </c>
      <c r="H1191" s="991" t="str">
        <f t="shared" si="150"/>
        <v>Each</v>
      </c>
      <c r="I1191" s="986">
        <f t="shared" si="151"/>
        <v>161.70000000000002</v>
      </c>
    </row>
    <row r="1192" spans="1:9">
      <c r="A1192" s="1019"/>
      <c r="B1192" s="1020"/>
      <c r="C1192" s="792" t="s">
        <v>1041</v>
      </c>
      <c r="D1192" s="1053">
        <v>0.01</v>
      </c>
      <c r="E1192" s="1022"/>
      <c r="F1192" s="986">
        <f>SUM(I1183:I1191)</f>
        <v>710.71271999999999</v>
      </c>
      <c r="G1192" s="1023"/>
      <c r="H1192" s="991"/>
      <c r="I1192" s="986">
        <f t="shared" si="151"/>
        <v>7.1071271999999999</v>
      </c>
    </row>
    <row r="1193" spans="1:9">
      <c r="A1193" s="1019"/>
      <c r="B1193" s="1020"/>
      <c r="C1193" s="980" t="s">
        <v>368</v>
      </c>
      <c r="D1193" s="1021"/>
      <c r="E1193" s="1022"/>
      <c r="F1193" s="986"/>
      <c r="G1193" s="1023"/>
      <c r="H1193" s="1116"/>
      <c r="I1193" s="1012">
        <f>SUM(I1183:I1192)</f>
        <v>717.81984720000003</v>
      </c>
    </row>
    <row r="1194" spans="1:9">
      <c r="A1194" s="1019"/>
      <c r="B1194" s="1020"/>
      <c r="C1194" s="1117" t="s">
        <v>428</v>
      </c>
      <c r="E1194" s="1131" t="s">
        <v>501</v>
      </c>
      <c r="F1194" s="1048" t="s">
        <v>502</v>
      </c>
      <c r="G1194" s="1131" t="s">
        <v>503</v>
      </c>
      <c r="H1194" s="1048" t="s">
        <v>709</v>
      </c>
      <c r="I1194" s="1048" t="s">
        <v>502</v>
      </c>
    </row>
    <row r="1195" spans="1:9">
      <c r="A1195" s="1019"/>
      <c r="B1195" s="1020"/>
      <c r="C1195" s="1116" t="s">
        <v>368</v>
      </c>
      <c r="E1195" s="986">
        <f>I1193</f>
        <v>717.81984720000003</v>
      </c>
      <c r="F1195" s="986">
        <f>I1193</f>
        <v>717.81984720000003</v>
      </c>
      <c r="G1195" s="986">
        <f>I1193</f>
        <v>717.81984720000003</v>
      </c>
      <c r="H1195" s="986">
        <f>I1193</f>
        <v>717.81984720000003</v>
      </c>
      <c r="I1195" s="986">
        <f>I1193</f>
        <v>717.81984720000003</v>
      </c>
    </row>
    <row r="1196" spans="1:9">
      <c r="A1196" s="1019"/>
      <c r="B1196" s="1020"/>
      <c r="C1196" s="792" t="s">
        <v>418</v>
      </c>
      <c r="E1196" s="986"/>
      <c r="F1196" s="986">
        <f>ROUND(0.1*(I1190+I1191+I1189),2)</f>
        <v>32.94</v>
      </c>
      <c r="G1196" s="986">
        <f>ROUND(0.2*(I1190+I1191+I1189),2)</f>
        <v>65.88</v>
      </c>
      <c r="H1196" s="986">
        <f>ROUND(0.3*(I1190+I1191+I1189),2)</f>
        <v>98.81</v>
      </c>
      <c r="I1196" s="986">
        <f>ROUND(0.4*(I1190+I1191+I1189),2)</f>
        <v>131.75</v>
      </c>
    </row>
    <row r="1197" spans="1:9">
      <c r="A1197" s="1019"/>
      <c r="B1197" s="1020"/>
      <c r="E1197" s="986">
        <f>SUM(E1195:E1196)</f>
        <v>717.81984720000003</v>
      </c>
      <c r="F1197" s="986">
        <f>SUM(F1195:F1196)</f>
        <v>750.75984719999997</v>
      </c>
      <c r="G1197" s="986">
        <f>SUM(G1195:G1196)</f>
        <v>783.69984720000002</v>
      </c>
      <c r="H1197" s="986">
        <f>SUM(H1195:H1196)</f>
        <v>816.62984720000009</v>
      </c>
      <c r="I1197" s="986">
        <f>SUM(I1195:I1196)</f>
        <v>849.56984720000003</v>
      </c>
    </row>
    <row r="1198" spans="1:9">
      <c r="A1198" s="1019"/>
      <c r="B1198" s="1020"/>
      <c r="C1198" s="1124" t="s">
        <v>1014</v>
      </c>
      <c r="D1198" s="1026">
        <f>$D$3</f>
        <v>0</v>
      </c>
      <c r="E1198" s="986">
        <f>ROUND(E1197*$D$1198,2)</f>
        <v>0</v>
      </c>
      <c r="F1198" s="986">
        <f>ROUND(F1197*$D$1198,2)</f>
        <v>0</v>
      </c>
      <c r="G1198" s="986">
        <f>ROUND(G1197*$D$1198,2)</f>
        <v>0</v>
      </c>
      <c r="H1198" s="986">
        <f>ROUND(H1197*$D$1198,2)</f>
        <v>0</v>
      </c>
      <c r="I1198" s="986">
        <f>ROUND(I1197*$D$1198,2)</f>
        <v>0</v>
      </c>
    </row>
    <row r="1199" spans="1:9">
      <c r="A1199" s="1019"/>
      <c r="B1199" s="1020"/>
      <c r="C1199" s="980" t="s">
        <v>198</v>
      </c>
      <c r="D1199" s="980"/>
      <c r="E1199" s="1012">
        <f>CEILING(SUM(E1197:E1198),0.05)</f>
        <v>717.85</v>
      </c>
      <c r="F1199" s="1012">
        <f>CEILING(SUM(F1197:F1198),0.05)</f>
        <v>750.80000000000007</v>
      </c>
      <c r="G1199" s="1012">
        <f>CEILING(SUM(G1197:G1198),0.05)</f>
        <v>783.7</v>
      </c>
      <c r="H1199" s="1012">
        <f>CEILING(SUM(H1197:H1198),0.05)</f>
        <v>816.65000000000009</v>
      </c>
      <c r="I1199" s="1012">
        <f>CEILING(SUM(I1197:I1198),0.05)</f>
        <v>849.6</v>
      </c>
    </row>
    <row r="1200" spans="1:9" ht="12.75" customHeight="1">
      <c r="A1200" s="1019">
        <f>A1181+1</f>
        <v>28</v>
      </c>
      <c r="B1200" s="1020"/>
      <c r="C1200" s="1493" t="s">
        <v>1204</v>
      </c>
      <c r="D1200" s="1493"/>
      <c r="E1200" s="1493"/>
      <c r="F1200" s="1493"/>
      <c r="G1200" s="1493"/>
      <c r="H1200" s="1493"/>
      <c r="I1200" s="1493"/>
    </row>
    <row r="1201" spans="1:9">
      <c r="A1201" s="1019"/>
      <c r="B1201" s="1020"/>
      <c r="C1201" s="792" t="s">
        <v>1205</v>
      </c>
      <c r="D1201" s="1021">
        <v>1.05</v>
      </c>
      <c r="E1201" s="1022" t="s">
        <v>186</v>
      </c>
      <c r="F1201" s="986">
        <f>F138</f>
        <v>315</v>
      </c>
      <c r="G1201" s="1023">
        <v>1</v>
      </c>
      <c r="H1201" s="991" t="str">
        <f>IF(E1201="","",IF(E1201="No.","Each",IF(E1201="Nos.","Each",E1201)))</f>
        <v>Sqmt</v>
      </c>
      <c r="I1201" s="986">
        <f>IF(G1201="",D1201*F1201,(D1201*F1201/G1201))</f>
        <v>330.75</v>
      </c>
    </row>
    <row r="1202" spans="1:9">
      <c r="A1202" s="1019"/>
      <c r="B1202" s="1020"/>
      <c r="C1202" s="792" t="s">
        <v>160</v>
      </c>
      <c r="D1202" s="1021">
        <v>0.33</v>
      </c>
      <c r="E1202" s="1022" t="s">
        <v>364</v>
      </c>
      <c r="F1202" s="986">
        <f>LEAD!$P$28</f>
        <v>7168</v>
      </c>
      <c r="G1202" s="1023">
        <v>1000</v>
      </c>
      <c r="H1202" s="991" t="str">
        <f>IF(E1202="","",IF(E1202="No.","Each",IF(E1202="Nos.","Each",E1202)))</f>
        <v>Kgs</v>
      </c>
      <c r="I1202" s="986">
        <f>IF(G1202="",D1202*F1202,(D1202*F1202/G1202))</f>
        <v>2.36544</v>
      </c>
    </row>
    <row r="1203" spans="1:9">
      <c r="A1203" s="1019"/>
      <c r="B1203" s="1020"/>
      <c r="C1203" s="792" t="s">
        <v>161</v>
      </c>
      <c r="D1203" s="1021">
        <v>0.6</v>
      </c>
      <c r="E1203" s="1022" t="s">
        <v>364</v>
      </c>
      <c r="F1203" s="986">
        <f>F122</f>
        <v>31</v>
      </c>
      <c r="G1203" s="1023">
        <v>1</v>
      </c>
      <c r="H1203" s="991" t="str">
        <f>IF(E1203="","",IF(E1203="No.","Each",IF(E1203="Nos.","Each",E1203)))</f>
        <v>Kgs</v>
      </c>
      <c r="I1203" s="986">
        <f>IF(G1203="",D1203*F1203,(D1203*F1203/G1203))</f>
        <v>18.599999999999998</v>
      </c>
    </row>
    <row r="1204" spans="1:9">
      <c r="A1204" s="1019"/>
      <c r="B1204" s="1020"/>
      <c r="C1204" s="792" t="s">
        <v>354</v>
      </c>
      <c r="D1204" s="1021">
        <v>3.45</v>
      </c>
      <c r="E1204" s="1022" t="s">
        <v>364</v>
      </c>
      <c r="F1204" s="986">
        <f>ROUND(F1202/1000,2)</f>
        <v>7.17</v>
      </c>
      <c r="G1204" s="1023">
        <v>1</v>
      </c>
      <c r="H1204" s="991" t="str">
        <f>IF(E1204="","",IF(E1204="No.","Each",IF(E1204="Nos.","Each",E1204)))</f>
        <v>Kgs</v>
      </c>
      <c r="I1204" s="986">
        <f>IF(G1204="",D1204*F1204,(D1204*F1204/G1204))</f>
        <v>24.736499999999999</v>
      </c>
    </row>
    <row r="1205" spans="1:9">
      <c r="A1205" s="1019"/>
      <c r="B1205" s="1020"/>
      <c r="C1205" s="792" t="s">
        <v>355</v>
      </c>
      <c r="D1205" s="1021">
        <f>0.012</f>
        <v>1.2E-2</v>
      </c>
      <c r="E1205" s="1022" t="s">
        <v>465</v>
      </c>
      <c r="F1205" s="986">
        <f>LEAD!P7</f>
        <v>437.11999999999983</v>
      </c>
      <c r="G1205" s="1023">
        <v>1</v>
      </c>
      <c r="H1205" s="991" t="str">
        <f>IF(E1205="","",IF(E1205="No.","Each",IF(E1205="Nos.","Each",E1205)))</f>
        <v>Cum</v>
      </c>
      <c r="I1205" s="986">
        <f>IF(G1205="",D1205*F1205,(D1205*F1205/G1205))</f>
        <v>5.2454399999999985</v>
      </c>
    </row>
    <row r="1206" spans="1:9">
      <c r="A1206" s="1019"/>
      <c r="B1206" s="1020"/>
      <c r="C1206" s="1117" t="s">
        <v>690</v>
      </c>
      <c r="D1206" s="1021"/>
      <c r="E1206" s="1022"/>
      <c r="F1206" s="986"/>
      <c r="G1206" s="1023"/>
      <c r="H1206" s="991"/>
      <c r="I1206" s="986"/>
    </row>
    <row r="1207" spans="1:9">
      <c r="A1207" s="1019"/>
      <c r="B1207" s="1020"/>
      <c r="C1207" s="1115" t="s">
        <v>377</v>
      </c>
      <c r="D1207" s="1021">
        <v>7.6999999999999999E-2</v>
      </c>
      <c r="E1207" s="1003" t="s">
        <v>499</v>
      </c>
      <c r="F1207" s="986">
        <f>$F$9</f>
        <v>545</v>
      </c>
      <c r="G1207" s="1023">
        <v>1</v>
      </c>
      <c r="H1207" s="991" t="str">
        <f>IF(E1207="","",IF(E1207="No.","Each",IF(E1207="Nos.","Each",E1207)))</f>
        <v>Each</v>
      </c>
      <c r="I1207" s="986">
        <f>IF(G1207="",D1207*F1207,(D1207*F1207/G1207))</f>
        <v>41.964999999999996</v>
      </c>
    </row>
    <row r="1208" spans="1:9">
      <c r="A1208" s="1019"/>
      <c r="B1208" s="1020"/>
      <c r="C1208" s="792" t="s">
        <v>396</v>
      </c>
      <c r="D1208" s="1021">
        <v>0.08</v>
      </c>
      <c r="E1208" s="1022" t="s">
        <v>499</v>
      </c>
      <c r="F1208" s="986">
        <f>$F$22</f>
        <v>490</v>
      </c>
      <c r="G1208" s="1023">
        <v>1</v>
      </c>
      <c r="H1208" s="991" t="str">
        <f>IF(E1208="","",IF(E1208="No.","Each",IF(E1208="Nos.","Each",E1208)))</f>
        <v>Each</v>
      </c>
      <c r="I1208" s="986">
        <f>IF(G1208="",D1208*F1208,(D1208*F1208/G1208))</f>
        <v>39.200000000000003</v>
      </c>
    </row>
    <row r="1209" spans="1:9">
      <c r="A1209" s="1019"/>
      <c r="B1209" s="1020"/>
      <c r="C1209" s="792" t="s">
        <v>1041</v>
      </c>
      <c r="D1209" s="1053">
        <v>0.01</v>
      </c>
      <c r="E1209" s="1022"/>
      <c r="F1209" s="986">
        <f>SUM(I1201:I1208)</f>
        <v>462.86237999999992</v>
      </c>
      <c r="G1209" s="1023"/>
      <c r="H1209" s="991"/>
      <c r="I1209" s="986">
        <f>IF(G1209="",D1209*F1209,(D1209*F1209/G1209))</f>
        <v>4.6286237999999988</v>
      </c>
    </row>
    <row r="1210" spans="1:9">
      <c r="A1210" s="1019"/>
      <c r="B1210" s="1020"/>
      <c r="C1210" s="980" t="s">
        <v>368</v>
      </c>
      <c r="D1210" s="1021"/>
      <c r="E1210" s="1022"/>
      <c r="F1210" s="986"/>
      <c r="G1210" s="1023"/>
      <c r="H1210" s="1116"/>
      <c r="I1210" s="1012">
        <f>ROUND(SUM(I1201:I1209),2)</f>
        <v>467.49</v>
      </c>
    </row>
    <row r="1211" spans="1:9">
      <c r="A1211" s="1019"/>
      <c r="B1211" s="1020"/>
      <c r="C1211" s="1117" t="s">
        <v>428</v>
      </c>
      <c r="E1211" s="1131" t="s">
        <v>501</v>
      </c>
      <c r="F1211" s="1048" t="s">
        <v>502</v>
      </c>
      <c r="G1211" s="1131" t="s">
        <v>503</v>
      </c>
      <c r="H1211" s="1048" t="s">
        <v>709</v>
      </c>
      <c r="I1211" s="1048" t="s">
        <v>709</v>
      </c>
    </row>
    <row r="1212" spans="1:9">
      <c r="A1212" s="1019"/>
      <c r="B1212" s="1020"/>
      <c r="C1212" s="1116" t="s">
        <v>368</v>
      </c>
      <c r="E1212" s="986">
        <f>I1210</f>
        <v>467.49</v>
      </c>
      <c r="F1212" s="986">
        <f>I1210</f>
        <v>467.49</v>
      </c>
      <c r="G1212" s="986">
        <f>I1210</f>
        <v>467.49</v>
      </c>
      <c r="H1212" s="986">
        <f>I1210</f>
        <v>467.49</v>
      </c>
      <c r="I1212" s="986">
        <f>I1210</f>
        <v>467.49</v>
      </c>
    </row>
    <row r="1213" spans="1:9">
      <c r="A1213" s="1019"/>
      <c r="B1213" s="1020"/>
      <c r="C1213" s="792" t="s">
        <v>418</v>
      </c>
      <c r="E1213" s="986"/>
      <c r="F1213" s="986">
        <f>ROUND(0.1*(I1207+I1208),2)</f>
        <v>8.1199999999999992</v>
      </c>
      <c r="G1213" s="986">
        <f>ROUND(0.2*(I1207+I1208),2)</f>
        <v>16.23</v>
      </c>
      <c r="H1213" s="986">
        <f>ROUND(0.3*(I1207+I1208),2)</f>
        <v>24.35</v>
      </c>
      <c r="I1213" s="986">
        <f>ROUND(0.4*(I1207+I1208),2)</f>
        <v>32.47</v>
      </c>
    </row>
    <row r="1214" spans="1:9">
      <c r="A1214" s="1019"/>
      <c r="B1214" s="1020"/>
      <c r="E1214" s="986">
        <f>SUM(E1212:E1213)</f>
        <v>467.49</v>
      </c>
      <c r="F1214" s="986">
        <f>SUM(F1212:F1213)</f>
        <v>475.61</v>
      </c>
      <c r="G1214" s="986">
        <f>SUM(G1212:G1213)</f>
        <v>483.72</v>
      </c>
      <c r="H1214" s="986">
        <f>SUM(H1212:H1213)</f>
        <v>491.84000000000003</v>
      </c>
      <c r="I1214" s="986">
        <f>SUM(I1212:I1213)</f>
        <v>499.96000000000004</v>
      </c>
    </row>
    <row r="1215" spans="1:9">
      <c r="A1215" s="1019"/>
      <c r="B1215" s="1020"/>
      <c r="C1215" s="1124" t="s">
        <v>1014</v>
      </c>
      <c r="D1215" s="1026">
        <f>$D$3</f>
        <v>0</v>
      </c>
      <c r="E1215" s="986">
        <f>ROUND(E1214*$D$1215,2)</f>
        <v>0</v>
      </c>
      <c r="F1215" s="986">
        <f>ROUND(F1214*$D$1215,2)</f>
        <v>0</v>
      </c>
      <c r="G1215" s="986">
        <f>ROUND(G1214*$D$1215,2)</f>
        <v>0</v>
      </c>
      <c r="H1215" s="986">
        <f>ROUND(H1214*$D$1215,2)</f>
        <v>0</v>
      </c>
      <c r="I1215" s="986">
        <f>ROUND(I1214*$D$1215,2)</f>
        <v>0</v>
      </c>
    </row>
    <row r="1216" spans="1:9">
      <c r="A1216" s="1019"/>
      <c r="B1216" s="1020"/>
      <c r="C1216" s="980" t="s">
        <v>198</v>
      </c>
      <c r="D1216" s="980"/>
      <c r="E1216" s="1012">
        <f>CEILING(SUM(E1214:E1215),0.05)</f>
        <v>467.5</v>
      </c>
      <c r="F1216" s="1012">
        <f>CEILING(SUM(F1214:F1215),0.05)</f>
        <v>475.65000000000003</v>
      </c>
      <c r="G1216" s="1012">
        <f>CEILING(SUM(G1214:G1215),0.05)</f>
        <v>483.75</v>
      </c>
      <c r="H1216" s="1012">
        <f>CEILING(SUM(H1214:H1215),0.05)</f>
        <v>491.85</v>
      </c>
      <c r="I1216" s="1012">
        <f>CEILING(SUM(I1214:I1215),0.05)</f>
        <v>500</v>
      </c>
    </row>
    <row r="1217" spans="1:9" ht="12.75" customHeight="1">
      <c r="A1217" s="1019">
        <f>A1200+1</f>
        <v>29</v>
      </c>
      <c r="C1217" s="1493" t="s">
        <v>2407</v>
      </c>
      <c r="D1217" s="1493"/>
      <c r="E1217" s="1493"/>
      <c r="F1217" s="1493"/>
      <c r="G1217" s="1493"/>
      <c r="H1217" s="1493"/>
      <c r="I1217" s="1493"/>
    </row>
    <row r="1218" spans="1:9" ht="12.75" customHeight="1">
      <c r="A1218" s="1019"/>
      <c r="C1218" s="792" t="s">
        <v>162</v>
      </c>
      <c r="D1218" s="1023">
        <v>0.2</v>
      </c>
      <c r="E1218" s="1116" t="s">
        <v>462</v>
      </c>
      <c r="F1218" s="997">
        <f>F122</f>
        <v>31</v>
      </c>
      <c r="G1218" s="1023">
        <v>1</v>
      </c>
      <c r="H1218" s="991" t="str">
        <f>IF(E1218="","",IF(E1218="No.","Each",IF(E1218="Nos.","Each",E1218)))</f>
        <v>kgs</v>
      </c>
      <c r="I1218" s="997">
        <f>IF(G1218="",D1218*F1218,(D1218*F1218/G1218))</f>
        <v>6.2</v>
      </c>
    </row>
    <row r="1219" spans="1:9" ht="12.75" customHeight="1">
      <c r="A1219" s="1019"/>
      <c r="C1219" s="792" t="s">
        <v>163</v>
      </c>
      <c r="D1219" s="1023">
        <v>2.1000000000000001E-2</v>
      </c>
      <c r="E1219" s="1116" t="s">
        <v>499</v>
      </c>
      <c r="F1219" s="997">
        <f>(F19*0.3+F20*0.7)</f>
        <v>548</v>
      </c>
      <c r="G1219" s="1023">
        <v>1</v>
      </c>
      <c r="H1219" s="991" t="str">
        <f>IF(E1219="","",IF(E1219="No.","Each",IF(E1219="Nos.","Each",E1219)))</f>
        <v>Each</v>
      </c>
      <c r="I1219" s="997">
        <f>IF(G1219="",D1219*F1219,(D1219*F1219/G1219))</f>
        <v>11.508000000000001</v>
      </c>
    </row>
    <row r="1220" spans="1:9" ht="12.75" customHeight="1">
      <c r="A1220" s="1019"/>
      <c r="C1220" s="792" t="s">
        <v>396</v>
      </c>
      <c r="D1220" s="1023">
        <v>3.2000000000000001E-2</v>
      </c>
      <c r="E1220" s="1116" t="s">
        <v>499</v>
      </c>
      <c r="F1220" s="997">
        <f>$F$22</f>
        <v>490</v>
      </c>
      <c r="G1220" s="1023">
        <v>1</v>
      </c>
      <c r="H1220" s="991" t="str">
        <f>IF(E1220="","",IF(E1220="No.","Each",IF(E1220="Nos.","Each",E1220)))</f>
        <v>Each</v>
      </c>
      <c r="I1220" s="997">
        <f>IF(G1220="",D1220*F1220,(D1220*F1220/G1220))</f>
        <v>15.68</v>
      </c>
    </row>
    <row r="1221" spans="1:9" ht="12.75" customHeight="1">
      <c r="A1221" s="1019"/>
      <c r="C1221" s="792" t="s">
        <v>506</v>
      </c>
      <c r="D1221" s="1049">
        <v>0.01</v>
      </c>
      <c r="E1221" s="1116"/>
      <c r="F1221" s="997">
        <f>I1220+I1219+I1218</f>
        <v>33.388000000000005</v>
      </c>
      <c r="G1221" s="1023"/>
      <c r="H1221" s="991"/>
      <c r="I1221" s="997">
        <f>IF(G1221="",D1221*F1221,(D1221*F1221/G1221))</f>
        <v>0.33388000000000007</v>
      </c>
    </row>
    <row r="1222" spans="1:9" ht="12.75" customHeight="1">
      <c r="A1222" s="1019"/>
      <c r="D1222" s="1023"/>
      <c r="E1222" s="1116"/>
      <c r="F1222" s="997"/>
      <c r="G1222" s="1023"/>
      <c r="H1222" s="991"/>
      <c r="I1222" s="997">
        <f>SUM(I1218:I1221)</f>
        <v>33.721880000000006</v>
      </c>
    </row>
    <row r="1223" spans="1:9" ht="12.75" customHeight="1">
      <c r="A1223" s="1019"/>
      <c r="C1223" s="1124" t="s">
        <v>1014</v>
      </c>
      <c r="D1223" s="1026">
        <f>$D$3</f>
        <v>0</v>
      </c>
      <c r="E1223" s="1116"/>
      <c r="F1223" s="997">
        <f>I1222</f>
        <v>33.721880000000006</v>
      </c>
      <c r="G1223" s="1023"/>
      <c r="H1223" s="991"/>
      <c r="I1223" s="997">
        <f>ROUND(D1223*F1223,2)</f>
        <v>0</v>
      </c>
    </row>
    <row r="1224" spans="1:9" ht="12.75" customHeight="1">
      <c r="A1224" s="1019"/>
      <c r="B1224" s="1020"/>
      <c r="C1224" s="980" t="s">
        <v>505</v>
      </c>
      <c r="D1224" s="1021"/>
      <c r="E1224" s="1003"/>
      <c r="F1224" s="986"/>
      <c r="G1224" s="1023"/>
      <c r="H1224" s="980" t="s">
        <v>466</v>
      </c>
      <c r="I1224" s="1012">
        <f>CEILING(SUM(I1222:I1223),0.05)</f>
        <v>33.75</v>
      </c>
    </row>
    <row r="1225" spans="1:9" ht="12.75" customHeight="1">
      <c r="A1225" s="1019"/>
      <c r="B1225" s="1020"/>
      <c r="C1225" s="980"/>
      <c r="D1225" s="1021"/>
      <c r="E1225" s="1003"/>
      <c r="F1225" s="986"/>
      <c r="G1225" s="1023"/>
      <c r="H1225" s="980"/>
      <c r="I1225" s="1012"/>
    </row>
    <row r="1226" spans="1:9" ht="51" customHeight="1">
      <c r="A1226" s="1019">
        <f>A1200+1</f>
        <v>29</v>
      </c>
      <c r="B1226" s="1020"/>
      <c r="C1226" s="1493" t="s">
        <v>2408</v>
      </c>
      <c r="D1226" s="1493"/>
      <c r="E1226" s="1493"/>
      <c r="F1226" s="1493"/>
      <c r="G1226" s="1493"/>
      <c r="H1226" s="1493"/>
      <c r="I1226" s="1493"/>
    </row>
    <row r="1227" spans="1:9">
      <c r="A1227" s="1019"/>
      <c r="B1227" s="1020"/>
      <c r="C1227" s="792" t="s">
        <v>226</v>
      </c>
      <c r="D1227" s="1021">
        <v>0.11</v>
      </c>
      <c r="E1227" s="1022" t="s">
        <v>133</v>
      </c>
      <c r="F1227" s="986">
        <f>F132</f>
        <v>264</v>
      </c>
      <c r="G1227" s="1023">
        <v>1</v>
      </c>
      <c r="H1227" s="991" t="str">
        <f>IF(E1227="","",IF(E1227="No.","Each",IF(E1227="Nos.","Each",E1227)))</f>
        <v>Ltr</v>
      </c>
      <c r="I1227" s="986">
        <f>IF(G1227="",D1227*F1227,(D1227*F1227/G1227))</f>
        <v>29.04</v>
      </c>
    </row>
    <row r="1228" spans="1:9">
      <c r="A1228" s="1019"/>
      <c r="B1228" s="1020"/>
      <c r="C1228" s="792" t="s">
        <v>403</v>
      </c>
      <c r="D1228" s="1021">
        <v>3.3000000000000002E-2</v>
      </c>
      <c r="E1228" s="1022" t="s">
        <v>499</v>
      </c>
      <c r="F1228" s="986">
        <f>$F$19</f>
        <v>625</v>
      </c>
      <c r="G1228" s="1023">
        <v>1</v>
      </c>
      <c r="H1228" s="991" t="str">
        <f>IF(E1228="","",IF(E1228="No.","Each",IF(E1228="Nos.","Each",E1228)))</f>
        <v>Each</v>
      </c>
      <c r="I1228" s="986">
        <f>IF(G1228="",D1228*F1228,(D1228*F1228/G1228))</f>
        <v>20.625</v>
      </c>
    </row>
    <row r="1229" spans="1:9">
      <c r="A1229" s="1019"/>
      <c r="B1229" s="1020"/>
      <c r="C1229" s="792" t="s">
        <v>404</v>
      </c>
      <c r="D1229" s="1021">
        <v>7.6999999999999999E-2</v>
      </c>
      <c r="E1229" s="1022" t="s">
        <v>499</v>
      </c>
      <c r="F1229" s="986">
        <f>$F$20</f>
        <v>515</v>
      </c>
      <c r="G1229" s="1023">
        <v>1</v>
      </c>
      <c r="H1229" s="991" t="str">
        <f>IF(E1229="","",IF(E1229="No.","Each",IF(E1229="Nos.","Each",E1229)))</f>
        <v>Each</v>
      </c>
      <c r="I1229" s="986">
        <f>IF(G1229="",D1229*F1229,(D1229*F1229/G1229))</f>
        <v>39.655000000000001</v>
      </c>
    </row>
    <row r="1230" spans="1:9">
      <c r="A1230" s="1019"/>
      <c r="B1230" s="1020"/>
      <c r="D1230" s="1021"/>
      <c r="E1230" s="1022"/>
      <c r="F1230" s="986"/>
      <c r="G1230" s="1023"/>
      <c r="H1230" s="991"/>
      <c r="I1230" s="986">
        <f>SUM(I1227:I1229)</f>
        <v>89.32</v>
      </c>
    </row>
    <row r="1231" spans="1:9">
      <c r="A1231" s="1019"/>
      <c r="B1231" s="1020"/>
      <c r="C1231" s="1124" t="s">
        <v>1014</v>
      </c>
      <c r="D1231" s="1026">
        <f>$D$3</f>
        <v>0</v>
      </c>
      <c r="E1231" s="1116"/>
      <c r="F1231" s="997">
        <f>I1230</f>
        <v>89.32</v>
      </c>
      <c r="G1231" s="1023"/>
      <c r="H1231" s="991"/>
      <c r="I1231" s="997">
        <f>ROUND(D1231*F1231,2)</f>
        <v>0</v>
      </c>
    </row>
    <row r="1232" spans="1:9">
      <c r="A1232" s="1019"/>
      <c r="B1232" s="1020"/>
      <c r="C1232" s="980" t="s">
        <v>505</v>
      </c>
      <c r="D1232" s="1021"/>
      <c r="E1232" s="1003"/>
      <c r="F1232" s="986"/>
      <c r="G1232" s="1023"/>
      <c r="H1232" s="980" t="s">
        <v>466</v>
      </c>
      <c r="I1232" s="1012">
        <f>CEILING(SUM(I1230:I1231),0.05)</f>
        <v>89.350000000000009</v>
      </c>
    </row>
    <row r="1233" spans="1:9" ht="15.75" customHeight="1">
      <c r="A1233" s="1019"/>
      <c r="B1233" s="1020"/>
      <c r="C1233" s="980"/>
      <c r="D1233" s="1021"/>
      <c r="E1233" s="1003"/>
      <c r="F1233" s="986"/>
      <c r="G1233" s="1023"/>
      <c r="H1233" s="980"/>
      <c r="I1233" s="1012"/>
    </row>
    <row r="1234" spans="1:9" ht="12.75" hidden="1" customHeight="1">
      <c r="A1234" s="1019">
        <f>A1226+1</f>
        <v>30</v>
      </c>
      <c r="B1234" s="984"/>
      <c r="C1234" s="1493" t="s">
        <v>1379</v>
      </c>
      <c r="D1234" s="1493"/>
      <c r="E1234" s="1493"/>
      <c r="F1234" s="1493"/>
      <c r="G1234" s="1493"/>
      <c r="H1234" s="1493"/>
      <c r="I1234" s="1493"/>
    </row>
    <row r="1235" spans="1:9" hidden="1">
      <c r="A1235" s="1019"/>
      <c r="B1235" s="984"/>
      <c r="C1235" s="1117" t="s">
        <v>143</v>
      </c>
      <c r="D1235" s="997"/>
      <c r="E1235" s="1116"/>
      <c r="F1235" s="997"/>
      <c r="G1235" s="1023"/>
      <c r="H1235" s="991"/>
      <c r="I1235" s="997"/>
    </row>
    <row r="1236" spans="1:9" hidden="1">
      <c r="A1236" s="1019"/>
      <c r="B1236" s="984"/>
      <c r="C1236" s="792" t="s">
        <v>407</v>
      </c>
      <c r="D1236" s="997">
        <v>1.33</v>
      </c>
      <c r="E1236" s="1116" t="s">
        <v>186</v>
      </c>
      <c r="F1236" s="997">
        <f>$F$136</f>
        <v>20</v>
      </c>
      <c r="G1236" s="1023">
        <v>1</v>
      </c>
      <c r="H1236" s="991" t="s">
        <v>186</v>
      </c>
      <c r="I1236" s="986">
        <f>D1236*F1236</f>
        <v>26.6</v>
      </c>
    </row>
    <row r="1237" spans="1:9" hidden="1">
      <c r="A1237" s="1019"/>
      <c r="B1237" s="984"/>
      <c r="C1237" s="792" t="s">
        <v>1341</v>
      </c>
      <c r="D1237" s="1021">
        <v>31.91</v>
      </c>
      <c r="E1237" s="1022" t="s">
        <v>364</v>
      </c>
      <c r="F1237" s="986">
        <f>LEAD!$P$28</f>
        <v>7168</v>
      </c>
      <c r="G1237" s="1023">
        <v>1000</v>
      </c>
      <c r="H1237" s="991" t="str">
        <f>IF(E1237="","",IF(E1237="No.","Each",IF(E1237="Nos.","Each",E1237)))</f>
        <v>Kgs</v>
      </c>
      <c r="I1237" s="986">
        <f>IF(G1237="",D1237*F1237,(D1237*F1237/G1237))</f>
        <v>228.73088000000001</v>
      </c>
    </row>
    <row r="1238" spans="1:9" hidden="1">
      <c r="A1238" s="1019"/>
      <c r="B1238" s="984"/>
      <c r="C1238" s="792" t="s">
        <v>356</v>
      </c>
      <c r="D1238" s="997">
        <v>5.8000000000000003E-2</v>
      </c>
      <c r="E1238" s="1116" t="s">
        <v>465</v>
      </c>
      <c r="F1238" s="986">
        <f>LEAD!$P$7</f>
        <v>437.11999999999983</v>
      </c>
      <c r="G1238" s="1023">
        <v>1</v>
      </c>
      <c r="H1238" s="991" t="s">
        <v>465</v>
      </c>
      <c r="I1238" s="986">
        <f>D1238*F1238</f>
        <v>25.352959999999992</v>
      </c>
    </row>
    <row r="1239" spans="1:9" hidden="1">
      <c r="A1239" s="1019"/>
      <c r="B1239" s="984"/>
      <c r="C1239" s="1117" t="s">
        <v>690</v>
      </c>
      <c r="D1239" s="997"/>
      <c r="E1239" s="1116"/>
      <c r="F1239" s="986"/>
      <c r="G1239" s="1023"/>
      <c r="H1239" s="991"/>
      <c r="I1239" s="986"/>
    </row>
    <row r="1240" spans="1:9" hidden="1">
      <c r="A1240" s="1019"/>
      <c r="B1240" s="984"/>
      <c r="C1240" s="1115" t="s">
        <v>377</v>
      </c>
      <c r="D1240" s="986">
        <v>0.8</v>
      </c>
      <c r="E1240" s="1003" t="s">
        <v>499</v>
      </c>
      <c r="F1240" s="986">
        <f>$F$9</f>
        <v>545</v>
      </c>
      <c r="G1240" s="1023">
        <v>1</v>
      </c>
      <c r="H1240" s="991" t="str">
        <f>IF(E1240="","",IF(E1240="No.","Each",IF(E1240="Nos.","Each",E1240)))</f>
        <v>Each</v>
      </c>
      <c r="I1240" s="986">
        <f>IF(G1240="",D1240*F1240,(D1240*F1240/G1240))</f>
        <v>436</v>
      </c>
    </row>
    <row r="1241" spans="1:9" hidden="1">
      <c r="A1241" s="1019"/>
      <c r="B1241" s="984"/>
      <c r="C1241" s="1115" t="s">
        <v>357</v>
      </c>
      <c r="D1241" s="986">
        <v>0.1</v>
      </c>
      <c r="E1241" s="1003" t="s">
        <v>499</v>
      </c>
      <c r="F1241" s="986">
        <f>$F$9</f>
        <v>545</v>
      </c>
      <c r="G1241" s="1023">
        <v>1</v>
      </c>
      <c r="H1241" s="991" t="str">
        <f>IF(E1241="","",IF(E1241="No.","Each",IF(E1241="Nos.","Each",E1241)))</f>
        <v>Each</v>
      </c>
      <c r="I1241" s="986">
        <f>IF(G1241="",D1241*F1241,(D1241*F1241/G1241))</f>
        <v>54.5</v>
      </c>
    </row>
    <row r="1242" spans="1:9" hidden="1">
      <c r="A1242" s="1019"/>
      <c r="B1242" s="984"/>
      <c r="C1242" s="792" t="s">
        <v>396</v>
      </c>
      <c r="D1242" s="986">
        <v>1</v>
      </c>
      <c r="E1242" s="1022" t="s">
        <v>499</v>
      </c>
      <c r="F1242" s="986">
        <f>$F$22</f>
        <v>490</v>
      </c>
      <c r="G1242" s="1023">
        <v>1</v>
      </c>
      <c r="H1242" s="991" t="str">
        <f>IF(E1242="","",IF(E1242="No.","Each",IF(E1242="Nos.","Each",E1242)))</f>
        <v>Each</v>
      </c>
      <c r="I1242" s="986">
        <f>IF(G1242="",D1242*F1242,(D1242*F1242/G1242))</f>
        <v>490</v>
      </c>
    </row>
    <row r="1243" spans="1:9" hidden="1">
      <c r="A1243" s="1019"/>
      <c r="B1243" s="984"/>
      <c r="C1243" s="792" t="s">
        <v>358</v>
      </c>
      <c r="D1243" s="986">
        <v>0.2</v>
      </c>
      <c r="E1243" s="1003" t="s">
        <v>692</v>
      </c>
      <c r="F1243" s="986">
        <v>397.5</v>
      </c>
      <c r="G1243" s="1023">
        <v>1</v>
      </c>
      <c r="H1243" s="991" t="str">
        <f>IF(E1243="","",IF(E1243="No.","Each",IF(E1243="Nos.","Each",E1243)))</f>
        <v>Hour</v>
      </c>
      <c r="I1243" s="986">
        <f>IF(G1243="",D1243*F1243,(D1243*F1243/G1243))</f>
        <v>79.5</v>
      </c>
    </row>
    <row r="1244" spans="1:9" hidden="1">
      <c r="A1244" s="1019"/>
      <c r="B1244" s="984"/>
      <c r="D1244" s="1021"/>
      <c r="E1244" s="1008"/>
      <c r="F1244" s="986"/>
      <c r="G1244" s="1023"/>
      <c r="H1244" s="991"/>
      <c r="I1244" s="986">
        <f>SUM(I1236:I1243)</f>
        <v>1340.6838399999999</v>
      </c>
    </row>
    <row r="1245" spans="1:9" ht="25.5" hidden="1" customHeight="1">
      <c r="A1245" s="1019"/>
      <c r="B1245" s="984"/>
      <c r="C1245" s="792" t="s">
        <v>719</v>
      </c>
      <c r="D1245" s="1050">
        <f>I1244</f>
        <v>1340.6838399999999</v>
      </c>
      <c r="E1245" s="1003"/>
      <c r="F1245" s="986">
        <v>0.01</v>
      </c>
      <c r="G1245" s="1023"/>
      <c r="I1245" s="986">
        <f>ROUND(D1245*F1245,2)</f>
        <v>13.41</v>
      </c>
    </row>
    <row r="1246" spans="1:9" hidden="1">
      <c r="A1246" s="1019"/>
      <c r="B1246" s="1020"/>
      <c r="C1246" s="980" t="s">
        <v>368</v>
      </c>
      <c r="D1246" s="1021"/>
      <c r="E1246" s="1003"/>
      <c r="F1246" s="986"/>
      <c r="G1246" s="1023"/>
      <c r="H1246" s="1116"/>
      <c r="I1246" s="1012">
        <f>SUM(I1244:I1245)</f>
        <v>1354.09384</v>
      </c>
    </row>
    <row r="1247" spans="1:9" hidden="1">
      <c r="A1247" s="1019"/>
      <c r="B1247" s="1020"/>
      <c r="C1247" s="1117" t="s">
        <v>428</v>
      </c>
      <c r="E1247" s="1131" t="s">
        <v>501</v>
      </c>
      <c r="F1247" s="1048" t="s">
        <v>502</v>
      </c>
      <c r="G1247" s="1131" t="s">
        <v>503</v>
      </c>
      <c r="H1247" s="1048" t="s">
        <v>709</v>
      </c>
      <c r="I1247" s="1048" t="s">
        <v>502</v>
      </c>
    </row>
    <row r="1248" spans="1:9" hidden="1">
      <c r="A1248" s="1019"/>
      <c r="B1248" s="1020"/>
      <c r="C1248" s="1116" t="s">
        <v>368</v>
      </c>
      <c r="E1248" s="986">
        <f>I1246</f>
        <v>1354.09384</v>
      </c>
      <c r="F1248" s="986">
        <f>I1246</f>
        <v>1354.09384</v>
      </c>
      <c r="G1248" s="986">
        <f>I1246</f>
        <v>1354.09384</v>
      </c>
      <c r="H1248" s="986">
        <f>I1246</f>
        <v>1354.09384</v>
      </c>
      <c r="I1248" s="986">
        <f>I1246</f>
        <v>1354.09384</v>
      </c>
    </row>
    <row r="1249" spans="1:9" hidden="1">
      <c r="A1249" s="1019"/>
      <c r="B1249" s="1020"/>
      <c r="C1249" s="792" t="s">
        <v>418</v>
      </c>
      <c r="E1249" s="986"/>
      <c r="F1249" s="986">
        <f>ROUND(0.1*(I1241+I1242+I1240+I1243),2)</f>
        <v>106</v>
      </c>
      <c r="G1249" s="986">
        <f>ROUND(0.2*(I1241+I1242+I1240+I1243),2)</f>
        <v>212</v>
      </c>
      <c r="H1249" s="986">
        <f>ROUND(0.3*(I1241+I1242+I1240+I1243),2)</f>
        <v>318</v>
      </c>
      <c r="I1249" s="986">
        <f>ROUND(0.4*(I1241+I1242+I1240+I1243),2)</f>
        <v>424</v>
      </c>
    </row>
    <row r="1250" spans="1:9" hidden="1">
      <c r="A1250" s="1019"/>
      <c r="B1250" s="1020"/>
      <c r="E1250" s="986">
        <f>SUM(E1248:E1249)</f>
        <v>1354.09384</v>
      </c>
      <c r="F1250" s="986">
        <f>SUM(F1248:F1249)</f>
        <v>1460.09384</v>
      </c>
      <c r="G1250" s="986">
        <f>SUM(G1248:G1249)</f>
        <v>1566.09384</v>
      </c>
      <c r="H1250" s="986">
        <f>SUM(H1248:H1249)</f>
        <v>1672.09384</v>
      </c>
      <c r="I1250" s="986">
        <f>SUM(I1248:I1249)</f>
        <v>1778.09384</v>
      </c>
    </row>
    <row r="1251" spans="1:9" hidden="1">
      <c r="A1251" s="1019"/>
      <c r="B1251" s="1020"/>
      <c r="C1251" s="1124" t="s">
        <v>1014</v>
      </c>
      <c r="D1251" s="1026">
        <f>$D$3</f>
        <v>0</v>
      </c>
      <c r="E1251" s="986">
        <f>ROUND(E1250*$D$1251,2)</f>
        <v>0</v>
      </c>
      <c r="F1251" s="986">
        <f>ROUND(F1250*$D$1251,2)</f>
        <v>0</v>
      </c>
      <c r="G1251" s="986">
        <f>ROUND(G1250*$D$1251,2)</f>
        <v>0</v>
      </c>
      <c r="H1251" s="986">
        <f>ROUND(H1250*$D$1251,2)</f>
        <v>0</v>
      </c>
      <c r="I1251" s="986">
        <f>ROUND(I1250*$D$1251,2)</f>
        <v>0</v>
      </c>
    </row>
    <row r="1252" spans="1:9" hidden="1">
      <c r="A1252" s="1019"/>
      <c r="B1252" s="1020"/>
      <c r="C1252" s="980" t="s">
        <v>198</v>
      </c>
      <c r="D1252" s="980"/>
      <c r="E1252" s="1012">
        <f>CEILING(SUM(E1250:E1251),0.05)</f>
        <v>1354.1000000000001</v>
      </c>
      <c r="F1252" s="1012">
        <f>CEILING(SUM(F1250:F1251),0.05)</f>
        <v>1460.1000000000001</v>
      </c>
      <c r="G1252" s="1012">
        <f>CEILING(SUM(G1250:G1251),0.05)</f>
        <v>1566.1000000000001</v>
      </c>
      <c r="H1252" s="1012">
        <f>CEILING(SUM(H1250:H1251),0.05)</f>
        <v>1672.1000000000001</v>
      </c>
      <c r="I1252" s="1012">
        <f>CEILING(SUM(I1250:I1251),0.05)</f>
        <v>1778.1000000000001</v>
      </c>
    </row>
    <row r="1253" spans="1:9" ht="55.5" customHeight="1">
      <c r="A1253" s="1019">
        <f>A1234+1</f>
        <v>31</v>
      </c>
      <c r="B1253" s="984"/>
      <c r="C1253" s="1493" t="s">
        <v>2409</v>
      </c>
      <c r="D1253" s="1493"/>
      <c r="E1253" s="1493"/>
      <c r="F1253" s="1493"/>
      <c r="G1253" s="1493"/>
      <c r="H1253" s="1493"/>
      <c r="I1253" s="1493"/>
    </row>
    <row r="1254" spans="1:9">
      <c r="A1254" s="1019"/>
      <c r="B1254" s="984"/>
      <c r="C1254" s="1117" t="s">
        <v>408</v>
      </c>
      <c r="D1254" s="1021"/>
      <c r="E1254" s="1022"/>
      <c r="F1254" s="986"/>
      <c r="G1254" s="1023"/>
      <c r="H1254" s="1118"/>
      <c r="I1254" s="1012"/>
    </row>
    <row r="1255" spans="1:9">
      <c r="A1255" s="1019"/>
      <c r="B1255" s="984"/>
      <c r="C1255" s="792" t="s">
        <v>1206</v>
      </c>
      <c r="D1255" s="1021">
        <v>0.1</v>
      </c>
      <c r="E1255" s="1022" t="s">
        <v>409</v>
      </c>
      <c r="F1255" s="986">
        <f>F128</f>
        <v>152</v>
      </c>
      <c r="G1255" s="1023">
        <v>1</v>
      </c>
      <c r="H1255" s="1116" t="s">
        <v>328</v>
      </c>
      <c r="I1255" s="986">
        <f>F1255*D1255</f>
        <v>15.200000000000001</v>
      </c>
    </row>
    <row r="1256" spans="1:9">
      <c r="A1256" s="1019"/>
      <c r="B1256" s="984"/>
      <c r="C1256" s="792" t="s">
        <v>410</v>
      </c>
      <c r="D1256" s="1021">
        <v>7.0000000000000007E-2</v>
      </c>
      <c r="E1256" s="1022" t="s">
        <v>411</v>
      </c>
      <c r="F1256" s="986">
        <f>$F$127</f>
        <v>152</v>
      </c>
      <c r="G1256" s="1023">
        <v>1</v>
      </c>
      <c r="H1256" s="1116" t="s">
        <v>412</v>
      </c>
      <c r="I1256" s="986">
        <f>F1256*D1256</f>
        <v>10.64</v>
      </c>
    </row>
    <row r="1257" spans="1:9">
      <c r="A1257" s="1019"/>
      <c r="B1257" s="984"/>
      <c r="C1257" s="792" t="s">
        <v>413</v>
      </c>
      <c r="D1257" s="1021">
        <v>2.1000000000000001E-2</v>
      </c>
      <c r="E1257" s="1022" t="s">
        <v>499</v>
      </c>
      <c r="F1257" s="986">
        <f>$F$19</f>
        <v>625</v>
      </c>
      <c r="G1257" s="1023">
        <v>1</v>
      </c>
      <c r="H1257" s="1116" t="s">
        <v>268</v>
      </c>
      <c r="I1257" s="986">
        <f>F1257*D1257</f>
        <v>13.125</v>
      </c>
    </row>
    <row r="1258" spans="1:9">
      <c r="A1258" s="1019"/>
      <c r="B1258" s="984"/>
      <c r="C1258" s="792" t="s">
        <v>167</v>
      </c>
      <c r="D1258" s="1021">
        <v>4.9000000000000002E-2</v>
      </c>
      <c r="E1258" s="1022" t="s">
        <v>499</v>
      </c>
      <c r="F1258" s="986">
        <f>$F$20</f>
        <v>515</v>
      </c>
      <c r="G1258" s="1023">
        <v>1</v>
      </c>
      <c r="H1258" s="1116" t="s">
        <v>268</v>
      </c>
      <c r="I1258" s="986">
        <f>F1258*D1258</f>
        <v>25.234999999999999</v>
      </c>
    </row>
    <row r="1259" spans="1:9">
      <c r="A1259" s="1019"/>
      <c r="B1259" s="984"/>
      <c r="C1259" s="1117" t="s">
        <v>414</v>
      </c>
      <c r="D1259" s="1021"/>
      <c r="E1259" s="1022"/>
      <c r="F1259" s="986"/>
      <c r="G1259" s="1023"/>
      <c r="H1259" s="1118"/>
      <c r="I1259" s="986"/>
    </row>
    <row r="1260" spans="1:9">
      <c r="A1260" s="1019"/>
      <c r="B1260" s="984"/>
      <c r="C1260" s="792" t="s">
        <v>415</v>
      </c>
      <c r="D1260" s="1023">
        <v>0.12</v>
      </c>
      <c r="E1260" s="1116" t="s">
        <v>411</v>
      </c>
      <c r="F1260" s="997">
        <f>F132</f>
        <v>264</v>
      </c>
      <c r="G1260" s="1023">
        <v>1</v>
      </c>
      <c r="H1260" s="1116" t="str">
        <f>E1260</f>
        <v>lit</v>
      </c>
      <c r="I1260" s="997">
        <f>F1260*D1260</f>
        <v>31.68</v>
      </c>
    </row>
    <row r="1261" spans="1:9">
      <c r="A1261" s="1019"/>
      <c r="B1261" s="984"/>
      <c r="C1261" s="792" t="s">
        <v>166</v>
      </c>
      <c r="D1261" s="1023">
        <v>3.5999999999999997E-2</v>
      </c>
      <c r="E1261" s="1116" t="s">
        <v>499</v>
      </c>
      <c r="F1261" s="986">
        <f>$F$19</f>
        <v>625</v>
      </c>
      <c r="G1261" s="1023">
        <v>1</v>
      </c>
      <c r="H1261" s="1116" t="s">
        <v>268</v>
      </c>
      <c r="I1261" s="997">
        <f>F1261*D1261</f>
        <v>22.5</v>
      </c>
    </row>
    <row r="1262" spans="1:9">
      <c r="A1262" s="1019"/>
      <c r="B1262" s="984"/>
      <c r="C1262" s="792" t="s">
        <v>167</v>
      </c>
      <c r="D1262" s="1023">
        <v>8.4000000000000005E-2</v>
      </c>
      <c r="E1262" s="1116" t="s">
        <v>499</v>
      </c>
      <c r="F1262" s="986">
        <f>$F$20</f>
        <v>515</v>
      </c>
      <c r="G1262" s="1023">
        <v>1</v>
      </c>
      <c r="H1262" s="1116" t="s">
        <v>268</v>
      </c>
      <c r="I1262" s="997">
        <f>F1262*D1262</f>
        <v>43.260000000000005</v>
      </c>
    </row>
    <row r="1263" spans="1:9">
      <c r="A1263" s="1019"/>
      <c r="B1263" s="984"/>
      <c r="D1263" s="1023"/>
      <c r="E1263" s="1116"/>
      <c r="F1263" s="986"/>
      <c r="G1263" s="1023"/>
      <c r="H1263" s="1116"/>
      <c r="I1263" s="997">
        <f>SUM(I1255:I1262)</f>
        <v>161.63999999999999</v>
      </c>
    </row>
    <row r="1264" spans="1:9">
      <c r="A1264" s="1019"/>
      <c r="B1264" s="984"/>
      <c r="C1264" s="1124" t="s">
        <v>1014</v>
      </c>
      <c r="D1264" s="1026">
        <f>$D$3</f>
        <v>0</v>
      </c>
      <c r="E1264" s="1116"/>
      <c r="F1264" s="997">
        <f>I1263</f>
        <v>161.63999999999999</v>
      </c>
      <c r="G1264" s="1023"/>
      <c r="H1264" s="991"/>
      <c r="I1264" s="997">
        <f>ROUND(D1264*F1264,2)</f>
        <v>0</v>
      </c>
    </row>
    <row r="1265" spans="1:9">
      <c r="A1265" s="1019"/>
      <c r="B1265" s="1020"/>
      <c r="C1265" s="980" t="s">
        <v>508</v>
      </c>
      <c r="D1265" s="1021"/>
      <c r="E1265" s="1003"/>
      <c r="F1265" s="986"/>
      <c r="G1265" s="1023"/>
      <c r="H1265" s="980" t="s">
        <v>466</v>
      </c>
      <c r="I1265" s="1012">
        <f>CEILING(SUM(I1263:I1264),0.05)</f>
        <v>161.65</v>
      </c>
    </row>
    <row r="1266" spans="1:9" ht="53.25" customHeight="1">
      <c r="A1266" s="1019">
        <f>A1253+1</f>
        <v>32</v>
      </c>
      <c r="B1266" s="984"/>
      <c r="C1266" s="1499" t="s">
        <v>2303</v>
      </c>
      <c r="D1266" s="1499"/>
      <c r="E1266" s="1499"/>
      <c r="F1266" s="1499"/>
      <c r="G1266" s="1499"/>
      <c r="H1266" s="1499"/>
      <c r="I1266" s="1499"/>
    </row>
    <row r="1267" spans="1:9" ht="12.75" customHeight="1">
      <c r="A1267" s="1019"/>
      <c r="B1267" s="984"/>
      <c r="C1267" s="792" t="s">
        <v>416</v>
      </c>
      <c r="D1267" s="1023">
        <v>1</v>
      </c>
      <c r="E1267" s="1116" t="s">
        <v>186</v>
      </c>
      <c r="F1267" s="997">
        <f>$F$137</f>
        <v>602</v>
      </c>
      <c r="G1267" s="1023">
        <v>1</v>
      </c>
      <c r="H1267" s="991" t="str">
        <f>IF(E1267="","",IF(E1267="No.","Each",IF(E1267="Nos.","Each",E1267)))</f>
        <v>Sqmt</v>
      </c>
      <c r="I1267" s="997">
        <f>IF(G1267="",D1267*F1267,(D1267*F1267/G1267))</f>
        <v>602</v>
      </c>
    </row>
    <row r="1268" spans="1:9" ht="12.75" customHeight="1">
      <c r="A1268" s="1019"/>
      <c r="B1268" s="984"/>
      <c r="C1268" s="1124" t="s">
        <v>1014</v>
      </c>
      <c r="D1268" s="1026">
        <f>$D$3</f>
        <v>0</v>
      </c>
      <c r="E1268" s="1116"/>
      <c r="F1268" s="997">
        <f>I1267</f>
        <v>602</v>
      </c>
      <c r="G1268" s="1023"/>
      <c r="H1268" s="991"/>
      <c r="I1268" s="997">
        <f>ROUND(D1268*F1268,2)</f>
        <v>0</v>
      </c>
    </row>
    <row r="1269" spans="1:9" ht="12.75" customHeight="1">
      <c r="A1269" s="1019"/>
      <c r="B1269" s="1020"/>
      <c r="C1269" s="980" t="s">
        <v>187</v>
      </c>
      <c r="D1269" s="1021"/>
      <c r="E1269" s="1003"/>
      <c r="F1269" s="986"/>
      <c r="G1269" s="1023"/>
      <c r="H1269" s="980" t="s">
        <v>466</v>
      </c>
      <c r="I1269" s="1012">
        <f>CEILING(SUM(I1267:I1268),0.05)</f>
        <v>602</v>
      </c>
    </row>
    <row r="1270" spans="1:9" ht="50.25" customHeight="1">
      <c r="A1270" s="1019">
        <f>A1266+1</f>
        <v>33</v>
      </c>
      <c r="C1270" s="1499" t="s">
        <v>1207</v>
      </c>
      <c r="D1270" s="1499"/>
      <c r="E1270" s="1499"/>
      <c r="F1270" s="1499"/>
      <c r="G1270" s="1499"/>
      <c r="H1270" s="1499"/>
      <c r="I1270" s="1499"/>
    </row>
    <row r="1271" spans="1:9">
      <c r="C1271" s="792" t="s">
        <v>898</v>
      </c>
      <c r="D1271" s="979">
        <v>5.0999999999999996</v>
      </c>
      <c r="E1271" s="979" t="s">
        <v>700</v>
      </c>
      <c r="F1271" s="997">
        <v>65</v>
      </c>
      <c r="G1271" s="1023">
        <v>1</v>
      </c>
      <c r="H1271" s="991" t="str">
        <f>IF(E1271="","",IF(E1271="No.","Each",IF(E1271="Nos.","Each",E1271)))</f>
        <v>Kgs.</v>
      </c>
      <c r="I1271" s="986">
        <f>IF(G1271="",D1271*F1271,(D1271*F1271/G1271))</f>
        <v>331.5</v>
      </c>
    </row>
    <row r="1272" spans="1:9" ht="24.6">
      <c r="C1272" s="792" t="s">
        <v>899</v>
      </c>
      <c r="D1272" s="979">
        <v>5.0999999999999996</v>
      </c>
      <c r="E1272" s="979" t="s">
        <v>700</v>
      </c>
      <c r="F1272" s="997">
        <v>30</v>
      </c>
      <c r="G1272" s="1023">
        <v>1</v>
      </c>
      <c r="H1272" s="991" t="str">
        <f>IF(E1272="","",IF(E1272="No.","Each",IF(E1272="Nos.","Each",E1272)))</f>
        <v>Kgs.</v>
      </c>
      <c r="I1272" s="986">
        <f>IF(G1272="",D1272*F1272,(D1272*F1272/G1272))</f>
        <v>153</v>
      </c>
    </row>
    <row r="1273" spans="1:9">
      <c r="F1273" s="997"/>
      <c r="G1273" s="1023"/>
      <c r="H1273" s="991"/>
      <c r="I1273" s="986">
        <f>SUM(I1271:I1272)</f>
        <v>484.5</v>
      </c>
    </row>
    <row r="1274" spans="1:9">
      <c r="C1274" s="1124" t="s">
        <v>1014</v>
      </c>
      <c r="D1274" s="1026">
        <f>$D$3</f>
        <v>0</v>
      </c>
      <c r="E1274" s="1116"/>
      <c r="F1274" s="997">
        <f>I1273</f>
        <v>484.5</v>
      </c>
      <c r="G1274" s="1023"/>
      <c r="H1274" s="991"/>
      <c r="I1274" s="997">
        <f>ROUND(D1274*F1274,2)</f>
        <v>0</v>
      </c>
    </row>
    <row r="1275" spans="1:9">
      <c r="C1275" s="980" t="s">
        <v>406</v>
      </c>
      <c r="I1275" s="998">
        <f>CEILING(SUM(I1273:I1274),0.05)</f>
        <v>484.5</v>
      </c>
    </row>
    <row r="1276" spans="1:9">
      <c r="C1276" s="980"/>
      <c r="I1276" s="998"/>
    </row>
    <row r="1277" spans="1:9">
      <c r="C1277" s="980"/>
      <c r="I1277" s="998"/>
    </row>
    <row r="1278" spans="1:9" ht="98.25" customHeight="1">
      <c r="A1278" s="1019">
        <f>A1253+1</f>
        <v>32</v>
      </c>
      <c r="B1278" s="984"/>
      <c r="C1278" s="1493" t="s">
        <v>2410</v>
      </c>
      <c r="D1278" s="1493"/>
      <c r="E1278" s="1493"/>
      <c r="F1278" s="1493"/>
      <c r="G1278" s="1493"/>
      <c r="H1278" s="1493"/>
      <c r="I1278" s="1493"/>
    </row>
    <row r="1279" spans="1:9">
      <c r="A1279" s="1019"/>
      <c r="B1279" s="984"/>
      <c r="C1279" s="792" t="s">
        <v>164</v>
      </c>
      <c r="D1279" s="1023">
        <v>0.1</v>
      </c>
      <c r="E1279" s="1116" t="s">
        <v>364</v>
      </c>
      <c r="F1279" s="997">
        <f>$F$130</f>
        <v>158</v>
      </c>
      <c r="G1279" s="1023">
        <v>1</v>
      </c>
      <c r="H1279" s="991" t="str">
        <f>IF(E1279="","",IF(E1279="No.","Each",IF(E1279="Nos.","Each",E1279)))</f>
        <v>Kgs</v>
      </c>
      <c r="I1279" s="997">
        <f>IF(G1279="",D1279*F1279,(D1279*F1279/G1279))</f>
        <v>15.8</v>
      </c>
    </row>
    <row r="1280" spans="1:9">
      <c r="A1280" s="1019"/>
      <c r="B1280" s="984"/>
      <c r="C1280" s="792" t="s">
        <v>1064</v>
      </c>
      <c r="D1280" s="1023">
        <v>0.08</v>
      </c>
      <c r="E1280" s="1116" t="s">
        <v>133</v>
      </c>
      <c r="F1280" s="997">
        <f>$F$133</f>
        <v>205</v>
      </c>
      <c r="G1280" s="1023">
        <v>1</v>
      </c>
      <c r="H1280" s="991" t="str">
        <f>IF(E1280="","",IF(E1280="No.","Each",IF(E1280="Nos.","Each",E1280)))</f>
        <v>Ltr</v>
      </c>
      <c r="I1280" s="997">
        <f>IF(G1280="",D1280*F1280,(D1280*F1280/G1280))</f>
        <v>16.399999999999999</v>
      </c>
    </row>
    <row r="1281" spans="1:9">
      <c r="A1281" s="1019"/>
      <c r="B1281" s="984"/>
      <c r="C1281" s="1117" t="s">
        <v>165</v>
      </c>
      <c r="D1281" s="1023"/>
      <c r="E1281" s="1116"/>
      <c r="F1281" s="997"/>
      <c r="G1281" s="1023"/>
      <c r="H1281" s="991"/>
      <c r="I1281" s="997"/>
    </row>
    <row r="1282" spans="1:9">
      <c r="A1282" s="1019"/>
      <c r="B1282" s="984"/>
      <c r="C1282" s="792" t="s">
        <v>166</v>
      </c>
      <c r="D1282" s="1023">
        <v>2.1000000000000001E-2</v>
      </c>
      <c r="E1282" s="1116" t="s">
        <v>499</v>
      </c>
      <c r="F1282" s="997">
        <f>$F$19</f>
        <v>625</v>
      </c>
      <c r="G1282" s="1023">
        <v>1</v>
      </c>
      <c r="H1282" s="991" t="str">
        <f>IF(E1282="","",IF(E1282="No.","Each",IF(E1282="Nos.","Each",E1282)))</f>
        <v>Each</v>
      </c>
      <c r="I1282" s="997">
        <f>IF(G1282="",D1282*F1282,(D1282*F1282/G1282))</f>
        <v>13.125</v>
      </c>
    </row>
    <row r="1283" spans="1:9">
      <c r="A1283" s="1019"/>
      <c r="B1283" s="984"/>
      <c r="C1283" s="792" t="s">
        <v>167</v>
      </c>
      <c r="D1283" s="1023">
        <v>4.9000000000000002E-2</v>
      </c>
      <c r="E1283" s="1116" t="s">
        <v>499</v>
      </c>
      <c r="F1283" s="997">
        <f>$F$20</f>
        <v>515</v>
      </c>
      <c r="G1283" s="1023">
        <v>1</v>
      </c>
      <c r="H1283" s="991" t="str">
        <f>IF(E1283="","",IF(E1283="No.","Each",IF(E1283="Nos.","Each",E1283)))</f>
        <v>Each</v>
      </c>
      <c r="I1283" s="997">
        <f>IF(G1283="",D1283*F1283,(D1283*F1283/G1283))</f>
        <v>25.234999999999999</v>
      </c>
    </row>
    <row r="1284" spans="1:9">
      <c r="A1284" s="1019"/>
      <c r="B1284" s="984"/>
      <c r="C1284" s="1117" t="s">
        <v>168</v>
      </c>
      <c r="D1284" s="1023"/>
      <c r="E1284" s="1116"/>
      <c r="F1284" s="997"/>
      <c r="G1284" s="1023"/>
      <c r="H1284" s="991"/>
      <c r="I1284" s="997"/>
    </row>
    <row r="1285" spans="1:9">
      <c r="A1285" s="1019"/>
      <c r="B1285" s="984"/>
      <c r="C1285" s="792" t="s">
        <v>166</v>
      </c>
      <c r="D1285" s="1023">
        <v>3.5999999999999997E-2</v>
      </c>
      <c r="E1285" s="1116" t="s">
        <v>499</v>
      </c>
      <c r="F1285" s="997">
        <f>F1282</f>
        <v>625</v>
      </c>
      <c r="G1285" s="1023">
        <v>1</v>
      </c>
      <c r="H1285" s="991" t="str">
        <f>IF(E1285="","",IF(E1285="No.","Each",IF(E1285="Nos.","Each",E1285)))</f>
        <v>Each</v>
      </c>
      <c r="I1285" s="997">
        <f>IF(G1285="",D1285*F1285,(D1285*F1285/G1285))</f>
        <v>22.5</v>
      </c>
    </row>
    <row r="1286" spans="1:9">
      <c r="A1286" s="1019"/>
      <c r="B1286" s="984"/>
      <c r="C1286" s="792" t="s">
        <v>167</v>
      </c>
      <c r="D1286" s="1023">
        <v>8.4000000000000005E-2</v>
      </c>
      <c r="E1286" s="1116" t="s">
        <v>499</v>
      </c>
      <c r="F1286" s="997">
        <f>F1283</f>
        <v>515</v>
      </c>
      <c r="G1286" s="1023">
        <v>1</v>
      </c>
      <c r="H1286" s="991" t="str">
        <f>IF(E1286="","",IF(E1286="No.","Each",IF(E1286="Nos.","Each",E1286)))</f>
        <v>Each</v>
      </c>
      <c r="I1286" s="997">
        <f>IF(G1286="",D1286*F1286,(D1286*F1286/G1286))</f>
        <v>43.260000000000005</v>
      </c>
    </row>
    <row r="1287" spans="1:9">
      <c r="A1287" s="1019"/>
      <c r="B1287" s="984"/>
      <c r="D1287" s="1023"/>
      <c r="E1287" s="1116"/>
      <c r="F1287" s="997"/>
      <c r="G1287" s="1023"/>
      <c r="H1287" s="991"/>
      <c r="I1287" s="997">
        <f>SUM(I1279:I1286)</f>
        <v>136.32</v>
      </c>
    </row>
    <row r="1288" spans="1:9">
      <c r="A1288" s="1019"/>
      <c r="B1288" s="984"/>
      <c r="C1288" s="1124" t="s">
        <v>1014</v>
      </c>
      <c r="D1288" s="1026">
        <f>$D$3</f>
        <v>0</v>
      </c>
      <c r="E1288" s="1116"/>
      <c r="F1288" s="997">
        <f>I1287</f>
        <v>136.32</v>
      </c>
      <c r="G1288" s="1023"/>
      <c r="H1288" s="991"/>
      <c r="I1288" s="997">
        <f>ROUND(D1288*F1288,2)</f>
        <v>0</v>
      </c>
    </row>
    <row r="1289" spans="1:9">
      <c r="A1289" s="1019"/>
      <c r="B1289" s="1020"/>
      <c r="C1289" s="980" t="s">
        <v>505</v>
      </c>
      <c r="D1289" s="1021"/>
      <c r="E1289" s="1003"/>
      <c r="F1289" s="986"/>
      <c r="G1289" s="1023"/>
      <c r="H1289" s="980" t="s">
        <v>466</v>
      </c>
      <c r="I1289" s="998">
        <f>CEILING(SUM(I1287:I1288),0.05)</f>
        <v>136.35</v>
      </c>
    </row>
    <row r="1290" spans="1:9" ht="12.75" hidden="1" customHeight="1">
      <c r="A1290" s="1019">
        <f>+A1278+1</f>
        <v>33</v>
      </c>
      <c r="B1290" s="984"/>
      <c r="C1290" s="1493" t="s">
        <v>1208</v>
      </c>
      <c r="D1290" s="1493"/>
      <c r="E1290" s="1493"/>
      <c r="F1290" s="1493"/>
      <c r="G1290" s="1493"/>
      <c r="H1290" s="1493"/>
      <c r="I1290" s="1493"/>
    </row>
    <row r="1291" spans="1:9" hidden="1">
      <c r="A1291" s="1019"/>
      <c r="B1291" s="984"/>
      <c r="C1291" s="1503" t="s">
        <v>1209</v>
      </c>
      <c r="D1291" s="1503"/>
      <c r="E1291" s="1118"/>
      <c r="F1291" s="1118"/>
      <c r="G1291" s="1118"/>
      <c r="H1291" s="1118"/>
      <c r="I1291" s="1118"/>
    </row>
    <row r="1292" spans="1:9" hidden="1">
      <c r="A1292" s="1019"/>
      <c r="B1292" s="984"/>
      <c r="C1292" s="642" t="s">
        <v>1051</v>
      </c>
      <c r="D1292" s="1122"/>
      <c r="E1292" s="1118"/>
      <c r="F1292" s="1118"/>
      <c r="G1292" s="1118"/>
      <c r="H1292" s="1118"/>
      <c r="I1292" s="1118"/>
    </row>
    <row r="1293" spans="1:9" hidden="1">
      <c r="A1293" s="1019"/>
      <c r="B1293" s="984"/>
      <c r="C1293" s="642" t="s">
        <v>1210</v>
      </c>
      <c r="D1293" s="1055">
        <v>23</v>
      </c>
      <c r="E1293" s="642" t="s">
        <v>364</v>
      </c>
      <c r="F1293" s="997">
        <v>35</v>
      </c>
      <c r="G1293" s="1023">
        <v>1</v>
      </c>
      <c r="H1293" s="991" t="str">
        <f>IF(E1293="","",IF(E1293="No.","Each",IF(E1293="Nos.","Each",E1293)))</f>
        <v>Kgs</v>
      </c>
      <c r="I1293" s="997">
        <f>IF(G1293="",D1293*F1293,(D1293*F1293/G1293))</f>
        <v>805</v>
      </c>
    </row>
    <row r="1294" spans="1:9" hidden="1">
      <c r="A1294" s="1019"/>
      <c r="B1294" s="984"/>
      <c r="C1294" s="642" t="s">
        <v>771</v>
      </c>
      <c r="D1294" s="549">
        <v>0.27300000000000002</v>
      </c>
      <c r="E1294" s="642" t="s">
        <v>499</v>
      </c>
      <c r="F1294" s="997">
        <f>$F$19</f>
        <v>625</v>
      </c>
      <c r="G1294" s="1023">
        <v>1</v>
      </c>
      <c r="H1294" s="991" t="str">
        <f>IF(E1294="","",IF(E1294="No.","Each",IF(E1294="Nos.","Each",E1294)))</f>
        <v>Each</v>
      </c>
      <c r="I1294" s="997">
        <f>IF(G1294="",D1294*F1294,(D1294*F1294/G1294))</f>
        <v>170.625</v>
      </c>
    </row>
    <row r="1295" spans="1:9" hidden="1">
      <c r="A1295" s="1019"/>
      <c r="B1295" s="984"/>
      <c r="C1295" s="642" t="s">
        <v>772</v>
      </c>
      <c r="D1295" s="549">
        <v>0.63700000000000001</v>
      </c>
      <c r="E1295" s="642" t="s">
        <v>499</v>
      </c>
      <c r="F1295" s="997">
        <f>$F$20</f>
        <v>515</v>
      </c>
      <c r="G1295" s="1023">
        <v>1</v>
      </c>
      <c r="H1295" s="991" t="str">
        <f>IF(E1295="","",IF(E1295="No.","Each",IF(E1295="Nos.","Each",E1295)))</f>
        <v>Each</v>
      </c>
      <c r="I1295" s="997">
        <f>IF(G1295="",D1295*F1295,(D1295*F1295/G1295))</f>
        <v>328.05500000000001</v>
      </c>
    </row>
    <row r="1296" spans="1:9" hidden="1">
      <c r="A1296" s="1019"/>
      <c r="B1296" s="984"/>
      <c r="C1296" s="642" t="s">
        <v>839</v>
      </c>
      <c r="D1296" s="1055">
        <v>0.91</v>
      </c>
      <c r="E1296" s="642" t="s">
        <v>499</v>
      </c>
      <c r="F1296" s="997">
        <f>F22</f>
        <v>490</v>
      </c>
      <c r="G1296" s="1023">
        <v>1</v>
      </c>
      <c r="H1296" s="991" t="str">
        <f>IF(E1296="","",IF(E1296="No.","Each",IF(E1296="Nos.","Each",E1296)))</f>
        <v>Each</v>
      </c>
      <c r="I1296" s="997">
        <f>IF(G1296="",D1296*F1296,(D1296*F1296/G1296))</f>
        <v>445.90000000000003</v>
      </c>
    </row>
    <row r="1297" spans="1:9" ht="24.6" hidden="1">
      <c r="A1297" s="1019"/>
      <c r="B1297" s="984"/>
      <c r="C1297" s="642" t="s">
        <v>1211</v>
      </c>
      <c r="D1297" s="1055">
        <v>0.01</v>
      </c>
      <c r="F1297" s="1056">
        <f>SUM(I1293:I1296)</f>
        <v>1749.5800000000002</v>
      </c>
      <c r="G1297" s="1023"/>
      <c r="H1297" s="991"/>
      <c r="I1297" s="997">
        <f>D1297*F1297</f>
        <v>17.495800000000003</v>
      </c>
    </row>
    <row r="1298" spans="1:9" hidden="1">
      <c r="A1298" s="1019"/>
      <c r="B1298" s="984"/>
      <c r="D1298" s="1023"/>
      <c r="E1298" s="1116"/>
      <c r="F1298" s="997"/>
      <c r="G1298" s="1023"/>
      <c r="H1298" s="991"/>
      <c r="I1298" s="997">
        <f>SUM(I1293:I1297)</f>
        <v>1767.0758000000001</v>
      </c>
    </row>
    <row r="1299" spans="1:9" hidden="1">
      <c r="A1299" s="1019"/>
      <c r="B1299" s="984"/>
      <c r="C1299" s="1124" t="s">
        <v>1014</v>
      </c>
      <c r="D1299" s="1026">
        <f>$D$3</f>
        <v>0</v>
      </c>
      <c r="E1299" s="1116"/>
      <c r="F1299" s="997">
        <f>I1298</f>
        <v>1767.0758000000001</v>
      </c>
      <c r="G1299" s="1023"/>
      <c r="H1299" s="991"/>
      <c r="I1299" s="997">
        <f>ROUND(D1299*F1299,2)</f>
        <v>0</v>
      </c>
    </row>
    <row r="1300" spans="1:9" hidden="1">
      <c r="A1300" s="1019"/>
      <c r="B1300" s="1020"/>
      <c r="C1300" s="980" t="s">
        <v>1212</v>
      </c>
      <c r="D1300" s="1021"/>
      <c r="E1300" s="1003"/>
      <c r="F1300" s="986"/>
      <c r="G1300" s="1023"/>
      <c r="H1300" s="980" t="s">
        <v>466</v>
      </c>
      <c r="I1300" s="998">
        <f>CEILING(SUM(I1298:I1299),0.05)</f>
        <v>1767.1000000000001</v>
      </c>
    </row>
    <row r="1301" spans="1:9" hidden="1">
      <c r="A1301" s="1019"/>
      <c r="B1301" s="1020"/>
      <c r="C1301" s="980"/>
      <c r="D1301" s="1021"/>
      <c r="E1301" s="1003"/>
      <c r="F1301" s="986"/>
      <c r="G1301" s="1023"/>
      <c r="H1301" s="980"/>
      <c r="I1301" s="998">
        <f>I1300/10</f>
        <v>176.71</v>
      </c>
    </row>
    <row r="1302" spans="1:9" hidden="1">
      <c r="A1302" s="1019"/>
      <c r="B1302" s="1020"/>
      <c r="C1302" s="980" t="s">
        <v>505</v>
      </c>
      <c r="D1302" s="1021"/>
      <c r="E1302" s="1003"/>
      <c r="F1302" s="986"/>
      <c r="G1302" s="1023"/>
      <c r="H1302" s="980"/>
      <c r="I1302" s="1039">
        <f>ROUND(I1301,1)</f>
        <v>176.7</v>
      </c>
    </row>
    <row r="1303" spans="1:9" ht="94.5" customHeight="1">
      <c r="A1303" s="1019">
        <f>+A1278+1</f>
        <v>33</v>
      </c>
      <c r="B1303" s="984"/>
      <c r="C1303" s="1493" t="s">
        <v>2411</v>
      </c>
      <c r="D1303" s="1493"/>
      <c r="E1303" s="1493"/>
      <c r="F1303" s="1493"/>
      <c r="G1303" s="1493"/>
      <c r="H1303" s="1493"/>
      <c r="I1303" s="1493"/>
    </row>
    <row r="1304" spans="1:9" ht="15.75" customHeight="1">
      <c r="A1304" s="1019"/>
      <c r="B1304" s="984"/>
      <c r="C1304" s="792" t="s">
        <v>1066</v>
      </c>
      <c r="D1304" s="1023">
        <v>0.1</v>
      </c>
      <c r="E1304" s="1116" t="s">
        <v>364</v>
      </c>
      <c r="F1304" s="997">
        <f>$F$131</f>
        <v>201</v>
      </c>
      <c r="G1304" s="1023">
        <v>1</v>
      </c>
      <c r="H1304" s="991" t="str">
        <f>IF(E1304="","",IF(E1304="No.","Each",IF(E1304="Nos.","Each",E1304)))</f>
        <v>Kgs</v>
      </c>
      <c r="I1304" s="997">
        <f>IF(G1304="",D1304*F1304,(D1304*F1304/G1304))</f>
        <v>20.100000000000001</v>
      </c>
    </row>
    <row r="1305" spans="1:9" ht="15.75" customHeight="1">
      <c r="A1305" s="1019"/>
      <c r="B1305" s="984"/>
      <c r="C1305" s="792" t="s">
        <v>1064</v>
      </c>
      <c r="D1305" s="1023">
        <v>0.08</v>
      </c>
      <c r="E1305" s="1116" t="s">
        <v>133</v>
      </c>
      <c r="F1305" s="997">
        <f>$F$134</f>
        <v>215</v>
      </c>
      <c r="G1305" s="1023">
        <v>1</v>
      </c>
      <c r="H1305" s="991" t="str">
        <f>IF(E1305="","",IF(E1305="No.","Each",IF(E1305="Nos.","Each",E1305)))</f>
        <v>Ltr</v>
      </c>
      <c r="I1305" s="997">
        <f>IF(G1305="",D1305*F1305,(D1305*F1305/G1305))</f>
        <v>17.2</v>
      </c>
    </row>
    <row r="1306" spans="1:9" ht="15.75" customHeight="1">
      <c r="A1306" s="1019"/>
      <c r="B1306" s="984"/>
      <c r="C1306" s="1117" t="s">
        <v>165</v>
      </c>
      <c r="D1306" s="1023"/>
      <c r="E1306" s="1116"/>
      <c r="F1306" s="997"/>
      <c r="G1306" s="1023"/>
      <c r="H1306" s="991"/>
      <c r="I1306" s="997"/>
    </row>
    <row r="1307" spans="1:9" ht="15.75" customHeight="1">
      <c r="A1307" s="1019"/>
      <c r="B1307" s="984"/>
      <c r="C1307" s="792" t="s">
        <v>166</v>
      </c>
      <c r="D1307" s="1023">
        <v>2.1000000000000001E-2</v>
      </c>
      <c r="E1307" s="1116" t="s">
        <v>499</v>
      </c>
      <c r="F1307" s="997">
        <f>$F$19</f>
        <v>625</v>
      </c>
      <c r="G1307" s="1023">
        <v>1</v>
      </c>
      <c r="H1307" s="991" t="str">
        <f>IF(E1307="","",IF(E1307="No.","Each",IF(E1307="Nos.","Each",E1307)))</f>
        <v>Each</v>
      </c>
      <c r="I1307" s="997">
        <f>IF(G1307="",D1307*F1307,(D1307*F1307/G1307))</f>
        <v>13.125</v>
      </c>
    </row>
    <row r="1308" spans="1:9" ht="15.75" customHeight="1">
      <c r="A1308" s="1019"/>
      <c r="B1308" s="984"/>
      <c r="C1308" s="792" t="s">
        <v>167</v>
      </c>
      <c r="D1308" s="1023">
        <v>4.9000000000000002E-2</v>
      </c>
      <c r="E1308" s="1116" t="s">
        <v>499</v>
      </c>
      <c r="F1308" s="997">
        <f>$F$20</f>
        <v>515</v>
      </c>
      <c r="G1308" s="1023">
        <v>1</v>
      </c>
      <c r="H1308" s="991" t="str">
        <f>IF(E1308="","",IF(E1308="No.","Each",IF(E1308="Nos.","Each",E1308)))</f>
        <v>Each</v>
      </c>
      <c r="I1308" s="997">
        <f>IF(G1308="",D1308*F1308,(D1308*F1308/G1308))</f>
        <v>25.234999999999999</v>
      </c>
    </row>
    <row r="1309" spans="1:9" ht="15.75" customHeight="1">
      <c r="A1309" s="1019"/>
      <c r="B1309" s="984"/>
      <c r="C1309" s="1117" t="s">
        <v>168</v>
      </c>
      <c r="D1309" s="1023"/>
      <c r="E1309" s="1116"/>
      <c r="F1309" s="997"/>
      <c r="G1309" s="1023"/>
      <c r="H1309" s="991"/>
      <c r="I1309" s="997"/>
    </row>
    <row r="1310" spans="1:9" ht="15.75" customHeight="1">
      <c r="A1310" s="1019"/>
      <c r="B1310" s="984"/>
      <c r="C1310" s="792" t="s">
        <v>166</v>
      </c>
      <c r="D1310" s="1023">
        <v>2.1000000000000001E-2</v>
      </c>
      <c r="E1310" s="1116" t="s">
        <v>499</v>
      </c>
      <c r="F1310" s="997">
        <f>F1307</f>
        <v>625</v>
      </c>
      <c r="G1310" s="1023">
        <v>1</v>
      </c>
      <c r="H1310" s="991" t="str">
        <f>IF(E1310="","",IF(E1310="No.","Each",IF(E1310="Nos.","Each",E1310)))</f>
        <v>Each</v>
      </c>
      <c r="I1310" s="997">
        <f>IF(G1310="",D1310*F1310,(D1310*F1310/G1310))</f>
        <v>13.125</v>
      </c>
    </row>
    <row r="1311" spans="1:9" ht="15.75" customHeight="1">
      <c r="A1311" s="1019"/>
      <c r="B1311" s="984"/>
      <c r="C1311" s="792" t="s">
        <v>167</v>
      </c>
      <c r="D1311" s="1023">
        <v>4.9000000000000002E-2</v>
      </c>
      <c r="E1311" s="1116" t="s">
        <v>499</v>
      </c>
      <c r="F1311" s="997">
        <f>F1308</f>
        <v>515</v>
      </c>
      <c r="G1311" s="1023">
        <v>1</v>
      </c>
      <c r="H1311" s="991" t="str">
        <f>IF(E1311="","",IF(E1311="No.","Each",IF(E1311="Nos.","Each",E1311)))</f>
        <v>Each</v>
      </c>
      <c r="I1311" s="997">
        <f>IF(G1311="",D1311*F1311,(D1311*F1311/G1311))</f>
        <v>25.234999999999999</v>
      </c>
    </row>
    <row r="1312" spans="1:9" ht="15.75" customHeight="1">
      <c r="A1312" s="1019"/>
      <c r="B1312" s="984"/>
      <c r="C1312" s="642" t="s">
        <v>839</v>
      </c>
      <c r="D1312" s="1032">
        <f>1.5/10</f>
        <v>0.15</v>
      </c>
      <c r="E1312" s="1057" t="s">
        <v>499</v>
      </c>
      <c r="F1312" s="1032">
        <f>F22</f>
        <v>490</v>
      </c>
      <c r="G1312" s="1033">
        <v>1</v>
      </c>
      <c r="H1312" s="1034" t="str">
        <f>IF(E1312="","",IF(E1312="No.","Each",IF(E1312="Nos.","Each",E1312)))</f>
        <v>Each</v>
      </c>
      <c r="I1312" s="1032">
        <f>IF(G1312="",D1312*F1312,(D1312*F1312/G1312))</f>
        <v>73.5</v>
      </c>
    </row>
    <row r="1313" spans="1:11" ht="15.75" customHeight="1">
      <c r="A1313" s="1019"/>
      <c r="B1313" s="984"/>
      <c r="D1313" s="1023"/>
      <c r="E1313" s="1116"/>
      <c r="F1313" s="997"/>
      <c r="G1313" s="1023"/>
      <c r="H1313" s="991"/>
      <c r="I1313" s="997">
        <f>SUM(I1304:I1312)</f>
        <v>187.51999999999998</v>
      </c>
    </row>
    <row r="1314" spans="1:11" ht="15.75" customHeight="1">
      <c r="A1314" s="1019"/>
      <c r="B1314" s="984"/>
      <c r="C1314" s="1124" t="s">
        <v>1014</v>
      </c>
      <c r="D1314" s="1026">
        <f>$D$3</f>
        <v>0</v>
      </c>
      <c r="E1314" s="1116"/>
      <c r="F1314" s="997">
        <f>I1313</f>
        <v>187.51999999999998</v>
      </c>
      <c r="G1314" s="1023"/>
      <c r="H1314" s="991"/>
      <c r="I1314" s="997">
        <f>ROUND(D1314*F1314,2)</f>
        <v>0</v>
      </c>
    </row>
    <row r="1315" spans="1:11" ht="15.75" customHeight="1">
      <c r="A1315" s="1019"/>
      <c r="B1315" s="1020"/>
      <c r="C1315" s="980" t="s">
        <v>505</v>
      </c>
      <c r="D1315" s="1021"/>
      <c r="E1315" s="1003"/>
      <c r="F1315" s="986"/>
      <c r="G1315" s="1023"/>
      <c r="H1315" s="980" t="s">
        <v>466</v>
      </c>
      <c r="I1315" s="998">
        <f>CEILING(SUM(I1313:I1314),0.05)</f>
        <v>187.55</v>
      </c>
    </row>
    <row r="1316" spans="1:11" ht="15.75" customHeight="1">
      <c r="A1316" s="1019"/>
      <c r="B1316" s="1020"/>
      <c r="C1316" s="980"/>
      <c r="D1316" s="1021"/>
      <c r="E1316" s="1003"/>
      <c r="F1316" s="986"/>
      <c r="G1316" s="1023"/>
      <c r="H1316" s="980"/>
      <c r="I1316" s="1012"/>
    </row>
    <row r="1317" spans="1:11" ht="12.75" customHeight="1">
      <c r="A1317" s="1019"/>
      <c r="B1317" s="1020"/>
      <c r="C1317" s="980"/>
      <c r="D1317" s="1021"/>
      <c r="E1317" s="1003"/>
      <c r="F1317" s="986"/>
      <c r="G1317" s="1023"/>
      <c r="H1317" s="980"/>
      <c r="I1317" s="1012"/>
    </row>
    <row r="1318" spans="1:11" ht="12.75" customHeight="1">
      <c r="A1318" s="979">
        <f>+A1303+1</f>
        <v>34</v>
      </c>
      <c r="C1318" s="1499" t="s">
        <v>1285</v>
      </c>
      <c r="D1318" s="1499"/>
      <c r="E1318" s="1499"/>
      <c r="F1318" s="1499"/>
      <c r="G1318" s="1499"/>
      <c r="H1318" s="1499"/>
      <c r="I1318" s="1499"/>
    </row>
    <row r="1319" spans="1:11">
      <c r="C1319" s="792" t="s">
        <v>1061</v>
      </c>
      <c r="D1319" s="997">
        <v>1</v>
      </c>
      <c r="E1319" s="979" t="s">
        <v>647</v>
      </c>
      <c r="F1319" s="997">
        <v>687</v>
      </c>
      <c r="G1319" s="1023">
        <v>1</v>
      </c>
      <c r="H1319" s="991" t="str">
        <f>IF(E1319="","",IF(E1319="No.","Each",IF(E1319="Nos.","Each",E1319)))</f>
        <v xml:space="preserve">RM </v>
      </c>
      <c r="I1319" s="986">
        <f>IF(G1319="",D1319*F1319,(D1319*F1319/G1319))</f>
        <v>687</v>
      </c>
      <c r="K1319" s="979" t="s">
        <v>1018</v>
      </c>
    </row>
    <row r="1320" spans="1:11">
      <c r="C1320" s="1124" t="s">
        <v>1014</v>
      </c>
      <c r="D1320" s="1026">
        <f>$D$3</f>
        <v>0</v>
      </c>
      <c r="E1320" s="1116"/>
      <c r="F1320" s="997">
        <f>I1319</f>
        <v>687</v>
      </c>
      <c r="G1320" s="1023"/>
      <c r="H1320" s="991"/>
      <c r="I1320" s="997">
        <f>ROUND(D1320*F1320,2)</f>
        <v>0</v>
      </c>
    </row>
    <row r="1321" spans="1:11">
      <c r="C1321" s="1117" t="s">
        <v>668</v>
      </c>
      <c r="H1321" s="1127"/>
      <c r="I1321" s="998">
        <f>CEILING(SUM(I1319:I1320),0.05)</f>
        <v>687</v>
      </c>
    </row>
    <row r="1322" spans="1:11" ht="12.75" customHeight="1">
      <c r="A1322" s="979">
        <f>A1318+1</f>
        <v>35</v>
      </c>
      <c r="C1322" s="1499" t="s">
        <v>282</v>
      </c>
      <c r="D1322" s="1499"/>
      <c r="E1322" s="1499"/>
      <c r="F1322" s="1499"/>
      <c r="G1322" s="1499"/>
      <c r="H1322" s="1499"/>
      <c r="I1322" s="1499"/>
    </row>
    <row r="1323" spans="1:11" ht="24.6">
      <c r="C1323" s="792" t="s">
        <v>1062</v>
      </c>
      <c r="D1323" s="997">
        <v>1</v>
      </c>
      <c r="E1323" s="979" t="s">
        <v>461</v>
      </c>
      <c r="F1323" s="997">
        <v>274</v>
      </c>
      <c r="G1323" s="979">
        <v>1</v>
      </c>
      <c r="H1323" s="979" t="s">
        <v>461</v>
      </c>
      <c r="I1323" s="986">
        <f>IF(G1323="",D1323*F1323,(D1323*F1323/G1323))</f>
        <v>274</v>
      </c>
      <c r="K1323" s="979" t="s">
        <v>1019</v>
      </c>
    </row>
    <row r="1324" spans="1:11">
      <c r="I1324" s="997">
        <f>SUM(I1323:I1323)</f>
        <v>274</v>
      </c>
    </row>
    <row r="1325" spans="1:11">
      <c r="C1325" s="1124" t="s">
        <v>1014</v>
      </c>
      <c r="D1325" s="1026">
        <f>$D$3</f>
        <v>0</v>
      </c>
      <c r="E1325" s="1116"/>
      <c r="F1325" s="997">
        <f>I1324</f>
        <v>274</v>
      </c>
      <c r="G1325" s="1023"/>
      <c r="H1325" s="991"/>
      <c r="I1325" s="997">
        <f>ROUND(D1325*F1325,2)</f>
        <v>0</v>
      </c>
    </row>
    <row r="1326" spans="1:11">
      <c r="C1326" s="1117" t="s">
        <v>645</v>
      </c>
      <c r="H1326" s="1127"/>
      <c r="I1326" s="998">
        <f>CEILING(SUM(I1324:I1325),0.05)</f>
        <v>274</v>
      </c>
    </row>
    <row r="1327" spans="1:11" ht="12.75" customHeight="1">
      <c r="A1327" s="979">
        <f>A1322+1</f>
        <v>36</v>
      </c>
      <c r="C1327" s="1499" t="s">
        <v>89</v>
      </c>
      <c r="D1327" s="1499"/>
      <c r="E1327" s="1499"/>
      <c r="F1327" s="1499"/>
      <c r="G1327" s="1499"/>
      <c r="H1327" s="1499"/>
      <c r="I1327" s="1499"/>
    </row>
    <row r="1328" spans="1:11" ht="12.75" customHeight="1">
      <c r="C1328" s="792" t="s">
        <v>900</v>
      </c>
      <c r="D1328" s="997">
        <v>1</v>
      </c>
      <c r="E1328" s="979" t="s">
        <v>461</v>
      </c>
      <c r="F1328" s="997">
        <v>366</v>
      </c>
      <c r="G1328" s="979">
        <v>1</v>
      </c>
      <c r="H1328" s="979" t="s">
        <v>461</v>
      </c>
      <c r="I1328" s="986">
        <f>IF(G1328="",D1328*F1328,(D1328*F1328/G1328))</f>
        <v>366</v>
      </c>
    </row>
    <row r="1329" spans="1:9" ht="12.75" customHeight="1">
      <c r="C1329" s="1124" t="s">
        <v>1014</v>
      </c>
      <c r="D1329" s="1026">
        <f>$D$3</f>
        <v>0</v>
      </c>
      <c r="E1329" s="1116"/>
      <c r="F1329" s="997">
        <f>I1328</f>
        <v>366</v>
      </c>
      <c r="G1329" s="1023"/>
      <c r="H1329" s="991"/>
      <c r="I1329" s="997">
        <f>ROUND(D1329*F1329,2)</f>
        <v>0</v>
      </c>
    </row>
    <row r="1330" spans="1:9" ht="12.75" customHeight="1">
      <c r="C1330" s="1117" t="s">
        <v>645</v>
      </c>
      <c r="H1330" s="979" t="s">
        <v>105</v>
      </c>
      <c r="I1330" s="998">
        <f>CEILING(SUM(I1328:I1329),0.05)</f>
        <v>366</v>
      </c>
    </row>
    <row r="1331" spans="1:9" ht="12.75" customHeight="1"/>
    <row r="1332" spans="1:9" ht="12.75" customHeight="1">
      <c r="A1332" s="979">
        <f>A1303+1</f>
        <v>34</v>
      </c>
      <c r="C1332" s="1493" t="s">
        <v>1305</v>
      </c>
      <c r="D1332" s="1493"/>
      <c r="E1332" s="1493"/>
      <c r="F1332" s="1493"/>
      <c r="G1332" s="1493"/>
      <c r="H1332" s="1493"/>
      <c r="I1332" s="1493"/>
    </row>
    <row r="1333" spans="1:9" ht="12.75" customHeight="1">
      <c r="C1333" s="792" t="s">
        <v>975</v>
      </c>
      <c r="D1333" s="987">
        <v>1</v>
      </c>
      <c r="E1333" s="979" t="s">
        <v>644</v>
      </c>
      <c r="F1333" s="987">
        <v>808</v>
      </c>
      <c r="G1333" s="979">
        <v>1</v>
      </c>
      <c r="H1333" s="993" t="s">
        <v>644</v>
      </c>
      <c r="I1333" s="986">
        <f>IF(G1333="",D1333*F1333,(D1333*F1333/G1333))</f>
        <v>808</v>
      </c>
    </row>
    <row r="1334" spans="1:9" ht="12.75" customHeight="1">
      <c r="C1334" s="792" t="s">
        <v>144</v>
      </c>
      <c r="D1334" s="985">
        <v>95</v>
      </c>
      <c r="E1334" s="1022" t="s">
        <v>364</v>
      </c>
      <c r="F1334" s="985">
        <f>LEAD!$P$28</f>
        <v>7168</v>
      </c>
      <c r="G1334" s="1023">
        <v>1000</v>
      </c>
      <c r="H1334" s="991" t="str">
        <f>IF(E1334="","",IF(E1334="No.","Each",IF(E1334="Nos.","Each",E1334)))</f>
        <v>Kgs</v>
      </c>
      <c r="I1334" s="986">
        <f>IF(G1334="",D1334*F1334,(D1334*F1334/G1334))</f>
        <v>680.96</v>
      </c>
    </row>
    <row r="1335" spans="1:9" ht="12.75" customHeight="1">
      <c r="C1335" s="792" t="s">
        <v>377</v>
      </c>
      <c r="D1335" s="987">
        <v>0.1</v>
      </c>
      <c r="E1335" s="979" t="s">
        <v>499</v>
      </c>
      <c r="F1335" s="987">
        <f>$F$9</f>
        <v>545</v>
      </c>
      <c r="G1335" s="979">
        <v>1</v>
      </c>
      <c r="H1335" s="1116" t="s">
        <v>268</v>
      </c>
      <c r="I1335" s="986">
        <f>IF(G1335="",D1335*F1335,(D1335*F1335/G1335))</f>
        <v>54.5</v>
      </c>
    </row>
    <row r="1336" spans="1:9" ht="12.75" customHeight="1">
      <c r="C1336" s="792" t="s">
        <v>621</v>
      </c>
      <c r="D1336" s="987">
        <v>2.36</v>
      </c>
      <c r="E1336" s="979" t="s">
        <v>499</v>
      </c>
      <c r="F1336" s="987">
        <f>$F$22</f>
        <v>490</v>
      </c>
      <c r="G1336" s="979">
        <v>1</v>
      </c>
      <c r="H1336" s="1116" t="s">
        <v>268</v>
      </c>
      <c r="I1336" s="986">
        <f>IF(G1336="",D1336*F1336,(D1336*F1336/G1336))</f>
        <v>1156.3999999999999</v>
      </c>
    </row>
    <row r="1337" spans="1:9" ht="12.75" customHeight="1">
      <c r="H1337" s="997"/>
      <c r="I1337" s="997">
        <f>SUM(I1333:I1336)</f>
        <v>2699.8599999999997</v>
      </c>
    </row>
    <row r="1338" spans="1:9" ht="12.75" customHeight="1">
      <c r="C1338" s="1124" t="s">
        <v>1014</v>
      </c>
      <c r="D1338" s="1026">
        <f>$D$3</f>
        <v>0</v>
      </c>
      <c r="H1338" s="997"/>
      <c r="I1338" s="997">
        <f>ROUND(I1337*D1338,2)</f>
        <v>0</v>
      </c>
    </row>
    <row r="1339" spans="1:9" ht="12.75" customHeight="1">
      <c r="C1339" s="979" t="s">
        <v>399</v>
      </c>
      <c r="G1339" s="1127"/>
      <c r="H1339" s="998"/>
      <c r="I1339" s="1058">
        <f>CEILING(SUM(I1337:I1338),0.05)</f>
        <v>2699.9</v>
      </c>
    </row>
    <row r="1340" spans="1:9" ht="12.75" customHeight="1">
      <c r="C1340" s="979"/>
      <c r="G1340" s="1127"/>
      <c r="H1340" s="998"/>
      <c r="I1340" s="1058"/>
    </row>
    <row r="1341" spans="1:9" ht="12.75" customHeight="1">
      <c r="A1341" s="979">
        <f>A1332+1</f>
        <v>35</v>
      </c>
      <c r="C1341" s="1493" t="s">
        <v>2304</v>
      </c>
      <c r="D1341" s="1493"/>
      <c r="E1341" s="1493"/>
      <c r="F1341" s="1493"/>
      <c r="G1341" s="1493"/>
      <c r="H1341" s="1493"/>
      <c r="I1341" s="1493"/>
    </row>
    <row r="1342" spans="1:9" ht="12.75" customHeight="1">
      <c r="C1342" s="979"/>
      <c r="G1342" s="1127"/>
      <c r="H1342" s="998"/>
      <c r="I1342" s="1058"/>
    </row>
    <row r="1343" spans="1:9" ht="12.75" customHeight="1">
      <c r="C1343" s="979" t="s">
        <v>747</v>
      </c>
      <c r="G1343" s="1127"/>
      <c r="H1343" s="998"/>
      <c r="I1343" s="1058"/>
    </row>
    <row r="1344" spans="1:9" ht="12.75" customHeight="1">
      <c r="C1344" s="979" t="s">
        <v>748</v>
      </c>
      <c r="G1344" s="1127"/>
      <c r="H1344" s="998"/>
      <c r="I1344" s="1058"/>
    </row>
    <row r="1345" spans="1:9" ht="12.75" customHeight="1">
      <c r="C1345" s="979" t="s">
        <v>1020</v>
      </c>
      <c r="D1345" s="979">
        <v>6.5000000000000002E-2</v>
      </c>
      <c r="E1345" s="979" t="s">
        <v>32</v>
      </c>
      <c r="F1345" s="979">
        <v>317</v>
      </c>
      <c r="G1345" s="1127">
        <v>1</v>
      </c>
      <c r="H1345" s="998" t="s">
        <v>32</v>
      </c>
      <c r="I1345" s="1058">
        <f>ROUND(D1345*F1345,2)</f>
        <v>20.61</v>
      </c>
    </row>
    <row r="1346" spans="1:9" ht="12.75" customHeight="1">
      <c r="C1346" s="979" t="s">
        <v>749</v>
      </c>
      <c r="G1346" s="1127"/>
      <c r="H1346" s="998"/>
      <c r="I1346" s="1058"/>
    </row>
    <row r="1347" spans="1:9" ht="12.75" customHeight="1">
      <c r="C1347" s="979" t="s">
        <v>771</v>
      </c>
      <c r="D1347" s="979">
        <v>0.24</v>
      </c>
      <c r="E1347" s="979" t="s">
        <v>594</v>
      </c>
      <c r="F1347" s="997">
        <f>F19</f>
        <v>625</v>
      </c>
      <c r="G1347" s="1127">
        <v>1</v>
      </c>
      <c r="H1347" s="998" t="s">
        <v>594</v>
      </c>
      <c r="I1347" s="1058">
        <f>ROUND(D1347*F1347,2)</f>
        <v>150</v>
      </c>
    </row>
    <row r="1348" spans="1:9" ht="12.75" customHeight="1">
      <c r="C1348" s="979" t="s">
        <v>772</v>
      </c>
      <c r="D1348" s="979">
        <v>0.56000000000000005</v>
      </c>
      <c r="E1348" s="979" t="s">
        <v>594</v>
      </c>
      <c r="F1348" s="997">
        <f>F20</f>
        <v>515</v>
      </c>
      <c r="G1348" s="1127">
        <v>1</v>
      </c>
      <c r="H1348" s="998" t="s">
        <v>594</v>
      </c>
      <c r="I1348" s="1058">
        <f>ROUND(D1348*F1348,2)</f>
        <v>288.39999999999998</v>
      </c>
    </row>
    <row r="1349" spans="1:9" ht="12.75" customHeight="1">
      <c r="C1349" s="979" t="s">
        <v>330</v>
      </c>
      <c r="D1349" s="979">
        <v>0.8</v>
      </c>
      <c r="E1349" s="979" t="s">
        <v>594</v>
      </c>
      <c r="F1349" s="997">
        <f>F22</f>
        <v>490</v>
      </c>
      <c r="G1349" s="1127">
        <v>1</v>
      </c>
      <c r="H1349" s="998" t="s">
        <v>594</v>
      </c>
      <c r="I1349" s="1058">
        <f>ROUND(D1349*F1349,2)</f>
        <v>392</v>
      </c>
    </row>
    <row r="1350" spans="1:9" ht="12.75" customHeight="1">
      <c r="G1350" s="1127"/>
      <c r="H1350" s="998"/>
      <c r="I1350" s="1058">
        <f>SUM(I1345:I1349)</f>
        <v>851.01</v>
      </c>
    </row>
    <row r="1351" spans="1:9" ht="12.75" customHeight="1">
      <c r="C1351" s="979" t="s">
        <v>751</v>
      </c>
      <c r="D1351" s="1059">
        <f>D1338</f>
        <v>0</v>
      </c>
      <c r="F1351" s="997">
        <f>I1350</f>
        <v>851.01</v>
      </c>
      <c r="G1351" s="1127"/>
      <c r="H1351" s="998"/>
      <c r="I1351" s="1058">
        <f>ROUND(D1351*F1351,2)</f>
        <v>0</v>
      </c>
    </row>
    <row r="1352" spans="1:9" ht="12.75" customHeight="1">
      <c r="C1352" s="979"/>
      <c r="G1352" s="1127"/>
      <c r="H1352" s="998"/>
      <c r="I1352" s="1058">
        <f>SUM(I1350:I1351)</f>
        <v>851.01</v>
      </c>
    </row>
    <row r="1353" spans="1:9" ht="12.75" customHeight="1">
      <c r="C1353" s="979" t="s">
        <v>362</v>
      </c>
      <c r="G1353" s="1127"/>
      <c r="H1353" s="998"/>
      <c r="I1353" s="1058">
        <f>I1352/10</f>
        <v>85.100999999999999</v>
      </c>
    </row>
    <row r="1354" spans="1:9" ht="12.75" customHeight="1">
      <c r="C1354" s="979"/>
      <c r="G1354" s="1127"/>
      <c r="H1354" s="998" t="s">
        <v>81</v>
      </c>
      <c r="I1354" s="1058">
        <f>CEILING(I1352,0.05)</f>
        <v>851.05000000000007</v>
      </c>
    </row>
    <row r="1355" spans="1:9" ht="12.75" customHeight="1">
      <c r="A1355" s="979">
        <f>A1341+1</f>
        <v>36</v>
      </c>
      <c r="C1355" s="1502" t="s">
        <v>752</v>
      </c>
      <c r="D1355" s="1502"/>
      <c r="E1355" s="1502"/>
      <c r="F1355" s="1502"/>
      <c r="G1355" s="1502"/>
      <c r="H1355" s="1502"/>
      <c r="I1355" s="1502"/>
    </row>
    <row r="1356" spans="1:9" ht="12.75" customHeight="1">
      <c r="C1356" s="979" t="s">
        <v>753</v>
      </c>
      <c r="G1356" s="1127"/>
      <c r="H1356" s="998"/>
      <c r="I1356" s="1058"/>
    </row>
    <row r="1357" spans="1:9" ht="12.75" customHeight="1">
      <c r="C1357" s="979" t="s">
        <v>1021</v>
      </c>
      <c r="D1357" s="979">
        <v>0.22800000000000001</v>
      </c>
      <c r="E1357" s="979" t="s">
        <v>328</v>
      </c>
      <c r="F1357" s="979">
        <v>188</v>
      </c>
      <c r="G1357" s="1127">
        <v>1</v>
      </c>
      <c r="H1357" s="998" t="s">
        <v>328</v>
      </c>
      <c r="I1357" s="1058">
        <f>ROUND(D1357*F1357,2)</f>
        <v>42.86</v>
      </c>
    </row>
    <row r="1358" spans="1:9" ht="12.75" customHeight="1">
      <c r="C1358" s="979" t="s">
        <v>1022</v>
      </c>
      <c r="D1358" s="979">
        <v>1.63</v>
      </c>
      <c r="E1358" s="979" t="s">
        <v>32</v>
      </c>
      <c r="F1358" s="979">
        <v>101</v>
      </c>
      <c r="G1358" s="1127">
        <v>1</v>
      </c>
      <c r="H1358" s="998" t="s">
        <v>32</v>
      </c>
      <c r="I1358" s="1058">
        <f>ROUND(D1358*F1358,2)</f>
        <v>164.63</v>
      </c>
    </row>
    <row r="1359" spans="1:9" ht="12.75" customHeight="1">
      <c r="C1359" s="979" t="s">
        <v>754</v>
      </c>
      <c r="G1359" s="1127"/>
      <c r="H1359" s="998"/>
      <c r="I1359" s="1058"/>
    </row>
    <row r="1360" spans="1:9" ht="12.75" customHeight="1">
      <c r="C1360" s="979" t="s">
        <v>755</v>
      </c>
      <c r="D1360" s="979">
        <v>3.2</v>
      </c>
      <c r="E1360" s="979" t="s">
        <v>594</v>
      </c>
      <c r="F1360" s="997">
        <f>F19</f>
        <v>625</v>
      </c>
      <c r="G1360" s="1127">
        <v>1</v>
      </c>
      <c r="H1360" s="998" t="s">
        <v>594</v>
      </c>
      <c r="I1360" s="1058">
        <f>ROUND(D1360*F1360,2)</f>
        <v>2000</v>
      </c>
    </row>
    <row r="1361" spans="1:18" ht="38.25" customHeight="1">
      <c r="C1361" s="979" t="s">
        <v>756</v>
      </c>
      <c r="D1361" s="979" t="s">
        <v>758</v>
      </c>
      <c r="G1361" s="1127"/>
      <c r="H1361" s="998"/>
      <c r="I1361" s="1058">
        <v>0</v>
      </c>
    </row>
    <row r="1362" spans="1:18" ht="12.75" customHeight="1">
      <c r="C1362" s="979" t="s">
        <v>757</v>
      </c>
      <c r="G1362" s="1127"/>
      <c r="H1362" s="998"/>
      <c r="I1362" s="1058">
        <f>SUM(I1357:I1361)</f>
        <v>2207.4899999999998</v>
      </c>
    </row>
    <row r="1363" spans="1:18" ht="12.75" customHeight="1">
      <c r="C1363" s="979" t="s">
        <v>751</v>
      </c>
      <c r="D1363" s="1059">
        <f>D1351</f>
        <v>0</v>
      </c>
      <c r="F1363" s="997">
        <f>I1362</f>
        <v>2207.4899999999998</v>
      </c>
      <c r="G1363" s="1127"/>
      <c r="H1363" s="998"/>
      <c r="I1363" s="1058">
        <f>ROUND(D1363*F1363,2)</f>
        <v>0</v>
      </c>
    </row>
    <row r="1364" spans="1:18" ht="12.75" customHeight="1">
      <c r="C1364" s="979"/>
      <c r="G1364" s="1127"/>
      <c r="H1364" s="998"/>
      <c r="I1364" s="1058">
        <f>SUM(I1362:I1363)</f>
        <v>2207.4899999999998</v>
      </c>
    </row>
    <row r="1365" spans="1:18" ht="12.75" customHeight="1">
      <c r="C1365" s="979"/>
      <c r="G1365" s="1127"/>
      <c r="H1365" s="998"/>
      <c r="I1365" s="1058">
        <f>I1364/10</f>
        <v>220.74899999999997</v>
      </c>
    </row>
    <row r="1366" spans="1:18" ht="12.75" customHeight="1">
      <c r="C1366" s="979" t="s">
        <v>750</v>
      </c>
      <c r="G1366" s="1127"/>
      <c r="H1366" s="998" t="s">
        <v>81</v>
      </c>
      <c r="I1366" s="1058">
        <f>CEILING(I1365,1)</f>
        <v>221</v>
      </c>
    </row>
    <row r="1367" spans="1:18" ht="12.75" customHeight="1">
      <c r="C1367" s="979" t="s">
        <v>759</v>
      </c>
      <c r="G1367" s="1127"/>
      <c r="H1367" s="998"/>
      <c r="I1367" s="1058">
        <f>I1366+I1354</f>
        <v>1072.0500000000002</v>
      </c>
    </row>
    <row r="1368" spans="1:18" ht="12.75" customHeight="1">
      <c r="C1368" s="979"/>
      <c r="G1368" s="1127"/>
      <c r="H1368" s="998"/>
      <c r="I1368" s="1058"/>
    </row>
    <row r="1369" spans="1:18" ht="12.75" customHeight="1">
      <c r="A1369" s="979">
        <f>A1355+1</f>
        <v>37</v>
      </c>
      <c r="C1369" s="1501" t="s">
        <v>599</v>
      </c>
      <c r="D1369" s="1501"/>
      <c r="E1369" s="1501"/>
      <c r="F1369" s="1501"/>
      <c r="G1369" s="1501"/>
      <c r="H1369" s="1501"/>
      <c r="I1369" s="1501"/>
      <c r="J1369" s="1031"/>
    </row>
    <row r="1370" spans="1:18" ht="12.75" customHeight="1">
      <c r="C1370" s="979" t="s">
        <v>760</v>
      </c>
      <c r="G1370" s="1127"/>
      <c r="H1370" s="998"/>
      <c r="I1370" s="1058"/>
    </row>
    <row r="1371" spans="1:18" ht="12.75" customHeight="1">
      <c r="C1371" s="792" t="s">
        <v>1213</v>
      </c>
      <c r="D1371" s="979">
        <v>10</v>
      </c>
      <c r="E1371" s="979" t="s">
        <v>222</v>
      </c>
      <c r="F1371" s="987">
        <v>450</v>
      </c>
      <c r="G1371" s="1127">
        <v>1</v>
      </c>
      <c r="H1371" s="998" t="s">
        <v>222</v>
      </c>
      <c r="I1371" s="1058">
        <f>ROUND(D1371*F1371,2)</f>
        <v>4500</v>
      </c>
    </row>
    <row r="1372" spans="1:18" ht="12.75" customHeight="1">
      <c r="C1372" s="792" t="s">
        <v>1214</v>
      </c>
      <c r="D1372" s="979">
        <v>3</v>
      </c>
      <c r="E1372" s="979" t="s">
        <v>327</v>
      </c>
      <c r="F1372" s="987">
        <v>111</v>
      </c>
      <c r="G1372" s="1127">
        <v>1</v>
      </c>
      <c r="H1372" s="998" t="s">
        <v>327</v>
      </c>
      <c r="I1372" s="1058">
        <f>ROUND(D1372*F1372,2)</f>
        <v>333</v>
      </c>
    </row>
    <row r="1373" spans="1:18" s="1001" customFormat="1" ht="12.75" customHeight="1">
      <c r="A1373" s="979"/>
      <c r="B1373" s="979"/>
      <c r="C1373" s="792" t="s">
        <v>1342</v>
      </c>
      <c r="D1373" s="979">
        <v>10</v>
      </c>
      <c r="E1373" s="979" t="s">
        <v>222</v>
      </c>
      <c r="F1373" s="987">
        <v>305</v>
      </c>
      <c r="G1373" s="1127">
        <v>1</v>
      </c>
      <c r="H1373" s="998" t="s">
        <v>222</v>
      </c>
      <c r="I1373" s="1058">
        <f>ROUND(D1373*F1373,2)</f>
        <v>3050</v>
      </c>
      <c r="J1373" s="979"/>
      <c r="K1373" s="979"/>
      <c r="L1373" s="1127"/>
      <c r="M1373" s="979"/>
      <c r="N1373" s="1127"/>
      <c r="O1373" s="979"/>
      <c r="P1373" s="1127"/>
      <c r="Q1373" s="979"/>
      <c r="R1373" s="979"/>
    </row>
    <row r="1374" spans="1:18" ht="12.75" customHeight="1">
      <c r="C1374" s="792" t="s">
        <v>276</v>
      </c>
      <c r="I1374" s="997">
        <f>SUM(I1371:I1373)</f>
        <v>7883</v>
      </c>
    </row>
    <row r="1375" spans="1:18" ht="12.75" customHeight="1">
      <c r="C1375" s="792" t="s">
        <v>277</v>
      </c>
      <c r="I1375" s="997">
        <f>I1374/10</f>
        <v>788.3</v>
      </c>
    </row>
    <row r="1376" spans="1:18" ht="12.75" customHeight="1">
      <c r="C1376" s="1124" t="s">
        <v>1014</v>
      </c>
      <c r="D1376" s="1026">
        <f>$D$3</f>
        <v>0</v>
      </c>
      <c r="I1376" s="987">
        <f>ROUND(I1375*D1376,2)</f>
        <v>0</v>
      </c>
    </row>
    <row r="1377" spans="1:9" ht="12.75" customHeight="1">
      <c r="C1377" s="979"/>
      <c r="G1377" s="1127"/>
      <c r="H1377" s="998"/>
      <c r="I1377" s="1058">
        <f>CEILING(SUM(I1375:I1376),0.05)</f>
        <v>788.30000000000007</v>
      </c>
    </row>
    <row r="1378" spans="1:9" ht="12.75" customHeight="1">
      <c r="C1378" s="979" t="s">
        <v>1008</v>
      </c>
      <c r="G1378" s="1127"/>
      <c r="H1378" s="998" t="s">
        <v>81</v>
      </c>
      <c r="I1378" s="1058">
        <f>CEILING(I1377,1)</f>
        <v>789</v>
      </c>
    </row>
    <row r="1379" spans="1:9" ht="12.75" customHeight="1">
      <c r="C1379" s="979"/>
      <c r="G1379" s="1127"/>
      <c r="H1379" s="998"/>
      <c r="I1379" s="1058"/>
    </row>
    <row r="1380" spans="1:9" ht="57" customHeight="1">
      <c r="A1380" s="979">
        <f>A1369+1</f>
        <v>38</v>
      </c>
      <c r="C1380" s="1501" t="s">
        <v>761</v>
      </c>
      <c r="D1380" s="1501"/>
      <c r="E1380" s="1501"/>
      <c r="F1380" s="1501"/>
      <c r="G1380" s="1501"/>
      <c r="H1380" s="1501"/>
      <c r="I1380" s="1501"/>
    </row>
    <row r="1381" spans="1:9" ht="12.75" customHeight="1">
      <c r="C1381" s="979"/>
      <c r="G1381" s="1127"/>
      <c r="H1381" s="998"/>
      <c r="I1381" s="1058"/>
    </row>
    <row r="1382" spans="1:9" ht="12.75" customHeight="1">
      <c r="C1382" s="979" t="s">
        <v>762</v>
      </c>
      <c r="D1382" s="979">
        <v>1</v>
      </c>
      <c r="E1382" s="979" t="s">
        <v>328</v>
      </c>
      <c r="F1382" s="979">
        <f>ROUND(LEAD!P31/1000,2)</f>
        <v>74.34</v>
      </c>
      <c r="G1382" s="1127">
        <v>1</v>
      </c>
      <c r="H1382" s="998" t="s">
        <v>328</v>
      </c>
      <c r="I1382" s="1058">
        <f>ROUND(D1382*F1382,2)</f>
        <v>74.34</v>
      </c>
    </row>
    <row r="1383" spans="1:9" ht="12.75" customHeight="1">
      <c r="C1383" s="979" t="s">
        <v>1023</v>
      </c>
      <c r="D1383" s="979">
        <v>1</v>
      </c>
      <c r="E1383" s="979" t="s">
        <v>328</v>
      </c>
      <c r="F1383" s="997">
        <v>31</v>
      </c>
      <c r="G1383" s="1127">
        <v>1</v>
      </c>
      <c r="H1383" s="998" t="s">
        <v>328</v>
      </c>
      <c r="I1383" s="1058">
        <f>ROUND(D1383*F1383,2)</f>
        <v>31</v>
      </c>
    </row>
    <row r="1384" spans="1:9" ht="25.5" customHeight="1">
      <c r="C1384" s="979" t="s">
        <v>1024</v>
      </c>
      <c r="D1384" s="979">
        <v>1</v>
      </c>
      <c r="E1384" s="979" t="s">
        <v>328</v>
      </c>
      <c r="F1384" s="997">
        <v>4</v>
      </c>
      <c r="G1384" s="1127">
        <v>1</v>
      </c>
      <c r="H1384" s="998" t="s">
        <v>328</v>
      </c>
      <c r="I1384" s="1058">
        <f>ROUND(D1384*F1384,2)</f>
        <v>4</v>
      </c>
    </row>
    <row r="1385" spans="1:9" ht="12.75" customHeight="1">
      <c r="C1385" s="979"/>
      <c r="G1385" s="1127"/>
      <c r="H1385" s="998"/>
      <c r="I1385" s="1058">
        <f>SUM(I1382:I1384)</f>
        <v>109.34</v>
      </c>
    </row>
    <row r="1386" spans="1:9" ht="12.75" customHeight="1">
      <c r="C1386" s="979" t="s">
        <v>751</v>
      </c>
      <c r="D1386" s="1059">
        <f>D1376</f>
        <v>0</v>
      </c>
      <c r="F1386" s="997">
        <f>I1385</f>
        <v>109.34</v>
      </c>
      <c r="G1386" s="1127"/>
      <c r="H1386" s="998"/>
      <c r="I1386" s="1058">
        <f>ROUND(D1386*F1386,2)</f>
        <v>0</v>
      </c>
    </row>
    <row r="1387" spans="1:9" ht="12.75" customHeight="1">
      <c r="C1387" s="979"/>
      <c r="G1387" s="1127"/>
      <c r="H1387" s="998"/>
      <c r="I1387" s="1058">
        <f>SUM(I1385:I1386)</f>
        <v>109.34</v>
      </c>
    </row>
    <row r="1388" spans="1:9" ht="12.75" customHeight="1">
      <c r="C1388" s="979"/>
      <c r="G1388" s="1127" t="s">
        <v>236</v>
      </c>
      <c r="H1388" s="998" t="s">
        <v>81</v>
      </c>
      <c r="I1388" s="1058">
        <f>CEILING(I1387,0.1)</f>
        <v>109.4</v>
      </c>
    </row>
    <row r="1389" spans="1:9" ht="12.75" customHeight="1">
      <c r="C1389" s="979"/>
      <c r="G1389" s="1127"/>
      <c r="H1389" s="998"/>
      <c r="I1389" s="1058"/>
    </row>
    <row r="1390" spans="1:9" ht="12.75" customHeight="1">
      <c r="A1390" s="979">
        <f>+A1380+1</f>
        <v>39</v>
      </c>
      <c r="C1390" s="1493" t="s">
        <v>16</v>
      </c>
      <c r="D1390" s="1493"/>
      <c r="E1390" s="1493"/>
      <c r="F1390" s="1493"/>
      <c r="G1390" s="1493"/>
      <c r="H1390" s="1493"/>
      <c r="I1390" s="1493"/>
    </row>
    <row r="1391" spans="1:9" ht="12.75" customHeight="1">
      <c r="C1391" s="979" t="s">
        <v>569</v>
      </c>
      <c r="D1391" s="987">
        <v>0.17</v>
      </c>
      <c r="E1391" s="979" t="s">
        <v>465</v>
      </c>
      <c r="F1391" s="986">
        <f>(LEAD!$P$19+LEAD!$P$18+LEAD!$P$17)/3</f>
        <v>1426.0033333333331</v>
      </c>
      <c r="G1391" s="979" t="s">
        <v>514</v>
      </c>
      <c r="I1391" s="984">
        <f>ROUND(F1391*D1391,2)</f>
        <v>242.42</v>
      </c>
    </row>
    <row r="1392" spans="1:9" ht="12.75" customHeight="1">
      <c r="C1392" s="792" t="s">
        <v>519</v>
      </c>
      <c r="D1392" s="979">
        <f>0.085</f>
        <v>8.5000000000000006E-2</v>
      </c>
      <c r="E1392" s="979" t="s">
        <v>465</v>
      </c>
      <c r="F1392" s="979">
        <f>LEAD!P7</f>
        <v>437.11999999999983</v>
      </c>
      <c r="G1392" s="979" t="s">
        <v>514</v>
      </c>
      <c r="I1392" s="984">
        <f>ROUND(F1392*D1392,2)</f>
        <v>37.159999999999997</v>
      </c>
    </row>
    <row r="1393" spans="1:18" ht="12.75" customHeight="1">
      <c r="C1393" s="792" t="s">
        <v>635</v>
      </c>
      <c r="D1393" s="979">
        <v>120</v>
      </c>
      <c r="E1393" s="979" t="s">
        <v>364</v>
      </c>
      <c r="F1393" s="979">
        <f>LEAD!P28</f>
        <v>7168</v>
      </c>
      <c r="G1393" s="979" t="s">
        <v>636</v>
      </c>
      <c r="I1393" s="984">
        <f>ROUND(F1393*D1393/1000,2)</f>
        <v>860.16</v>
      </c>
    </row>
    <row r="1394" spans="1:18" ht="12.75" customHeight="1">
      <c r="C1394" s="792" t="s">
        <v>637</v>
      </c>
      <c r="D1394" s="999">
        <v>1</v>
      </c>
      <c r="E1394" s="979" t="s">
        <v>465</v>
      </c>
      <c r="F1394" s="997">
        <f>D275</f>
        <v>3537.2797999999993</v>
      </c>
      <c r="G1394" s="979" t="s">
        <v>514</v>
      </c>
      <c r="I1394" s="984">
        <f>ROUND(F1394*D1394,2)</f>
        <v>3537.28</v>
      </c>
    </row>
    <row r="1395" spans="1:18" ht="12.75" customHeight="1">
      <c r="C1395" s="792" t="s">
        <v>638</v>
      </c>
      <c r="D1395" s="979">
        <v>1.25</v>
      </c>
      <c r="E1395" s="979" t="s">
        <v>327</v>
      </c>
      <c r="F1395" s="997">
        <f>$F$9</f>
        <v>545</v>
      </c>
      <c r="G1395" s="979" t="s">
        <v>331</v>
      </c>
      <c r="I1395" s="984">
        <f>ROUND(F1395*D1395,2)</f>
        <v>681.25</v>
      </c>
    </row>
    <row r="1396" spans="1:18" ht="12.75" customHeight="1">
      <c r="C1396" s="792" t="s">
        <v>639</v>
      </c>
      <c r="D1396" s="979">
        <v>0.06</v>
      </c>
      <c r="E1396" s="979" t="s">
        <v>327</v>
      </c>
      <c r="F1396" s="997">
        <f>$F$10</f>
        <v>515</v>
      </c>
      <c r="G1396" s="979" t="s">
        <v>331</v>
      </c>
      <c r="I1396" s="984">
        <f>ROUND(F1396*D1396,2)</f>
        <v>30.9</v>
      </c>
    </row>
    <row r="1397" spans="1:18" ht="12.75" customHeight="1">
      <c r="C1397" s="792" t="s">
        <v>621</v>
      </c>
      <c r="D1397" s="979">
        <v>2.5</v>
      </c>
      <c r="E1397" s="979" t="s">
        <v>327</v>
      </c>
      <c r="F1397" s="997">
        <f>$F$22</f>
        <v>490</v>
      </c>
      <c r="G1397" s="979" t="s">
        <v>331</v>
      </c>
      <c r="I1397" s="984">
        <f>ROUND(F1397*D1397,2)</f>
        <v>1225</v>
      </c>
    </row>
    <row r="1398" spans="1:18" ht="12.75" customHeight="1">
      <c r="C1398" s="792" t="s">
        <v>640</v>
      </c>
      <c r="D1398" s="979">
        <v>0.5</v>
      </c>
      <c r="E1398" s="979" t="s">
        <v>327</v>
      </c>
      <c r="F1398" s="997">
        <f>$F$23</f>
        <v>490</v>
      </c>
      <c r="G1398" s="979" t="s">
        <v>331</v>
      </c>
      <c r="I1398" s="984">
        <f>ROUND(F1398*D1398,2)</f>
        <v>245</v>
      </c>
    </row>
    <row r="1399" spans="1:18" ht="12.75" customHeight="1">
      <c r="C1399" s="792" t="s">
        <v>512</v>
      </c>
      <c r="I1399" s="997">
        <f>SUM(I1391:I1398)</f>
        <v>6859.17</v>
      </c>
    </row>
    <row r="1400" spans="1:18" ht="12.75" customHeight="1">
      <c r="C1400" s="792" t="s">
        <v>641</v>
      </c>
      <c r="I1400" s="997">
        <f>I1399/10</f>
        <v>685.91700000000003</v>
      </c>
    </row>
    <row r="1401" spans="1:18" ht="12.75" customHeight="1">
      <c r="C1401" s="1124" t="s">
        <v>1014</v>
      </c>
      <c r="D1401" s="1026">
        <f>$D$3</f>
        <v>0</v>
      </c>
      <c r="I1401" s="997">
        <f>ROUND(I1400*D1401,2)</f>
        <v>0</v>
      </c>
    </row>
    <row r="1402" spans="1:18" ht="12.75" customHeight="1">
      <c r="G1402" s="1492" t="s">
        <v>641</v>
      </c>
      <c r="H1402" s="1492"/>
      <c r="I1402" s="1058">
        <f>CEILING(SUM(I1400:I1401),0.05)</f>
        <v>685.95</v>
      </c>
    </row>
    <row r="1403" spans="1:18" ht="12.75" customHeight="1"/>
    <row r="1404" spans="1:18" ht="12.75" customHeight="1"/>
    <row r="1405" spans="1:18" s="1016" customFormat="1" ht="12.75" customHeight="1">
      <c r="A1405" s="1060">
        <f>A1341+1</f>
        <v>36</v>
      </c>
      <c r="B1405" s="1028"/>
      <c r="C1405" s="1493" t="s">
        <v>1215</v>
      </c>
      <c r="D1405" s="1493"/>
      <c r="E1405" s="1493"/>
      <c r="F1405" s="1493"/>
      <c r="G1405" s="1493"/>
      <c r="H1405" s="1493"/>
      <c r="I1405" s="1493"/>
      <c r="J1405" s="1031"/>
      <c r="K1405" s="1031"/>
      <c r="L1405" s="1031"/>
      <c r="M1405" s="1031"/>
      <c r="N1405" s="1031"/>
      <c r="O1405" s="1031"/>
      <c r="P1405" s="1031"/>
      <c r="Q1405" s="1031"/>
      <c r="R1405" s="1031"/>
    </row>
    <row r="1406" spans="1:18" s="1016" customFormat="1" ht="12.75" customHeight="1">
      <c r="A1406" s="1028"/>
      <c r="B1406" s="1028"/>
      <c r="C1406" s="1030" t="s">
        <v>981</v>
      </c>
      <c r="D1406" s="1031"/>
      <c r="E1406" s="1031"/>
      <c r="F1406" s="1031"/>
      <c r="G1406" s="1031"/>
      <c r="H1406" s="1031"/>
      <c r="I1406" s="1061"/>
      <c r="J1406" s="1031"/>
      <c r="K1406" s="1031"/>
      <c r="L1406" s="1031"/>
      <c r="M1406" s="1031"/>
      <c r="N1406" s="1031"/>
      <c r="O1406" s="1031"/>
      <c r="P1406" s="1031"/>
      <c r="Q1406" s="1031"/>
      <c r="R1406" s="1031"/>
    </row>
    <row r="1407" spans="1:18" s="1016" customFormat="1" ht="12.75" customHeight="1">
      <c r="A1407" s="1028"/>
      <c r="B1407" s="1028"/>
      <c r="C1407" s="642" t="s">
        <v>982</v>
      </c>
      <c r="D1407" s="1031"/>
      <c r="E1407" s="1031"/>
      <c r="F1407" s="1031"/>
      <c r="G1407" s="1031"/>
      <c r="H1407" s="1031"/>
      <c r="I1407" s="1061"/>
      <c r="J1407" s="1031"/>
      <c r="K1407" s="1031"/>
      <c r="L1407" s="1031"/>
      <c r="M1407" s="1031"/>
      <c r="N1407" s="1031"/>
      <c r="O1407" s="1031"/>
      <c r="P1407" s="1031"/>
      <c r="Q1407" s="1031"/>
      <c r="R1407" s="1031"/>
    </row>
    <row r="1408" spans="1:18" s="1016" customFormat="1" ht="12.75" customHeight="1">
      <c r="A1408" s="1028"/>
      <c r="B1408" s="1028"/>
      <c r="C1408" s="902" t="s">
        <v>983</v>
      </c>
      <c r="D1408" s="1062"/>
      <c r="E1408" s="1031"/>
      <c r="F1408" s="1062"/>
      <c r="G1408" s="1041"/>
      <c r="H1408" s="1031"/>
      <c r="I1408" s="1036"/>
      <c r="J1408" s="1031"/>
      <c r="K1408" s="1031"/>
      <c r="L1408" s="1031"/>
      <c r="M1408" s="1031"/>
      <c r="N1408" s="1031"/>
      <c r="O1408" s="1031"/>
      <c r="P1408" s="1031"/>
      <c r="Q1408" s="1031"/>
      <c r="R1408" s="1031"/>
    </row>
    <row r="1409" spans="1:18" s="1016" customFormat="1" ht="38.25" customHeight="1">
      <c r="A1409" s="1028"/>
      <c r="B1409" s="1028"/>
      <c r="C1409" s="642" t="str">
        <f>C146</f>
        <v>Vitrified polish floor tiles 600 x 600 mm of 8 to 10 mm thickness normal colour 1 st quality</v>
      </c>
      <c r="D1409" s="1062">
        <v>10.5</v>
      </c>
      <c r="E1409" s="1031" t="s">
        <v>461</v>
      </c>
      <c r="F1409" s="1062">
        <f>F146</f>
        <v>443</v>
      </c>
      <c r="G1409" s="1041">
        <v>1</v>
      </c>
      <c r="H1409" s="1031" t="s">
        <v>461</v>
      </c>
      <c r="I1409" s="1036">
        <f>IF(G1409="",D1409*F1409,(D1409*F1409/G1409))</f>
        <v>4651.5</v>
      </c>
      <c r="J1409" s="1031"/>
      <c r="K1409" s="1031"/>
      <c r="L1409" s="1031"/>
      <c r="M1409" s="1031"/>
      <c r="N1409" s="1031"/>
      <c r="O1409" s="1031"/>
      <c r="P1409" s="1031"/>
      <c r="Q1409" s="1031"/>
      <c r="R1409" s="1031"/>
    </row>
    <row r="1410" spans="1:18" s="1016" customFormat="1" ht="12.75" customHeight="1">
      <c r="A1410" s="1028"/>
      <c r="B1410" s="1028"/>
      <c r="C1410" s="642" t="s">
        <v>984</v>
      </c>
      <c r="D1410" s="1062">
        <v>21.6</v>
      </c>
      <c r="E1410" s="1031" t="s">
        <v>364</v>
      </c>
      <c r="F1410" s="1062">
        <f>LEAD!P28</f>
        <v>7168</v>
      </c>
      <c r="G1410" s="1041">
        <v>1000</v>
      </c>
      <c r="H1410" s="1031" t="s">
        <v>364</v>
      </c>
      <c r="I1410" s="1036">
        <f>IF(G1410="",D1410*F1410,(D1410*F1410/G1410))</f>
        <v>154.82880000000003</v>
      </c>
      <c r="J1410" s="1031"/>
      <c r="K1410" s="1031"/>
      <c r="L1410" s="1031"/>
      <c r="M1410" s="1031"/>
      <c r="N1410" s="1031"/>
      <c r="O1410" s="1031"/>
      <c r="P1410" s="1031"/>
      <c r="Q1410" s="1031"/>
      <c r="R1410" s="1031"/>
    </row>
    <row r="1411" spans="1:18" s="1016" customFormat="1" ht="12.75" customHeight="1">
      <c r="A1411" s="1028"/>
      <c r="B1411" s="1028"/>
      <c r="C1411" s="642" t="s">
        <v>153</v>
      </c>
      <c r="D1411" s="1062">
        <v>33</v>
      </c>
      <c r="E1411" s="1031" t="s">
        <v>364</v>
      </c>
      <c r="F1411" s="1062">
        <f>F1410</f>
        <v>7168</v>
      </c>
      <c r="G1411" s="1041">
        <v>1000</v>
      </c>
      <c r="H1411" s="1031" t="s">
        <v>364</v>
      </c>
      <c r="I1411" s="1036">
        <f>IF(G1411="",D1411*F1411,(D1411*F1411/G1411))</f>
        <v>236.54400000000001</v>
      </c>
      <c r="J1411" s="1031"/>
      <c r="K1411" s="1031"/>
      <c r="L1411" s="1031"/>
      <c r="M1411" s="1031"/>
      <c r="N1411" s="1031"/>
      <c r="O1411" s="1031"/>
      <c r="P1411" s="1031"/>
      <c r="Q1411" s="1031"/>
      <c r="R1411" s="1031"/>
    </row>
    <row r="1412" spans="1:18" s="1016" customFormat="1" ht="12.75" customHeight="1">
      <c r="A1412" s="1028"/>
      <c r="B1412" s="1028"/>
      <c r="C1412" s="642" t="s">
        <v>1286</v>
      </c>
      <c r="D1412" s="1062">
        <v>6</v>
      </c>
      <c r="E1412" s="1031" t="s">
        <v>364</v>
      </c>
      <c r="F1412" s="1062">
        <f>F1411</f>
        <v>7168</v>
      </c>
      <c r="G1412" s="1041">
        <v>1000</v>
      </c>
      <c r="H1412" s="1031" t="s">
        <v>328</v>
      </c>
      <c r="I1412" s="1036">
        <f>IF(G1412="",D1412*F1412,(D1412*F1412/G1412))</f>
        <v>43.008000000000003</v>
      </c>
      <c r="J1412" s="1031"/>
      <c r="K1412" s="1031"/>
      <c r="L1412" s="1031"/>
      <c r="M1412" s="1031"/>
      <c r="N1412" s="1031"/>
      <c r="O1412" s="1031"/>
      <c r="P1412" s="1031"/>
      <c r="Q1412" s="1031"/>
      <c r="R1412" s="1031"/>
    </row>
    <row r="1413" spans="1:18" s="1016" customFormat="1" ht="12.75" customHeight="1">
      <c r="A1413" s="1028"/>
      <c r="B1413" s="1028"/>
      <c r="C1413" s="642" t="s">
        <v>985</v>
      </c>
      <c r="D1413" s="1062">
        <f>0.12</f>
        <v>0.12</v>
      </c>
      <c r="E1413" s="1031" t="s">
        <v>465</v>
      </c>
      <c r="F1413" s="1062">
        <f>LEAD!P7</f>
        <v>437.11999999999983</v>
      </c>
      <c r="G1413" s="1041">
        <v>1</v>
      </c>
      <c r="H1413" s="1031" t="s">
        <v>465</v>
      </c>
      <c r="I1413" s="1036">
        <f>IF(G1413="",D1413*F1413,(D1413*F1413/G1413))</f>
        <v>52.454399999999978</v>
      </c>
      <c r="J1413" s="1031"/>
      <c r="K1413" s="1031"/>
      <c r="L1413" s="1031"/>
      <c r="M1413" s="1031"/>
      <c r="N1413" s="1031"/>
      <c r="O1413" s="1031"/>
      <c r="P1413" s="1031"/>
      <c r="Q1413" s="1031"/>
      <c r="R1413" s="1031"/>
    </row>
    <row r="1414" spans="1:18" s="1016" customFormat="1" ht="12.75" customHeight="1">
      <c r="A1414" s="1028"/>
      <c r="B1414" s="1028"/>
      <c r="C1414" s="902" t="s">
        <v>986</v>
      </c>
      <c r="D1414" s="1062"/>
      <c r="E1414" s="1031"/>
      <c r="F1414" s="1062"/>
      <c r="G1414" s="1041"/>
      <c r="H1414" s="1031"/>
      <c r="I1414" s="1036"/>
      <c r="J1414" s="1031"/>
      <c r="K1414" s="1031"/>
      <c r="L1414" s="1031"/>
      <c r="M1414" s="1031"/>
      <c r="N1414" s="1031"/>
      <c r="O1414" s="1031"/>
      <c r="P1414" s="1031"/>
      <c r="Q1414" s="1031"/>
      <c r="R1414" s="1031"/>
    </row>
    <row r="1415" spans="1:18" s="1016" customFormat="1" ht="12.75" customHeight="1">
      <c r="A1415" s="1028"/>
      <c r="B1415" s="1028"/>
      <c r="C1415" s="642" t="s">
        <v>987</v>
      </c>
      <c r="D1415" s="1062">
        <v>0.96</v>
      </c>
      <c r="E1415" s="1031" t="s">
        <v>327</v>
      </c>
      <c r="F1415" s="1062">
        <f>F9</f>
        <v>545</v>
      </c>
      <c r="G1415" s="1041">
        <v>1</v>
      </c>
      <c r="H1415" s="1031" t="s">
        <v>268</v>
      </c>
      <c r="I1415" s="1036">
        <f>IF(G1415="",D1415*F1415,(D1415*F1415/G1415))</f>
        <v>523.19999999999993</v>
      </c>
      <c r="J1415" s="1031"/>
      <c r="K1415" s="1031"/>
      <c r="L1415" s="1031"/>
      <c r="M1415" s="1031"/>
      <c r="N1415" s="1031"/>
      <c r="O1415" s="1031"/>
      <c r="P1415" s="1031"/>
      <c r="Q1415" s="1031"/>
      <c r="R1415" s="1031"/>
    </row>
    <row r="1416" spans="1:18" s="1016" customFormat="1" ht="12.75" customHeight="1">
      <c r="A1416" s="1028"/>
      <c r="B1416" s="1028"/>
      <c r="C1416" s="642" t="s">
        <v>988</v>
      </c>
      <c r="D1416" s="1062">
        <v>2.2400000000000002</v>
      </c>
      <c r="E1416" s="1031" t="s">
        <v>327</v>
      </c>
      <c r="F1416" s="1062">
        <f>F10</f>
        <v>515</v>
      </c>
      <c r="G1416" s="1041">
        <v>1</v>
      </c>
      <c r="H1416" s="1031" t="s">
        <v>268</v>
      </c>
      <c r="I1416" s="1036">
        <f>IF(G1416="",D1416*F1416,(D1416*F1416/G1416))</f>
        <v>1153.6000000000001</v>
      </c>
      <c r="J1416" s="1031"/>
      <c r="K1416" s="1031"/>
      <c r="L1416" s="1031"/>
      <c r="M1416" s="1031"/>
      <c r="N1416" s="1031"/>
      <c r="O1416" s="1031"/>
      <c r="P1416" s="1031"/>
      <c r="Q1416" s="1031"/>
      <c r="R1416" s="1031"/>
    </row>
    <row r="1417" spans="1:18" s="1016" customFormat="1" ht="12.75" customHeight="1">
      <c r="A1417" s="1028"/>
      <c r="B1417" s="1028"/>
      <c r="C1417" s="642" t="s">
        <v>989</v>
      </c>
      <c r="D1417" s="1062">
        <v>3.3</v>
      </c>
      <c r="E1417" s="1031" t="s">
        <v>327</v>
      </c>
      <c r="F1417" s="1062">
        <f>F22</f>
        <v>490</v>
      </c>
      <c r="G1417" s="1041">
        <v>1</v>
      </c>
      <c r="H1417" s="1031" t="s">
        <v>268</v>
      </c>
      <c r="I1417" s="1036">
        <f>IF(G1417="",D1417*F1417,(D1417*F1417/G1417))</f>
        <v>1617</v>
      </c>
      <c r="J1417" s="1031"/>
      <c r="K1417" s="1031"/>
      <c r="L1417" s="1031"/>
      <c r="M1417" s="1031"/>
      <c r="N1417" s="1031"/>
      <c r="O1417" s="1031"/>
      <c r="P1417" s="1031"/>
      <c r="Q1417" s="1031"/>
      <c r="R1417" s="1031"/>
    </row>
    <row r="1418" spans="1:18" s="1016" customFormat="1" ht="12.75" customHeight="1">
      <c r="A1418" s="1028"/>
      <c r="B1418" s="1028"/>
      <c r="C1418" s="642" t="s">
        <v>1216</v>
      </c>
      <c r="D1418" s="1036"/>
      <c r="E1418" s="1031"/>
      <c r="F1418" s="1062">
        <f>SUM(F1415:F1417)</f>
        <v>1550</v>
      </c>
      <c r="G1418" s="1041"/>
      <c r="H1418" s="1031"/>
      <c r="I1418" s="1036">
        <f>IF(G1418="",D1418*F1418,(D1418*F1418/G1418))</f>
        <v>0</v>
      </c>
      <c r="J1418" s="1031"/>
      <c r="K1418" s="1031"/>
      <c r="L1418" s="1031"/>
      <c r="M1418" s="1031"/>
      <c r="N1418" s="1031"/>
      <c r="O1418" s="1031"/>
      <c r="P1418" s="1031"/>
      <c r="Q1418" s="1031"/>
      <c r="R1418" s="1031"/>
    </row>
    <row r="1419" spans="1:18" s="1016" customFormat="1" ht="12.75" customHeight="1">
      <c r="A1419" s="1028"/>
      <c r="B1419" s="1028"/>
      <c r="C1419" s="642" t="s">
        <v>1217</v>
      </c>
      <c r="D1419" s="1062">
        <v>0.01</v>
      </c>
      <c r="E1419" s="1031"/>
      <c r="F1419" s="1062">
        <f>SUM(I1409:I1418)</f>
        <v>8432.1352000000006</v>
      </c>
      <c r="G1419" s="1041"/>
      <c r="H1419" s="1031"/>
      <c r="I1419" s="1036">
        <f>IF(G1419="",D1419*F1419,(D1419*F1419/G1419))</f>
        <v>84.321352000000005</v>
      </c>
      <c r="J1419" s="1031"/>
      <c r="K1419" s="1031"/>
      <c r="L1419" s="1031"/>
      <c r="M1419" s="1031"/>
      <c r="N1419" s="1031"/>
      <c r="O1419" s="1031"/>
      <c r="P1419" s="1031"/>
      <c r="Q1419" s="1031"/>
      <c r="R1419" s="1031"/>
    </row>
    <row r="1420" spans="1:18" s="1016" customFormat="1" ht="12.75" customHeight="1">
      <c r="A1420" s="1028"/>
      <c r="B1420" s="1028"/>
      <c r="C1420" s="902" t="s">
        <v>990</v>
      </c>
      <c r="D1420" s="1062"/>
      <c r="E1420" s="1031"/>
      <c r="F1420" s="1062"/>
      <c r="G1420" s="1041"/>
      <c r="H1420" s="1031"/>
      <c r="I1420" s="1039">
        <f>SUM(I1409:I1419)</f>
        <v>8516.4565520000015</v>
      </c>
      <c r="J1420" s="1031"/>
      <c r="K1420" s="1031"/>
      <c r="L1420" s="1031"/>
      <c r="M1420" s="1031"/>
      <c r="N1420" s="1031"/>
      <c r="O1420" s="1031"/>
      <c r="P1420" s="1031"/>
      <c r="Q1420" s="1031"/>
      <c r="R1420" s="1031"/>
    </row>
    <row r="1421" spans="1:18" s="1016" customFormat="1" ht="12.75" customHeight="1">
      <c r="A1421" s="1028"/>
      <c r="B1421" s="1028"/>
      <c r="C1421" s="1031"/>
      <c r="D1421" s="1062"/>
      <c r="E1421" s="1031"/>
      <c r="F1421" s="1062"/>
      <c r="G1421" s="1041"/>
      <c r="H1421" s="1031"/>
      <c r="I1421" s="1036"/>
      <c r="J1421" s="1031"/>
      <c r="K1421" s="1031"/>
      <c r="L1421" s="1031"/>
      <c r="M1421" s="1031"/>
      <c r="N1421" s="1031"/>
      <c r="O1421" s="1031"/>
      <c r="P1421" s="1031"/>
      <c r="Q1421" s="1031"/>
      <c r="R1421" s="1031"/>
    </row>
    <row r="1422" spans="1:18" s="1016" customFormat="1" ht="12.75" customHeight="1">
      <c r="A1422" s="1028"/>
      <c r="B1422" s="1028"/>
      <c r="C1422" s="902" t="s">
        <v>428</v>
      </c>
      <c r="D1422" s="1031"/>
      <c r="E1422" s="1063" t="s">
        <v>501</v>
      </c>
      <c r="F1422" s="1063" t="s">
        <v>502</v>
      </c>
      <c r="G1422" s="1064" t="s">
        <v>503</v>
      </c>
      <c r="H1422" s="1064" t="s">
        <v>709</v>
      </c>
      <c r="I1422" s="1064" t="s">
        <v>502</v>
      </c>
      <c r="J1422" s="1031"/>
      <c r="K1422" s="1031"/>
      <c r="L1422" s="1031"/>
      <c r="M1422" s="1031"/>
      <c r="N1422" s="1031"/>
      <c r="O1422" s="1031"/>
      <c r="P1422" s="1031"/>
      <c r="Q1422" s="1031"/>
      <c r="R1422" s="1031"/>
    </row>
    <row r="1423" spans="1:18" s="1016" customFormat="1" ht="12.75" customHeight="1">
      <c r="A1423" s="1028"/>
      <c r="B1423" s="1028"/>
      <c r="C1423" s="642" t="s">
        <v>991</v>
      </c>
      <c r="D1423" s="1031"/>
      <c r="E1423" s="1032">
        <f>$I$1420</f>
        <v>8516.4565520000015</v>
      </c>
      <c r="F1423" s="1032">
        <f>$I$1420</f>
        <v>8516.4565520000015</v>
      </c>
      <c r="G1423" s="1032">
        <f>$I$1420</f>
        <v>8516.4565520000015</v>
      </c>
      <c r="H1423" s="1032">
        <f>$I$1420</f>
        <v>8516.4565520000015</v>
      </c>
      <c r="I1423" s="1032">
        <f>$I$1420</f>
        <v>8516.4565520000015</v>
      </c>
      <c r="J1423" s="1031"/>
      <c r="K1423" s="1031"/>
      <c r="L1423" s="1031"/>
      <c r="M1423" s="1031"/>
      <c r="N1423" s="1031"/>
      <c r="O1423" s="1031"/>
      <c r="P1423" s="1031"/>
      <c r="Q1423" s="1031"/>
      <c r="R1423" s="1031"/>
    </row>
    <row r="1424" spans="1:18" s="1016" customFormat="1" ht="12.75" customHeight="1">
      <c r="A1424" s="1028"/>
      <c r="B1424" s="1028"/>
      <c r="C1424" s="642" t="s">
        <v>992</v>
      </c>
      <c r="D1424" s="1031"/>
      <c r="E1424" s="1032">
        <v>0</v>
      </c>
      <c r="F1424" s="1032">
        <f>ROUND(SUM($I$1415:$I$1417)*10%,2)</f>
        <v>329.38</v>
      </c>
      <c r="G1424" s="1032">
        <f>ROUND(SUM($I$1415:$I$1417)*20%,2)</f>
        <v>658.76</v>
      </c>
      <c r="H1424" s="1032">
        <f>ROUND(SUM($I$1415:$I$1417)*30%,2)</f>
        <v>988.14</v>
      </c>
      <c r="I1424" s="1032">
        <f>ROUND(SUM($I$1415:$I$1417)*40%,2)</f>
        <v>1317.52</v>
      </c>
      <c r="J1424" s="1031"/>
      <c r="K1424" s="1031"/>
      <c r="L1424" s="1031"/>
      <c r="M1424" s="1031"/>
      <c r="N1424" s="1031"/>
      <c r="O1424" s="1031"/>
      <c r="P1424" s="1031"/>
      <c r="Q1424" s="1031"/>
      <c r="R1424" s="1031"/>
    </row>
    <row r="1425" spans="1:18" s="1016" customFormat="1" ht="12.75" customHeight="1">
      <c r="A1425" s="1028"/>
      <c r="B1425" s="1028"/>
      <c r="C1425" s="642" t="str">
        <f>"Add for MA @"&amp;E5*100&amp;"%"</f>
        <v>Add for MA @0%</v>
      </c>
      <c r="D1425" s="1065">
        <f>E5</f>
        <v>0</v>
      </c>
      <c r="E1425" s="1032">
        <f>E1424*D1425</f>
        <v>0</v>
      </c>
      <c r="F1425" s="1032">
        <f>F1424*D1425</f>
        <v>0</v>
      </c>
      <c r="G1425" s="1032">
        <f>G1424*D1425</f>
        <v>0</v>
      </c>
      <c r="H1425" s="1032">
        <f>H1424*D1425</f>
        <v>0</v>
      </c>
      <c r="I1425" s="1032">
        <f>I1424*D1425</f>
        <v>0</v>
      </c>
      <c r="J1425" s="1031"/>
      <c r="K1425" s="1031"/>
      <c r="L1425" s="1031"/>
      <c r="M1425" s="1031"/>
      <c r="N1425" s="1031"/>
      <c r="O1425" s="1031"/>
      <c r="P1425" s="1031"/>
      <c r="Q1425" s="1031"/>
      <c r="R1425" s="1031"/>
    </row>
    <row r="1426" spans="1:18" s="1016" customFormat="1" ht="12.75" customHeight="1">
      <c r="A1426" s="1028"/>
      <c r="B1426" s="1028"/>
      <c r="C1426" s="1031"/>
      <c r="D1426" s="1031"/>
      <c r="E1426" s="1032">
        <f>SUM(E1423:E1425)</f>
        <v>8516.4565520000015</v>
      </c>
      <c r="F1426" s="1032">
        <f>SUM(F1423:F1425)</f>
        <v>8845.8365520000007</v>
      </c>
      <c r="G1426" s="1032">
        <f>SUM(G1423:G1425)</f>
        <v>9175.2165520000017</v>
      </c>
      <c r="H1426" s="1032">
        <f>SUM(H1423:H1425)</f>
        <v>9504.5965520000009</v>
      </c>
      <c r="I1426" s="1032">
        <f>SUM(I1423:I1425)</f>
        <v>9833.9765520000019</v>
      </c>
      <c r="J1426" s="1031"/>
      <c r="K1426" s="1031"/>
      <c r="L1426" s="1031"/>
      <c r="M1426" s="1031"/>
      <c r="N1426" s="1031"/>
      <c r="O1426" s="1031"/>
      <c r="P1426" s="1031"/>
      <c r="Q1426" s="1031"/>
      <c r="R1426" s="1031"/>
    </row>
    <row r="1427" spans="1:18" s="1016" customFormat="1" ht="12.75" customHeight="1">
      <c r="A1427" s="1028"/>
      <c r="B1427" s="1028"/>
      <c r="C1427" s="1066" t="s">
        <v>1014</v>
      </c>
      <c r="D1427" s="1067">
        <f>D1401</f>
        <v>0</v>
      </c>
      <c r="E1427" s="1032">
        <f>ROUND(E1426*$D$1427,2)</f>
        <v>0</v>
      </c>
      <c r="F1427" s="1032">
        <f>ROUND(F1426*$D$1427,2)</f>
        <v>0</v>
      </c>
      <c r="G1427" s="1032">
        <f>ROUND(G1426*$D$1427,2)</f>
        <v>0</v>
      </c>
      <c r="H1427" s="1032">
        <f>ROUND(H1426*$D$1427,2)</f>
        <v>0</v>
      </c>
      <c r="I1427" s="1032">
        <f>ROUND(I1426*$D$1427,2)</f>
        <v>0</v>
      </c>
      <c r="J1427" s="1031"/>
      <c r="K1427" s="1031"/>
      <c r="L1427" s="1031"/>
      <c r="M1427" s="1031"/>
      <c r="N1427" s="1031"/>
      <c r="O1427" s="1031"/>
      <c r="P1427" s="1031"/>
      <c r="Q1427" s="1031"/>
      <c r="R1427" s="1031"/>
    </row>
    <row r="1428" spans="1:18" s="1016" customFormat="1" ht="12.75" customHeight="1">
      <c r="A1428" s="1028"/>
      <c r="B1428" s="1028"/>
      <c r="C1428" s="902" t="s">
        <v>993</v>
      </c>
      <c r="D1428" s="1031"/>
      <c r="E1428" s="1068">
        <f>SUM(E1426:E1427)</f>
        <v>8516.4565520000015</v>
      </c>
      <c r="F1428" s="1068">
        <f>SUM(F1426:F1427)</f>
        <v>8845.8365520000007</v>
      </c>
      <c r="G1428" s="1068">
        <f>SUM(G1426:G1427)</f>
        <v>9175.2165520000017</v>
      </c>
      <c r="H1428" s="1068">
        <f>SUM(H1426:H1427)</f>
        <v>9504.5965520000009</v>
      </c>
      <c r="I1428" s="1068">
        <f>SUM(I1426:I1427)</f>
        <v>9833.9765520000019</v>
      </c>
      <c r="J1428" s="1031"/>
      <c r="K1428" s="1031"/>
      <c r="L1428" s="1031"/>
      <c r="M1428" s="1031"/>
      <c r="N1428" s="1031"/>
      <c r="O1428" s="1031"/>
      <c r="P1428" s="1031"/>
      <c r="Q1428" s="1031"/>
      <c r="R1428" s="1031"/>
    </row>
    <row r="1429" spans="1:18" s="1016" customFormat="1" ht="12.75" customHeight="1">
      <c r="A1429" s="1028"/>
      <c r="B1429" s="1028"/>
      <c r="C1429" s="902" t="s">
        <v>645</v>
      </c>
      <c r="D1429" s="1031"/>
      <c r="E1429" s="1068">
        <f>E1428/10</f>
        <v>851.64565520000019</v>
      </c>
      <c r="F1429" s="1068">
        <f>F1428/10</f>
        <v>884.58365520000007</v>
      </c>
      <c r="G1429" s="1068">
        <f>G1428/10</f>
        <v>917.52165520000017</v>
      </c>
      <c r="H1429" s="1068">
        <f>H1428/10</f>
        <v>950.45965520000004</v>
      </c>
      <c r="I1429" s="1068">
        <f>I1428/10</f>
        <v>983.39765520000014</v>
      </c>
      <c r="J1429" s="1031"/>
      <c r="K1429" s="1031"/>
      <c r="L1429" s="1031"/>
      <c r="M1429" s="1031"/>
      <c r="N1429" s="1031"/>
      <c r="O1429" s="1031"/>
      <c r="P1429" s="1031"/>
      <c r="Q1429" s="1031"/>
      <c r="R1429" s="1031"/>
    </row>
    <row r="1430" spans="1:18" s="1016" customFormat="1" ht="12.75" customHeight="1">
      <c r="A1430" s="1028"/>
      <c r="B1430" s="1028"/>
      <c r="C1430" s="902" t="s">
        <v>467</v>
      </c>
      <c r="D1430" s="1031"/>
      <c r="E1430" s="1069">
        <f>ROUND(E1429,0)</f>
        <v>852</v>
      </c>
      <c r="F1430" s="1070">
        <f>ROUND(F1429,0)</f>
        <v>885</v>
      </c>
      <c r="G1430" s="1070">
        <f>ROUND(G1429,0)</f>
        <v>918</v>
      </c>
      <c r="H1430" s="1070">
        <f>ROUND(H1429,0)</f>
        <v>950</v>
      </c>
      <c r="I1430" s="1070">
        <f>ROUND(I1429,0)</f>
        <v>983</v>
      </c>
      <c r="J1430" s="1031"/>
      <c r="K1430" s="1031"/>
      <c r="L1430" s="1031"/>
      <c r="M1430" s="1031"/>
      <c r="N1430" s="1031"/>
      <c r="O1430" s="1031"/>
      <c r="P1430" s="1031"/>
      <c r="Q1430" s="1031"/>
      <c r="R1430" s="1031"/>
    </row>
    <row r="1431" spans="1:18" s="1016" customFormat="1" ht="12.75" customHeight="1">
      <c r="A1431" s="1028"/>
      <c r="B1431" s="1028"/>
      <c r="C1431" s="642"/>
      <c r="D1431" s="1036"/>
      <c r="E1431" s="1031"/>
      <c r="F1431" s="1062"/>
      <c r="G1431" s="1041"/>
      <c r="H1431" s="1031"/>
      <c r="I1431" s="1036"/>
      <c r="J1431" s="1031"/>
      <c r="K1431" s="1031"/>
      <c r="L1431" s="1031"/>
      <c r="M1431" s="1031"/>
      <c r="N1431" s="1031"/>
      <c r="O1431" s="1031"/>
      <c r="P1431" s="1031"/>
      <c r="Q1431" s="1031"/>
      <c r="R1431" s="1031"/>
    </row>
    <row r="1432" spans="1:18" s="1016" customFormat="1" ht="12.75" customHeight="1">
      <c r="A1432" s="1028">
        <f>A1405+1</f>
        <v>37</v>
      </c>
      <c r="B1432" s="1028"/>
      <c r="C1432" s="1493" t="s">
        <v>1218</v>
      </c>
      <c r="D1432" s="1493"/>
      <c r="E1432" s="1493"/>
      <c r="F1432" s="1493"/>
      <c r="G1432" s="1493"/>
      <c r="H1432" s="1493"/>
      <c r="I1432" s="1493"/>
      <c r="J1432" s="1031"/>
      <c r="K1432" s="1031"/>
      <c r="L1432" s="1031"/>
      <c r="M1432" s="1031"/>
      <c r="N1432" s="1031"/>
      <c r="O1432" s="1031"/>
      <c r="P1432" s="1031"/>
      <c r="Q1432" s="1031"/>
      <c r="R1432" s="1031"/>
    </row>
    <row r="1433" spans="1:18" s="1016" customFormat="1" ht="12.75" customHeight="1">
      <c r="A1433" s="1028"/>
      <c r="B1433" s="1028"/>
      <c r="C1433" s="1030" t="s">
        <v>994</v>
      </c>
      <c r="D1433" s="1032"/>
      <c r="E1433" s="1037"/>
      <c r="F1433" s="1032"/>
      <c r="G1433" s="1033"/>
      <c r="H1433" s="1045"/>
      <c r="I1433" s="1039"/>
      <c r="J1433" s="1031"/>
      <c r="K1433" s="1031"/>
      <c r="L1433" s="1031"/>
      <c r="M1433" s="1031"/>
      <c r="N1433" s="1031"/>
      <c r="O1433" s="1031"/>
      <c r="P1433" s="1031"/>
      <c r="Q1433" s="1031"/>
      <c r="R1433" s="1031"/>
    </row>
    <row r="1434" spans="1:18" s="1016" customFormat="1" ht="12.75" customHeight="1">
      <c r="A1434" s="1028"/>
      <c r="B1434" s="1028"/>
      <c r="C1434" s="642" t="s">
        <v>764</v>
      </c>
      <c r="D1434" s="1032"/>
      <c r="E1434" s="1037"/>
      <c r="F1434" s="1032"/>
      <c r="G1434" s="1033"/>
      <c r="H1434" s="1045"/>
      <c r="I1434" s="1039"/>
      <c r="J1434" s="1031"/>
      <c r="K1434" s="1031"/>
      <c r="L1434" s="1031"/>
      <c r="M1434" s="1031"/>
      <c r="N1434" s="1031"/>
      <c r="O1434" s="1031"/>
      <c r="P1434" s="1031"/>
      <c r="Q1434" s="1031"/>
      <c r="R1434" s="1031"/>
    </row>
    <row r="1435" spans="1:18" s="1016" customFormat="1" ht="12.75" customHeight="1">
      <c r="A1435" s="1028"/>
      <c r="B1435" s="1028"/>
      <c r="C1435" s="642" t="s">
        <v>995</v>
      </c>
      <c r="D1435" s="1032">
        <v>10.5</v>
      </c>
      <c r="E1435" s="1037" t="s">
        <v>547</v>
      </c>
      <c r="F1435" s="1032">
        <f>$F$1409</f>
        <v>443</v>
      </c>
      <c r="G1435" s="1033">
        <v>1</v>
      </c>
      <c r="H1435" s="1057" t="s">
        <v>547</v>
      </c>
      <c r="I1435" s="1036">
        <f>IF(G1435="",D1435*F1435,(D1435*F1435/G1435))</f>
        <v>4651.5</v>
      </c>
      <c r="J1435" s="1031"/>
      <c r="K1435" s="1031"/>
      <c r="L1435" s="1031"/>
      <c r="M1435" s="1031"/>
      <c r="N1435" s="1031"/>
      <c r="O1435" s="1031"/>
      <c r="P1435" s="1031"/>
      <c r="Q1435" s="1031"/>
      <c r="R1435" s="1031"/>
    </row>
    <row r="1436" spans="1:18" s="1016" customFormat="1" ht="12.75" customHeight="1">
      <c r="A1436" s="1028"/>
      <c r="B1436" s="1028"/>
      <c r="C1436" s="642" t="s">
        <v>996</v>
      </c>
      <c r="D1436" s="1032">
        <f>0.12</f>
        <v>0.12</v>
      </c>
      <c r="E1436" s="1037" t="s">
        <v>644</v>
      </c>
      <c r="F1436" s="1032">
        <f>$F$1413</f>
        <v>437.11999999999983</v>
      </c>
      <c r="G1436" s="1033">
        <v>1</v>
      </c>
      <c r="H1436" s="1057" t="s">
        <v>644</v>
      </c>
      <c r="I1436" s="1036">
        <f>IF(G1436="",D1436*F1436,(D1436*F1436/G1436))</f>
        <v>52.454399999999978</v>
      </c>
      <c r="J1436" s="1031"/>
      <c r="K1436" s="1031"/>
      <c r="L1436" s="1031"/>
      <c r="M1436" s="1031"/>
      <c r="N1436" s="1031"/>
      <c r="O1436" s="1031"/>
      <c r="P1436" s="1031"/>
      <c r="Q1436" s="1031"/>
      <c r="R1436" s="1031"/>
    </row>
    <row r="1437" spans="1:18" s="1016" customFormat="1" ht="12.75" customHeight="1">
      <c r="A1437" s="1028"/>
      <c r="B1437" s="1028"/>
      <c r="C1437" s="642" t="s">
        <v>997</v>
      </c>
      <c r="D1437" s="1032">
        <v>34.56</v>
      </c>
      <c r="E1437" s="1037" t="s">
        <v>364</v>
      </c>
      <c r="F1437" s="1032">
        <f>$F$1410</f>
        <v>7168</v>
      </c>
      <c r="G1437" s="1033">
        <v>1000</v>
      </c>
      <c r="H1437" s="1057" t="s">
        <v>364</v>
      </c>
      <c r="I1437" s="1036">
        <f>IF(G1437="",D1437*F1437,(D1437*F1437/G1437))</f>
        <v>247.72608000000002</v>
      </c>
      <c r="J1437" s="1031"/>
      <c r="K1437" s="1031"/>
      <c r="L1437" s="1031"/>
      <c r="M1437" s="1031"/>
      <c r="N1437" s="1031"/>
      <c r="O1437" s="1031"/>
      <c r="P1437" s="1031"/>
      <c r="Q1437" s="1031"/>
      <c r="R1437" s="1031"/>
    </row>
    <row r="1438" spans="1:18" s="1016" customFormat="1" ht="12.75" customHeight="1">
      <c r="A1438" s="1028"/>
      <c r="B1438" s="1028"/>
      <c r="C1438" s="642" t="s">
        <v>153</v>
      </c>
      <c r="D1438" s="1032">
        <v>33</v>
      </c>
      <c r="E1438" s="1037" t="s">
        <v>364</v>
      </c>
      <c r="F1438" s="1032">
        <f>F1437</f>
        <v>7168</v>
      </c>
      <c r="G1438" s="1033">
        <v>1000</v>
      </c>
      <c r="H1438" s="1057" t="s">
        <v>364</v>
      </c>
      <c r="I1438" s="1036">
        <f>IF(G1438="",D1438*F1438,(D1438*F1438/G1438))</f>
        <v>236.54400000000001</v>
      </c>
      <c r="J1438" s="1031"/>
      <c r="K1438" s="1031"/>
      <c r="L1438" s="1031"/>
      <c r="M1438" s="1031"/>
      <c r="N1438" s="1031"/>
      <c r="O1438" s="1031"/>
      <c r="P1438" s="1031"/>
      <c r="Q1438" s="1031"/>
      <c r="R1438" s="1031"/>
    </row>
    <row r="1439" spans="1:18" s="1016" customFormat="1" ht="12.75" customHeight="1">
      <c r="A1439" s="1028"/>
      <c r="B1439" s="1028"/>
      <c r="C1439" s="642" t="s">
        <v>998</v>
      </c>
      <c r="D1439" s="1032">
        <v>2</v>
      </c>
      <c r="E1439" s="1037" t="s">
        <v>364</v>
      </c>
      <c r="F1439" s="1032">
        <v>29</v>
      </c>
      <c r="G1439" s="1033">
        <v>1</v>
      </c>
      <c r="H1439" s="1057" t="s">
        <v>328</v>
      </c>
      <c r="I1439" s="1036">
        <f>IF(G1439="",D1439*F1439,(D1439*F1439/G1439))</f>
        <v>58</v>
      </c>
      <c r="J1439" s="1031"/>
      <c r="K1439" s="1031"/>
      <c r="L1439" s="1031"/>
      <c r="M1439" s="1031"/>
      <c r="N1439" s="1031"/>
      <c r="O1439" s="1031"/>
      <c r="P1439" s="1031"/>
      <c r="Q1439" s="1031"/>
      <c r="R1439" s="1031"/>
    </row>
    <row r="1440" spans="1:18" s="1016" customFormat="1" ht="12.75" customHeight="1">
      <c r="A1440" s="1028"/>
      <c r="B1440" s="1028"/>
      <c r="C1440" s="1031"/>
      <c r="D1440" s="1031"/>
      <c r="E1440" s="1031"/>
      <c r="F1440" s="1031"/>
      <c r="G1440" s="1031"/>
      <c r="H1440" s="1031"/>
      <c r="I1440" s="1061"/>
      <c r="J1440" s="1031"/>
      <c r="K1440" s="1031"/>
      <c r="L1440" s="1031"/>
      <c r="M1440" s="1031"/>
      <c r="N1440" s="1031"/>
      <c r="O1440" s="1031"/>
      <c r="P1440" s="1031"/>
      <c r="Q1440" s="1031"/>
      <c r="R1440" s="1031"/>
    </row>
    <row r="1441" spans="1:18" s="1016" customFormat="1" ht="12.75" customHeight="1">
      <c r="A1441" s="1028"/>
      <c r="B1441" s="1028"/>
      <c r="C1441" s="902" t="s">
        <v>999</v>
      </c>
      <c r="D1441" s="1032"/>
      <c r="E1441" s="1037"/>
      <c r="F1441" s="1032"/>
      <c r="G1441" s="1033"/>
      <c r="H1441" s="1045"/>
      <c r="I1441" s="1039"/>
      <c r="J1441" s="1031"/>
      <c r="K1441" s="1031"/>
      <c r="L1441" s="1031"/>
      <c r="M1441" s="1031"/>
      <c r="N1441" s="1031"/>
      <c r="O1441" s="1031"/>
      <c r="P1441" s="1031"/>
      <c r="Q1441" s="1031"/>
      <c r="R1441" s="1031"/>
    </row>
    <row r="1442" spans="1:18" s="1016" customFormat="1" ht="12.75" customHeight="1">
      <c r="A1442" s="1028"/>
      <c r="B1442" s="1028"/>
      <c r="C1442" s="642" t="s">
        <v>987</v>
      </c>
      <c r="D1442" s="1032">
        <v>0.96</v>
      </c>
      <c r="E1442" s="1037" t="s">
        <v>499</v>
      </c>
      <c r="F1442" s="1032">
        <f>$F$1415</f>
        <v>545</v>
      </c>
      <c r="G1442" s="1033">
        <v>1</v>
      </c>
      <c r="H1442" s="1057" t="s">
        <v>268</v>
      </c>
      <c r="I1442" s="1036">
        <f>IF(G1442="",D1442*F1442,(D1442*F1442/G1442))</f>
        <v>523.19999999999993</v>
      </c>
      <c r="J1442" s="1031"/>
      <c r="K1442" s="1031"/>
      <c r="L1442" s="1031"/>
      <c r="M1442" s="1031"/>
      <c r="N1442" s="1031"/>
      <c r="O1442" s="1031"/>
      <c r="P1442" s="1031"/>
      <c r="Q1442" s="1031"/>
      <c r="R1442" s="1031"/>
    </row>
    <row r="1443" spans="1:18" s="1016" customFormat="1" ht="12.75" customHeight="1">
      <c r="A1443" s="1028"/>
      <c r="B1443" s="1028"/>
      <c r="C1443" s="1071" t="s">
        <v>988</v>
      </c>
      <c r="D1443" s="1032">
        <v>2.2400000000000002</v>
      </c>
      <c r="E1443" s="1037" t="s">
        <v>499</v>
      </c>
      <c r="F1443" s="1032">
        <f>F1416</f>
        <v>515</v>
      </c>
      <c r="G1443" s="1033">
        <v>1</v>
      </c>
      <c r="H1443" s="1057" t="s">
        <v>268</v>
      </c>
      <c r="I1443" s="1036">
        <f>IF(G1443="",D1443*F1443,(D1443*F1443/G1443))</f>
        <v>1153.6000000000001</v>
      </c>
      <c r="J1443" s="1031"/>
      <c r="K1443" s="1031"/>
      <c r="L1443" s="1031"/>
      <c r="M1443" s="1031"/>
      <c r="N1443" s="1031"/>
      <c r="O1443" s="1031"/>
      <c r="P1443" s="1031"/>
      <c r="Q1443" s="1031"/>
      <c r="R1443" s="1031"/>
    </row>
    <row r="1444" spans="1:18" s="1016" customFormat="1">
      <c r="A1444" s="1072"/>
      <c r="B1444" s="1072"/>
      <c r="C1444" s="642" t="s">
        <v>1000</v>
      </c>
      <c r="D1444" s="529">
        <v>3.3</v>
      </c>
      <c r="E1444" s="1073" t="s">
        <v>499</v>
      </c>
      <c r="F1444" s="1074">
        <f>F1417</f>
        <v>490</v>
      </c>
      <c r="G1444" s="1075">
        <v>1</v>
      </c>
      <c r="H1444" s="1076" t="s">
        <v>268</v>
      </c>
      <c r="I1444" s="1077">
        <f>IF(G1444="",D1444*F1444,(D1444*F1444/G1444))</f>
        <v>1617</v>
      </c>
      <c r="J1444" s="1078"/>
      <c r="K1444" s="1078"/>
      <c r="L1444" s="1078"/>
      <c r="M1444" s="1078"/>
      <c r="N1444" s="1078"/>
      <c r="O1444" s="1078"/>
      <c r="P1444" s="1078"/>
      <c r="Q1444" s="1078"/>
      <c r="R1444" s="1078"/>
    </row>
    <row r="1445" spans="1:18" s="1016" customFormat="1" ht="12.75" customHeight="1">
      <c r="A1445" s="1028"/>
      <c r="B1445" s="1028"/>
      <c r="C1445" s="1031" t="s">
        <v>1216</v>
      </c>
      <c r="D1445" s="1036"/>
      <c r="E1445" s="1079"/>
      <c r="F1445" s="1032">
        <f>SUM(F1442:F1443)</f>
        <v>1060</v>
      </c>
      <c r="G1445" s="1041"/>
      <c r="H1445" s="1119"/>
      <c r="I1445" s="1036">
        <f>IF(G1445="",D1445*F1445,(D1445*F1445/G1445))</f>
        <v>0</v>
      </c>
      <c r="J1445" s="1031"/>
      <c r="K1445" s="1031"/>
      <c r="L1445" s="1031"/>
      <c r="M1445" s="1031"/>
      <c r="N1445" s="1031"/>
      <c r="O1445" s="1031"/>
      <c r="P1445" s="1031"/>
      <c r="Q1445" s="1031"/>
      <c r="R1445" s="1031"/>
    </row>
    <row r="1446" spans="1:18" s="1016" customFormat="1" ht="12.75" customHeight="1">
      <c r="A1446" s="1028"/>
      <c r="B1446" s="1028"/>
      <c r="C1446" s="642" t="s">
        <v>1217</v>
      </c>
      <c r="D1446" s="1032">
        <v>0.01</v>
      </c>
      <c r="E1446" s="1037"/>
      <c r="F1446" s="1032">
        <f>SUM(I1435:I1445)</f>
        <v>8540.02448</v>
      </c>
      <c r="G1446" s="1033"/>
      <c r="H1446" s="1057"/>
      <c r="I1446" s="1036">
        <f>IF(G1446="",D1446*F1446,(D1446*F1446/G1446))</f>
        <v>85.400244799999996</v>
      </c>
      <c r="J1446" s="1031"/>
      <c r="K1446" s="1031"/>
      <c r="L1446" s="1031"/>
      <c r="M1446" s="1031"/>
      <c r="N1446" s="1031"/>
      <c r="O1446" s="1031"/>
      <c r="P1446" s="1031"/>
      <c r="Q1446" s="1031"/>
      <c r="R1446" s="1031"/>
    </row>
    <row r="1447" spans="1:18" s="1016" customFormat="1" ht="12.75" customHeight="1">
      <c r="A1447" s="1028"/>
      <c r="B1447" s="1028"/>
      <c r="C1447" s="902" t="s">
        <v>1001</v>
      </c>
      <c r="D1447" s="1032"/>
      <c r="E1447" s="1057"/>
      <c r="F1447" s="1032"/>
      <c r="G1447" s="1033"/>
      <c r="H1447" s="1057"/>
      <c r="I1447" s="1080">
        <f>SUM(I1435:I1446)</f>
        <v>8625.4247247999992</v>
      </c>
      <c r="J1447" s="1031"/>
      <c r="K1447" s="1031"/>
      <c r="L1447" s="1031"/>
      <c r="M1447" s="1031"/>
      <c r="N1447" s="1031"/>
      <c r="O1447" s="1031"/>
      <c r="P1447" s="1031"/>
      <c r="Q1447" s="1031"/>
      <c r="R1447" s="1031"/>
    </row>
    <row r="1448" spans="1:18" s="1016" customFormat="1" ht="12.75" customHeight="1">
      <c r="A1448" s="1028"/>
      <c r="B1448" s="1028"/>
      <c r="C1448" s="902"/>
      <c r="D1448" s="1032"/>
      <c r="E1448" s="1057"/>
      <c r="F1448" s="1032"/>
      <c r="G1448" s="1033"/>
      <c r="H1448" s="1057"/>
      <c r="I1448" s="1055"/>
      <c r="J1448" s="1031"/>
      <c r="K1448" s="1031"/>
      <c r="L1448" s="1031"/>
      <c r="M1448" s="1031"/>
      <c r="N1448" s="1031"/>
      <c r="O1448" s="1031"/>
      <c r="P1448" s="1031"/>
      <c r="Q1448" s="1031"/>
      <c r="R1448" s="1031"/>
    </row>
    <row r="1449" spans="1:18" s="1016" customFormat="1" ht="12.75" customHeight="1">
      <c r="A1449" s="1028"/>
      <c r="B1449" s="1028"/>
      <c r="C1449" s="902" t="s">
        <v>428</v>
      </c>
      <c r="D1449" s="1031"/>
      <c r="E1449" s="1063" t="s">
        <v>501</v>
      </c>
      <c r="F1449" s="1063" t="s">
        <v>502</v>
      </c>
      <c r="G1449" s="1064" t="s">
        <v>503</v>
      </c>
      <c r="H1449" s="1064" t="s">
        <v>709</v>
      </c>
      <c r="I1449" s="1064" t="s">
        <v>502</v>
      </c>
      <c r="J1449" s="1031"/>
      <c r="K1449" s="1031"/>
      <c r="L1449" s="1031"/>
      <c r="M1449" s="1031"/>
      <c r="N1449" s="1031"/>
      <c r="O1449" s="1031"/>
      <c r="P1449" s="1031"/>
      <c r="Q1449" s="1031"/>
      <c r="R1449" s="1031"/>
    </row>
    <row r="1450" spans="1:18" s="1016" customFormat="1" ht="12.75" customHeight="1">
      <c r="A1450" s="1028"/>
      <c r="B1450" s="1028"/>
      <c r="C1450" s="642" t="s">
        <v>991</v>
      </c>
      <c r="D1450" s="1031"/>
      <c r="E1450" s="1032">
        <f>$I$1447</f>
        <v>8625.4247247999992</v>
      </c>
      <c r="F1450" s="1032">
        <f>$I$1447</f>
        <v>8625.4247247999992</v>
      </c>
      <c r="G1450" s="1032">
        <f>$I$1447</f>
        <v>8625.4247247999992</v>
      </c>
      <c r="H1450" s="1032">
        <f>$I$1447</f>
        <v>8625.4247247999992</v>
      </c>
      <c r="I1450" s="1032">
        <f>$I$1447</f>
        <v>8625.4247247999992</v>
      </c>
      <c r="J1450" s="1031"/>
      <c r="K1450" s="1031"/>
      <c r="L1450" s="1031"/>
      <c r="M1450" s="1031"/>
      <c r="N1450" s="1031"/>
      <c r="O1450" s="1031"/>
      <c r="P1450" s="1031"/>
      <c r="Q1450" s="1031"/>
      <c r="R1450" s="1031"/>
    </row>
    <row r="1451" spans="1:18" s="1016" customFormat="1" ht="12.75" customHeight="1">
      <c r="A1451" s="1028"/>
      <c r="B1451" s="1028"/>
      <c r="C1451" s="642" t="s">
        <v>992</v>
      </c>
      <c r="D1451" s="1031"/>
      <c r="E1451" s="1032">
        <v>0</v>
      </c>
      <c r="F1451" s="1032">
        <f>ROUND(SUM($I$1442:$I$1444)*10%,2)</f>
        <v>329.38</v>
      </c>
      <c r="G1451" s="1032">
        <f>ROUND(SUM($I$1442:$I$1444)*20%,2)</f>
        <v>658.76</v>
      </c>
      <c r="H1451" s="1032">
        <f>ROUND(SUM($I$1442:$I$1444)*30%,2)</f>
        <v>988.14</v>
      </c>
      <c r="I1451" s="1032">
        <f>ROUND(SUM($I$1442:$I$1444)*40%,2)</f>
        <v>1317.52</v>
      </c>
      <c r="J1451" s="1031"/>
      <c r="K1451" s="1031"/>
      <c r="L1451" s="1031"/>
      <c r="M1451" s="1031"/>
      <c r="N1451" s="1031"/>
      <c r="O1451" s="1031"/>
      <c r="P1451" s="1031"/>
      <c r="Q1451" s="1031"/>
      <c r="R1451" s="1031"/>
    </row>
    <row r="1452" spans="1:18" s="1016" customFormat="1" ht="12.75" customHeight="1">
      <c r="A1452" s="1028"/>
      <c r="B1452" s="1028"/>
      <c r="C1452" s="642" t="s">
        <v>1219</v>
      </c>
      <c r="D1452" s="1065">
        <f>E5</f>
        <v>0</v>
      </c>
      <c r="E1452" s="1032">
        <f>E1451*$E$5</f>
        <v>0</v>
      </c>
      <c r="F1452" s="1032">
        <f>F1451*$E$5</f>
        <v>0</v>
      </c>
      <c r="G1452" s="1032">
        <f>G1451*$E$5</f>
        <v>0</v>
      </c>
      <c r="H1452" s="1032">
        <f>H1451*$E$5</f>
        <v>0</v>
      </c>
      <c r="I1452" s="1032">
        <f>I1451*$E$5</f>
        <v>0</v>
      </c>
      <c r="J1452" s="1031"/>
      <c r="K1452" s="1031"/>
      <c r="L1452" s="1031"/>
      <c r="M1452" s="1031"/>
      <c r="N1452" s="1031"/>
      <c r="O1452" s="1031"/>
      <c r="P1452" s="1031"/>
      <c r="Q1452" s="1031"/>
      <c r="R1452" s="1031"/>
    </row>
    <row r="1453" spans="1:18" s="1016" customFormat="1" ht="12.75" customHeight="1">
      <c r="A1453" s="1028"/>
      <c r="B1453" s="1028"/>
      <c r="C1453" s="1031"/>
      <c r="D1453" s="1031"/>
      <c r="E1453" s="1032">
        <f>SUM(E1450:E1452)</f>
        <v>8625.4247247999992</v>
      </c>
      <c r="F1453" s="1032">
        <f>SUM(F1450:F1452)</f>
        <v>8954.8047247999984</v>
      </c>
      <c r="G1453" s="1032">
        <f>SUM(G1450:G1452)</f>
        <v>9284.1847247999995</v>
      </c>
      <c r="H1453" s="1032">
        <f>SUM(H1450:H1452)</f>
        <v>9613.5647247999987</v>
      </c>
      <c r="I1453" s="1032">
        <f>SUM(I1450:I1452)</f>
        <v>9942.9447247999997</v>
      </c>
      <c r="J1453" s="1031"/>
      <c r="K1453" s="1031"/>
      <c r="L1453" s="1031"/>
      <c r="M1453" s="1031"/>
      <c r="N1453" s="1031"/>
      <c r="O1453" s="1031"/>
      <c r="P1453" s="1031"/>
      <c r="Q1453" s="1031"/>
      <c r="R1453" s="1031"/>
    </row>
    <row r="1454" spans="1:18" s="1016" customFormat="1" ht="12.75" customHeight="1">
      <c r="A1454" s="1028"/>
      <c r="B1454" s="1028"/>
      <c r="C1454" s="1066" t="str">
        <f>$C$3</f>
        <v>Overheads</v>
      </c>
      <c r="D1454" s="1067">
        <f>$D$3</f>
        <v>0</v>
      </c>
      <c r="E1454" s="1032">
        <f>ROUND(E1453*$D$1454,2)</f>
        <v>0</v>
      </c>
      <c r="F1454" s="1032">
        <f>ROUND(F1453*$D$1454,2)</f>
        <v>0</v>
      </c>
      <c r="G1454" s="1032">
        <f>ROUND(G1453*$D$1454,2)</f>
        <v>0</v>
      </c>
      <c r="H1454" s="1032">
        <f>ROUND(H1453*$D$1454,2)</f>
        <v>0</v>
      </c>
      <c r="I1454" s="1032">
        <f>ROUND(I1453*$D$1454,2)</f>
        <v>0</v>
      </c>
      <c r="J1454" s="1031"/>
      <c r="K1454" s="1031"/>
      <c r="L1454" s="1031"/>
      <c r="M1454" s="1031"/>
      <c r="N1454" s="1031"/>
      <c r="O1454" s="1031"/>
      <c r="P1454" s="1031"/>
      <c r="Q1454" s="1031"/>
      <c r="R1454" s="1031"/>
    </row>
    <row r="1455" spans="1:18" s="1016" customFormat="1" ht="12.75" customHeight="1">
      <c r="A1455" s="1028"/>
      <c r="B1455" s="1028"/>
      <c r="C1455" s="902" t="s">
        <v>993</v>
      </c>
      <c r="D1455" s="1031"/>
      <c r="E1455" s="1068">
        <f>SUM(E1453:E1454)</f>
        <v>8625.4247247999992</v>
      </c>
      <c r="F1455" s="1068">
        <f>SUM(F1453:F1454)</f>
        <v>8954.8047247999984</v>
      </c>
      <c r="G1455" s="1068">
        <f>SUM(G1453:G1454)</f>
        <v>9284.1847247999995</v>
      </c>
      <c r="H1455" s="1068">
        <f>SUM(H1453:H1454)</f>
        <v>9613.5647247999987</v>
      </c>
      <c r="I1455" s="1068">
        <f>SUM(I1453:I1454)</f>
        <v>9942.9447247999997</v>
      </c>
      <c r="J1455" s="1031"/>
      <c r="K1455" s="1031"/>
      <c r="L1455" s="1031"/>
      <c r="M1455" s="1031"/>
      <c r="N1455" s="1031"/>
      <c r="O1455" s="1031"/>
      <c r="P1455" s="1031"/>
      <c r="Q1455" s="1031"/>
      <c r="R1455" s="1031"/>
    </row>
    <row r="1456" spans="1:18" s="1016" customFormat="1" ht="12.75" customHeight="1">
      <c r="A1456" s="1028"/>
      <c r="B1456" s="1028"/>
      <c r="C1456" s="902" t="s">
        <v>645</v>
      </c>
      <c r="D1456" s="1031"/>
      <c r="E1456" s="1068">
        <f t="shared" ref="E1456:I1457" si="152">E1455/10</f>
        <v>862.5424724799999</v>
      </c>
      <c r="F1456" s="1068">
        <f t="shared" si="152"/>
        <v>895.48047247999989</v>
      </c>
      <c r="G1456" s="1068">
        <f t="shared" si="152"/>
        <v>928.41847247999999</v>
      </c>
      <c r="H1456" s="1068">
        <f t="shared" si="152"/>
        <v>961.35647247999987</v>
      </c>
      <c r="I1456" s="1068">
        <f t="shared" si="152"/>
        <v>994.29447247999997</v>
      </c>
      <c r="J1456" s="1031"/>
      <c r="K1456" s="1031"/>
      <c r="L1456" s="1031"/>
      <c r="M1456" s="1031"/>
      <c r="N1456" s="1031"/>
      <c r="O1456" s="1031"/>
      <c r="P1456" s="1031"/>
      <c r="Q1456" s="1031"/>
      <c r="R1456" s="1031"/>
    </row>
    <row r="1457" spans="1:18" s="1016" customFormat="1" ht="12.75" customHeight="1">
      <c r="A1457" s="1028"/>
      <c r="B1457" s="1028"/>
      <c r="C1457" s="902" t="s">
        <v>1002</v>
      </c>
      <c r="D1457" s="1031"/>
      <c r="E1457" s="1068">
        <f t="shared" si="152"/>
        <v>86.254247247999984</v>
      </c>
      <c r="F1457" s="1068">
        <f t="shared" si="152"/>
        <v>89.548047247999989</v>
      </c>
      <c r="G1457" s="1068">
        <f t="shared" si="152"/>
        <v>92.841847247999993</v>
      </c>
      <c r="H1457" s="1068">
        <f t="shared" si="152"/>
        <v>96.135647247999984</v>
      </c>
      <c r="I1457" s="1068">
        <f t="shared" si="152"/>
        <v>99.429447248000002</v>
      </c>
      <c r="J1457" s="1031"/>
      <c r="K1457" s="1031"/>
      <c r="L1457" s="1031"/>
      <c r="M1457" s="1031"/>
      <c r="N1457" s="1031"/>
      <c r="O1457" s="1031"/>
      <c r="P1457" s="1031"/>
      <c r="Q1457" s="1031"/>
      <c r="R1457" s="1031"/>
    </row>
    <row r="1458" spans="1:18" s="1016" customFormat="1" ht="12.75" customHeight="1">
      <c r="A1458" s="1028"/>
      <c r="B1458" s="1028"/>
      <c r="C1458" s="902" t="s">
        <v>467</v>
      </c>
      <c r="D1458" s="1031"/>
      <c r="E1458" s="1070">
        <f>ROUND(E1457,0)</f>
        <v>86</v>
      </c>
      <c r="F1458" s="1070">
        <f>ROUND(F1457,0)</f>
        <v>90</v>
      </c>
      <c r="G1458" s="1070">
        <f>ROUND(G1457,0)</f>
        <v>93</v>
      </c>
      <c r="H1458" s="1070">
        <f>ROUND(H1457,0)</f>
        <v>96</v>
      </c>
      <c r="I1458" s="1070">
        <f>ROUND(I1457,1)</f>
        <v>99.4</v>
      </c>
      <c r="J1458" s="1031"/>
      <c r="K1458" s="1031"/>
      <c r="L1458" s="1031"/>
      <c r="M1458" s="1031"/>
      <c r="N1458" s="1031"/>
      <c r="O1458" s="1031"/>
      <c r="P1458" s="1031"/>
      <c r="Q1458" s="1031"/>
      <c r="R1458" s="1031"/>
    </row>
    <row r="1459" spans="1:18" s="1016" customFormat="1" ht="12.75" customHeight="1">
      <c r="A1459" s="1028"/>
      <c r="B1459" s="1028"/>
      <c r="C1459" s="1031"/>
      <c r="D1459" s="1032"/>
      <c r="E1459" s="1032"/>
      <c r="F1459" s="1032"/>
      <c r="G1459" s="1031"/>
      <c r="H1459" s="1081"/>
      <c r="I1459" s="1046"/>
      <c r="J1459" s="1031"/>
      <c r="K1459" s="1031"/>
      <c r="L1459" s="1031"/>
      <c r="M1459" s="1031"/>
      <c r="N1459" s="1031"/>
      <c r="O1459" s="1031"/>
      <c r="P1459" s="1031"/>
      <c r="Q1459" s="1031"/>
      <c r="R1459" s="1031"/>
    </row>
    <row r="1460" spans="1:18" ht="12.75" customHeight="1">
      <c r="A1460" s="1082">
        <f>A1432+1</f>
        <v>38</v>
      </c>
      <c r="B1460" s="1020"/>
      <c r="C1460" s="1499" t="s">
        <v>1048</v>
      </c>
      <c r="D1460" s="1499"/>
      <c r="E1460" s="1499"/>
      <c r="F1460" s="1499"/>
      <c r="G1460" s="1499"/>
      <c r="H1460" s="1499"/>
      <c r="I1460" s="1499"/>
    </row>
    <row r="1461" spans="1:18" ht="12.75" customHeight="1">
      <c r="A1461" s="1019"/>
      <c r="B1461" s="1020"/>
      <c r="C1461" s="792" t="s">
        <v>4</v>
      </c>
      <c r="D1461" s="1021">
        <v>1.05</v>
      </c>
      <c r="E1461" s="1022" t="s">
        <v>623</v>
      </c>
      <c r="F1461" s="986">
        <f>F143</f>
        <v>2845</v>
      </c>
      <c r="G1461" s="1023">
        <v>1</v>
      </c>
      <c r="H1461" s="991" t="str">
        <f t="shared" ref="H1461:H1468" si="153">IF(E1461="","",IF(E1461="No.","Each",IF(E1461="Nos.","Each",E1461)))</f>
        <v>Sqmt.</v>
      </c>
      <c r="I1461" s="986">
        <f>IF(G1461="",D1461*F1461,(D1461*F1461/G1461))</f>
        <v>2987.25</v>
      </c>
    </row>
    <row r="1462" spans="1:18" ht="12.75" customHeight="1">
      <c r="A1462" s="1019"/>
      <c r="B1462" s="1020"/>
      <c r="C1462" s="792" t="s">
        <v>663</v>
      </c>
      <c r="D1462" s="1021">
        <v>2.16</v>
      </c>
      <c r="E1462" s="1022" t="s">
        <v>236</v>
      </c>
      <c r="F1462" s="986">
        <f>F1437</f>
        <v>7168</v>
      </c>
      <c r="G1462" s="1023">
        <v>1000</v>
      </c>
      <c r="H1462" s="991" t="str">
        <f t="shared" si="153"/>
        <v>kg</v>
      </c>
      <c r="I1462" s="986">
        <f>IF(G1462="",D1462*F1462,(D1462*F1462/G1462))</f>
        <v>15.482880000000002</v>
      </c>
    </row>
    <row r="1463" spans="1:18" ht="12.75" customHeight="1">
      <c r="A1463" s="1019"/>
      <c r="B1463" s="1020"/>
      <c r="C1463" s="792" t="s">
        <v>353</v>
      </c>
      <c r="D1463" s="1021">
        <f>0.012</f>
        <v>1.2E-2</v>
      </c>
      <c r="E1463" s="1022" t="s">
        <v>529</v>
      </c>
      <c r="F1463" s="986">
        <f>F1436</f>
        <v>437.11999999999983</v>
      </c>
      <c r="G1463" s="1023">
        <v>1</v>
      </c>
      <c r="H1463" s="991" t="str">
        <f t="shared" si="153"/>
        <v>cu.m.</v>
      </c>
      <c r="I1463" s="986">
        <f>IF(G1463="",D1463*F1463,(D1463*F1463/G1463))</f>
        <v>5.2454399999999985</v>
      </c>
    </row>
    <row r="1464" spans="1:18" ht="12.75" customHeight="1">
      <c r="A1464" s="1019"/>
      <c r="B1464" s="1020"/>
      <c r="C1464" s="792" t="s">
        <v>196</v>
      </c>
      <c r="D1464" s="1021">
        <v>1</v>
      </c>
      <c r="E1464" s="1022" t="s">
        <v>623</v>
      </c>
      <c r="F1464" s="986">
        <f>$I$775</f>
        <v>169.95</v>
      </c>
      <c r="G1464" s="1023">
        <v>1</v>
      </c>
      <c r="H1464" s="991" t="str">
        <f t="shared" si="153"/>
        <v>Sqmt.</v>
      </c>
      <c r="I1464" s="986">
        <f t="shared" ref="I1464:I1469" si="154">IF(G1464="",D1464*F1464,(D1464*F1464/G1464))</f>
        <v>169.95</v>
      </c>
    </row>
    <row r="1465" spans="1:18" ht="12.75" customHeight="1">
      <c r="A1465" s="1019"/>
      <c r="B1465" s="1020"/>
      <c r="C1465" s="1115" t="s">
        <v>377</v>
      </c>
      <c r="D1465" s="1021">
        <v>9.6000000000000002E-2</v>
      </c>
      <c r="E1465" s="1003" t="s">
        <v>499</v>
      </c>
      <c r="F1465" s="986">
        <f>$F$9</f>
        <v>545</v>
      </c>
      <c r="G1465" s="1023">
        <v>1</v>
      </c>
      <c r="H1465" s="991" t="str">
        <f t="shared" si="153"/>
        <v>Each</v>
      </c>
      <c r="I1465" s="986">
        <f t="shared" si="154"/>
        <v>52.32</v>
      </c>
    </row>
    <row r="1466" spans="1:18" ht="12.75" customHeight="1">
      <c r="A1466" s="1019"/>
      <c r="B1466" s="1020"/>
      <c r="C1466" s="1115" t="s">
        <v>378</v>
      </c>
      <c r="D1466" s="1021">
        <v>0.224</v>
      </c>
      <c r="E1466" s="1003" t="s">
        <v>499</v>
      </c>
      <c r="F1466" s="986">
        <f>$F$10</f>
        <v>515</v>
      </c>
      <c r="G1466" s="1023">
        <v>1</v>
      </c>
      <c r="H1466" s="991" t="str">
        <f t="shared" si="153"/>
        <v>Each</v>
      </c>
      <c r="I1466" s="986">
        <f t="shared" si="154"/>
        <v>115.36</v>
      </c>
    </row>
    <row r="1467" spans="1:18" ht="12.75" customHeight="1">
      <c r="A1467" s="1019"/>
      <c r="B1467" s="1020"/>
      <c r="C1467" s="792" t="s">
        <v>396</v>
      </c>
      <c r="D1467" s="1021">
        <v>0.22</v>
      </c>
      <c r="E1467" s="1022" t="s">
        <v>499</v>
      </c>
      <c r="F1467" s="986">
        <f>$F$22</f>
        <v>490</v>
      </c>
      <c r="G1467" s="1023">
        <v>1</v>
      </c>
      <c r="H1467" s="991" t="str">
        <f t="shared" si="153"/>
        <v>Each</v>
      </c>
      <c r="I1467" s="986">
        <f t="shared" si="154"/>
        <v>107.8</v>
      </c>
    </row>
    <row r="1468" spans="1:18" ht="12.75" customHeight="1">
      <c r="A1468" s="1019"/>
      <c r="B1468" s="1020"/>
      <c r="C1468" s="792" t="s">
        <v>397</v>
      </c>
      <c r="D1468" s="1021">
        <v>0.11</v>
      </c>
      <c r="E1468" s="1022" t="s">
        <v>499</v>
      </c>
      <c r="F1468" s="986">
        <f>$F$23</f>
        <v>490</v>
      </c>
      <c r="G1468" s="1023">
        <v>1</v>
      </c>
      <c r="H1468" s="991" t="str">
        <f t="shared" si="153"/>
        <v>Each</v>
      </c>
      <c r="I1468" s="986">
        <f t="shared" si="154"/>
        <v>53.9</v>
      </c>
    </row>
    <row r="1469" spans="1:18" ht="25.5" customHeight="1">
      <c r="A1469" s="1019"/>
      <c r="B1469" s="1020"/>
      <c r="C1469" s="792" t="s">
        <v>1041</v>
      </c>
      <c r="D1469" s="1053">
        <v>0.01</v>
      </c>
      <c r="E1469" s="1022"/>
      <c r="F1469" s="986">
        <f>SUM(I1461:I1468)</f>
        <v>3507.3083200000005</v>
      </c>
      <c r="G1469" s="1023"/>
      <c r="H1469" s="991"/>
      <c r="I1469" s="986">
        <f t="shared" si="154"/>
        <v>35.073083200000006</v>
      </c>
    </row>
    <row r="1470" spans="1:18" ht="12.75" customHeight="1">
      <c r="A1470" s="1019"/>
      <c r="B1470" s="1020"/>
      <c r="C1470" s="980" t="s">
        <v>368</v>
      </c>
      <c r="D1470" s="1021"/>
      <c r="E1470" s="1022"/>
      <c r="F1470" s="986"/>
      <c r="G1470" s="1023"/>
      <c r="H1470" s="1116"/>
      <c r="I1470" s="1012">
        <f>SUM(I1461:I1469)</f>
        <v>3542.3814032000005</v>
      </c>
    </row>
    <row r="1471" spans="1:18" ht="12.75" customHeight="1">
      <c r="B1471" s="1020"/>
      <c r="C1471" s="1117" t="s">
        <v>428</v>
      </c>
      <c r="E1471" s="1131" t="s">
        <v>501</v>
      </c>
      <c r="F1471" s="1048" t="s">
        <v>502</v>
      </c>
      <c r="G1471" s="1131" t="s">
        <v>503</v>
      </c>
      <c r="H1471" s="1048" t="s">
        <v>709</v>
      </c>
    </row>
    <row r="1472" spans="1:18" ht="12.75" customHeight="1">
      <c r="A1472" s="1019"/>
      <c r="B1472" s="1020"/>
      <c r="C1472" s="1116" t="s">
        <v>368</v>
      </c>
      <c r="E1472" s="986">
        <f>$I$1470</f>
        <v>3542.3814032000005</v>
      </c>
      <c r="F1472" s="986">
        <f>$I$1470</f>
        <v>3542.3814032000005</v>
      </c>
      <c r="G1472" s="986">
        <f>$I$1470</f>
        <v>3542.3814032000005</v>
      </c>
      <c r="H1472" s="986">
        <f>$I$1470</f>
        <v>3542.3814032000005</v>
      </c>
    </row>
    <row r="1473" spans="1:9" ht="12.75" customHeight="1">
      <c r="A1473" s="1019"/>
      <c r="B1473" s="1020"/>
      <c r="C1473" s="792" t="s">
        <v>418</v>
      </c>
      <c r="E1473" s="986"/>
      <c r="F1473" s="986">
        <f>ROUND(0.1*(I1467+I1468+I1466+I1465),2)</f>
        <v>32.94</v>
      </c>
      <c r="G1473" s="986">
        <f>ROUND(0.2*(I1467+I1468+I1466+I1465),2)</f>
        <v>65.88</v>
      </c>
      <c r="H1473" s="986">
        <f>ROUND(0.3*(I1467+I1468+I1466+I1465),2)</f>
        <v>98.81</v>
      </c>
    </row>
    <row r="1474" spans="1:9" ht="12.75" customHeight="1">
      <c r="A1474" s="1019"/>
      <c r="B1474" s="1020"/>
      <c r="E1474" s="986">
        <f>SUM(E1472:E1473)</f>
        <v>3542.3814032000005</v>
      </c>
      <c r="F1474" s="986">
        <f>SUM(F1472:F1473)</f>
        <v>3575.3214032000005</v>
      </c>
      <c r="G1474" s="986">
        <f>SUM(G1472:G1473)</f>
        <v>3608.2614032000006</v>
      </c>
      <c r="H1474" s="986">
        <f>SUM(H1472:H1473)</f>
        <v>3641.1914032000004</v>
      </c>
    </row>
    <row r="1475" spans="1:9" ht="12.75" customHeight="1">
      <c r="A1475" s="1019"/>
      <c r="B1475" s="1020"/>
      <c r="C1475" s="1124" t="s">
        <v>1014</v>
      </c>
      <c r="D1475" s="1026">
        <f>$D$3</f>
        <v>0</v>
      </c>
      <c r="E1475" s="986">
        <f>ROUND(E1474*$D$1051,2)</f>
        <v>0</v>
      </c>
      <c r="F1475" s="986">
        <f>ROUND(F1474*$D$1051,2)</f>
        <v>0</v>
      </c>
      <c r="G1475" s="986">
        <f>ROUND(G1474*$D$1051,2)</f>
        <v>0</v>
      </c>
      <c r="H1475" s="986">
        <f>ROUND(H1474*$D$1051,2)</f>
        <v>0</v>
      </c>
    </row>
    <row r="1476" spans="1:9" ht="12.75" customHeight="1">
      <c r="A1476" s="1019"/>
      <c r="B1476" s="1020"/>
      <c r="C1476" s="980" t="s">
        <v>349</v>
      </c>
      <c r="D1476" s="980" t="s">
        <v>466</v>
      </c>
      <c r="E1476" s="1012">
        <f>CEILING(SUM(E1474:E1475),0.05)</f>
        <v>3542.4</v>
      </c>
      <c r="F1476" s="1012">
        <f>CEILING(SUM(F1474:F1475),0.05)</f>
        <v>3575.3500000000004</v>
      </c>
      <c r="G1476" s="1012">
        <f>CEILING(SUM(G1474:G1475),0.05)</f>
        <v>3608.3</v>
      </c>
      <c r="H1476" s="1012">
        <f>CEILING(SUM(H1474:H1475),0.05)</f>
        <v>3641.2000000000003</v>
      </c>
    </row>
    <row r="1477" spans="1:9" ht="216.75" customHeight="1">
      <c r="A1477" s="1019"/>
      <c r="B1477" s="1020"/>
      <c r="C1477" s="792" t="s">
        <v>2305</v>
      </c>
      <c r="D1477" s="980" t="s">
        <v>656</v>
      </c>
      <c r="E1477" s="1012"/>
      <c r="F1477" s="1012"/>
      <c r="G1477" s="1012"/>
      <c r="H1477" s="1012"/>
    </row>
    <row r="1478" spans="1:9" ht="12.75" customHeight="1">
      <c r="A1478" s="1019">
        <f>A1460+1</f>
        <v>39</v>
      </c>
      <c r="B1478" s="1020"/>
      <c r="C1478" s="1499" t="s">
        <v>1049</v>
      </c>
      <c r="D1478" s="1499"/>
      <c r="E1478" s="1499"/>
      <c r="F1478" s="1499"/>
      <c r="G1478" s="1499"/>
      <c r="H1478" s="1499"/>
      <c r="I1478" s="1499"/>
    </row>
    <row r="1479" spans="1:9" ht="12.75" customHeight="1">
      <c r="A1479" s="1019"/>
      <c r="B1479" s="1020"/>
      <c r="C1479" s="1117" t="s">
        <v>557</v>
      </c>
      <c r="D1479" s="980"/>
      <c r="E1479" s="980"/>
      <c r="F1479" s="980"/>
      <c r="G1479" s="980"/>
      <c r="H1479" s="980"/>
      <c r="I1479" s="980"/>
    </row>
    <row r="1480" spans="1:9" ht="12.75" customHeight="1">
      <c r="A1480" s="1019"/>
      <c r="B1480" s="1020"/>
      <c r="C1480" s="792" t="str">
        <f>C1461</f>
        <v>High polished granite 16 to 18mm thick</v>
      </c>
      <c r="D1480" s="1021">
        <v>1.1000000000000001</v>
      </c>
      <c r="E1480" s="1022" t="s">
        <v>623</v>
      </c>
      <c r="F1480" s="986">
        <f>F1461</f>
        <v>2845</v>
      </c>
      <c r="G1480" s="1023">
        <v>1</v>
      </c>
      <c r="H1480" s="991" t="str">
        <f>IF(E1480="","",IF(E1480="No.","Each",IF(E1480="Nos.","Each",E1480)))</f>
        <v>Sqmt.</v>
      </c>
      <c r="I1480" s="986">
        <f>IF(G1480="",D1480*F1480,(D1480*F1480/G1480))</f>
        <v>3129.5000000000005</v>
      </c>
    </row>
    <row r="1481" spans="1:9" ht="12.75" customHeight="1">
      <c r="A1481" s="1019"/>
      <c r="B1481" s="1020"/>
      <c r="C1481" s="792" t="s">
        <v>295</v>
      </c>
      <c r="D1481" s="1021">
        <f>0.012</f>
        <v>1.2E-2</v>
      </c>
      <c r="E1481" s="1022" t="s">
        <v>529</v>
      </c>
      <c r="F1481" s="986">
        <f>LEAD!$P$7</f>
        <v>437.11999999999983</v>
      </c>
      <c r="G1481" s="1023">
        <v>1</v>
      </c>
      <c r="H1481" s="991" t="str">
        <f>IF(E1481="","",IF(E1481="No.","Each",IF(E1481="Nos.","Each",E1481)))</f>
        <v>cu.m.</v>
      </c>
      <c r="I1481" s="986">
        <f>IF(G1481="",D1481*F1481,(D1481*F1481/G1481))</f>
        <v>5.2454399999999985</v>
      </c>
    </row>
    <row r="1482" spans="1:9" ht="12.75" customHeight="1">
      <c r="A1482" s="1019"/>
      <c r="B1482" s="1020"/>
      <c r="C1482" s="792" t="s">
        <v>296</v>
      </c>
      <c r="D1482" s="1021">
        <v>5.76</v>
      </c>
      <c r="E1482" s="1022" t="s">
        <v>364</v>
      </c>
      <c r="F1482" s="986">
        <f>LEAD!$P$28</f>
        <v>7168</v>
      </c>
      <c r="G1482" s="1023">
        <v>1000</v>
      </c>
      <c r="H1482" s="991" t="str">
        <f>IF(E1482="","",IF(E1482="No.","Each",IF(E1482="Nos.","Each",E1482)))</f>
        <v>Kgs</v>
      </c>
      <c r="I1482" s="986">
        <f>IF(G1482="",D1482*F1482,(D1482*F1482/G1482))</f>
        <v>41.287680000000002</v>
      </c>
    </row>
    <row r="1483" spans="1:9" ht="12.75" customHeight="1">
      <c r="A1483" s="1019"/>
      <c r="B1483" s="1020"/>
      <c r="C1483" s="792" t="s">
        <v>153</v>
      </c>
      <c r="D1483" s="1021">
        <v>3.3</v>
      </c>
      <c r="E1483" s="1022" t="s">
        <v>364</v>
      </c>
      <c r="F1483" s="986">
        <f>LEAD!$P$28</f>
        <v>7168</v>
      </c>
      <c r="G1483" s="1023">
        <v>1000</v>
      </c>
      <c r="H1483" s="991" t="str">
        <f>IF(E1483="","",IF(E1483="No.","Each",IF(E1483="Nos.","Each",E1483)))</f>
        <v>Kgs</v>
      </c>
      <c r="I1483" s="986">
        <f>IF(G1483="",D1483*F1483,(D1483*F1483/G1483))</f>
        <v>23.654399999999999</v>
      </c>
    </row>
    <row r="1484" spans="1:9" ht="12.75" customHeight="1">
      <c r="A1484" s="1019"/>
      <c r="B1484" s="1020"/>
      <c r="C1484" s="1117" t="s">
        <v>690</v>
      </c>
      <c r="D1484" s="1021"/>
      <c r="E1484" s="1022"/>
      <c r="F1484" s="986"/>
      <c r="G1484" s="1023"/>
      <c r="H1484" s="991"/>
      <c r="I1484" s="986"/>
    </row>
    <row r="1485" spans="1:9" ht="12.75" customHeight="1">
      <c r="A1485" s="1019"/>
      <c r="B1485" s="1020"/>
      <c r="C1485" s="1115" t="s">
        <v>377</v>
      </c>
      <c r="D1485" s="1021">
        <v>9.6000000000000002E-2</v>
      </c>
      <c r="E1485" s="1003" t="s">
        <v>499</v>
      </c>
      <c r="F1485" s="986">
        <f>$F$9</f>
        <v>545</v>
      </c>
      <c r="G1485" s="1023">
        <v>1</v>
      </c>
      <c r="H1485" s="991" t="str">
        <f>IF(E1485="","",IF(E1485="No.","Each",IF(E1485="Nos.","Each",E1485)))</f>
        <v>Each</v>
      </c>
      <c r="I1485" s="986">
        <f>IF(G1485="",D1485*F1485,(D1485*F1485/G1485))</f>
        <v>52.32</v>
      </c>
    </row>
    <row r="1486" spans="1:9" ht="12.75" customHeight="1">
      <c r="A1486" s="1019"/>
      <c r="B1486" s="1020"/>
      <c r="C1486" s="1115" t="s">
        <v>378</v>
      </c>
      <c r="D1486" s="1021">
        <v>0.224</v>
      </c>
      <c r="E1486" s="1003" t="s">
        <v>499</v>
      </c>
      <c r="F1486" s="986">
        <f>$F$10</f>
        <v>515</v>
      </c>
      <c r="G1486" s="1023">
        <v>1</v>
      </c>
      <c r="H1486" s="991" t="str">
        <f>IF(E1486="","",IF(E1486="No.","Each",IF(E1486="Nos.","Each",E1486)))</f>
        <v>Each</v>
      </c>
      <c r="I1486" s="986">
        <f>IF(G1486="",D1486*F1486,(D1486*F1486/G1486))</f>
        <v>115.36</v>
      </c>
    </row>
    <row r="1487" spans="1:9" ht="12.75" customHeight="1">
      <c r="A1487" s="1019"/>
      <c r="B1487" s="1020"/>
      <c r="C1487" s="792" t="s">
        <v>396</v>
      </c>
      <c r="D1487" s="1021">
        <v>0.31</v>
      </c>
      <c r="E1487" s="1022" t="s">
        <v>499</v>
      </c>
      <c r="F1487" s="986">
        <f>$F$22</f>
        <v>490</v>
      </c>
      <c r="G1487" s="1023">
        <v>1</v>
      </c>
      <c r="H1487" s="991" t="str">
        <f>IF(E1487="","",IF(E1487="No.","Each",IF(E1487="Nos.","Each",E1487)))</f>
        <v>Each</v>
      </c>
      <c r="I1487" s="986">
        <f>IF(G1487="",D1487*F1487,(D1487*F1487/G1487))</f>
        <v>151.9</v>
      </c>
    </row>
    <row r="1488" spans="1:9" ht="25.5" customHeight="1">
      <c r="A1488" s="1019"/>
      <c r="B1488" s="1020"/>
      <c r="C1488" s="792" t="s">
        <v>1041</v>
      </c>
      <c r="D1488" s="1053">
        <v>0.01</v>
      </c>
      <c r="E1488" s="1022"/>
      <c r="F1488" s="986">
        <f>SUM(I1480:I1487)</f>
        <v>3519.2675200000008</v>
      </c>
      <c r="G1488" s="1023"/>
      <c r="H1488" s="991"/>
      <c r="I1488" s="986">
        <f>IF(G1488="",D1488*F1488,(D1488*F1488/G1488))</f>
        <v>35.192675200000011</v>
      </c>
    </row>
    <row r="1489" spans="1:9" ht="12.75" customHeight="1">
      <c r="A1489" s="1019"/>
      <c r="B1489" s="1020"/>
      <c r="C1489" s="980" t="s">
        <v>368</v>
      </c>
      <c r="D1489" s="1021"/>
      <c r="E1489" s="1022"/>
      <c r="F1489" s="986"/>
      <c r="G1489" s="1023"/>
      <c r="H1489" s="1116"/>
      <c r="I1489" s="1012">
        <f>SUM(I1480:I1488)</f>
        <v>3554.4601952000007</v>
      </c>
    </row>
    <row r="1490" spans="1:9" ht="12.75" customHeight="1">
      <c r="A1490" s="1019"/>
      <c r="B1490" s="1020"/>
      <c r="C1490" s="1117" t="s">
        <v>428</v>
      </c>
      <c r="E1490" s="1131" t="s">
        <v>501</v>
      </c>
      <c r="F1490" s="1048" t="s">
        <v>502</v>
      </c>
      <c r="G1490" s="1131" t="s">
        <v>503</v>
      </c>
      <c r="H1490" s="1048" t="s">
        <v>709</v>
      </c>
    </row>
    <row r="1491" spans="1:9" ht="12.75" customHeight="1">
      <c r="A1491" s="1019"/>
      <c r="B1491" s="1020"/>
      <c r="C1491" s="1116" t="s">
        <v>368</v>
      </c>
      <c r="E1491" s="986">
        <f>I1489</f>
        <v>3554.4601952000007</v>
      </c>
      <c r="F1491" s="986">
        <f>E1491</f>
        <v>3554.4601952000007</v>
      </c>
      <c r="G1491" s="986">
        <f>F1491</f>
        <v>3554.4601952000007</v>
      </c>
      <c r="H1491" s="986">
        <f>G1491</f>
        <v>3554.4601952000007</v>
      </c>
    </row>
    <row r="1492" spans="1:9" ht="12.75" customHeight="1">
      <c r="A1492" s="1019"/>
      <c r="B1492" s="1020"/>
      <c r="C1492" s="792" t="s">
        <v>418</v>
      </c>
      <c r="E1492" s="986"/>
      <c r="F1492" s="986">
        <f>ROUND(0.1*(I1485+I1486+I1488+I1487),2)</f>
        <v>35.479999999999997</v>
      </c>
      <c r="G1492" s="986">
        <f>ROUND(0.2*(I1485+I1486+I1488+I1487),2)</f>
        <v>70.95</v>
      </c>
      <c r="H1492" s="986">
        <f>ROUND(0.3*(I1485+I1486+I1488+I1487),2)</f>
        <v>106.43</v>
      </c>
    </row>
    <row r="1493" spans="1:9" ht="12.75" customHeight="1">
      <c r="A1493" s="1019"/>
      <c r="B1493" s="1020"/>
      <c r="E1493" s="986">
        <f>SUM(E1491:E1492)</f>
        <v>3554.4601952000007</v>
      </c>
      <c r="F1493" s="986">
        <f>SUM(F1491:F1492)</f>
        <v>3589.9401952000007</v>
      </c>
      <c r="G1493" s="986">
        <f>SUM(G1491:G1492)</f>
        <v>3625.4101952000005</v>
      </c>
      <c r="H1493" s="986">
        <f>SUM(H1491:H1492)</f>
        <v>3660.8901952000006</v>
      </c>
    </row>
    <row r="1494" spans="1:9" ht="12.75" customHeight="1">
      <c r="A1494" s="1019"/>
      <c r="B1494" s="1020"/>
      <c r="C1494" s="1124" t="s">
        <v>1014</v>
      </c>
      <c r="D1494" s="1026">
        <f>$D$3</f>
        <v>0</v>
      </c>
      <c r="E1494" s="986">
        <f>ROUND(E1493*$D$1088,2)</f>
        <v>0</v>
      </c>
      <c r="F1494" s="986">
        <f>ROUND(F1493*$D$1088,2)</f>
        <v>0</v>
      </c>
      <c r="G1494" s="986">
        <f>ROUND(G1493*$D$1088,2)</f>
        <v>0</v>
      </c>
      <c r="H1494" s="986">
        <f>ROUND(H1493*$D$1088,2)</f>
        <v>0</v>
      </c>
    </row>
    <row r="1495" spans="1:9" ht="12.75" customHeight="1">
      <c r="A1495" s="1019"/>
      <c r="B1495" s="1020"/>
      <c r="C1495" s="980" t="s">
        <v>349</v>
      </c>
      <c r="D1495" s="980" t="s">
        <v>466</v>
      </c>
      <c r="E1495" s="1012">
        <f>CEILING(SUM(E1493:E1494),0.05)</f>
        <v>3554.5</v>
      </c>
      <c r="F1495" s="1012">
        <f>CEILING(SUM(F1493:F1494),0.05)</f>
        <v>3589.9500000000003</v>
      </c>
      <c r="G1495" s="1012">
        <f>CEILING(SUM(G1493:G1494),0.05)</f>
        <v>3625.4500000000003</v>
      </c>
      <c r="H1495" s="1012">
        <f>CEILING(SUM(H1493:H1494),0.05)</f>
        <v>3660.9</v>
      </c>
    </row>
    <row r="1496" spans="1:9" ht="12.75" customHeight="1">
      <c r="A1496" s="1120">
        <f>+A1478+1</f>
        <v>40</v>
      </c>
      <c r="B1496" s="1120"/>
      <c r="C1496" s="1500" t="s">
        <v>2306</v>
      </c>
      <c r="D1496" s="1500"/>
      <c r="E1496" s="1500"/>
      <c r="F1496" s="1500"/>
      <c r="G1496" s="1500"/>
      <c r="H1496" s="1500"/>
      <c r="I1496" s="1500"/>
    </row>
    <row r="1497" spans="1:9" ht="12.75" customHeight="1">
      <c r="A1497" s="1120"/>
      <c r="B1497" s="1120"/>
      <c r="C1497" s="792" t="s">
        <v>1050</v>
      </c>
    </row>
    <row r="1498" spans="1:9" ht="12.75" customHeight="1">
      <c r="A1498" s="1120"/>
      <c r="B1498" s="1120"/>
      <c r="C1498" s="792" t="s">
        <v>1051</v>
      </c>
    </row>
    <row r="1499" spans="1:9" ht="12.75" customHeight="1">
      <c r="A1499" s="1120"/>
      <c r="B1499" s="1120"/>
      <c r="C1499" s="792" t="s">
        <v>1052</v>
      </c>
      <c r="D1499" s="997">
        <v>0.5</v>
      </c>
      <c r="E1499" s="979" t="s">
        <v>328</v>
      </c>
      <c r="F1499" s="997">
        <f>F122</f>
        <v>31</v>
      </c>
      <c r="G1499" s="979">
        <v>1</v>
      </c>
      <c r="H1499" s="979" t="s">
        <v>328</v>
      </c>
      <c r="I1499" s="979">
        <f t="shared" ref="I1499:I1504" si="155">ROUND(D1499*F1499/G1499,2)</f>
        <v>15.5</v>
      </c>
    </row>
    <row r="1500" spans="1:9" ht="12.75" customHeight="1">
      <c r="A1500" s="1120"/>
      <c r="B1500" s="1120"/>
      <c r="C1500" s="792" t="s">
        <v>771</v>
      </c>
      <c r="D1500" s="997">
        <v>0.08</v>
      </c>
      <c r="E1500" s="979" t="s">
        <v>499</v>
      </c>
      <c r="F1500" s="997">
        <f>F19</f>
        <v>625</v>
      </c>
      <c r="G1500" s="979">
        <v>1</v>
      </c>
      <c r="H1500" s="979" t="s">
        <v>268</v>
      </c>
      <c r="I1500" s="979">
        <f t="shared" si="155"/>
        <v>50</v>
      </c>
    </row>
    <row r="1501" spans="1:9" ht="12.75" customHeight="1">
      <c r="A1501" s="1120"/>
      <c r="B1501" s="1120"/>
      <c r="C1501" s="792" t="s">
        <v>772</v>
      </c>
      <c r="D1501" s="997">
        <v>0.19</v>
      </c>
      <c r="E1501" s="979" t="s">
        <v>499</v>
      </c>
      <c r="F1501" s="997">
        <f>F20</f>
        <v>515</v>
      </c>
      <c r="G1501" s="979">
        <v>1</v>
      </c>
      <c r="H1501" s="979" t="s">
        <v>268</v>
      </c>
      <c r="I1501" s="979">
        <f t="shared" si="155"/>
        <v>97.85</v>
      </c>
    </row>
    <row r="1502" spans="1:9" ht="12.75" customHeight="1">
      <c r="A1502" s="1120"/>
      <c r="B1502" s="1120"/>
      <c r="C1502" s="792" t="s">
        <v>1053</v>
      </c>
      <c r="D1502" s="997">
        <v>1.7</v>
      </c>
      <c r="E1502" s="979" t="s">
        <v>61</v>
      </c>
      <c r="F1502" s="997">
        <f>F126</f>
        <v>57</v>
      </c>
      <c r="G1502" s="979">
        <v>1</v>
      </c>
      <c r="H1502" s="979" t="s">
        <v>133</v>
      </c>
      <c r="I1502" s="979">
        <f t="shared" si="155"/>
        <v>96.9</v>
      </c>
    </row>
    <row r="1503" spans="1:9" ht="12.75" customHeight="1">
      <c r="A1503" s="1120"/>
      <c r="B1503" s="1120"/>
      <c r="C1503" s="792" t="s">
        <v>771</v>
      </c>
      <c r="D1503" s="997">
        <v>0.36</v>
      </c>
      <c r="E1503" s="979" t="s">
        <v>499</v>
      </c>
      <c r="F1503" s="997">
        <f>F1500</f>
        <v>625</v>
      </c>
      <c r="G1503" s="979">
        <v>1</v>
      </c>
      <c r="H1503" s="979" t="s">
        <v>268</v>
      </c>
      <c r="I1503" s="979">
        <f t="shared" si="155"/>
        <v>225</v>
      </c>
    </row>
    <row r="1504" spans="1:9" ht="12.75" customHeight="1">
      <c r="A1504" s="1120"/>
      <c r="B1504" s="1120"/>
      <c r="C1504" s="792" t="s">
        <v>772</v>
      </c>
      <c r="D1504" s="979">
        <v>0.84</v>
      </c>
      <c r="E1504" s="979" t="s">
        <v>499</v>
      </c>
      <c r="F1504" s="997">
        <f>F1501</f>
        <v>515</v>
      </c>
      <c r="G1504" s="979">
        <v>1</v>
      </c>
      <c r="H1504" s="979" t="s">
        <v>268</v>
      </c>
      <c r="I1504" s="979">
        <f t="shared" si="155"/>
        <v>432.6</v>
      </c>
    </row>
    <row r="1505" spans="1:9" ht="25.5" customHeight="1">
      <c r="A1505" s="1120"/>
      <c r="B1505" s="1120"/>
      <c r="C1505" s="792" t="s">
        <v>1054</v>
      </c>
      <c r="D1505" s="979">
        <v>0.01</v>
      </c>
      <c r="F1505" s="979">
        <f>SUM(I1499:I1504)</f>
        <v>917.85</v>
      </c>
      <c r="I1505" s="979">
        <f>ROUND(D1505*F1505,2)</f>
        <v>9.18</v>
      </c>
    </row>
    <row r="1506" spans="1:9" ht="12.75" customHeight="1">
      <c r="A1506" s="1120"/>
      <c r="B1506" s="1120"/>
      <c r="I1506" s="979">
        <f>SUM(I1499:I1505)</f>
        <v>927.03</v>
      </c>
    </row>
    <row r="1507" spans="1:9" ht="12.75" customHeight="1">
      <c r="A1507" s="1120"/>
      <c r="B1507" s="1120"/>
      <c r="C1507" s="1066" t="str">
        <f>$C$3</f>
        <v>Overheads</v>
      </c>
      <c r="D1507" s="1083">
        <f>D1494:D1494</f>
        <v>0</v>
      </c>
      <c r="F1507" s="979">
        <f>I1506</f>
        <v>927.03</v>
      </c>
      <c r="I1507" s="979">
        <f>ROUND(D1507*F1507,2)</f>
        <v>0</v>
      </c>
    </row>
    <row r="1508" spans="1:9" ht="12.75" customHeight="1">
      <c r="A1508" s="1120"/>
      <c r="B1508" s="1120"/>
      <c r="C1508" s="792" t="s">
        <v>512</v>
      </c>
      <c r="I1508" s="979">
        <f>SUM(I1506:I1507)</f>
        <v>927.03</v>
      </c>
    </row>
    <row r="1509" spans="1:9" ht="12.75" customHeight="1">
      <c r="A1509" s="1120"/>
      <c r="B1509" s="1120"/>
      <c r="C1509" s="792" t="s">
        <v>515</v>
      </c>
      <c r="I1509" s="979">
        <f>I1508/10</f>
        <v>92.703000000000003</v>
      </c>
    </row>
    <row r="1510" spans="1:9" ht="12.75" customHeight="1">
      <c r="A1510" s="1120"/>
      <c r="B1510" s="1120"/>
      <c r="H1510" s="979" t="s">
        <v>467</v>
      </c>
      <c r="I1510" s="998">
        <f>CEILING(I1509,0.1)</f>
        <v>92.800000000000011</v>
      </c>
    </row>
    <row r="1511" spans="1:9" ht="12.75" customHeight="1">
      <c r="A1511" s="1120"/>
      <c r="B1511" s="1120"/>
    </row>
    <row r="1512" spans="1:9" ht="12.75" customHeight="1">
      <c r="A1512" s="979">
        <f>+A1432+1</f>
        <v>38</v>
      </c>
      <c r="C1512" s="1493" t="s">
        <v>223</v>
      </c>
      <c r="D1512" s="1493"/>
      <c r="E1512" s="1493"/>
      <c r="F1512" s="1493"/>
      <c r="G1512" s="1493"/>
      <c r="H1512" s="1493"/>
      <c r="I1512" s="1493"/>
    </row>
    <row r="1513" spans="1:9" ht="12.75" customHeight="1">
      <c r="C1513" s="1124" t="s">
        <v>676</v>
      </c>
    </row>
    <row r="1514" spans="1:9" ht="12.75" customHeight="1">
      <c r="C1514" s="792" t="s">
        <v>4</v>
      </c>
      <c r="D1514" s="997">
        <v>10.5</v>
      </c>
      <c r="E1514" s="979" t="s">
        <v>461</v>
      </c>
      <c r="F1514" s="997">
        <f>LEAD!P26</f>
        <v>2445.48515</v>
      </c>
      <c r="G1514" s="979" t="s">
        <v>5</v>
      </c>
      <c r="H1514" s="979" t="str">
        <f>E1514</f>
        <v>Sqm</v>
      </c>
      <c r="I1514" s="987">
        <f>ROUND(F1514*D1514,2)</f>
        <v>25677.59</v>
      </c>
    </row>
    <row r="1515" spans="1:9" ht="12.75" customHeight="1">
      <c r="C1515" s="792" t="s">
        <v>570</v>
      </c>
      <c r="D1515" s="997">
        <f>0.2</f>
        <v>0.2</v>
      </c>
      <c r="E1515" s="979" t="s">
        <v>465</v>
      </c>
      <c r="F1515" s="997">
        <f>LEAD!$P$7</f>
        <v>437.11999999999983</v>
      </c>
      <c r="G1515" s="979" t="s">
        <v>514</v>
      </c>
      <c r="H1515" s="979" t="str">
        <f t="shared" ref="H1515:H1522" si="156">E1515</f>
        <v>Cum</v>
      </c>
      <c r="I1515" s="987">
        <f>ROUND(F1515*D1515,2)</f>
        <v>87.42</v>
      </c>
    </row>
    <row r="1516" spans="1:9" ht="12.75" customHeight="1">
      <c r="C1516" s="792" t="s">
        <v>686</v>
      </c>
      <c r="D1516" s="997">
        <v>36</v>
      </c>
      <c r="E1516" s="979" t="s">
        <v>364</v>
      </c>
      <c r="F1516" s="997">
        <f>LEAD!$P$28</f>
        <v>7168</v>
      </c>
      <c r="G1516" s="979" t="s">
        <v>636</v>
      </c>
      <c r="H1516" s="979" t="str">
        <f>E1516</f>
        <v>Kgs</v>
      </c>
      <c r="I1516" s="987">
        <f>ROUND(F1516*D1516/1000,2)</f>
        <v>258.05</v>
      </c>
    </row>
    <row r="1517" spans="1:9" ht="12.75" customHeight="1">
      <c r="C1517" s="792" t="s">
        <v>153</v>
      </c>
      <c r="D1517" s="997">
        <v>33</v>
      </c>
      <c r="E1517" s="979" t="s">
        <v>364</v>
      </c>
      <c r="F1517" s="997">
        <f>LEAD!$P$28</f>
        <v>7168</v>
      </c>
      <c r="G1517" s="979" t="s">
        <v>636</v>
      </c>
      <c r="H1517" s="979" t="str">
        <f>E1517</f>
        <v>Kgs</v>
      </c>
      <c r="I1517" s="987">
        <f>ROUND(F1517*D1517/1000,2)</f>
        <v>236.54</v>
      </c>
    </row>
    <row r="1518" spans="1:9" ht="12.75" customHeight="1">
      <c r="C1518" s="792" t="s">
        <v>6</v>
      </c>
      <c r="D1518" s="997">
        <v>6</v>
      </c>
      <c r="E1518" s="979" t="s">
        <v>364</v>
      </c>
      <c r="F1518" s="997">
        <f>LEAD!$P$28</f>
        <v>7168</v>
      </c>
      <c r="G1518" s="979" t="s">
        <v>636</v>
      </c>
      <c r="H1518" s="979" t="str">
        <f t="shared" si="156"/>
        <v>Kgs</v>
      </c>
      <c r="I1518" s="987">
        <f>ROUND(F1518*D1518/1000,2)</f>
        <v>43.01</v>
      </c>
    </row>
    <row r="1519" spans="1:9" ht="12.75" customHeight="1">
      <c r="C1519" s="1117" t="s">
        <v>690</v>
      </c>
      <c r="D1519" s="997"/>
      <c r="F1519" s="997"/>
      <c r="I1519" s="987"/>
    </row>
    <row r="1520" spans="1:9" ht="12.75" customHeight="1">
      <c r="C1520" s="792" t="s">
        <v>7</v>
      </c>
      <c r="D1520" s="997">
        <v>3</v>
      </c>
      <c r="E1520" s="979" t="s">
        <v>327</v>
      </c>
      <c r="F1520" s="997">
        <f>$F$9</f>
        <v>545</v>
      </c>
      <c r="G1520" s="979" t="s">
        <v>331</v>
      </c>
      <c r="H1520" s="979" t="str">
        <f t="shared" si="156"/>
        <v>Nos</v>
      </c>
      <c r="I1520" s="987">
        <f>ROUND(F1520*D1520,2)</f>
        <v>1635</v>
      </c>
    </row>
    <row r="1521" spans="1:16" ht="12.75" customHeight="1">
      <c r="C1521" s="792" t="s">
        <v>630</v>
      </c>
      <c r="D1521" s="997">
        <v>1</v>
      </c>
      <c r="E1521" s="979" t="s">
        <v>327</v>
      </c>
      <c r="F1521" s="997">
        <f>$F$10</f>
        <v>515</v>
      </c>
      <c r="G1521" s="979" t="s">
        <v>331</v>
      </c>
      <c r="H1521" s="979" t="str">
        <f t="shared" si="156"/>
        <v>Nos</v>
      </c>
      <c r="I1521" s="987">
        <f>ROUND(F1521*D1521,2)</f>
        <v>515</v>
      </c>
    </row>
    <row r="1522" spans="1:16" ht="12.75" customHeight="1">
      <c r="C1522" s="792" t="s">
        <v>396</v>
      </c>
      <c r="D1522" s="997">
        <v>8</v>
      </c>
      <c r="E1522" s="979" t="s">
        <v>327</v>
      </c>
      <c r="F1522" s="997">
        <f>$F$22</f>
        <v>490</v>
      </c>
      <c r="G1522" s="979" t="s">
        <v>331</v>
      </c>
      <c r="H1522" s="979" t="str">
        <f t="shared" si="156"/>
        <v>Nos</v>
      </c>
      <c r="I1522" s="987">
        <f>ROUND(F1522*D1522,2)</f>
        <v>3920</v>
      </c>
    </row>
    <row r="1523" spans="1:16" ht="12.75" customHeight="1">
      <c r="F1523" s="997"/>
      <c r="I1523" s="987">
        <f>SUM(I1514:I1522)</f>
        <v>32372.609999999997</v>
      </c>
    </row>
    <row r="1524" spans="1:16" ht="12.75" customHeight="1">
      <c r="C1524" s="792" t="s">
        <v>8</v>
      </c>
      <c r="F1524" s="997"/>
      <c r="I1524" s="984">
        <f>ROUND(I1523/10,2)</f>
        <v>3237.26</v>
      </c>
    </row>
    <row r="1525" spans="1:16" ht="12.75" customHeight="1">
      <c r="C1525" s="1124" t="s">
        <v>1014</v>
      </c>
      <c r="D1525" s="1026">
        <f>$D$3</f>
        <v>0</v>
      </c>
      <c r="I1525" s="987">
        <f>ROUND(I1524*D1525,2)</f>
        <v>0</v>
      </c>
    </row>
    <row r="1526" spans="1:16" ht="12.75" customHeight="1">
      <c r="C1526" s="792" t="s">
        <v>8</v>
      </c>
      <c r="I1526" s="1058">
        <f>CEILING(SUM(I1524:I1525),0.05)</f>
        <v>3237.3</v>
      </c>
    </row>
    <row r="1527" spans="1:16" ht="12.75" customHeight="1">
      <c r="H1527" s="998"/>
    </row>
    <row r="1528" spans="1:16" ht="12.75" customHeight="1">
      <c r="A1528" s="979">
        <f>+A1512+1</f>
        <v>39</v>
      </c>
      <c r="C1528" s="1493" t="s">
        <v>288</v>
      </c>
      <c r="D1528" s="1493"/>
      <c r="E1528" s="1493"/>
      <c r="F1528" s="1493"/>
      <c r="G1528" s="1493"/>
      <c r="H1528" s="1493"/>
      <c r="I1528" s="1493"/>
    </row>
    <row r="1529" spans="1:16" ht="12.75" customHeight="1">
      <c r="C1529" s="979" t="s">
        <v>901</v>
      </c>
      <c r="D1529" s="979">
        <v>1</v>
      </c>
      <c r="E1529" s="979" t="s">
        <v>400</v>
      </c>
      <c r="F1529" s="997">
        <v>387</v>
      </c>
      <c r="G1529" s="979">
        <v>1</v>
      </c>
      <c r="H1529" s="979" t="str">
        <f>E1529</f>
        <v>RMT</v>
      </c>
      <c r="I1529" s="987">
        <f>D1529*F1529</f>
        <v>387</v>
      </c>
    </row>
    <row r="1530" spans="1:16" ht="12.75" customHeight="1">
      <c r="C1530" s="1124" t="s">
        <v>1014</v>
      </c>
      <c r="D1530" s="1026">
        <f>$D$3</f>
        <v>0</v>
      </c>
      <c r="I1530" s="987">
        <f>ROUND(I1529*D1530,2)</f>
        <v>0</v>
      </c>
    </row>
    <row r="1531" spans="1:16" ht="12.75" customHeight="1">
      <c r="C1531" s="979" t="s">
        <v>23</v>
      </c>
      <c r="G1531" s="1127"/>
      <c r="H1531" s="979" t="s">
        <v>513</v>
      </c>
      <c r="I1531" s="1058">
        <f>CEILING(SUM(I1529:I1530),0.05)</f>
        <v>387</v>
      </c>
    </row>
    <row r="1532" spans="1:16" ht="12.75" customHeight="1">
      <c r="H1532" s="998"/>
    </row>
    <row r="1533" spans="1:16" s="1016" customFormat="1" ht="12.75" customHeight="1">
      <c r="A1533" s="979">
        <f>A1528+1</f>
        <v>40</v>
      </c>
      <c r="B1533" s="979"/>
      <c r="C1533" s="1493" t="s">
        <v>2307</v>
      </c>
      <c r="D1533" s="1493"/>
      <c r="E1533" s="1493"/>
      <c r="F1533" s="1493"/>
      <c r="G1533" s="1493"/>
      <c r="H1533" s="1493"/>
      <c r="I1533" s="1493"/>
      <c r="K1533" s="783" t="s">
        <v>507</v>
      </c>
      <c r="L1533" s="300"/>
      <c r="N1533" s="300"/>
      <c r="P1533" s="300"/>
    </row>
    <row r="1534" spans="1:16" s="1016" customFormat="1" ht="24.6">
      <c r="A1534" s="979"/>
      <c r="B1534" s="979"/>
      <c r="C1534" s="979" t="s">
        <v>1220</v>
      </c>
      <c r="D1534" s="997">
        <v>3</v>
      </c>
      <c r="E1534" s="979" t="s">
        <v>154</v>
      </c>
      <c r="F1534" s="997">
        <f>479/3</f>
        <v>159.66666666666666</v>
      </c>
      <c r="G1534" s="979">
        <v>1</v>
      </c>
      <c r="H1534" s="979" t="s">
        <v>222</v>
      </c>
      <c r="I1534" s="987">
        <f t="shared" ref="I1534:I1540" si="157">D1534*F1534</f>
        <v>479</v>
      </c>
      <c r="L1534" s="300"/>
      <c r="N1534" s="300"/>
      <c r="P1534" s="300"/>
    </row>
    <row r="1535" spans="1:16" s="1016" customFormat="1">
      <c r="A1535" s="979"/>
      <c r="B1535" s="979"/>
      <c r="C1535" s="1124" t="s">
        <v>1221</v>
      </c>
      <c r="D1535" s="1010">
        <v>1</v>
      </c>
      <c r="E1535" s="979" t="s">
        <v>643</v>
      </c>
      <c r="F1535" s="979">
        <v>83</v>
      </c>
      <c r="G1535" s="979">
        <v>1</v>
      </c>
      <c r="H1535" s="979" t="s">
        <v>329</v>
      </c>
      <c r="I1535" s="987">
        <f t="shared" si="157"/>
        <v>83</v>
      </c>
      <c r="K1535" s="783" t="s">
        <v>1015</v>
      </c>
      <c r="L1535" s="300"/>
      <c r="N1535" s="300"/>
      <c r="P1535" s="300"/>
    </row>
    <row r="1536" spans="1:16" s="1016" customFormat="1" ht="24.6">
      <c r="A1536" s="979"/>
      <c r="B1536" s="979"/>
      <c r="C1536" s="1115" t="s">
        <v>1343</v>
      </c>
      <c r="D1536" s="1024">
        <v>1</v>
      </c>
      <c r="E1536" s="1115" t="s">
        <v>643</v>
      </c>
      <c r="F1536" s="1024">
        <v>70</v>
      </c>
      <c r="G1536" s="1115">
        <v>1</v>
      </c>
      <c r="H1536" s="1115" t="s">
        <v>329</v>
      </c>
      <c r="I1536" s="987">
        <f t="shared" si="157"/>
        <v>70</v>
      </c>
      <c r="L1536" s="300"/>
      <c r="N1536" s="300"/>
      <c r="P1536" s="300"/>
    </row>
    <row r="1537" spans="1:28" s="1016" customFormat="1" ht="24.6">
      <c r="A1537" s="979"/>
      <c r="B1537" s="979"/>
      <c r="C1537" s="979" t="s">
        <v>1344</v>
      </c>
      <c r="D1537" s="979">
        <v>3</v>
      </c>
      <c r="E1537" s="979" t="s">
        <v>499</v>
      </c>
      <c r="F1537" s="997">
        <v>18</v>
      </c>
      <c r="G1537" s="979">
        <v>1</v>
      </c>
      <c r="H1537" s="979" t="s">
        <v>329</v>
      </c>
      <c r="I1537" s="987">
        <f t="shared" si="157"/>
        <v>54</v>
      </c>
      <c r="L1537" s="300"/>
      <c r="N1537" s="300"/>
      <c r="P1537" s="300"/>
    </row>
    <row r="1538" spans="1:28" s="1016" customFormat="1">
      <c r="A1538" s="979"/>
      <c r="B1538" s="979"/>
      <c r="C1538" s="1124" t="s">
        <v>1016</v>
      </c>
      <c r="D1538" s="1084">
        <v>0.3</v>
      </c>
      <c r="E1538" s="979" t="s">
        <v>499</v>
      </c>
      <c r="F1538" s="997">
        <f>F14</f>
        <v>635</v>
      </c>
      <c r="G1538" s="979">
        <v>1</v>
      </c>
      <c r="H1538" s="979" t="s">
        <v>268</v>
      </c>
      <c r="I1538" s="987">
        <f t="shared" si="157"/>
        <v>190.5</v>
      </c>
      <c r="L1538" s="300"/>
      <c r="N1538" s="300"/>
      <c r="P1538" s="300"/>
    </row>
    <row r="1539" spans="1:28" s="1001" customFormat="1">
      <c r="A1539" s="979"/>
      <c r="B1539" s="979"/>
      <c r="C1539" s="1124" t="s">
        <v>1017</v>
      </c>
      <c r="D1539" s="1084">
        <v>0.7</v>
      </c>
      <c r="E1539" s="979" t="s">
        <v>499</v>
      </c>
      <c r="F1539" s="997">
        <f>F15</f>
        <v>515</v>
      </c>
      <c r="G1539" s="979">
        <v>1</v>
      </c>
      <c r="H1539" s="979" t="s">
        <v>268</v>
      </c>
      <c r="I1539" s="987">
        <f t="shared" si="157"/>
        <v>360.5</v>
      </c>
      <c r="J1539" s="783"/>
      <c r="L1539" s="300"/>
      <c r="N1539" s="300"/>
      <c r="P1539" s="300"/>
    </row>
    <row r="1540" spans="1:28" s="1001" customFormat="1">
      <c r="A1540" s="979"/>
      <c r="B1540" s="979"/>
      <c r="C1540" s="979" t="s">
        <v>396</v>
      </c>
      <c r="D1540" s="979">
        <v>1</v>
      </c>
      <c r="E1540" s="979" t="s">
        <v>643</v>
      </c>
      <c r="F1540" s="997">
        <f>F22</f>
        <v>490</v>
      </c>
      <c r="G1540" s="979">
        <v>1</v>
      </c>
      <c r="H1540" s="979" t="s">
        <v>268</v>
      </c>
      <c r="I1540" s="987">
        <f t="shared" si="157"/>
        <v>490</v>
      </c>
      <c r="J1540" s="783"/>
      <c r="L1540" s="300"/>
      <c r="N1540" s="300"/>
      <c r="P1540" s="300"/>
    </row>
    <row r="1541" spans="1:28" s="1016" customFormat="1" ht="24.6">
      <c r="A1541" s="979"/>
      <c r="B1541" s="979"/>
      <c r="C1541" s="1124"/>
      <c r="D1541" s="1026"/>
      <c r="E1541" s="979"/>
      <c r="F1541" s="979" t="s">
        <v>405</v>
      </c>
      <c r="G1541" s="979"/>
      <c r="H1541" s="979"/>
      <c r="I1541" s="987">
        <f>SUM(I1534:I1540)</f>
        <v>1727</v>
      </c>
      <c r="L1541" s="300"/>
      <c r="N1541" s="300"/>
      <c r="P1541" s="300"/>
    </row>
    <row r="1542" spans="1:28" s="1016" customFormat="1">
      <c r="A1542" s="979"/>
      <c r="B1542" s="979"/>
      <c r="C1542" s="1115"/>
      <c r="D1542" s="1115"/>
      <c r="E1542" s="1115"/>
      <c r="F1542" s="1115"/>
      <c r="G1542" s="1115"/>
      <c r="H1542" s="1115"/>
      <c r="I1542" s="987">
        <f>I1541/3</f>
        <v>575.66666666666663</v>
      </c>
      <c r="L1542" s="300"/>
      <c r="N1542" s="300"/>
      <c r="P1542" s="300"/>
    </row>
    <row r="1543" spans="1:28" s="1016" customFormat="1">
      <c r="A1543" s="979"/>
      <c r="B1543" s="979"/>
      <c r="C1543" s="979" t="s">
        <v>1014</v>
      </c>
      <c r="D1543" s="979">
        <f>$D$3</f>
        <v>0</v>
      </c>
      <c r="E1543" s="979"/>
      <c r="F1543" s="997">
        <f>I1542</f>
        <v>575.66666666666663</v>
      </c>
      <c r="G1543" s="979"/>
      <c r="H1543" s="979"/>
      <c r="I1543" s="987">
        <f>ROUND(D1543*F1543,2)</f>
        <v>0</v>
      </c>
      <c r="L1543" s="300"/>
      <c r="N1543" s="300"/>
      <c r="P1543" s="300"/>
    </row>
    <row r="1544" spans="1:28" s="1016" customFormat="1">
      <c r="A1544" s="979"/>
      <c r="B1544" s="979"/>
      <c r="C1544" s="1124" t="s">
        <v>406</v>
      </c>
      <c r="D1544" s="1026"/>
      <c r="E1544" s="979"/>
      <c r="F1544" s="979"/>
      <c r="G1544" s="979"/>
      <c r="H1544" s="979" t="s">
        <v>466</v>
      </c>
      <c r="I1544" s="987">
        <f>CEILING(SUM(I1542:I1543),0.05)</f>
        <v>575.70000000000005</v>
      </c>
      <c r="L1544" s="300"/>
      <c r="N1544" s="300"/>
      <c r="P1544" s="300"/>
    </row>
    <row r="1545" spans="1:28" s="1016" customFormat="1">
      <c r="A1545" s="1085"/>
      <c r="B1545" s="1085"/>
      <c r="C1545" s="1086"/>
      <c r="D1545" s="1086"/>
      <c r="E1545" s="783"/>
      <c r="F1545" s="783"/>
      <c r="G1545" s="300"/>
      <c r="H1545" s="1087"/>
      <c r="I1545" s="1088"/>
      <c r="J1545" s="783"/>
      <c r="L1545" s="300"/>
      <c r="N1545" s="300"/>
      <c r="P1545" s="300"/>
    </row>
    <row r="1546" spans="1:28" s="651" customFormat="1" ht="12.75" customHeight="1">
      <c r="A1546" s="1085">
        <f>A1533+1</f>
        <v>41</v>
      </c>
      <c r="B1546" s="1085"/>
      <c r="C1546" s="1499" t="s">
        <v>1222</v>
      </c>
      <c r="D1546" s="1499"/>
      <c r="E1546" s="1499"/>
      <c r="F1546" s="1499"/>
      <c r="G1546" s="1499"/>
      <c r="H1546" s="1499"/>
      <c r="I1546" s="1088"/>
      <c r="J1546" s="783"/>
      <c r="L1546" s="300"/>
      <c r="N1546" s="300"/>
      <c r="P1546" s="300"/>
    </row>
    <row r="1547" spans="1:28" s="651" customFormat="1" ht="12.75" customHeight="1">
      <c r="A1547" s="1085"/>
      <c r="B1547" s="1085"/>
      <c r="C1547" s="1086" t="s">
        <v>1129</v>
      </c>
      <c r="D1547" s="1086">
        <v>1</v>
      </c>
      <c r="E1547" s="783" t="s">
        <v>547</v>
      </c>
      <c r="F1547" s="783">
        <v>762</v>
      </c>
      <c r="G1547" s="300">
        <v>1</v>
      </c>
      <c r="H1547" s="1087" t="s">
        <v>547</v>
      </c>
      <c r="I1547" s="1088">
        <f>F1547*D1547</f>
        <v>762</v>
      </c>
      <c r="J1547" s="783"/>
      <c r="L1547" s="300"/>
      <c r="N1547" s="300"/>
      <c r="P1547" s="300"/>
    </row>
    <row r="1548" spans="1:28" s="651" customFormat="1" ht="12.75" customHeight="1">
      <c r="A1548" s="1085"/>
      <c r="B1548" s="1085"/>
      <c r="C1548" s="1086" t="s">
        <v>751</v>
      </c>
      <c r="D1548" s="1089">
        <f>D1543</f>
        <v>0</v>
      </c>
      <c r="E1548" s="783"/>
      <c r="F1548" s="287">
        <f>I1547</f>
        <v>762</v>
      </c>
      <c r="G1548" s="300"/>
      <c r="H1548" s="1087"/>
      <c r="I1548" s="1088">
        <f>ROUND(D1548*F1548,2)</f>
        <v>0</v>
      </c>
      <c r="J1548" s="783"/>
      <c r="L1548" s="300"/>
      <c r="N1548" s="300"/>
      <c r="P1548" s="300"/>
    </row>
    <row r="1549" spans="1:28" s="651" customFormat="1" ht="12.75" customHeight="1">
      <c r="A1549" s="1085"/>
      <c r="B1549" s="1085"/>
      <c r="C1549" s="1086"/>
      <c r="D1549" s="1086"/>
      <c r="E1549" s="783"/>
      <c r="F1549" s="287"/>
      <c r="G1549" s="300"/>
      <c r="H1549" s="1087"/>
      <c r="I1549" s="1088">
        <f>SUM(I1547:I1548)</f>
        <v>762</v>
      </c>
      <c r="J1549" s="783"/>
      <c r="L1549" s="300"/>
      <c r="N1549" s="300"/>
      <c r="P1549" s="300"/>
    </row>
    <row r="1550" spans="1:28" s="651" customFormat="1" ht="12.75" customHeight="1">
      <c r="A1550" s="1085"/>
      <c r="B1550" s="1085"/>
      <c r="C1550" s="1086"/>
      <c r="D1550" s="1086"/>
      <c r="E1550" s="783"/>
      <c r="F1550" s="287"/>
      <c r="G1550" s="300" t="s">
        <v>1130</v>
      </c>
      <c r="H1550" s="1087" t="s">
        <v>81</v>
      </c>
      <c r="I1550" s="1088">
        <f>CEILING(I1549,0.5)</f>
        <v>762</v>
      </c>
      <c r="J1550" s="783"/>
      <c r="L1550" s="300"/>
      <c r="N1550" s="300"/>
      <c r="P1550" s="300"/>
    </row>
    <row r="1551" spans="1:28" s="1116" customFormat="1" ht="12.75" customHeight="1">
      <c r="A1551" s="1019">
        <f>A1546+1</f>
        <v>42</v>
      </c>
      <c r="C1551" s="1493" t="s">
        <v>1290</v>
      </c>
      <c r="D1551" s="1493"/>
      <c r="E1551" s="1493"/>
      <c r="F1551" s="1493"/>
      <c r="G1551" s="1493"/>
      <c r="H1551" s="1493"/>
      <c r="I1551" s="1493"/>
      <c r="J1551" s="984"/>
      <c r="L1551" s="1118"/>
      <c r="N1551" s="1118"/>
      <c r="P1551" s="1118"/>
      <c r="AA1551" s="1090" t="s">
        <v>1057</v>
      </c>
      <c r="AB1551" s="1090"/>
    </row>
    <row r="1552" spans="1:28" s="794" customFormat="1">
      <c r="A1552" s="1091"/>
      <c r="B1552" s="1091"/>
      <c r="C1552" s="675" t="s">
        <v>1291</v>
      </c>
      <c r="D1552" s="642"/>
      <c r="E1552" s="642"/>
      <c r="F1552" s="642"/>
      <c r="G1552" s="642"/>
      <c r="H1552" s="642"/>
      <c r="I1552" s="642"/>
    </row>
    <row r="1553" spans="1:18" s="783" customFormat="1">
      <c r="A1553" s="1130"/>
      <c r="C1553" s="1092" t="s">
        <v>764</v>
      </c>
      <c r="D1553" s="1093"/>
      <c r="E1553" s="1073"/>
      <c r="F1553" s="1093"/>
      <c r="G1553" s="1094"/>
      <c r="H1553" s="1095"/>
      <c r="I1553" s="1096"/>
      <c r="L1553" s="1044"/>
      <c r="M1553" s="1093"/>
      <c r="N1553" s="1073"/>
      <c r="O1553" s="1093"/>
      <c r="P1553" s="1094"/>
      <c r="Q1553" s="1095"/>
      <c r="R1553" s="1097"/>
    </row>
    <row r="1554" spans="1:18" s="783" customFormat="1">
      <c r="A1554" s="1130"/>
      <c r="C1554" s="1092" t="s">
        <v>983</v>
      </c>
      <c r="D1554" s="1093"/>
      <c r="E1554" s="1073"/>
      <c r="F1554" s="1093"/>
      <c r="G1554" s="1094"/>
      <c r="H1554" s="1095"/>
      <c r="I1554" s="1096"/>
      <c r="L1554" s="1044"/>
      <c r="M1554" s="1093"/>
      <c r="N1554" s="1073"/>
      <c r="O1554" s="1093"/>
      <c r="P1554" s="1094"/>
      <c r="Q1554" s="1095"/>
      <c r="R1554" s="1097"/>
    </row>
    <row r="1555" spans="1:18" s="783" customFormat="1" ht="24.6">
      <c r="A1555" s="1130"/>
      <c r="C1555" s="1098" t="s">
        <v>2308</v>
      </c>
      <c r="D1555" s="1099" t="s">
        <v>547</v>
      </c>
      <c r="E1555" s="1099">
        <v>10.050000000000001</v>
      </c>
      <c r="F1555" s="1093">
        <v>288</v>
      </c>
      <c r="G1555" s="1100">
        <v>1</v>
      </c>
      <c r="H1555" s="685" t="s">
        <v>461</v>
      </c>
      <c r="I1555" s="1093">
        <f>ROUND(F1555*E1555/G1555,2)</f>
        <v>2894.4</v>
      </c>
      <c r="L1555" s="1044"/>
      <c r="M1555" s="1093"/>
      <c r="N1555" s="1073"/>
      <c r="O1555" s="1093"/>
      <c r="P1555" s="1094"/>
      <c r="Q1555" s="1095"/>
      <c r="R1555" s="1097"/>
    </row>
    <row r="1556" spans="1:18" s="783" customFormat="1">
      <c r="A1556" s="1130"/>
      <c r="C1556" s="1098" t="s">
        <v>1292</v>
      </c>
      <c r="D1556" s="1099" t="s">
        <v>1293</v>
      </c>
      <c r="E1556" s="1099">
        <v>28.8</v>
      </c>
      <c r="F1556" s="1093">
        <f>LEAD!P28</f>
        <v>7168</v>
      </c>
      <c r="G1556" s="1100">
        <v>1000</v>
      </c>
      <c r="H1556" s="685" t="s">
        <v>364</v>
      </c>
      <c r="I1556" s="1093">
        <f>ROUND(F1556*E1556/G1556,2)</f>
        <v>206.44</v>
      </c>
      <c r="L1556" s="1044"/>
      <c r="M1556" s="1093"/>
      <c r="N1556" s="1073"/>
      <c r="O1556" s="1093"/>
      <c r="P1556" s="1094"/>
      <c r="Q1556" s="1095"/>
      <c r="R1556" s="1097"/>
    </row>
    <row r="1557" spans="1:18" s="783" customFormat="1">
      <c r="A1557" s="1130"/>
      <c r="C1557" s="1098" t="s">
        <v>1294</v>
      </c>
      <c r="D1557" s="1099" t="s">
        <v>1295</v>
      </c>
      <c r="E1557" s="1099">
        <v>33</v>
      </c>
      <c r="F1557" s="1093">
        <f>LEAD!P28</f>
        <v>7168</v>
      </c>
      <c r="G1557" s="1100">
        <v>1000</v>
      </c>
      <c r="H1557" s="685" t="s">
        <v>364</v>
      </c>
      <c r="I1557" s="1093">
        <f>ROUND(F1557*E1557/G1557,2)</f>
        <v>236.54</v>
      </c>
      <c r="L1557" s="1044"/>
      <c r="M1557" s="1093"/>
      <c r="N1557" s="1073"/>
      <c r="O1557" s="1093"/>
      <c r="P1557" s="1094"/>
      <c r="Q1557" s="1095"/>
      <c r="R1557" s="1097"/>
    </row>
    <row r="1558" spans="1:18" s="783" customFormat="1">
      <c r="A1558" s="1130"/>
      <c r="C1558" s="1098" t="s">
        <v>161</v>
      </c>
      <c r="D1558" s="1099" t="s">
        <v>1293</v>
      </c>
      <c r="E1558" s="1099">
        <v>2</v>
      </c>
      <c r="F1558" s="1093">
        <f>F1439</f>
        <v>29</v>
      </c>
      <c r="G1558" s="1100">
        <v>1000</v>
      </c>
      <c r="H1558" s="794" t="s">
        <v>328</v>
      </c>
      <c r="I1558" s="1093">
        <f>ROUND(F1558*E1558/G1558,2)</f>
        <v>0.06</v>
      </c>
      <c r="L1558" s="1044"/>
      <c r="M1558" s="1093"/>
      <c r="N1558" s="1073"/>
      <c r="O1558" s="1093"/>
      <c r="P1558" s="1094"/>
      <c r="Q1558" s="1095"/>
      <c r="R1558" s="1097"/>
    </row>
    <row r="1559" spans="1:18" s="783" customFormat="1">
      <c r="A1559" s="1130"/>
      <c r="C1559" s="1098" t="s">
        <v>1296</v>
      </c>
      <c r="D1559" s="1099" t="s">
        <v>1293</v>
      </c>
      <c r="E1559" s="1099"/>
      <c r="F1559" s="1093"/>
      <c r="G1559" s="519"/>
      <c r="H1559" s="794"/>
      <c r="I1559" s="1093"/>
      <c r="L1559" s="1044"/>
      <c r="M1559" s="1093"/>
      <c r="N1559" s="1073"/>
      <c r="O1559" s="1093"/>
      <c r="P1559" s="1094"/>
      <c r="Q1559" s="1095"/>
      <c r="R1559" s="1097"/>
    </row>
    <row r="1560" spans="1:18" s="783" customFormat="1">
      <c r="A1560" s="1130"/>
      <c r="C1560" s="1098" t="s">
        <v>985</v>
      </c>
      <c r="D1560" s="1099" t="s">
        <v>644</v>
      </c>
      <c r="E1560" s="1099">
        <v>0.12</v>
      </c>
      <c r="F1560" s="1093">
        <f>LEAD!P7</f>
        <v>437.11999999999983</v>
      </c>
      <c r="G1560" s="519">
        <v>1</v>
      </c>
      <c r="H1560" s="794" t="s">
        <v>465</v>
      </c>
      <c r="I1560" s="1093">
        <f>ROUND(F1560*E1560/G1560,2)</f>
        <v>52.45</v>
      </c>
      <c r="L1560" s="1044"/>
      <c r="M1560" s="1093"/>
      <c r="N1560" s="1073"/>
      <c r="O1560" s="1093"/>
      <c r="P1560" s="1094"/>
      <c r="Q1560" s="1095"/>
      <c r="R1560" s="1097"/>
    </row>
    <row r="1561" spans="1:18" s="783" customFormat="1">
      <c r="A1561" s="1130"/>
      <c r="C1561" s="1098" t="s">
        <v>1297</v>
      </c>
      <c r="D1561" s="1099" t="s">
        <v>644</v>
      </c>
      <c r="E1561" s="1099"/>
      <c r="F1561" s="1093"/>
      <c r="G1561" s="1094"/>
      <c r="H1561" s="1095"/>
      <c r="I1561" s="1096"/>
      <c r="L1561" s="1044"/>
      <c r="M1561" s="1093"/>
      <c r="N1561" s="1073"/>
      <c r="O1561" s="1093"/>
      <c r="P1561" s="1094"/>
      <c r="Q1561" s="1095"/>
      <c r="R1561" s="1097"/>
    </row>
    <row r="1562" spans="1:18" s="783" customFormat="1">
      <c r="A1562" s="1130"/>
      <c r="C1562" s="1092" t="s">
        <v>1298</v>
      </c>
      <c r="D1562" s="1099"/>
      <c r="E1562" s="1099"/>
      <c r="F1562" s="1093"/>
      <c r="G1562" s="1094"/>
      <c r="H1562" s="1095"/>
      <c r="I1562" s="1096"/>
      <c r="L1562" s="1044"/>
      <c r="M1562" s="1093"/>
      <c r="N1562" s="1073"/>
      <c r="O1562" s="1093"/>
      <c r="P1562" s="1094"/>
      <c r="Q1562" s="1095"/>
      <c r="R1562" s="1097"/>
    </row>
    <row r="1563" spans="1:18" s="783" customFormat="1">
      <c r="A1563" s="1130"/>
      <c r="C1563" s="1098" t="s">
        <v>1299</v>
      </c>
      <c r="D1563" s="1099"/>
      <c r="E1563" s="1099"/>
      <c r="F1563" s="1093"/>
      <c r="G1563" s="1094"/>
      <c r="H1563" s="1095"/>
      <c r="I1563" s="1096"/>
      <c r="L1563" s="1044"/>
      <c r="M1563" s="1093"/>
      <c r="N1563" s="1073"/>
      <c r="O1563" s="1093"/>
      <c r="P1563" s="1094"/>
      <c r="Q1563" s="1095"/>
      <c r="R1563" s="1097"/>
    </row>
    <row r="1564" spans="1:18" s="783" customFormat="1">
      <c r="A1564" s="1130"/>
      <c r="C1564" s="1092" t="s">
        <v>1300</v>
      </c>
      <c r="D1564" s="1099"/>
      <c r="E1564" s="1099"/>
      <c r="F1564" s="1093"/>
      <c r="G1564" s="1094"/>
      <c r="H1564" s="1095"/>
      <c r="I1564" s="1096"/>
      <c r="L1564" s="1044"/>
      <c r="M1564" s="1093"/>
      <c r="N1564" s="1073"/>
      <c r="O1564" s="1093"/>
      <c r="P1564" s="1094"/>
      <c r="Q1564" s="1095"/>
      <c r="R1564" s="1097"/>
    </row>
    <row r="1565" spans="1:18" s="783" customFormat="1" ht="13.8">
      <c r="A1565" s="1130"/>
      <c r="C1565" s="1098" t="s">
        <v>2309</v>
      </c>
      <c r="D1565" s="1099" t="s">
        <v>594</v>
      </c>
      <c r="E1565" s="1101">
        <v>0.96</v>
      </c>
      <c r="F1565" s="1093">
        <f>$F$10</f>
        <v>515</v>
      </c>
      <c r="G1565" s="519">
        <v>1</v>
      </c>
      <c r="H1565" s="1099" t="s">
        <v>594</v>
      </c>
      <c r="I1565" s="1093">
        <f>ROUND(F1565*E1565/G1565,2)</f>
        <v>494.4</v>
      </c>
      <c r="L1565" s="1044"/>
      <c r="M1565" s="1093"/>
      <c r="N1565" s="1073"/>
      <c r="O1565" s="1093"/>
      <c r="P1565" s="1094"/>
      <c r="Q1565" s="1095"/>
      <c r="R1565" s="1097"/>
    </row>
    <row r="1566" spans="1:18" s="783" customFormat="1">
      <c r="A1566" s="1130"/>
      <c r="C1566" s="1098" t="s">
        <v>621</v>
      </c>
      <c r="D1566" s="1099" t="s">
        <v>594</v>
      </c>
      <c r="E1566" s="1101">
        <v>2.2400000000000002</v>
      </c>
      <c r="F1566" s="1093">
        <f>$F$22</f>
        <v>490</v>
      </c>
      <c r="G1566" s="519">
        <v>1</v>
      </c>
      <c r="H1566" s="1099" t="s">
        <v>594</v>
      </c>
      <c r="I1566" s="1093">
        <f>ROUND(F1566*E1566/G1566,2)</f>
        <v>1097.5999999999999</v>
      </c>
      <c r="L1566" s="1044"/>
      <c r="M1566" s="1093"/>
      <c r="N1566" s="1073"/>
      <c r="O1566" s="1093"/>
      <c r="P1566" s="1094"/>
      <c r="Q1566" s="1095"/>
      <c r="R1566" s="1097"/>
    </row>
    <row r="1567" spans="1:18" s="783" customFormat="1">
      <c r="A1567" s="1130"/>
      <c r="C1567" s="1098" t="s">
        <v>1301</v>
      </c>
      <c r="D1567" s="1099" t="s">
        <v>594</v>
      </c>
      <c r="E1567" s="1099">
        <v>3.3</v>
      </c>
      <c r="F1567" s="1093">
        <f>$F$22</f>
        <v>490</v>
      </c>
      <c r="G1567" s="519">
        <v>1</v>
      </c>
      <c r="H1567" s="1099" t="s">
        <v>594</v>
      </c>
      <c r="I1567" s="1093">
        <f>ROUND(F1567*E1567/G1567,2)</f>
        <v>1617</v>
      </c>
      <c r="L1567" s="1044"/>
      <c r="M1567" s="1093"/>
      <c r="N1567" s="1073"/>
      <c r="O1567" s="1093"/>
      <c r="P1567" s="1094"/>
      <c r="Q1567" s="1095"/>
      <c r="R1567" s="1097"/>
    </row>
    <row r="1568" spans="1:18" s="783" customFormat="1">
      <c r="A1568" s="1130"/>
      <c r="C1568" s="1098" t="s">
        <v>1302</v>
      </c>
      <c r="D1568" s="1102">
        <v>0.01</v>
      </c>
      <c r="E1568" s="1102"/>
      <c r="F1568" s="1103">
        <f>SUM(I1555:I1567)</f>
        <v>6598.8899999999994</v>
      </c>
      <c r="G1568" s="1094"/>
      <c r="H1568" s="1095"/>
      <c r="I1568" s="1093">
        <f>ROUND(F1568*D1568,2)</f>
        <v>65.989999999999995</v>
      </c>
      <c r="L1568" s="1044"/>
      <c r="M1568" s="1093"/>
      <c r="N1568" s="1073"/>
      <c r="O1568" s="1093"/>
      <c r="P1568" s="1094"/>
      <c r="Q1568" s="1095"/>
      <c r="R1568" s="1097"/>
    </row>
    <row r="1569" spans="1:18" s="783" customFormat="1">
      <c r="A1569" s="1130"/>
      <c r="C1569" s="1092"/>
      <c r="D1569" s="1093"/>
      <c r="E1569" s="1073"/>
      <c r="F1569" s="1093"/>
      <c r="G1569" s="1094"/>
      <c r="H1569" s="1095"/>
      <c r="I1569" s="1104">
        <f>SUM(I1555:I1568)</f>
        <v>6664.8799999999992</v>
      </c>
      <c r="L1569" s="1044"/>
      <c r="M1569" s="1093"/>
      <c r="N1569" s="1073"/>
      <c r="O1569" s="1093"/>
      <c r="P1569" s="1094"/>
      <c r="Q1569" s="1095"/>
      <c r="R1569" s="1097"/>
    </row>
    <row r="1570" spans="1:18" s="783" customFormat="1">
      <c r="A1570" s="1130"/>
      <c r="C1570" s="1123" t="str">
        <f>C1543</f>
        <v>Add 13.615% over heads</v>
      </c>
      <c r="D1570" s="1105">
        <f>$D$3</f>
        <v>0</v>
      </c>
      <c r="E1570" s="1073"/>
      <c r="F1570" s="1093">
        <f>I1569</f>
        <v>6664.8799999999992</v>
      </c>
      <c r="G1570" s="1094"/>
      <c r="H1570" s="1095"/>
      <c r="I1570" s="1093">
        <f>ROUND(F1570*D1570,2)</f>
        <v>0</v>
      </c>
      <c r="L1570" s="1044"/>
      <c r="M1570" s="1093"/>
      <c r="N1570" s="1073"/>
      <c r="O1570" s="1093"/>
      <c r="P1570" s="1094"/>
      <c r="Q1570" s="1095"/>
      <c r="R1570" s="1097"/>
    </row>
    <row r="1571" spans="1:18" s="783" customFormat="1">
      <c r="A1571" s="1130"/>
      <c r="C1571" s="902" t="s">
        <v>993</v>
      </c>
      <c r="D1571" s="1093"/>
      <c r="E1571" s="1073"/>
      <c r="F1571" s="1093"/>
      <c r="G1571" s="1094"/>
      <c r="H1571" s="1095"/>
      <c r="I1571" s="1104">
        <f>SUM(I1569:I1570)</f>
        <v>6664.8799999999992</v>
      </c>
      <c r="L1571" s="1044"/>
      <c r="M1571" s="1093"/>
      <c r="N1571" s="1073"/>
      <c r="O1571" s="1093"/>
      <c r="P1571" s="1094"/>
      <c r="Q1571" s="1095"/>
      <c r="R1571" s="1097"/>
    </row>
    <row r="1572" spans="1:18" s="783" customFormat="1">
      <c r="A1572" s="1130"/>
      <c r="C1572" s="1044" t="s">
        <v>645</v>
      </c>
      <c r="D1572" s="1093"/>
      <c r="E1572" s="1073"/>
      <c r="F1572" s="1093"/>
      <c r="G1572" s="1094"/>
      <c r="H1572" s="1095"/>
      <c r="I1572" s="1104">
        <f>CEILING(I1571/10,0.05)</f>
        <v>666.5</v>
      </c>
      <c r="L1572" s="1044"/>
      <c r="M1572" s="1093"/>
      <c r="N1572" s="1073"/>
      <c r="O1572" s="1093"/>
      <c r="P1572" s="1094"/>
      <c r="Q1572" s="1095"/>
      <c r="R1572" s="1097"/>
    </row>
    <row r="1573" spans="1:18" s="783" customFormat="1">
      <c r="A1573" s="1130"/>
      <c r="C1573" s="1044"/>
      <c r="D1573" s="1093"/>
      <c r="E1573" s="1073"/>
      <c r="F1573" s="1093"/>
      <c r="G1573" s="1094"/>
      <c r="H1573" s="1095"/>
      <c r="I1573" s="1104"/>
      <c r="L1573" s="1044"/>
      <c r="M1573" s="1093"/>
      <c r="N1573" s="1073"/>
      <c r="O1573" s="1093"/>
      <c r="P1573" s="1094"/>
      <c r="Q1573" s="1095"/>
      <c r="R1573" s="1097"/>
    </row>
    <row r="1574" spans="1:18" s="603" customFormat="1">
      <c r="A1574" s="604">
        <f>A1554+1</f>
        <v>1</v>
      </c>
      <c r="B1574" s="605"/>
      <c r="C1574" s="1494" t="s">
        <v>1720</v>
      </c>
      <c r="D1574" s="1494"/>
      <c r="E1574" s="1494"/>
      <c r="F1574" s="1494"/>
      <c r="G1574" s="1494"/>
      <c r="H1574" s="1494"/>
      <c r="I1574" s="1494"/>
    </row>
    <row r="1575" spans="1:18" s="603" customFormat="1" ht="24.6">
      <c r="A1575" s="604"/>
      <c r="B1575" s="604"/>
      <c r="C1575" s="611" t="s">
        <v>1721</v>
      </c>
      <c r="D1575" s="612"/>
      <c r="E1575" s="613"/>
      <c r="F1575" s="614"/>
      <c r="G1575" s="607"/>
      <c r="H1575" s="609"/>
      <c r="I1575" s="610">
        <f>ROUND(I1574*40,0)</f>
        <v>0</v>
      </c>
    </row>
    <row r="1576" spans="1:18" s="603" customFormat="1">
      <c r="A1576" s="690"/>
      <c r="B1576" s="690"/>
      <c r="C1576" s="740" t="s">
        <v>1722</v>
      </c>
      <c r="D1576" s="698">
        <v>1</v>
      </c>
      <c r="E1576" s="699" t="s">
        <v>547</v>
      </c>
      <c r="F1576" s="698">
        <v>6108</v>
      </c>
      <c r="G1576" s="700">
        <v>1</v>
      </c>
      <c r="H1576" s="699" t="s">
        <v>547</v>
      </c>
      <c r="I1576" s="701">
        <f>IF(G1576="",D1576*F1576,(D1576*F1576/G1576))</f>
        <v>6108</v>
      </c>
    </row>
    <row r="1577" spans="1:18" s="603" customFormat="1">
      <c r="A1577" s="690"/>
      <c r="B1577" s="690"/>
      <c r="C1577" s="691"/>
      <c r="D1577" s="692"/>
      <c r="E1577" s="693"/>
      <c r="F1577" s="694"/>
      <c r="G1577" s="695"/>
      <c r="H1577" s="696"/>
      <c r="I1577" s="697"/>
    </row>
    <row r="1578" spans="1:18" s="603" customFormat="1">
      <c r="A1578" s="604"/>
      <c r="B1578" s="604"/>
      <c r="C1578" s="615" t="s">
        <v>1014</v>
      </c>
      <c r="D1578" s="612">
        <f>$D$3</f>
        <v>0</v>
      </c>
      <c r="E1578" s="613"/>
      <c r="F1578" s="614">
        <f>I1576</f>
        <v>6108</v>
      </c>
      <c r="G1578" s="607"/>
      <c r="H1578" s="616"/>
      <c r="I1578" s="614">
        <f>ROUND(D1578*F1578,2)</f>
        <v>0</v>
      </c>
    </row>
    <row r="1579" spans="1:18" s="603" customFormat="1">
      <c r="A1579" s="604"/>
      <c r="B1579" s="604"/>
      <c r="C1579" s="617"/>
      <c r="D1579" s="608"/>
      <c r="E1579" s="618"/>
      <c r="F1579" s="606"/>
      <c r="G1579" s="607"/>
      <c r="H1579" s="619"/>
      <c r="I1579" s="620">
        <f>SUM(I1575:I1578)</f>
        <v>6108</v>
      </c>
    </row>
    <row r="1580" spans="1:18" s="603" customFormat="1" ht="24.6">
      <c r="A1580" s="604"/>
      <c r="B1580" s="604"/>
      <c r="C1580" s="611" t="s">
        <v>1723</v>
      </c>
      <c r="D1580" s="612"/>
      <c r="E1580" s="613"/>
      <c r="F1580" s="614"/>
      <c r="G1580" s="607"/>
      <c r="H1580" s="609"/>
      <c r="I1580" s="610"/>
    </row>
    <row r="1581" spans="1:18" s="603" customFormat="1">
      <c r="A1581" s="690"/>
      <c r="B1581" s="690"/>
      <c r="C1581" s="740" t="s">
        <v>1724</v>
      </c>
      <c r="D1581" s="698">
        <v>1</v>
      </c>
      <c r="E1581" s="699" t="s">
        <v>547</v>
      </c>
      <c r="F1581" s="698">
        <v>5183</v>
      </c>
      <c r="G1581" s="700">
        <v>1</v>
      </c>
      <c r="H1581" s="699" t="s">
        <v>547</v>
      </c>
      <c r="I1581" s="701">
        <f>IF(G1581="",D1581*F1581,(D1581*F1581/G1581))</f>
        <v>5183</v>
      </c>
    </row>
    <row r="1582" spans="1:18" s="603" customFormat="1">
      <c r="A1582" s="690"/>
      <c r="B1582" s="690"/>
      <c r="C1582" s="691"/>
      <c r="D1582" s="692"/>
      <c r="E1582" s="693"/>
      <c r="F1582" s="694"/>
      <c r="G1582" s="695"/>
      <c r="H1582" s="696"/>
      <c r="I1582" s="697"/>
    </row>
    <row r="1583" spans="1:18" s="603" customFormat="1">
      <c r="A1583" s="604"/>
      <c r="B1583" s="604"/>
      <c r="C1583" s="615" t="s">
        <v>1014</v>
      </c>
      <c r="D1583" s="612">
        <f>$D$3</f>
        <v>0</v>
      </c>
      <c r="E1583" s="613"/>
      <c r="F1583" s="614">
        <f>I1581</f>
        <v>5183</v>
      </c>
      <c r="G1583" s="607"/>
      <c r="H1583" s="616"/>
      <c r="I1583" s="614">
        <f>ROUND(D1583*F1583,2)</f>
        <v>0</v>
      </c>
    </row>
    <row r="1584" spans="1:18" s="603" customFormat="1">
      <c r="A1584" s="604"/>
      <c r="B1584" s="604"/>
      <c r="C1584" s="617"/>
      <c r="D1584" s="608"/>
      <c r="E1584" s="618"/>
      <c r="F1584" s="606"/>
      <c r="G1584" s="607"/>
      <c r="H1584" s="619"/>
      <c r="I1584" s="620">
        <f>SUM(I1580:I1583)</f>
        <v>5183</v>
      </c>
    </row>
    <row r="1585" spans="1:17" s="783" customFormat="1" ht="12.75" customHeight="1">
      <c r="A1585" s="633">
        <f>A1554+1</f>
        <v>1</v>
      </c>
      <c r="B1585" s="634"/>
      <c r="C1585" s="1495" t="s">
        <v>1672</v>
      </c>
      <c r="D1585" s="1495"/>
      <c r="E1585" s="1495"/>
      <c r="F1585" s="1495"/>
      <c r="G1585" s="1495"/>
      <c r="H1585" s="1495"/>
      <c r="I1585" s="1495"/>
    </row>
    <row r="1586" spans="1:17" s="783" customFormat="1">
      <c r="A1586" s="633"/>
      <c r="B1586" s="634"/>
      <c r="C1586" s="635" t="s">
        <v>1673</v>
      </c>
      <c r="D1586" s="635">
        <v>1</v>
      </c>
      <c r="E1586" s="635" t="s">
        <v>623</v>
      </c>
      <c r="F1586" s="635">
        <v>470</v>
      </c>
      <c r="G1586" s="635">
        <v>1</v>
      </c>
      <c r="H1586" s="635" t="str">
        <f>IF(E1586="","",IF(E1586="No.","Each",IF(E1586="Nos.","Each",E1586)))</f>
        <v>Sqmt.</v>
      </c>
      <c r="I1586" s="635">
        <f>IF(G1586="",D1586*F1586,(D1586*F1586/G1586))</f>
        <v>470</v>
      </c>
    </row>
    <row r="1587" spans="1:17" s="783" customFormat="1">
      <c r="A1587" s="633"/>
      <c r="B1587" s="634"/>
      <c r="C1587" s="635" t="s">
        <v>353</v>
      </c>
      <c r="D1587" s="635">
        <v>0.05</v>
      </c>
      <c r="E1587" s="635" t="s">
        <v>529</v>
      </c>
      <c r="F1587" s="635">
        <f>LEAD!P9</f>
        <v>437.11999999999983</v>
      </c>
      <c r="G1587" s="635">
        <v>1</v>
      </c>
      <c r="H1587" s="635" t="str">
        <f>IF(E1587="","",IF(E1587="No.","Each",IF(E1587="Nos.","Each",E1587)))</f>
        <v>cu.m.</v>
      </c>
      <c r="I1587" s="635">
        <f>IF(G1587="",D1587*F1587,(D1587*F1587/G1587))</f>
        <v>21.855999999999995</v>
      </c>
    </row>
    <row r="1588" spans="1:17" s="783" customFormat="1">
      <c r="A1588" s="633"/>
      <c r="B1588" s="634"/>
      <c r="C1588" s="635" t="s">
        <v>1674</v>
      </c>
      <c r="D1588" s="635">
        <v>1</v>
      </c>
      <c r="E1588" s="635" t="s">
        <v>623</v>
      </c>
      <c r="F1588" s="635">
        <v>198</v>
      </c>
      <c r="G1588" s="635">
        <v>1</v>
      </c>
      <c r="H1588" s="635" t="str">
        <f>IF(E1588="","",IF(E1588="No.","Each",IF(E1588="Nos.","Each",E1588)))</f>
        <v>Sqmt.</v>
      </c>
      <c r="I1588" s="635">
        <f>IF(G1588="",D1588*F1588,(D1588*F1588/G1588))</f>
        <v>198</v>
      </c>
    </row>
    <row r="1589" spans="1:17" s="783" customFormat="1">
      <c r="A1589" s="633"/>
      <c r="B1589" s="634"/>
      <c r="C1589" s="635" t="s">
        <v>1675</v>
      </c>
      <c r="D1589" s="904">
        <v>0.2</v>
      </c>
      <c r="E1589" s="635"/>
      <c r="F1589" s="635">
        <f>I1588</f>
        <v>198</v>
      </c>
      <c r="G1589" s="635"/>
      <c r="H1589" s="635"/>
      <c r="I1589" s="635">
        <f>F1589*D1589</f>
        <v>39.6</v>
      </c>
    </row>
    <row r="1590" spans="1:17" s="783" customFormat="1">
      <c r="A1590" s="633"/>
      <c r="B1590" s="634"/>
      <c r="C1590" s="635" t="s">
        <v>368</v>
      </c>
      <c r="D1590" s="635"/>
      <c r="E1590" s="635"/>
      <c r="F1590" s="635"/>
      <c r="G1590" s="635"/>
      <c r="H1590" s="635"/>
      <c r="I1590" s="635">
        <f>SUM(I1586:I1589)</f>
        <v>729.45600000000002</v>
      </c>
    </row>
    <row r="1591" spans="1:17" s="783" customFormat="1">
      <c r="A1591" s="633"/>
      <c r="B1591" s="634"/>
      <c r="C1591" s="635" t="s">
        <v>428</v>
      </c>
      <c r="D1591" s="635"/>
      <c r="E1591" s="635" t="s">
        <v>501</v>
      </c>
      <c r="F1591" s="635"/>
      <c r="G1591" s="635"/>
      <c r="H1591" s="635"/>
      <c r="I1591" s="635"/>
    </row>
    <row r="1592" spans="1:17" s="783" customFormat="1">
      <c r="A1592" s="633"/>
      <c r="B1592" s="634"/>
      <c r="C1592" s="635" t="s">
        <v>368</v>
      </c>
      <c r="D1592" s="635"/>
      <c r="E1592" s="635">
        <f>+I1590</f>
        <v>729.45600000000002</v>
      </c>
      <c r="F1592" s="635"/>
      <c r="G1592" s="635"/>
      <c r="H1592" s="635"/>
      <c r="I1592" s="635"/>
    </row>
    <row r="1593" spans="1:17" s="783" customFormat="1">
      <c r="A1593" s="633"/>
      <c r="B1593" s="634"/>
      <c r="C1593" s="635"/>
      <c r="D1593" s="635"/>
      <c r="E1593" s="635">
        <f>SUM(E1592:E1592)</f>
        <v>729.45600000000002</v>
      </c>
      <c r="F1593" s="635"/>
      <c r="G1593" s="635"/>
      <c r="H1593" s="635"/>
      <c r="I1593" s="635"/>
    </row>
    <row r="1594" spans="1:17" s="783" customFormat="1">
      <c r="A1594" s="633"/>
      <c r="B1594" s="634"/>
      <c r="C1594" s="635" t="s">
        <v>1014</v>
      </c>
      <c r="D1594" s="635">
        <v>0.13614999999999999</v>
      </c>
      <c r="E1594" s="635">
        <f>ROUND(E1593*$D1594,2)</f>
        <v>99.32</v>
      </c>
      <c r="F1594" s="635"/>
      <c r="G1594" s="635"/>
      <c r="H1594" s="635"/>
      <c r="I1594" s="635"/>
    </row>
    <row r="1595" spans="1:17" s="783" customFormat="1">
      <c r="A1595" s="633"/>
      <c r="B1595" s="634"/>
      <c r="C1595" s="635" t="s">
        <v>349</v>
      </c>
      <c r="D1595" s="635" t="s">
        <v>466</v>
      </c>
      <c r="E1595" s="635">
        <f>CEILING(SUM(E1593:E1594),0.05)</f>
        <v>828.80000000000007</v>
      </c>
      <c r="F1595" s="635"/>
      <c r="G1595" s="635"/>
      <c r="H1595" s="635"/>
      <c r="I1595" s="635"/>
    </row>
    <row r="1596" spans="1:17" s="783" customFormat="1">
      <c r="A1596" s="633"/>
      <c r="B1596" s="634"/>
      <c r="C1596" s="669"/>
      <c r="D1596" s="668"/>
      <c r="E1596" s="725"/>
      <c r="F1596" s="636"/>
      <c r="G1596" s="637"/>
      <c r="H1596" s="638"/>
      <c r="I1596" s="669"/>
    </row>
    <row r="1597" spans="1:17" s="1016" customFormat="1">
      <c r="A1597" s="1091"/>
      <c r="B1597" s="1106"/>
      <c r="C1597" s="1044"/>
      <c r="D1597" s="1093"/>
      <c r="E1597" s="1073"/>
      <c r="F1597" s="1093"/>
      <c r="G1597" s="1094"/>
      <c r="H1597" s="1095"/>
      <c r="I1597" s="1104"/>
      <c r="J1597" s="783"/>
      <c r="K1597" s="783"/>
      <c r="L1597" s="300"/>
      <c r="M1597" s="651"/>
      <c r="N1597" s="651"/>
      <c r="O1597" s="783"/>
      <c r="P1597" s="651"/>
      <c r="Q1597" s="651"/>
    </row>
    <row r="1598" spans="1:17" s="783" customFormat="1" ht="91.5" customHeight="1">
      <c r="A1598" s="1156">
        <f>A1568+1</f>
        <v>1</v>
      </c>
      <c r="B1598" s="1157"/>
      <c r="C1598" s="1496" t="s">
        <v>2427</v>
      </c>
      <c r="D1598" s="1496"/>
      <c r="E1598" s="1496"/>
      <c r="F1598" s="1496"/>
      <c r="G1598" s="1496"/>
      <c r="H1598" s="1496"/>
      <c r="I1598" s="1496"/>
    </row>
    <row r="1599" spans="1:17" s="783" customFormat="1">
      <c r="A1599" s="1156"/>
      <c r="B1599" s="1156"/>
      <c r="C1599" s="1497" t="s">
        <v>2412</v>
      </c>
      <c r="D1599" s="1497"/>
      <c r="E1599" s="1158"/>
      <c r="F1599" s="1159"/>
      <c r="G1599" s="1160"/>
      <c r="H1599" s="1161" t="s">
        <v>331</v>
      </c>
      <c r="I1599" s="1162">
        <v>10900</v>
      </c>
    </row>
    <row r="1600" spans="1:17" s="783" customFormat="1">
      <c r="A1600" s="1156"/>
      <c r="B1600" s="1156"/>
      <c r="C1600" s="1163"/>
      <c r="D1600" s="1164"/>
      <c r="E1600" s="1158"/>
      <c r="F1600" s="1159"/>
      <c r="G1600" s="1160"/>
      <c r="H1600" s="1165" t="s">
        <v>1659</v>
      </c>
      <c r="I1600" s="1166">
        <f>I1599/48</f>
        <v>227.08333333333334</v>
      </c>
    </row>
    <row r="1601" spans="1:16" s="783" customFormat="1">
      <c r="A1601" s="1156"/>
      <c r="B1601" s="1156"/>
      <c r="C1601" s="1167" t="s">
        <v>2426</v>
      </c>
      <c r="D1601" s="1168"/>
      <c r="E1601" s="1169"/>
      <c r="F1601" s="1170"/>
      <c r="G1601" s="1160"/>
      <c r="H1601" s="1165" t="s">
        <v>331</v>
      </c>
      <c r="I1601" s="1166">
        <f>ROUND(I1600*32,0)</f>
        <v>7267</v>
      </c>
    </row>
    <row r="1602" spans="1:16" s="783" customFormat="1">
      <c r="A1602" s="1156"/>
      <c r="B1602" s="1156"/>
      <c r="C1602" s="1171" t="s">
        <v>1014</v>
      </c>
      <c r="D1602" s="1168">
        <f>$D$3</f>
        <v>0</v>
      </c>
      <c r="E1602" s="1169"/>
      <c r="F1602" s="1170">
        <f>I1601</f>
        <v>7267</v>
      </c>
      <c r="G1602" s="1160"/>
      <c r="H1602" s="1172"/>
      <c r="I1602" s="1170">
        <f>ROUND(D1602*F1602,2)</f>
        <v>0</v>
      </c>
    </row>
    <row r="1603" spans="1:16" s="783" customFormat="1">
      <c r="A1603" s="1156"/>
      <c r="B1603" s="1156"/>
      <c r="C1603" s="1173"/>
      <c r="D1603" s="1164"/>
      <c r="E1603" s="1174"/>
      <c r="F1603" s="1159"/>
      <c r="G1603" s="1160"/>
      <c r="H1603" s="1175"/>
      <c r="I1603" s="1176">
        <f>SUM(I1601:I1602)</f>
        <v>7267</v>
      </c>
    </row>
    <row r="1604" spans="1:16">
      <c r="C1604" s="1372"/>
      <c r="D1604" s="1513"/>
      <c r="E1604" s="1513"/>
      <c r="F1604" s="1513"/>
      <c r="G1604" s="1513"/>
      <c r="H1604" s="1513"/>
      <c r="I1604" s="1121"/>
    </row>
    <row r="1605" spans="1:16" ht="42.6" customHeight="1">
      <c r="C1605" s="1514" t="s">
        <v>2671</v>
      </c>
      <c r="D1605" s="1514"/>
      <c r="E1605" s="1514"/>
      <c r="F1605" s="1514"/>
      <c r="G1605" s="1514"/>
    </row>
    <row r="1606" spans="1:16" ht="12.9">
      <c r="C1606" s="1376" t="s">
        <v>2672</v>
      </c>
      <c r="D1606" s="1377"/>
      <c r="E1606" s="1378"/>
      <c r="F1606" s="1374"/>
      <c r="G1606" s="1375"/>
      <c r="L1606" s="1371"/>
      <c r="N1606" s="1371"/>
      <c r="P1606" s="1371"/>
    </row>
    <row r="1607" spans="1:16" ht="12.9">
      <c r="C1607" s="1379" t="s">
        <v>2673</v>
      </c>
      <c r="D1607" s="1380" t="s">
        <v>462</v>
      </c>
      <c r="E1607" s="1380">
        <v>1</v>
      </c>
      <c r="F1607" s="1374">
        <f>LEAD!P31/1000</f>
        <v>74.34</v>
      </c>
      <c r="G1607" s="1375">
        <f>F1607*E1607</f>
        <v>74.34</v>
      </c>
      <c r="L1607" s="1371"/>
      <c r="N1607" s="1371"/>
      <c r="P1607" s="1371"/>
    </row>
    <row r="1608" spans="1:16" ht="12.9">
      <c r="C1608" s="1379" t="s">
        <v>2674</v>
      </c>
      <c r="D1608" s="1380" t="s">
        <v>462</v>
      </c>
      <c r="E1608" s="1380">
        <v>1</v>
      </c>
      <c r="F1608" s="1374">
        <v>33</v>
      </c>
      <c r="G1608" s="1375">
        <f>F1608*E1608</f>
        <v>33</v>
      </c>
      <c r="L1608" s="1371"/>
      <c r="N1608" s="1371"/>
      <c r="P1608" s="1371"/>
    </row>
    <row r="1609" spans="1:16" ht="12.9">
      <c r="C1609" s="1379" t="s">
        <v>2674</v>
      </c>
      <c r="D1609" s="1380" t="s">
        <v>462</v>
      </c>
      <c r="E1609" s="1380">
        <v>1</v>
      </c>
      <c r="F1609" s="1374">
        <v>5</v>
      </c>
      <c r="G1609" s="1375">
        <f>F1609*E1609</f>
        <v>5</v>
      </c>
      <c r="L1609" s="1371"/>
      <c r="N1609" s="1371"/>
      <c r="P1609" s="1371"/>
    </row>
    <row r="1610" spans="1:16" ht="12.9">
      <c r="C1610" s="1373" t="s">
        <v>2675</v>
      </c>
      <c r="D1610" s="1381"/>
      <c r="E1610" s="1382">
        <f>'[3]Lead- Input sheet '!Q682</f>
        <v>0</v>
      </c>
      <c r="F1610" s="1374">
        <f>SUM(G1608:G1609)</f>
        <v>38</v>
      </c>
      <c r="G1610" s="1383">
        <f>ROUND(F1610*E1610,2)</f>
        <v>0</v>
      </c>
      <c r="L1610" s="1371"/>
      <c r="N1610" s="1371"/>
      <c r="P1610" s="1371"/>
    </row>
    <row r="1611" spans="1:16" ht="12.9">
      <c r="C1611" s="1379"/>
      <c r="D1611" s="1380"/>
      <c r="E1611" s="1380"/>
      <c r="F1611" s="1374"/>
      <c r="G1611" s="1375">
        <f>SUM(G1607:G1610)</f>
        <v>112.34</v>
      </c>
      <c r="L1611" s="1371"/>
      <c r="N1611" s="1371"/>
      <c r="P1611" s="1371"/>
    </row>
    <row r="1612" spans="1:16" ht="25.8">
      <c r="C1612" s="1384" t="s">
        <v>2676</v>
      </c>
      <c r="D1612" s="1385"/>
      <c r="E1612" s="1386">
        <f>G1611</f>
        <v>112.34</v>
      </c>
      <c r="F1612" s="1387">
        <f>'[3]Lead- Input sheet '!Q683</f>
        <v>0</v>
      </c>
      <c r="G1612" s="1388">
        <f>ROUND(F1612*E1612,2)</f>
        <v>0</v>
      </c>
      <c r="L1612" s="1371"/>
      <c r="N1612" s="1371"/>
      <c r="P1612" s="1371"/>
    </row>
    <row r="1613" spans="1:16" ht="12.9">
      <c r="C1613" s="1384" t="s">
        <v>2677</v>
      </c>
      <c r="D1613" s="1385"/>
      <c r="E1613" s="1386"/>
      <c r="F1613" s="1389" t="s">
        <v>290</v>
      </c>
      <c r="G1613" s="1388">
        <f>SUM(G1611:G1612)</f>
        <v>112.34</v>
      </c>
      <c r="L1613" s="1371"/>
      <c r="N1613" s="1371"/>
      <c r="P1613" s="1371"/>
    </row>
    <row r="1614" spans="1:16">
      <c r="L1614" s="1371"/>
      <c r="N1614" s="1371"/>
      <c r="P1614" s="1371"/>
    </row>
    <row r="1615" spans="1:16">
      <c r="L1615" s="1371"/>
      <c r="N1615" s="1371"/>
      <c r="P1615" s="1371"/>
    </row>
    <row r="1617" spans="3:9" ht="15.6" customHeight="1">
      <c r="C1617" s="1120" t="str">
        <f>LEAD!B41</f>
        <v xml:space="preserve">Asst Engineer </v>
      </c>
      <c r="D1617" s="1492" t="str">
        <f>LEAD!D41</f>
        <v>Dy. Executive Engineer</v>
      </c>
      <c r="E1617" s="1492"/>
      <c r="F1617" s="1492"/>
      <c r="G1617" s="1492"/>
      <c r="H1617" s="1492"/>
      <c r="I1617" s="1492"/>
    </row>
    <row r="1618" spans="3:9" ht="15.6" customHeight="1">
      <c r="C1618" s="1120" t="str">
        <f>LEAD!B42</f>
        <v>PR  MP Utkoor</v>
      </c>
      <c r="D1618" s="1492" t="str">
        <f>LEAD!D42</f>
        <v>PR SD Makthal</v>
      </c>
      <c r="E1618" s="1492"/>
      <c r="F1618" s="1492"/>
      <c r="G1618" s="1492"/>
      <c r="H1618" s="1492"/>
      <c r="I1618" s="1492"/>
    </row>
    <row r="1619" spans="3:9">
      <c r="C1619" s="1120"/>
      <c r="D1619" s="1120"/>
      <c r="E1619" s="1120"/>
      <c r="F1619" s="1120"/>
      <c r="G1619" s="1120"/>
      <c r="H1619" s="1120"/>
      <c r="I1619" s="1120"/>
    </row>
  </sheetData>
  <protectedRanges>
    <protectedRange sqref="D3 D1060:I1060 E5:E6 C213:I213 C1060:C1061 E1178:I1179 C1243:D1243 C1044:I1045 C1022:I1022 C220:I220 C1063:I1063 C1081:I1082 C1100:I1101 C1192:I1192 C1209:I1209 D1466:I1466 C1466:C1467 C1469:I1469 C1487:I1488 C1140:I1142 C1120:I1121 C1161:I1162" name="Range1"/>
    <protectedRange sqref="D1568:F1568" name="Range1_1_1"/>
  </protectedRanges>
  <mergeCells count="126">
    <mergeCell ref="O48:P48"/>
    <mergeCell ref="Q48:R48"/>
    <mergeCell ref="A25:I25"/>
    <mergeCell ref="E26:F26"/>
    <mergeCell ref="G26:H26"/>
    <mergeCell ref="I26:J26"/>
    <mergeCell ref="E27:F27"/>
    <mergeCell ref="G27:H27"/>
    <mergeCell ref="I27:J27"/>
    <mergeCell ref="B28:I28"/>
    <mergeCell ref="K28:L28"/>
    <mergeCell ref="M28:N28"/>
    <mergeCell ref="O28:P28"/>
    <mergeCell ref="Q28:R28"/>
    <mergeCell ref="B48:I48"/>
    <mergeCell ref="K48:L48"/>
    <mergeCell ref="M48:N48"/>
    <mergeCell ref="A1:I1"/>
    <mergeCell ref="A2:I2"/>
    <mergeCell ref="A4:I4"/>
    <mergeCell ref="F5:I5"/>
    <mergeCell ref="A7:I7"/>
    <mergeCell ref="A8:B8"/>
    <mergeCell ref="G8:H8"/>
    <mergeCell ref="B77:J77"/>
    <mergeCell ref="B84:J84"/>
    <mergeCell ref="C92:J92"/>
    <mergeCell ref="C99:Q99"/>
    <mergeCell ref="C104:Q104"/>
    <mergeCell ref="C111:Q111"/>
    <mergeCell ref="B68:J68"/>
    <mergeCell ref="E75:F75"/>
    <mergeCell ref="G75:H75"/>
    <mergeCell ref="E76:F76"/>
    <mergeCell ref="G76:H76"/>
    <mergeCell ref="I76:J76"/>
    <mergeCell ref="C220:I220"/>
    <mergeCell ref="C226:I226"/>
    <mergeCell ref="C228:E228"/>
    <mergeCell ref="C243:I243"/>
    <mergeCell ref="C249:I249"/>
    <mergeCell ref="A118:I118"/>
    <mergeCell ref="A151:C151"/>
    <mergeCell ref="D152:E152"/>
    <mergeCell ref="G152:H152"/>
    <mergeCell ref="D206:G206"/>
    <mergeCell ref="C213:I213"/>
    <mergeCell ref="C358:I358"/>
    <mergeCell ref="C383:I383"/>
    <mergeCell ref="C397:I397"/>
    <mergeCell ref="C407:I407"/>
    <mergeCell ref="C441:I441"/>
    <mergeCell ref="C470:I470"/>
    <mergeCell ref="C256:I256"/>
    <mergeCell ref="C263:I263"/>
    <mergeCell ref="C277:I277"/>
    <mergeCell ref="C291:I291"/>
    <mergeCell ref="C314:I314"/>
    <mergeCell ref="C336:I336"/>
    <mergeCell ref="C820:I820"/>
    <mergeCell ref="C844:I844"/>
    <mergeCell ref="C861:I861"/>
    <mergeCell ref="C882:I882"/>
    <mergeCell ref="C896:I896"/>
    <mergeCell ref="C911:I911"/>
    <mergeCell ref="C676:I676"/>
    <mergeCell ref="C701:I701"/>
    <mergeCell ref="C702:I702"/>
    <mergeCell ref="C776:I776"/>
    <mergeCell ref="C798:I798"/>
    <mergeCell ref="C1054:I1054"/>
    <mergeCell ref="C1072:I1072"/>
    <mergeCell ref="C1090:I1090"/>
    <mergeCell ref="C1110:I1110"/>
    <mergeCell ref="C1129:I1129"/>
    <mergeCell ref="C1150:I1150"/>
    <mergeCell ref="C935:I935"/>
    <mergeCell ref="C959:I959"/>
    <mergeCell ref="C982:I982"/>
    <mergeCell ref="C999:I999"/>
    <mergeCell ref="C1016:I1016"/>
    <mergeCell ref="C1033:I1033"/>
    <mergeCell ref="C1253:I1253"/>
    <mergeCell ref="C1266:I1266"/>
    <mergeCell ref="C1270:I1270"/>
    <mergeCell ref="C1170:I1170"/>
    <mergeCell ref="C1181:I1181"/>
    <mergeCell ref="C1200:I1200"/>
    <mergeCell ref="C1217:I1217"/>
    <mergeCell ref="C1226:I1226"/>
    <mergeCell ref="C1234:I1234"/>
    <mergeCell ref="C1318:I1318"/>
    <mergeCell ref="C1322:I1322"/>
    <mergeCell ref="C1327:I1327"/>
    <mergeCell ref="C1332:I1332"/>
    <mergeCell ref="C1341:I1341"/>
    <mergeCell ref="C1278:I1278"/>
    <mergeCell ref="C1290:I1290"/>
    <mergeCell ref="C1291:D1291"/>
    <mergeCell ref="C1303:I1303"/>
    <mergeCell ref="D1618:F1618"/>
    <mergeCell ref="G1618:I1618"/>
    <mergeCell ref="C1546:H1546"/>
    <mergeCell ref="D1604:F1604"/>
    <mergeCell ref="G1604:H1604"/>
    <mergeCell ref="D1617:F1617"/>
    <mergeCell ref="G1617:I1617"/>
    <mergeCell ref="C1512:I1512"/>
    <mergeCell ref="C1528:I1528"/>
    <mergeCell ref="C1533:I1533"/>
    <mergeCell ref="C1598:I1598"/>
    <mergeCell ref="C1599:D1599"/>
    <mergeCell ref="C1585:I1585"/>
    <mergeCell ref="C1574:I1574"/>
    <mergeCell ref="C1605:G1605"/>
    <mergeCell ref="C1432:I1432"/>
    <mergeCell ref="C1460:I1460"/>
    <mergeCell ref="C1478:I1478"/>
    <mergeCell ref="C1496:I1496"/>
    <mergeCell ref="C1355:I1355"/>
    <mergeCell ref="C1369:I1369"/>
    <mergeCell ref="C1380:I1380"/>
    <mergeCell ref="C1390:I1390"/>
    <mergeCell ref="C1551:I1551"/>
    <mergeCell ref="G1402:H1402"/>
    <mergeCell ref="C1405:I1405"/>
  </mergeCells>
  <printOptions horizontalCentered="1" gridLines="1"/>
  <pageMargins left="0.39370078740157499" right="0.2" top="0.37" bottom="0.41" header="0.2" footer="0.17"/>
  <pageSetup paperSize="9" scale="65" orientation="portrait" r:id="rId1"/>
  <headerFooter alignWithMargins="0">
    <oddFooter>&amp;L&amp;"Times New Roman,Italic"&amp;A&amp;RPage &amp;P of &amp;N</oddFooter>
  </headerFooter>
  <rowBreaks count="1" manualBreakCount="1">
    <brk id="1524"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00B0F0"/>
  </sheetPr>
  <dimension ref="A1:IV472"/>
  <sheetViews>
    <sheetView view="pageBreakPreview" topLeftCell="A125" zoomScaleSheetLayoutView="100" workbookViewId="0">
      <selection activeCell="A115" sqref="A4:XFD115"/>
    </sheetView>
  </sheetViews>
  <sheetFormatPr defaultColWidth="9" defaultRowHeight="14.1"/>
  <cols>
    <col min="1" max="1" width="0.83984375" style="783" customWidth="1"/>
    <col min="2" max="2" width="4.83984375" style="1130" customWidth="1"/>
    <col min="3" max="3" width="8.41796875" style="1130" customWidth="1"/>
    <col min="4" max="4" width="64" style="783" customWidth="1"/>
    <col min="5" max="5" width="9.578125" style="1130" customWidth="1"/>
    <col min="6" max="6" width="5.15625" style="1130" customWidth="1"/>
    <col min="7" max="7" width="7" style="1130" customWidth="1"/>
    <col min="8" max="8" width="10.26171875" style="1130" customWidth="1"/>
    <col min="9" max="9" width="9.83984375" style="783" customWidth="1"/>
    <col min="10" max="10" width="10.41796875" style="783" customWidth="1"/>
    <col min="11" max="256" width="9.15625" style="783" customWidth="1"/>
    <col min="257" max="16384" width="9" style="1107"/>
  </cols>
  <sheetData>
    <row r="1" spans="2:8" ht="18.600000000000001" customHeight="1">
      <c r="B1" s="1515" t="s">
        <v>229</v>
      </c>
      <c r="C1" s="1515"/>
      <c r="D1" s="1515"/>
      <c r="E1" s="1515"/>
      <c r="F1" s="1515"/>
      <c r="G1" s="1515"/>
      <c r="H1" s="1515"/>
    </row>
    <row r="2" spans="2:8" ht="33" customHeight="1">
      <c r="B2" s="1529" t="str">
        <f>+LEAD!A2</f>
        <v>Construction of Kitchen shed at ZPHS  Bijwar(V) of Utkoor(M)</v>
      </c>
      <c r="C2" s="1530"/>
      <c r="D2" s="1530"/>
      <c r="E2" s="1530"/>
      <c r="F2" s="1530"/>
      <c r="G2" s="1530"/>
      <c r="H2" s="1530"/>
    </row>
    <row r="3" spans="2:8">
      <c r="B3" s="260" t="s">
        <v>182</v>
      </c>
      <c r="C3" s="260" t="s">
        <v>150</v>
      </c>
      <c r="D3" s="260" t="s">
        <v>90</v>
      </c>
      <c r="E3" s="260" t="s">
        <v>92</v>
      </c>
      <c r="F3" s="260" t="s">
        <v>53</v>
      </c>
      <c r="G3" s="260" t="s">
        <v>528</v>
      </c>
      <c r="H3" s="260" t="s">
        <v>151</v>
      </c>
    </row>
    <row r="4" spans="2:8" ht="122.25" hidden="1" customHeight="1">
      <c r="B4" s="261">
        <v>1</v>
      </c>
      <c r="C4" s="261"/>
      <c r="D4" s="1517" t="s">
        <v>1307</v>
      </c>
      <c r="E4" s="1518"/>
      <c r="F4" s="1518"/>
      <c r="G4" s="1518"/>
      <c r="H4" s="1519"/>
    </row>
    <row r="5" spans="2:8" hidden="1">
      <c r="B5" s="261"/>
      <c r="C5" s="261"/>
      <c r="D5" s="262" t="s">
        <v>1223</v>
      </c>
      <c r="E5" s="261">
        <v>2.4</v>
      </c>
      <c r="F5" s="261" t="s">
        <v>533</v>
      </c>
      <c r="G5" s="261">
        <v>2.13</v>
      </c>
      <c r="H5" s="261">
        <f>ROUND(E5*G5,2)</f>
        <v>5.1100000000000003</v>
      </c>
    </row>
    <row r="6" spans="2:8" hidden="1">
      <c r="B6" s="261"/>
      <c r="C6" s="261"/>
      <c r="D6" s="263" t="s">
        <v>1224</v>
      </c>
      <c r="E6" s="261"/>
      <c r="F6" s="261"/>
      <c r="G6" s="261"/>
      <c r="H6" s="261"/>
    </row>
    <row r="7" spans="2:8" hidden="1">
      <c r="B7" s="261"/>
      <c r="C7" s="261"/>
      <c r="D7" s="263" t="s">
        <v>1288</v>
      </c>
      <c r="E7" s="264">
        <f>2*2.13*0.075*0.1</f>
        <v>3.1949999999999999E-2</v>
      </c>
      <c r="F7" s="261" t="s">
        <v>644</v>
      </c>
      <c r="G7" s="261"/>
      <c r="H7" s="261"/>
    </row>
    <row r="8" spans="2:8" hidden="1">
      <c r="B8" s="261"/>
      <c r="C8" s="261"/>
      <c r="D8" s="263" t="s">
        <v>1225</v>
      </c>
      <c r="E8" s="264">
        <f>2.4*0.075*0.1</f>
        <v>1.7999999999999999E-2</v>
      </c>
      <c r="F8" s="261" t="s">
        <v>644</v>
      </c>
      <c r="G8" s="261"/>
      <c r="H8" s="261"/>
    </row>
    <row r="9" spans="2:8" hidden="1">
      <c r="B9" s="261"/>
      <c r="C9" s="261"/>
      <c r="D9" s="265" t="s">
        <v>1226</v>
      </c>
      <c r="E9" s="264">
        <f>SUM(E7:E8)</f>
        <v>4.9949999999999994E-2</v>
      </c>
      <c r="F9" s="261" t="s">
        <v>644</v>
      </c>
      <c r="G9" s="261"/>
      <c r="H9" s="261"/>
    </row>
    <row r="10" spans="2:8" ht="27.6" hidden="1">
      <c r="B10" s="261"/>
      <c r="C10" s="261"/>
      <c r="D10" s="266" t="s">
        <v>41</v>
      </c>
      <c r="E10" s="261"/>
      <c r="F10" s="261"/>
      <c r="G10" s="261"/>
      <c r="H10" s="261"/>
    </row>
    <row r="11" spans="2:8" hidden="1">
      <c r="B11" s="261"/>
      <c r="C11" s="261"/>
      <c r="D11" s="263" t="s">
        <v>1227</v>
      </c>
      <c r="E11" s="267">
        <f>ROUND(2.3*2.03,2)</f>
        <v>4.67</v>
      </c>
      <c r="F11" s="267" t="s">
        <v>547</v>
      </c>
      <c r="G11" s="261"/>
      <c r="H11" s="261"/>
    </row>
    <row r="12" spans="2:8" hidden="1">
      <c r="B12" s="261"/>
      <c r="C12" s="261"/>
      <c r="D12" s="268" t="s">
        <v>489</v>
      </c>
      <c r="E12" s="261"/>
      <c r="F12" s="261"/>
      <c r="G12" s="261"/>
      <c r="H12" s="261"/>
    </row>
    <row r="13" spans="2:8" hidden="1">
      <c r="B13" s="261"/>
      <c r="C13" s="261"/>
      <c r="D13" s="269" t="s">
        <v>509</v>
      </c>
      <c r="E13" s="261"/>
      <c r="F13" s="261"/>
      <c r="G13" s="261"/>
      <c r="H13" s="261"/>
    </row>
    <row r="14" spans="2:8" hidden="1">
      <c r="B14" s="261">
        <v>1</v>
      </c>
      <c r="C14" s="264">
        <f>E7</f>
        <v>3.1949999999999999E-2</v>
      </c>
      <c r="D14" s="270" t="s">
        <v>1044</v>
      </c>
      <c r="E14" s="271">
        <v>84724</v>
      </c>
      <c r="F14" s="261">
        <v>1</v>
      </c>
      <c r="G14" s="261" t="s">
        <v>465</v>
      </c>
      <c r="H14" s="272">
        <f>ROUND(C14*E14/F14,2)</f>
        <v>2706.93</v>
      </c>
    </row>
    <row r="15" spans="2:8" hidden="1">
      <c r="B15" s="261">
        <v>2</v>
      </c>
      <c r="C15" s="264">
        <f>E8</f>
        <v>1.7999999999999999E-2</v>
      </c>
      <c r="D15" s="270" t="s">
        <v>1044</v>
      </c>
      <c r="E15" s="271">
        <v>76251</v>
      </c>
      <c r="F15" s="261">
        <v>1</v>
      </c>
      <c r="G15" s="261" t="s">
        <v>465</v>
      </c>
      <c r="H15" s="272">
        <f t="shared" ref="H15:H23" si="0">ROUND(C15*E15/F15,2)</f>
        <v>1372.52</v>
      </c>
    </row>
    <row r="16" spans="2:8" ht="56.25" hidden="1" customHeight="1">
      <c r="B16" s="261">
        <v>3</v>
      </c>
      <c r="C16" s="261">
        <f>E11</f>
        <v>4.67</v>
      </c>
      <c r="D16" s="273" t="s">
        <v>978</v>
      </c>
      <c r="E16" s="271">
        <v>1417</v>
      </c>
      <c r="F16" s="261">
        <v>1</v>
      </c>
      <c r="G16" s="261" t="s">
        <v>461</v>
      </c>
      <c r="H16" s="272">
        <f t="shared" si="0"/>
        <v>6617.39</v>
      </c>
    </row>
    <row r="17" spans="2:8" hidden="1">
      <c r="B17" s="261">
        <v>4</v>
      </c>
      <c r="C17" s="271">
        <v>6</v>
      </c>
      <c r="D17" s="263" t="s">
        <v>1026</v>
      </c>
      <c r="E17" s="271">
        <v>34</v>
      </c>
      <c r="F17" s="261">
        <v>1</v>
      </c>
      <c r="G17" s="261" t="s">
        <v>268</v>
      </c>
      <c r="H17" s="272">
        <f t="shared" si="0"/>
        <v>204</v>
      </c>
    </row>
    <row r="18" spans="2:8" hidden="1">
      <c r="B18" s="261">
        <v>5</v>
      </c>
      <c r="C18" s="271">
        <v>1</v>
      </c>
      <c r="D18" s="270" t="s">
        <v>1228</v>
      </c>
      <c r="E18" s="271">
        <v>173</v>
      </c>
      <c r="F18" s="261">
        <v>1</v>
      </c>
      <c r="G18" s="261" t="s">
        <v>268</v>
      </c>
      <c r="H18" s="272">
        <f t="shared" si="0"/>
        <v>173</v>
      </c>
    </row>
    <row r="19" spans="2:8" hidden="1">
      <c r="B19" s="261">
        <v>6</v>
      </c>
      <c r="C19" s="271">
        <v>2</v>
      </c>
      <c r="D19" s="270" t="s">
        <v>1229</v>
      </c>
      <c r="E19" s="271">
        <v>72</v>
      </c>
      <c r="F19" s="261">
        <v>1</v>
      </c>
      <c r="G19" s="261" t="s">
        <v>268</v>
      </c>
      <c r="H19" s="272">
        <f t="shared" si="0"/>
        <v>144</v>
      </c>
    </row>
    <row r="20" spans="2:8" hidden="1">
      <c r="B20" s="261">
        <v>7</v>
      </c>
      <c r="C20" s="271">
        <v>2</v>
      </c>
      <c r="D20" s="270" t="s">
        <v>1230</v>
      </c>
      <c r="E20" s="271">
        <v>48</v>
      </c>
      <c r="F20" s="261">
        <v>1</v>
      </c>
      <c r="G20" s="261" t="s">
        <v>268</v>
      </c>
      <c r="H20" s="272">
        <f t="shared" si="0"/>
        <v>96</v>
      </c>
    </row>
    <row r="21" spans="2:8" hidden="1">
      <c r="B21" s="261">
        <v>8</v>
      </c>
      <c r="C21" s="271">
        <v>6</v>
      </c>
      <c r="D21" s="270" t="s">
        <v>1231</v>
      </c>
      <c r="E21" s="271">
        <v>33</v>
      </c>
      <c r="F21" s="261">
        <v>1</v>
      </c>
      <c r="G21" s="261" t="s">
        <v>268</v>
      </c>
      <c r="H21" s="272">
        <f t="shared" si="0"/>
        <v>198</v>
      </c>
    </row>
    <row r="22" spans="2:8" hidden="1">
      <c r="B22" s="261">
        <v>9</v>
      </c>
      <c r="C22" s="271">
        <v>1</v>
      </c>
      <c r="D22" s="270" t="s">
        <v>1232</v>
      </c>
      <c r="E22" s="271">
        <v>70</v>
      </c>
      <c r="F22" s="261">
        <v>1</v>
      </c>
      <c r="G22" s="261" t="s">
        <v>268</v>
      </c>
      <c r="H22" s="272">
        <f t="shared" si="0"/>
        <v>70</v>
      </c>
    </row>
    <row r="23" spans="2:8" hidden="1">
      <c r="B23" s="261">
        <v>10</v>
      </c>
      <c r="C23" s="271">
        <v>2</v>
      </c>
      <c r="D23" s="270" t="s">
        <v>1233</v>
      </c>
      <c r="E23" s="271">
        <v>48</v>
      </c>
      <c r="F23" s="261">
        <v>1</v>
      </c>
      <c r="G23" s="261" t="s">
        <v>268</v>
      </c>
      <c r="H23" s="272">
        <f t="shared" si="0"/>
        <v>96</v>
      </c>
    </row>
    <row r="24" spans="2:8" hidden="1">
      <c r="B24" s="261"/>
      <c r="C24" s="271"/>
      <c r="D24" s="269" t="s">
        <v>510</v>
      </c>
      <c r="E24" s="271"/>
      <c r="F24" s="261"/>
      <c r="G24" s="261"/>
      <c r="H24" s="272"/>
    </row>
    <row r="25" spans="2:8" hidden="1">
      <c r="B25" s="261"/>
      <c r="C25" s="271"/>
      <c r="D25" s="269"/>
      <c r="E25" s="271"/>
      <c r="F25" s="261"/>
      <c r="G25" s="261"/>
      <c r="H25" s="272"/>
    </row>
    <row r="26" spans="2:8" ht="66" hidden="1" customHeight="1">
      <c r="B26" s="261"/>
      <c r="C26" s="271">
        <f>H5</f>
        <v>5.1100000000000003</v>
      </c>
      <c r="D26" s="273" t="s">
        <v>1345</v>
      </c>
      <c r="E26" s="271">
        <v>1057</v>
      </c>
      <c r="F26" s="261">
        <v>1</v>
      </c>
      <c r="G26" s="261" t="s">
        <v>461</v>
      </c>
      <c r="H26" s="274">
        <f>ROUND(C26*E26/F26,2)</f>
        <v>5401.27</v>
      </c>
    </row>
    <row r="27" spans="2:8" hidden="1">
      <c r="B27" s="261"/>
      <c r="C27" s="271">
        <f>'C-data'!$E$5</f>
        <v>0</v>
      </c>
      <c r="D27" s="275" t="s">
        <v>2194</v>
      </c>
      <c r="E27" s="276">
        <f>+H26</f>
        <v>5401.27</v>
      </c>
      <c r="F27" s="277">
        <v>1</v>
      </c>
      <c r="G27" s="277"/>
      <c r="H27" s="278">
        <f>ROUND(C27*E27/F27,2)</f>
        <v>0</v>
      </c>
    </row>
    <row r="28" spans="2:8" hidden="1">
      <c r="B28" s="261"/>
      <c r="C28" s="271"/>
      <c r="D28" s="263"/>
      <c r="E28" s="271"/>
      <c r="F28" s="261"/>
      <c r="G28" s="261"/>
      <c r="H28" s="272">
        <f>SUM(H14:H27)</f>
        <v>17079.11</v>
      </c>
    </row>
    <row r="29" spans="2:8" hidden="1">
      <c r="B29" s="261"/>
      <c r="C29" s="261"/>
      <c r="D29" s="279" t="s">
        <v>511</v>
      </c>
      <c r="E29" s="280">
        <v>0.13614999999999999</v>
      </c>
      <c r="F29" s="261"/>
      <c r="G29" s="261"/>
      <c r="H29" s="272">
        <v>0</v>
      </c>
    </row>
    <row r="30" spans="2:8" hidden="1">
      <c r="B30" s="261"/>
      <c r="C30" s="261"/>
      <c r="D30" s="263" t="s">
        <v>490</v>
      </c>
      <c r="E30" s="261"/>
      <c r="F30" s="261"/>
      <c r="G30" s="261"/>
      <c r="H30" s="281">
        <f>SUM(H28:H29)</f>
        <v>17079.11</v>
      </c>
    </row>
    <row r="31" spans="2:8" hidden="1">
      <c r="B31" s="261"/>
      <c r="C31" s="261"/>
      <c r="D31" s="263"/>
      <c r="E31" s="261"/>
      <c r="F31" s="261"/>
      <c r="G31" s="261" t="s">
        <v>744</v>
      </c>
      <c r="H31" s="282">
        <f>CEILING(H30,1)</f>
        <v>17080</v>
      </c>
    </row>
    <row r="32" spans="2:8" ht="131.25" hidden="1" customHeight="1">
      <c r="B32" s="261">
        <f>+B4+1</f>
        <v>2</v>
      </c>
      <c r="C32" s="261"/>
      <c r="D32" s="1517" t="s">
        <v>1308</v>
      </c>
      <c r="E32" s="1518"/>
      <c r="F32" s="1518"/>
      <c r="G32" s="1518"/>
      <c r="H32" s="1519"/>
    </row>
    <row r="33" spans="2:8" hidden="1">
      <c r="B33" s="261"/>
      <c r="C33" s="261"/>
      <c r="D33" s="262" t="s">
        <v>1234</v>
      </c>
      <c r="E33" s="261">
        <v>2</v>
      </c>
      <c r="F33" s="261" t="s">
        <v>533</v>
      </c>
      <c r="G33" s="261">
        <v>2.13</v>
      </c>
      <c r="H33" s="261">
        <f>ROUND(E33*G33,2)</f>
        <v>4.26</v>
      </c>
    </row>
    <row r="34" spans="2:8" hidden="1">
      <c r="B34" s="261"/>
      <c r="C34" s="261"/>
      <c r="D34" s="263" t="s">
        <v>1224</v>
      </c>
      <c r="E34" s="261"/>
      <c r="F34" s="261"/>
      <c r="G34" s="261"/>
      <c r="H34" s="261"/>
    </row>
    <row r="35" spans="2:8" hidden="1">
      <c r="B35" s="261"/>
      <c r="C35" s="261"/>
      <c r="D35" s="263" t="s">
        <v>1288</v>
      </c>
      <c r="E35" s="264">
        <f>2*2.13*0.075*0.1</f>
        <v>3.1949999999999999E-2</v>
      </c>
      <c r="F35" s="261" t="s">
        <v>644</v>
      </c>
      <c r="G35" s="261"/>
      <c r="H35" s="261"/>
    </row>
    <row r="36" spans="2:8" hidden="1">
      <c r="B36" s="261"/>
      <c r="C36" s="261"/>
      <c r="D36" s="263" t="s">
        <v>1235</v>
      </c>
      <c r="E36" s="264">
        <f>2*0.075*0.1</f>
        <v>1.4999999999999999E-2</v>
      </c>
      <c r="F36" s="261" t="s">
        <v>644</v>
      </c>
      <c r="G36" s="261"/>
      <c r="H36" s="261"/>
    </row>
    <row r="37" spans="2:8" hidden="1">
      <c r="B37" s="261"/>
      <c r="C37" s="261"/>
      <c r="D37" s="265" t="s">
        <v>1236</v>
      </c>
      <c r="E37" s="264">
        <f>SUM(E35:E36)</f>
        <v>4.6949999999999999E-2</v>
      </c>
      <c r="F37" s="261" t="s">
        <v>644</v>
      </c>
      <c r="G37" s="261"/>
      <c r="H37" s="261"/>
    </row>
    <row r="38" spans="2:8" ht="27.6" hidden="1">
      <c r="B38" s="261"/>
      <c r="C38" s="261"/>
      <c r="D38" s="266" t="s">
        <v>41</v>
      </c>
      <c r="E38" s="261"/>
      <c r="F38" s="261"/>
      <c r="G38" s="261"/>
      <c r="H38" s="261"/>
    </row>
    <row r="39" spans="2:8" hidden="1">
      <c r="B39" s="261"/>
      <c r="C39" s="261"/>
      <c r="D39" s="263" t="s">
        <v>1237</v>
      </c>
      <c r="E39" s="267">
        <f>ROUND(1.9*2.03,2)</f>
        <v>3.86</v>
      </c>
      <c r="F39" s="267" t="s">
        <v>547</v>
      </c>
      <c r="G39" s="261"/>
      <c r="H39" s="261"/>
    </row>
    <row r="40" spans="2:8" hidden="1">
      <c r="B40" s="261"/>
      <c r="C40" s="261"/>
      <c r="D40" s="268" t="s">
        <v>489</v>
      </c>
      <c r="E40" s="261"/>
      <c r="F40" s="261"/>
      <c r="G40" s="261"/>
      <c r="H40" s="261"/>
    </row>
    <row r="41" spans="2:8" hidden="1">
      <c r="B41" s="261"/>
      <c r="C41" s="261"/>
      <c r="D41" s="269" t="s">
        <v>509</v>
      </c>
      <c r="E41" s="261"/>
      <c r="F41" s="261"/>
      <c r="G41" s="261"/>
      <c r="H41" s="261"/>
    </row>
    <row r="42" spans="2:8" hidden="1">
      <c r="B42" s="261">
        <v>1</v>
      </c>
      <c r="C42" s="264">
        <f>E35</f>
        <v>3.1949999999999999E-2</v>
      </c>
      <c r="D42" s="273" t="s">
        <v>1044</v>
      </c>
      <c r="E42" s="271">
        <f t="shared" ref="E42:E51" si="1">E14</f>
        <v>84724</v>
      </c>
      <c r="F42" s="261">
        <v>1</v>
      </c>
      <c r="G42" s="261" t="s">
        <v>465</v>
      </c>
      <c r="H42" s="272">
        <f>ROUND(C42*E42/F42,2)</f>
        <v>2706.93</v>
      </c>
    </row>
    <row r="43" spans="2:8" hidden="1">
      <c r="B43" s="261">
        <v>2</v>
      </c>
      <c r="C43" s="264">
        <f>E36</f>
        <v>1.4999999999999999E-2</v>
      </c>
      <c r="D43" s="273" t="s">
        <v>1044</v>
      </c>
      <c r="E43" s="271">
        <f t="shared" si="1"/>
        <v>76251</v>
      </c>
      <c r="F43" s="261">
        <v>1</v>
      </c>
      <c r="G43" s="261" t="s">
        <v>465</v>
      </c>
      <c r="H43" s="272">
        <f t="shared" ref="H43:H51" si="2">ROUND(C43*E43/F43,2)</f>
        <v>1143.77</v>
      </c>
    </row>
    <row r="44" spans="2:8" ht="41.4" hidden="1">
      <c r="B44" s="261">
        <v>3</v>
      </c>
      <c r="C44" s="261">
        <f>E39</f>
        <v>3.86</v>
      </c>
      <c r="D44" s="273" t="s">
        <v>978</v>
      </c>
      <c r="E44" s="271">
        <f t="shared" si="1"/>
        <v>1417</v>
      </c>
      <c r="F44" s="261">
        <v>1</v>
      </c>
      <c r="G44" s="261" t="s">
        <v>461</v>
      </c>
      <c r="H44" s="272">
        <f t="shared" si="2"/>
        <v>5469.62</v>
      </c>
    </row>
    <row r="45" spans="2:8" hidden="1">
      <c r="B45" s="261">
        <v>4</v>
      </c>
      <c r="C45" s="271">
        <v>6</v>
      </c>
      <c r="D45" s="273" t="s">
        <v>1026</v>
      </c>
      <c r="E45" s="271">
        <f t="shared" si="1"/>
        <v>34</v>
      </c>
      <c r="F45" s="261">
        <v>1</v>
      </c>
      <c r="G45" s="261" t="s">
        <v>268</v>
      </c>
      <c r="H45" s="272">
        <f t="shared" si="2"/>
        <v>204</v>
      </c>
    </row>
    <row r="46" spans="2:8" hidden="1">
      <c r="B46" s="261">
        <v>5</v>
      </c>
      <c r="C46" s="271">
        <v>1</v>
      </c>
      <c r="D46" s="273" t="s">
        <v>1228</v>
      </c>
      <c r="E46" s="271">
        <f t="shared" si="1"/>
        <v>173</v>
      </c>
      <c r="F46" s="261">
        <v>1</v>
      </c>
      <c r="G46" s="261" t="s">
        <v>268</v>
      </c>
      <c r="H46" s="272">
        <f t="shared" si="2"/>
        <v>173</v>
      </c>
    </row>
    <row r="47" spans="2:8" hidden="1">
      <c r="B47" s="261">
        <v>6</v>
      </c>
      <c r="C47" s="271">
        <v>2</v>
      </c>
      <c r="D47" s="273" t="s">
        <v>1229</v>
      </c>
      <c r="E47" s="271">
        <f t="shared" si="1"/>
        <v>72</v>
      </c>
      <c r="F47" s="261">
        <v>1</v>
      </c>
      <c r="G47" s="261" t="s">
        <v>268</v>
      </c>
      <c r="H47" s="272">
        <f t="shared" si="2"/>
        <v>144</v>
      </c>
    </row>
    <row r="48" spans="2:8" hidden="1">
      <c r="B48" s="261">
        <v>7</v>
      </c>
      <c r="C48" s="271">
        <v>2</v>
      </c>
      <c r="D48" s="273" t="s">
        <v>1230</v>
      </c>
      <c r="E48" s="271">
        <f t="shared" si="1"/>
        <v>48</v>
      </c>
      <c r="F48" s="261">
        <v>1</v>
      </c>
      <c r="G48" s="261" t="s">
        <v>268</v>
      </c>
      <c r="H48" s="272">
        <f t="shared" si="2"/>
        <v>96</v>
      </c>
    </row>
    <row r="49" spans="1:256" hidden="1">
      <c r="B49" s="261">
        <v>8</v>
      </c>
      <c r="C49" s="271">
        <v>6</v>
      </c>
      <c r="D49" s="273" t="s">
        <v>1231</v>
      </c>
      <c r="E49" s="271">
        <f t="shared" si="1"/>
        <v>33</v>
      </c>
      <c r="F49" s="261">
        <v>1</v>
      </c>
      <c r="G49" s="261" t="s">
        <v>268</v>
      </c>
      <c r="H49" s="272">
        <f t="shared" si="2"/>
        <v>198</v>
      </c>
    </row>
    <row r="50" spans="1:256" hidden="1">
      <c r="B50" s="261">
        <v>9</v>
      </c>
      <c r="C50" s="271">
        <v>1</v>
      </c>
      <c r="D50" s="273" t="s">
        <v>1232</v>
      </c>
      <c r="E50" s="271">
        <f t="shared" si="1"/>
        <v>70</v>
      </c>
      <c r="F50" s="261">
        <v>1</v>
      </c>
      <c r="G50" s="261" t="s">
        <v>268</v>
      </c>
      <c r="H50" s="272">
        <f t="shared" si="2"/>
        <v>70</v>
      </c>
    </row>
    <row r="51" spans="1:256" hidden="1">
      <c r="B51" s="261">
        <v>10</v>
      </c>
      <c r="C51" s="271">
        <v>2</v>
      </c>
      <c r="D51" s="273" t="s">
        <v>1233</v>
      </c>
      <c r="E51" s="271">
        <f t="shared" si="1"/>
        <v>48</v>
      </c>
      <c r="F51" s="261">
        <v>1</v>
      </c>
      <c r="G51" s="261" t="s">
        <v>268</v>
      </c>
      <c r="H51" s="272">
        <f t="shared" si="2"/>
        <v>96</v>
      </c>
    </row>
    <row r="52" spans="1:256" hidden="1">
      <c r="B52" s="261"/>
      <c r="C52" s="271"/>
      <c r="D52" s="283" t="s">
        <v>510</v>
      </c>
      <c r="E52" s="271"/>
      <c r="F52" s="261"/>
      <c r="G52" s="261"/>
      <c r="H52" s="272"/>
    </row>
    <row r="53" spans="1:256" hidden="1">
      <c r="B53" s="261"/>
      <c r="C53" s="271"/>
      <c r="D53" s="283"/>
      <c r="E53" s="271"/>
      <c r="F53" s="261"/>
      <c r="G53" s="261"/>
      <c r="H53" s="272"/>
    </row>
    <row r="54" spans="1:256" ht="64.5" hidden="1" customHeight="1">
      <c r="B54" s="261"/>
      <c r="C54" s="271">
        <f>H33</f>
        <v>4.26</v>
      </c>
      <c r="D54" s="273" t="str">
        <f>D26</f>
        <v>Labour charges  for wrought and put up including fixing in position frames of any size , shutters for doors, windows, ventilators including fixing all necesssary fixtures etc complete for  teak wood flush type door shutter  including frame.(TBSC-T.I-31)</v>
      </c>
      <c r="E54" s="271">
        <f>E26</f>
        <v>1057</v>
      </c>
      <c r="F54" s="261">
        <v>1</v>
      </c>
      <c r="G54" s="261" t="s">
        <v>461</v>
      </c>
      <c r="H54" s="274">
        <f>ROUND(C54*E54/F54,2)</f>
        <v>4502.82</v>
      </c>
    </row>
    <row r="55" spans="1:256" hidden="1">
      <c r="B55" s="261"/>
      <c r="C55" s="271">
        <f>'C-data'!$E$5</f>
        <v>0</v>
      </c>
      <c r="D55" s="275" t="s">
        <v>2194</v>
      </c>
      <c r="E55" s="276">
        <f>+H54</f>
        <v>4502.82</v>
      </c>
      <c r="F55" s="277">
        <v>1</v>
      </c>
      <c r="G55" s="277"/>
      <c r="H55" s="278">
        <f>ROUND(C55*E55/F55,2)</f>
        <v>0</v>
      </c>
    </row>
    <row r="56" spans="1:256" hidden="1">
      <c r="B56" s="261"/>
      <c r="C56" s="271"/>
      <c r="D56" s="263"/>
      <c r="E56" s="271"/>
      <c r="F56" s="261"/>
      <c r="G56" s="261"/>
      <c r="H56" s="272">
        <f>SUM(H42:H55)</f>
        <v>14804.14</v>
      </c>
    </row>
    <row r="57" spans="1:256" hidden="1">
      <c r="B57" s="261"/>
      <c r="C57" s="261"/>
      <c r="D57" s="279" t="s">
        <v>511</v>
      </c>
      <c r="E57" s="280">
        <v>0.13614999999999999</v>
      </c>
      <c r="F57" s="261"/>
      <c r="G57" s="261"/>
      <c r="H57" s="272">
        <v>0</v>
      </c>
    </row>
    <row r="58" spans="1:256" hidden="1">
      <c r="B58" s="261"/>
      <c r="C58" s="261"/>
      <c r="D58" s="263" t="s">
        <v>490</v>
      </c>
      <c r="E58" s="261"/>
      <c r="F58" s="261"/>
      <c r="G58" s="261"/>
      <c r="H58" s="281">
        <f>SUM(H56:H57)</f>
        <v>14804.14</v>
      </c>
    </row>
    <row r="59" spans="1:256" hidden="1">
      <c r="B59" s="261"/>
      <c r="C59" s="261"/>
      <c r="D59" s="263"/>
      <c r="E59" s="261"/>
      <c r="F59" s="261"/>
      <c r="G59" s="261" t="s">
        <v>744</v>
      </c>
      <c r="H59" s="282">
        <f>CEILING(H58,1)</f>
        <v>14805</v>
      </c>
    </row>
    <row r="60" spans="1:256" s="1108" customFormat="1" ht="129.75" hidden="1" customHeight="1">
      <c r="A60" s="593"/>
      <c r="B60" s="594">
        <f>+B4+1</f>
        <v>2</v>
      </c>
      <c r="C60" s="594"/>
      <c r="D60" s="1526" t="s">
        <v>1662</v>
      </c>
      <c r="E60" s="1527"/>
      <c r="F60" s="1527"/>
      <c r="G60" s="1527"/>
      <c r="H60" s="1528"/>
      <c r="I60" s="593"/>
      <c r="J60" s="593"/>
      <c r="K60" s="593"/>
      <c r="L60" s="593"/>
      <c r="M60" s="593"/>
      <c r="N60" s="593"/>
      <c r="O60" s="593"/>
      <c r="P60" s="593"/>
      <c r="Q60" s="593"/>
      <c r="R60" s="593"/>
      <c r="S60" s="593"/>
      <c r="T60" s="593"/>
      <c r="U60" s="593"/>
      <c r="V60" s="593"/>
      <c r="W60" s="593"/>
      <c r="X60" s="593"/>
      <c r="Y60" s="593"/>
      <c r="Z60" s="593"/>
      <c r="AA60" s="593"/>
      <c r="AB60" s="593"/>
      <c r="AC60" s="593"/>
      <c r="AD60" s="593"/>
      <c r="AE60" s="593"/>
      <c r="AF60" s="593"/>
      <c r="AG60" s="593"/>
      <c r="AH60" s="593"/>
      <c r="AI60" s="593"/>
      <c r="AJ60" s="593"/>
      <c r="AK60" s="593"/>
      <c r="AL60" s="593"/>
      <c r="AM60" s="593"/>
      <c r="AN60" s="593"/>
      <c r="AO60" s="593"/>
      <c r="AP60" s="593"/>
      <c r="AQ60" s="593"/>
      <c r="AR60" s="593"/>
      <c r="AS60" s="593"/>
      <c r="AT60" s="593"/>
      <c r="AU60" s="593"/>
      <c r="AV60" s="593"/>
      <c r="AW60" s="593"/>
      <c r="AX60" s="593"/>
      <c r="AY60" s="593"/>
      <c r="AZ60" s="593"/>
      <c r="BA60" s="593"/>
      <c r="BB60" s="593"/>
      <c r="BC60" s="593"/>
      <c r="BD60" s="593"/>
      <c r="BE60" s="593"/>
      <c r="BF60" s="593"/>
      <c r="BG60" s="593"/>
      <c r="BH60" s="593"/>
      <c r="BI60" s="593"/>
      <c r="BJ60" s="593"/>
      <c r="BK60" s="593"/>
      <c r="BL60" s="593"/>
      <c r="BM60" s="593"/>
      <c r="BN60" s="593"/>
      <c r="BO60" s="593"/>
      <c r="BP60" s="593"/>
      <c r="BQ60" s="593"/>
      <c r="BR60" s="593"/>
      <c r="BS60" s="593"/>
      <c r="BT60" s="593"/>
      <c r="BU60" s="593"/>
      <c r="BV60" s="593"/>
      <c r="BW60" s="593"/>
      <c r="BX60" s="593"/>
      <c r="BY60" s="593"/>
      <c r="BZ60" s="593"/>
      <c r="CA60" s="593"/>
      <c r="CB60" s="593"/>
      <c r="CC60" s="593"/>
      <c r="CD60" s="593"/>
      <c r="CE60" s="593"/>
      <c r="CF60" s="593"/>
      <c r="CG60" s="593"/>
      <c r="CH60" s="593"/>
      <c r="CI60" s="593"/>
      <c r="CJ60" s="593"/>
      <c r="CK60" s="593"/>
      <c r="CL60" s="593"/>
      <c r="CM60" s="593"/>
      <c r="CN60" s="593"/>
      <c r="CO60" s="593"/>
      <c r="CP60" s="593"/>
      <c r="CQ60" s="593"/>
      <c r="CR60" s="593"/>
      <c r="CS60" s="593"/>
      <c r="CT60" s="593"/>
      <c r="CU60" s="593"/>
      <c r="CV60" s="593"/>
      <c r="CW60" s="593"/>
      <c r="CX60" s="593"/>
      <c r="CY60" s="593"/>
      <c r="CZ60" s="593"/>
      <c r="DA60" s="593"/>
      <c r="DB60" s="593"/>
      <c r="DC60" s="593"/>
      <c r="DD60" s="593"/>
      <c r="DE60" s="593"/>
      <c r="DF60" s="593"/>
      <c r="DG60" s="593"/>
      <c r="DH60" s="593"/>
      <c r="DI60" s="593"/>
      <c r="DJ60" s="593"/>
      <c r="DK60" s="593"/>
      <c r="DL60" s="593"/>
      <c r="DM60" s="593"/>
      <c r="DN60" s="593"/>
      <c r="DO60" s="593"/>
      <c r="DP60" s="593"/>
      <c r="DQ60" s="593"/>
      <c r="DR60" s="593"/>
      <c r="DS60" s="593"/>
      <c r="DT60" s="593"/>
      <c r="DU60" s="593"/>
      <c r="DV60" s="593"/>
      <c r="DW60" s="593"/>
      <c r="DX60" s="593"/>
      <c r="DY60" s="593"/>
      <c r="DZ60" s="593"/>
      <c r="EA60" s="593"/>
      <c r="EB60" s="593"/>
      <c r="EC60" s="593"/>
      <c r="ED60" s="593"/>
      <c r="EE60" s="593"/>
      <c r="EF60" s="593"/>
      <c r="EG60" s="593"/>
      <c r="EH60" s="593"/>
      <c r="EI60" s="593"/>
      <c r="EJ60" s="593"/>
      <c r="EK60" s="593"/>
      <c r="EL60" s="593"/>
      <c r="EM60" s="593"/>
      <c r="EN60" s="593"/>
      <c r="EO60" s="593"/>
      <c r="EP60" s="593"/>
      <c r="EQ60" s="593"/>
      <c r="ER60" s="593"/>
      <c r="ES60" s="593"/>
      <c r="ET60" s="593"/>
      <c r="EU60" s="593"/>
      <c r="EV60" s="593"/>
      <c r="EW60" s="593"/>
      <c r="EX60" s="593"/>
      <c r="EY60" s="593"/>
      <c r="EZ60" s="593"/>
      <c r="FA60" s="593"/>
      <c r="FB60" s="593"/>
      <c r="FC60" s="593"/>
      <c r="FD60" s="593"/>
      <c r="FE60" s="593"/>
      <c r="FF60" s="593"/>
      <c r="FG60" s="593"/>
      <c r="FH60" s="593"/>
      <c r="FI60" s="593"/>
      <c r="FJ60" s="593"/>
      <c r="FK60" s="593"/>
      <c r="FL60" s="593"/>
      <c r="FM60" s="593"/>
      <c r="FN60" s="593"/>
      <c r="FO60" s="593"/>
      <c r="FP60" s="593"/>
      <c r="FQ60" s="593"/>
      <c r="FR60" s="593"/>
      <c r="FS60" s="593"/>
      <c r="FT60" s="593"/>
      <c r="FU60" s="593"/>
      <c r="FV60" s="593"/>
      <c r="FW60" s="593"/>
      <c r="FX60" s="593"/>
      <c r="FY60" s="593"/>
      <c r="FZ60" s="593"/>
      <c r="GA60" s="593"/>
      <c r="GB60" s="593"/>
      <c r="GC60" s="593"/>
      <c r="GD60" s="593"/>
      <c r="GE60" s="593"/>
      <c r="GF60" s="593"/>
      <c r="GG60" s="593"/>
      <c r="GH60" s="593"/>
      <c r="GI60" s="593"/>
      <c r="GJ60" s="593"/>
      <c r="GK60" s="593"/>
      <c r="GL60" s="593"/>
      <c r="GM60" s="593"/>
      <c r="GN60" s="593"/>
      <c r="GO60" s="593"/>
      <c r="GP60" s="593"/>
      <c r="GQ60" s="593"/>
      <c r="GR60" s="593"/>
      <c r="GS60" s="593"/>
      <c r="GT60" s="593"/>
      <c r="GU60" s="593"/>
      <c r="GV60" s="593"/>
      <c r="GW60" s="593"/>
      <c r="GX60" s="593"/>
      <c r="GY60" s="593"/>
      <c r="GZ60" s="593"/>
      <c r="HA60" s="593"/>
      <c r="HB60" s="593"/>
      <c r="HC60" s="593"/>
      <c r="HD60" s="593"/>
      <c r="HE60" s="593"/>
      <c r="HF60" s="593"/>
      <c r="HG60" s="593"/>
      <c r="HH60" s="593"/>
      <c r="HI60" s="593"/>
      <c r="HJ60" s="593"/>
      <c r="HK60" s="593"/>
      <c r="HL60" s="593"/>
      <c r="HM60" s="593"/>
      <c r="HN60" s="593"/>
      <c r="HO60" s="593"/>
      <c r="HP60" s="593"/>
      <c r="HQ60" s="593"/>
      <c r="HR60" s="593"/>
      <c r="HS60" s="593"/>
      <c r="HT60" s="593"/>
      <c r="HU60" s="593"/>
      <c r="HV60" s="593"/>
      <c r="HW60" s="593"/>
      <c r="HX60" s="593"/>
      <c r="HY60" s="593"/>
      <c r="HZ60" s="593"/>
      <c r="IA60" s="593"/>
      <c r="IB60" s="593"/>
      <c r="IC60" s="593"/>
      <c r="ID60" s="593"/>
      <c r="IE60" s="593"/>
      <c r="IF60" s="593"/>
      <c r="IG60" s="593"/>
      <c r="IH60" s="593"/>
      <c r="II60" s="593"/>
      <c r="IJ60" s="593"/>
      <c r="IK60" s="593"/>
      <c r="IL60" s="593"/>
      <c r="IM60" s="593"/>
      <c r="IN60" s="593"/>
      <c r="IO60" s="593"/>
      <c r="IP60" s="593"/>
      <c r="IQ60" s="593"/>
      <c r="IR60" s="593"/>
      <c r="IS60" s="593"/>
      <c r="IT60" s="593"/>
      <c r="IU60" s="593"/>
      <c r="IV60" s="593"/>
    </row>
    <row r="61" spans="1:256" s="1108" customFormat="1" hidden="1">
      <c r="A61" s="593"/>
      <c r="B61" s="594"/>
      <c r="C61" s="594"/>
      <c r="D61" s="595" t="s">
        <v>1664</v>
      </c>
      <c r="E61" s="594">
        <v>1.8</v>
      </c>
      <c r="F61" s="594" t="s">
        <v>533</v>
      </c>
      <c r="G61" s="594">
        <v>2.13</v>
      </c>
      <c r="H61" s="594">
        <f>ROUND(E61*G61,2)</f>
        <v>3.83</v>
      </c>
      <c r="I61" s="593"/>
      <c r="J61" s="593"/>
      <c r="K61" s="593"/>
      <c r="L61" s="593"/>
      <c r="M61" s="593"/>
      <c r="N61" s="593"/>
      <c r="O61" s="593"/>
      <c r="P61" s="593"/>
      <c r="Q61" s="593"/>
      <c r="R61" s="593"/>
      <c r="S61" s="593"/>
      <c r="T61" s="593"/>
      <c r="U61" s="593"/>
      <c r="V61" s="593"/>
      <c r="W61" s="593"/>
      <c r="X61" s="593"/>
      <c r="Y61" s="593"/>
      <c r="Z61" s="593"/>
      <c r="AA61" s="593"/>
      <c r="AB61" s="593"/>
      <c r="AC61" s="593"/>
      <c r="AD61" s="593"/>
      <c r="AE61" s="593"/>
      <c r="AF61" s="593"/>
      <c r="AG61" s="593"/>
      <c r="AH61" s="593"/>
      <c r="AI61" s="593"/>
      <c r="AJ61" s="593"/>
      <c r="AK61" s="593"/>
      <c r="AL61" s="593"/>
      <c r="AM61" s="593"/>
      <c r="AN61" s="593"/>
      <c r="AO61" s="593"/>
      <c r="AP61" s="593"/>
      <c r="AQ61" s="593"/>
      <c r="AR61" s="593"/>
      <c r="AS61" s="593"/>
      <c r="AT61" s="593"/>
      <c r="AU61" s="593"/>
      <c r="AV61" s="593"/>
      <c r="AW61" s="593"/>
      <c r="AX61" s="593"/>
      <c r="AY61" s="593"/>
      <c r="AZ61" s="593"/>
      <c r="BA61" s="593"/>
      <c r="BB61" s="593"/>
      <c r="BC61" s="593"/>
      <c r="BD61" s="593"/>
      <c r="BE61" s="593"/>
      <c r="BF61" s="593"/>
      <c r="BG61" s="593"/>
      <c r="BH61" s="593"/>
      <c r="BI61" s="593"/>
      <c r="BJ61" s="593"/>
      <c r="BK61" s="593"/>
      <c r="BL61" s="593"/>
      <c r="BM61" s="593"/>
      <c r="BN61" s="593"/>
      <c r="BO61" s="593"/>
      <c r="BP61" s="593"/>
      <c r="BQ61" s="593"/>
      <c r="BR61" s="593"/>
      <c r="BS61" s="593"/>
      <c r="BT61" s="593"/>
      <c r="BU61" s="593"/>
      <c r="BV61" s="593"/>
      <c r="BW61" s="593"/>
      <c r="BX61" s="593"/>
      <c r="BY61" s="593"/>
      <c r="BZ61" s="593"/>
      <c r="CA61" s="593"/>
      <c r="CB61" s="593"/>
      <c r="CC61" s="593"/>
      <c r="CD61" s="593"/>
      <c r="CE61" s="593"/>
      <c r="CF61" s="593"/>
      <c r="CG61" s="593"/>
      <c r="CH61" s="593"/>
      <c r="CI61" s="593"/>
      <c r="CJ61" s="593"/>
      <c r="CK61" s="593"/>
      <c r="CL61" s="593"/>
      <c r="CM61" s="593"/>
      <c r="CN61" s="593"/>
      <c r="CO61" s="593"/>
      <c r="CP61" s="593"/>
      <c r="CQ61" s="593"/>
      <c r="CR61" s="593"/>
      <c r="CS61" s="593"/>
      <c r="CT61" s="593"/>
      <c r="CU61" s="593"/>
      <c r="CV61" s="593"/>
      <c r="CW61" s="593"/>
      <c r="CX61" s="593"/>
      <c r="CY61" s="593"/>
      <c r="CZ61" s="593"/>
      <c r="DA61" s="593"/>
      <c r="DB61" s="593"/>
      <c r="DC61" s="593"/>
      <c r="DD61" s="593"/>
      <c r="DE61" s="593"/>
      <c r="DF61" s="593"/>
      <c r="DG61" s="593"/>
      <c r="DH61" s="593"/>
      <c r="DI61" s="593"/>
      <c r="DJ61" s="593"/>
      <c r="DK61" s="593"/>
      <c r="DL61" s="593"/>
      <c r="DM61" s="593"/>
      <c r="DN61" s="593"/>
      <c r="DO61" s="593"/>
      <c r="DP61" s="593"/>
      <c r="DQ61" s="593"/>
      <c r="DR61" s="593"/>
      <c r="DS61" s="593"/>
      <c r="DT61" s="593"/>
      <c r="DU61" s="593"/>
      <c r="DV61" s="593"/>
      <c r="DW61" s="593"/>
      <c r="DX61" s="593"/>
      <c r="DY61" s="593"/>
      <c r="DZ61" s="593"/>
      <c r="EA61" s="593"/>
      <c r="EB61" s="593"/>
      <c r="EC61" s="593"/>
      <c r="ED61" s="593"/>
      <c r="EE61" s="593"/>
      <c r="EF61" s="593"/>
      <c r="EG61" s="593"/>
      <c r="EH61" s="593"/>
      <c r="EI61" s="593"/>
      <c r="EJ61" s="593"/>
      <c r="EK61" s="593"/>
      <c r="EL61" s="593"/>
      <c r="EM61" s="593"/>
      <c r="EN61" s="593"/>
      <c r="EO61" s="593"/>
      <c r="EP61" s="593"/>
      <c r="EQ61" s="593"/>
      <c r="ER61" s="593"/>
      <c r="ES61" s="593"/>
      <c r="ET61" s="593"/>
      <c r="EU61" s="593"/>
      <c r="EV61" s="593"/>
      <c r="EW61" s="593"/>
      <c r="EX61" s="593"/>
      <c r="EY61" s="593"/>
      <c r="EZ61" s="593"/>
      <c r="FA61" s="593"/>
      <c r="FB61" s="593"/>
      <c r="FC61" s="593"/>
      <c r="FD61" s="593"/>
      <c r="FE61" s="593"/>
      <c r="FF61" s="593"/>
      <c r="FG61" s="593"/>
      <c r="FH61" s="593"/>
      <c r="FI61" s="593"/>
      <c r="FJ61" s="593"/>
      <c r="FK61" s="593"/>
      <c r="FL61" s="593"/>
      <c r="FM61" s="593"/>
      <c r="FN61" s="593"/>
      <c r="FO61" s="593"/>
      <c r="FP61" s="593"/>
      <c r="FQ61" s="593"/>
      <c r="FR61" s="593"/>
      <c r="FS61" s="593"/>
      <c r="FT61" s="593"/>
      <c r="FU61" s="593"/>
      <c r="FV61" s="593"/>
      <c r="FW61" s="593"/>
      <c r="FX61" s="593"/>
      <c r="FY61" s="593"/>
      <c r="FZ61" s="593"/>
      <c r="GA61" s="593"/>
      <c r="GB61" s="593"/>
      <c r="GC61" s="593"/>
      <c r="GD61" s="593"/>
      <c r="GE61" s="593"/>
      <c r="GF61" s="593"/>
      <c r="GG61" s="593"/>
      <c r="GH61" s="593"/>
      <c r="GI61" s="593"/>
      <c r="GJ61" s="593"/>
      <c r="GK61" s="593"/>
      <c r="GL61" s="593"/>
      <c r="GM61" s="593"/>
      <c r="GN61" s="593"/>
      <c r="GO61" s="593"/>
      <c r="GP61" s="593"/>
      <c r="GQ61" s="593"/>
      <c r="GR61" s="593"/>
      <c r="GS61" s="593"/>
      <c r="GT61" s="593"/>
      <c r="GU61" s="593"/>
      <c r="GV61" s="593"/>
      <c r="GW61" s="593"/>
      <c r="GX61" s="593"/>
      <c r="GY61" s="593"/>
      <c r="GZ61" s="593"/>
      <c r="HA61" s="593"/>
      <c r="HB61" s="593"/>
      <c r="HC61" s="593"/>
      <c r="HD61" s="593"/>
      <c r="HE61" s="593"/>
      <c r="HF61" s="593"/>
      <c r="HG61" s="593"/>
      <c r="HH61" s="593"/>
      <c r="HI61" s="593"/>
      <c r="HJ61" s="593"/>
      <c r="HK61" s="593"/>
      <c r="HL61" s="593"/>
      <c r="HM61" s="593"/>
      <c r="HN61" s="593"/>
      <c r="HO61" s="593"/>
      <c r="HP61" s="593"/>
      <c r="HQ61" s="593"/>
      <c r="HR61" s="593"/>
      <c r="HS61" s="593"/>
      <c r="HT61" s="593"/>
      <c r="HU61" s="593"/>
      <c r="HV61" s="593"/>
      <c r="HW61" s="593"/>
      <c r="HX61" s="593"/>
      <c r="HY61" s="593"/>
      <c r="HZ61" s="593"/>
      <c r="IA61" s="593"/>
      <c r="IB61" s="593"/>
      <c r="IC61" s="593"/>
      <c r="ID61" s="593"/>
      <c r="IE61" s="593"/>
      <c r="IF61" s="593"/>
      <c r="IG61" s="593"/>
      <c r="IH61" s="593"/>
      <c r="II61" s="593"/>
      <c r="IJ61" s="593"/>
      <c r="IK61" s="593"/>
      <c r="IL61" s="593"/>
      <c r="IM61" s="593"/>
      <c r="IN61" s="593"/>
      <c r="IO61" s="593"/>
      <c r="IP61" s="593"/>
      <c r="IQ61" s="593"/>
      <c r="IR61" s="593"/>
      <c r="IS61" s="593"/>
      <c r="IT61" s="593"/>
      <c r="IU61" s="593"/>
      <c r="IV61" s="593"/>
    </row>
    <row r="62" spans="1:256" s="1108" customFormat="1" hidden="1">
      <c r="A62" s="593"/>
      <c r="B62" s="594"/>
      <c r="C62" s="594"/>
      <c r="D62" s="597" t="s">
        <v>303</v>
      </c>
      <c r="E62" s="594"/>
      <c r="F62" s="594"/>
      <c r="G62" s="594"/>
      <c r="H62" s="594"/>
      <c r="I62" s="593"/>
      <c r="J62" s="593"/>
      <c r="K62" s="593"/>
      <c r="L62" s="593"/>
      <c r="M62" s="593"/>
      <c r="N62" s="593"/>
      <c r="O62" s="593"/>
      <c r="P62" s="593"/>
      <c r="Q62" s="593"/>
      <c r="R62" s="593"/>
      <c r="S62" s="593"/>
      <c r="T62" s="593"/>
      <c r="U62" s="593"/>
      <c r="V62" s="593"/>
      <c r="W62" s="593"/>
      <c r="X62" s="593"/>
      <c r="Y62" s="593"/>
      <c r="Z62" s="593"/>
      <c r="AA62" s="593"/>
      <c r="AB62" s="593"/>
      <c r="AC62" s="593"/>
      <c r="AD62" s="593"/>
      <c r="AE62" s="593"/>
      <c r="AF62" s="593"/>
      <c r="AG62" s="593"/>
      <c r="AH62" s="593"/>
      <c r="AI62" s="593"/>
      <c r="AJ62" s="593"/>
      <c r="AK62" s="593"/>
      <c r="AL62" s="593"/>
      <c r="AM62" s="593"/>
      <c r="AN62" s="593"/>
      <c r="AO62" s="593"/>
      <c r="AP62" s="593"/>
      <c r="AQ62" s="593"/>
      <c r="AR62" s="593"/>
      <c r="AS62" s="593"/>
      <c r="AT62" s="593"/>
      <c r="AU62" s="593"/>
      <c r="AV62" s="593"/>
      <c r="AW62" s="593"/>
      <c r="AX62" s="593"/>
      <c r="AY62" s="593"/>
      <c r="AZ62" s="593"/>
      <c r="BA62" s="593"/>
      <c r="BB62" s="593"/>
      <c r="BC62" s="593"/>
      <c r="BD62" s="593"/>
      <c r="BE62" s="593"/>
      <c r="BF62" s="593"/>
      <c r="BG62" s="593"/>
      <c r="BH62" s="593"/>
      <c r="BI62" s="593"/>
      <c r="BJ62" s="593"/>
      <c r="BK62" s="593"/>
      <c r="BL62" s="593"/>
      <c r="BM62" s="593"/>
      <c r="BN62" s="593"/>
      <c r="BO62" s="593"/>
      <c r="BP62" s="593"/>
      <c r="BQ62" s="593"/>
      <c r="BR62" s="593"/>
      <c r="BS62" s="593"/>
      <c r="BT62" s="593"/>
      <c r="BU62" s="593"/>
      <c r="BV62" s="593"/>
      <c r="BW62" s="593"/>
      <c r="BX62" s="593"/>
      <c r="BY62" s="593"/>
      <c r="BZ62" s="593"/>
      <c r="CA62" s="593"/>
      <c r="CB62" s="593"/>
      <c r="CC62" s="593"/>
      <c r="CD62" s="593"/>
      <c r="CE62" s="593"/>
      <c r="CF62" s="593"/>
      <c r="CG62" s="593"/>
      <c r="CH62" s="593"/>
      <c r="CI62" s="593"/>
      <c r="CJ62" s="593"/>
      <c r="CK62" s="593"/>
      <c r="CL62" s="593"/>
      <c r="CM62" s="593"/>
      <c r="CN62" s="593"/>
      <c r="CO62" s="593"/>
      <c r="CP62" s="593"/>
      <c r="CQ62" s="593"/>
      <c r="CR62" s="593"/>
      <c r="CS62" s="593"/>
      <c r="CT62" s="593"/>
      <c r="CU62" s="593"/>
      <c r="CV62" s="593"/>
      <c r="CW62" s="593"/>
      <c r="CX62" s="593"/>
      <c r="CY62" s="593"/>
      <c r="CZ62" s="593"/>
      <c r="DA62" s="593"/>
      <c r="DB62" s="593"/>
      <c r="DC62" s="593"/>
      <c r="DD62" s="593"/>
      <c r="DE62" s="593"/>
      <c r="DF62" s="593"/>
      <c r="DG62" s="593"/>
      <c r="DH62" s="593"/>
      <c r="DI62" s="593"/>
      <c r="DJ62" s="593"/>
      <c r="DK62" s="593"/>
      <c r="DL62" s="593"/>
      <c r="DM62" s="593"/>
      <c r="DN62" s="593"/>
      <c r="DO62" s="593"/>
      <c r="DP62" s="593"/>
      <c r="DQ62" s="593"/>
      <c r="DR62" s="593"/>
      <c r="DS62" s="593"/>
      <c r="DT62" s="593"/>
      <c r="DU62" s="593"/>
      <c r="DV62" s="593"/>
      <c r="DW62" s="593"/>
      <c r="DX62" s="593"/>
      <c r="DY62" s="593"/>
      <c r="DZ62" s="593"/>
      <c r="EA62" s="593"/>
      <c r="EB62" s="593"/>
      <c r="EC62" s="593"/>
      <c r="ED62" s="593"/>
      <c r="EE62" s="593"/>
      <c r="EF62" s="593"/>
      <c r="EG62" s="593"/>
      <c r="EH62" s="593"/>
      <c r="EI62" s="593"/>
      <c r="EJ62" s="593"/>
      <c r="EK62" s="593"/>
      <c r="EL62" s="593"/>
      <c r="EM62" s="593"/>
      <c r="EN62" s="593"/>
      <c r="EO62" s="593"/>
      <c r="EP62" s="593"/>
      <c r="EQ62" s="593"/>
      <c r="ER62" s="593"/>
      <c r="ES62" s="593"/>
      <c r="ET62" s="593"/>
      <c r="EU62" s="593"/>
      <c r="EV62" s="593"/>
      <c r="EW62" s="593"/>
      <c r="EX62" s="593"/>
      <c r="EY62" s="593"/>
      <c r="EZ62" s="593"/>
      <c r="FA62" s="593"/>
      <c r="FB62" s="593"/>
      <c r="FC62" s="593"/>
      <c r="FD62" s="593"/>
      <c r="FE62" s="593"/>
      <c r="FF62" s="593"/>
      <c r="FG62" s="593"/>
      <c r="FH62" s="593"/>
      <c r="FI62" s="593"/>
      <c r="FJ62" s="593"/>
      <c r="FK62" s="593"/>
      <c r="FL62" s="593"/>
      <c r="FM62" s="593"/>
      <c r="FN62" s="593"/>
      <c r="FO62" s="593"/>
      <c r="FP62" s="593"/>
      <c r="FQ62" s="593"/>
      <c r="FR62" s="593"/>
      <c r="FS62" s="593"/>
      <c r="FT62" s="593"/>
      <c r="FU62" s="593"/>
      <c r="FV62" s="593"/>
      <c r="FW62" s="593"/>
      <c r="FX62" s="593"/>
      <c r="FY62" s="593"/>
      <c r="FZ62" s="593"/>
      <c r="GA62" s="593"/>
      <c r="GB62" s="593"/>
      <c r="GC62" s="593"/>
      <c r="GD62" s="593"/>
      <c r="GE62" s="593"/>
      <c r="GF62" s="593"/>
      <c r="GG62" s="593"/>
      <c r="GH62" s="593"/>
      <c r="GI62" s="593"/>
      <c r="GJ62" s="593"/>
      <c r="GK62" s="593"/>
      <c r="GL62" s="593"/>
      <c r="GM62" s="593"/>
      <c r="GN62" s="593"/>
      <c r="GO62" s="593"/>
      <c r="GP62" s="593"/>
      <c r="GQ62" s="593"/>
      <c r="GR62" s="593"/>
      <c r="GS62" s="593"/>
      <c r="GT62" s="593"/>
      <c r="GU62" s="593"/>
      <c r="GV62" s="593"/>
      <c r="GW62" s="593"/>
      <c r="GX62" s="593"/>
      <c r="GY62" s="593"/>
      <c r="GZ62" s="593"/>
      <c r="HA62" s="593"/>
      <c r="HB62" s="593"/>
      <c r="HC62" s="593"/>
      <c r="HD62" s="593"/>
      <c r="HE62" s="593"/>
      <c r="HF62" s="593"/>
      <c r="HG62" s="593"/>
      <c r="HH62" s="593"/>
      <c r="HI62" s="593"/>
      <c r="HJ62" s="593"/>
      <c r="HK62" s="593"/>
      <c r="HL62" s="593"/>
      <c r="HM62" s="593"/>
      <c r="HN62" s="593"/>
      <c r="HO62" s="593"/>
      <c r="HP62" s="593"/>
      <c r="HQ62" s="593"/>
      <c r="HR62" s="593"/>
      <c r="HS62" s="593"/>
      <c r="HT62" s="593"/>
      <c r="HU62" s="593"/>
      <c r="HV62" s="593"/>
      <c r="HW62" s="593"/>
      <c r="HX62" s="593"/>
      <c r="HY62" s="593"/>
      <c r="HZ62" s="593"/>
      <c r="IA62" s="593"/>
      <c r="IB62" s="593"/>
      <c r="IC62" s="593"/>
      <c r="ID62" s="593"/>
      <c r="IE62" s="593"/>
      <c r="IF62" s="593"/>
      <c r="IG62" s="593"/>
      <c r="IH62" s="593"/>
      <c r="II62" s="593"/>
      <c r="IJ62" s="593"/>
      <c r="IK62" s="593"/>
      <c r="IL62" s="593"/>
      <c r="IM62" s="593"/>
      <c r="IN62" s="593"/>
      <c r="IO62" s="593"/>
      <c r="IP62" s="593"/>
      <c r="IQ62" s="593"/>
      <c r="IR62" s="593"/>
      <c r="IS62" s="593"/>
      <c r="IT62" s="593"/>
      <c r="IU62" s="593"/>
      <c r="IV62" s="593"/>
    </row>
    <row r="63" spans="1:256" s="1108" customFormat="1" hidden="1">
      <c r="A63" s="593"/>
      <c r="B63" s="594"/>
      <c r="C63" s="594"/>
      <c r="D63" s="597" t="s">
        <v>1288</v>
      </c>
      <c r="E63" s="598">
        <f>2*2.13*0.075*0.1</f>
        <v>3.1949999999999999E-2</v>
      </c>
      <c r="F63" s="594" t="s">
        <v>644</v>
      </c>
      <c r="G63" s="594"/>
      <c r="H63" s="594"/>
      <c r="I63" s="593"/>
      <c r="J63" s="593"/>
      <c r="K63" s="593"/>
      <c r="L63" s="593"/>
      <c r="M63" s="593"/>
      <c r="N63" s="593"/>
      <c r="O63" s="593"/>
      <c r="P63" s="593"/>
      <c r="Q63" s="593"/>
      <c r="R63" s="593"/>
      <c r="S63" s="593"/>
      <c r="T63" s="593"/>
      <c r="U63" s="593"/>
      <c r="V63" s="593"/>
      <c r="W63" s="593"/>
      <c r="X63" s="593"/>
      <c r="Y63" s="593"/>
      <c r="Z63" s="593"/>
      <c r="AA63" s="593"/>
      <c r="AB63" s="593"/>
      <c r="AC63" s="593"/>
      <c r="AD63" s="593"/>
      <c r="AE63" s="593"/>
      <c r="AF63" s="593"/>
      <c r="AG63" s="593"/>
      <c r="AH63" s="593"/>
      <c r="AI63" s="593"/>
      <c r="AJ63" s="593"/>
      <c r="AK63" s="593"/>
      <c r="AL63" s="593"/>
      <c r="AM63" s="593"/>
      <c r="AN63" s="593"/>
      <c r="AO63" s="593"/>
      <c r="AP63" s="593"/>
      <c r="AQ63" s="593"/>
      <c r="AR63" s="593"/>
      <c r="AS63" s="593"/>
      <c r="AT63" s="593"/>
      <c r="AU63" s="593"/>
      <c r="AV63" s="593"/>
      <c r="AW63" s="593"/>
      <c r="AX63" s="593"/>
      <c r="AY63" s="593"/>
      <c r="AZ63" s="593"/>
      <c r="BA63" s="593"/>
      <c r="BB63" s="593"/>
      <c r="BC63" s="593"/>
      <c r="BD63" s="593"/>
      <c r="BE63" s="593"/>
      <c r="BF63" s="593"/>
      <c r="BG63" s="593"/>
      <c r="BH63" s="593"/>
      <c r="BI63" s="593"/>
      <c r="BJ63" s="593"/>
      <c r="BK63" s="593"/>
      <c r="BL63" s="593"/>
      <c r="BM63" s="593"/>
      <c r="BN63" s="593"/>
      <c r="BO63" s="593"/>
      <c r="BP63" s="593"/>
      <c r="BQ63" s="593"/>
      <c r="BR63" s="593"/>
      <c r="BS63" s="593"/>
      <c r="BT63" s="593"/>
      <c r="BU63" s="593"/>
      <c r="BV63" s="593"/>
      <c r="BW63" s="593"/>
      <c r="BX63" s="593"/>
      <c r="BY63" s="593"/>
      <c r="BZ63" s="593"/>
      <c r="CA63" s="593"/>
      <c r="CB63" s="593"/>
      <c r="CC63" s="593"/>
      <c r="CD63" s="593"/>
      <c r="CE63" s="593"/>
      <c r="CF63" s="593"/>
      <c r="CG63" s="593"/>
      <c r="CH63" s="593"/>
      <c r="CI63" s="593"/>
      <c r="CJ63" s="593"/>
      <c r="CK63" s="593"/>
      <c r="CL63" s="593"/>
      <c r="CM63" s="593"/>
      <c r="CN63" s="593"/>
      <c r="CO63" s="593"/>
      <c r="CP63" s="593"/>
      <c r="CQ63" s="593"/>
      <c r="CR63" s="593"/>
      <c r="CS63" s="593"/>
      <c r="CT63" s="593"/>
      <c r="CU63" s="593"/>
      <c r="CV63" s="593"/>
      <c r="CW63" s="593"/>
      <c r="CX63" s="593"/>
      <c r="CY63" s="593"/>
      <c r="CZ63" s="593"/>
      <c r="DA63" s="593"/>
      <c r="DB63" s="593"/>
      <c r="DC63" s="593"/>
      <c r="DD63" s="593"/>
      <c r="DE63" s="593"/>
      <c r="DF63" s="593"/>
      <c r="DG63" s="593"/>
      <c r="DH63" s="593"/>
      <c r="DI63" s="593"/>
      <c r="DJ63" s="593"/>
      <c r="DK63" s="593"/>
      <c r="DL63" s="593"/>
      <c r="DM63" s="593"/>
      <c r="DN63" s="593"/>
      <c r="DO63" s="593"/>
      <c r="DP63" s="593"/>
      <c r="DQ63" s="593"/>
      <c r="DR63" s="593"/>
      <c r="DS63" s="593"/>
      <c r="DT63" s="593"/>
      <c r="DU63" s="593"/>
      <c r="DV63" s="593"/>
      <c r="DW63" s="593"/>
      <c r="DX63" s="593"/>
      <c r="DY63" s="593"/>
      <c r="DZ63" s="593"/>
      <c r="EA63" s="593"/>
      <c r="EB63" s="593"/>
      <c r="EC63" s="593"/>
      <c r="ED63" s="593"/>
      <c r="EE63" s="593"/>
      <c r="EF63" s="593"/>
      <c r="EG63" s="593"/>
      <c r="EH63" s="593"/>
      <c r="EI63" s="593"/>
      <c r="EJ63" s="593"/>
      <c r="EK63" s="593"/>
      <c r="EL63" s="593"/>
      <c r="EM63" s="593"/>
      <c r="EN63" s="593"/>
      <c r="EO63" s="593"/>
      <c r="EP63" s="593"/>
      <c r="EQ63" s="593"/>
      <c r="ER63" s="593"/>
      <c r="ES63" s="593"/>
      <c r="ET63" s="593"/>
      <c r="EU63" s="593"/>
      <c r="EV63" s="593"/>
      <c r="EW63" s="593"/>
      <c r="EX63" s="593"/>
      <c r="EY63" s="593"/>
      <c r="EZ63" s="593"/>
      <c r="FA63" s="593"/>
      <c r="FB63" s="593"/>
      <c r="FC63" s="593"/>
      <c r="FD63" s="593"/>
      <c r="FE63" s="593"/>
      <c r="FF63" s="593"/>
      <c r="FG63" s="593"/>
      <c r="FH63" s="593"/>
      <c r="FI63" s="593"/>
      <c r="FJ63" s="593"/>
      <c r="FK63" s="593"/>
      <c r="FL63" s="593"/>
      <c r="FM63" s="593"/>
      <c r="FN63" s="593"/>
      <c r="FO63" s="593"/>
      <c r="FP63" s="593"/>
      <c r="FQ63" s="593"/>
      <c r="FR63" s="593"/>
      <c r="FS63" s="593"/>
      <c r="FT63" s="593"/>
      <c r="FU63" s="593"/>
      <c r="FV63" s="593"/>
      <c r="FW63" s="593"/>
      <c r="FX63" s="593"/>
      <c r="FY63" s="593"/>
      <c r="FZ63" s="593"/>
      <c r="GA63" s="593"/>
      <c r="GB63" s="593"/>
      <c r="GC63" s="593"/>
      <c r="GD63" s="593"/>
      <c r="GE63" s="593"/>
      <c r="GF63" s="593"/>
      <c r="GG63" s="593"/>
      <c r="GH63" s="593"/>
      <c r="GI63" s="593"/>
      <c r="GJ63" s="593"/>
      <c r="GK63" s="593"/>
      <c r="GL63" s="593"/>
      <c r="GM63" s="593"/>
      <c r="GN63" s="593"/>
      <c r="GO63" s="593"/>
      <c r="GP63" s="593"/>
      <c r="GQ63" s="593"/>
      <c r="GR63" s="593"/>
      <c r="GS63" s="593"/>
      <c r="GT63" s="593"/>
      <c r="GU63" s="593"/>
      <c r="GV63" s="593"/>
      <c r="GW63" s="593"/>
      <c r="GX63" s="593"/>
      <c r="GY63" s="593"/>
      <c r="GZ63" s="593"/>
      <c r="HA63" s="593"/>
      <c r="HB63" s="593"/>
      <c r="HC63" s="593"/>
      <c r="HD63" s="593"/>
      <c r="HE63" s="593"/>
      <c r="HF63" s="593"/>
      <c r="HG63" s="593"/>
      <c r="HH63" s="593"/>
      <c r="HI63" s="593"/>
      <c r="HJ63" s="593"/>
      <c r="HK63" s="593"/>
      <c r="HL63" s="593"/>
      <c r="HM63" s="593"/>
      <c r="HN63" s="593"/>
      <c r="HO63" s="593"/>
      <c r="HP63" s="593"/>
      <c r="HQ63" s="593"/>
      <c r="HR63" s="593"/>
      <c r="HS63" s="593"/>
      <c r="HT63" s="593"/>
      <c r="HU63" s="593"/>
      <c r="HV63" s="593"/>
      <c r="HW63" s="593"/>
      <c r="HX63" s="593"/>
      <c r="HY63" s="593"/>
      <c r="HZ63" s="593"/>
      <c r="IA63" s="593"/>
      <c r="IB63" s="593"/>
      <c r="IC63" s="593"/>
      <c r="ID63" s="593"/>
      <c r="IE63" s="593"/>
      <c r="IF63" s="593"/>
      <c r="IG63" s="593"/>
      <c r="IH63" s="593"/>
      <c r="II63" s="593"/>
      <c r="IJ63" s="593"/>
      <c r="IK63" s="593"/>
      <c r="IL63" s="593"/>
      <c r="IM63" s="593"/>
      <c r="IN63" s="593"/>
      <c r="IO63" s="593"/>
      <c r="IP63" s="593"/>
      <c r="IQ63" s="593"/>
      <c r="IR63" s="593"/>
      <c r="IS63" s="593"/>
      <c r="IT63" s="593"/>
      <c r="IU63" s="593"/>
      <c r="IV63" s="593"/>
    </row>
    <row r="64" spans="1:256" s="1108" customFormat="1" hidden="1">
      <c r="A64" s="593"/>
      <c r="B64" s="594"/>
      <c r="C64" s="594"/>
      <c r="D64" s="597" t="s">
        <v>1661</v>
      </c>
      <c r="E64" s="598">
        <f>1.8*0.075*0.1</f>
        <v>1.3500000000000002E-2</v>
      </c>
      <c r="F64" s="594" t="s">
        <v>644</v>
      </c>
      <c r="G64" s="594"/>
      <c r="H64" s="594"/>
      <c r="I64" s="593"/>
      <c r="J64" s="593"/>
      <c r="K64" s="593"/>
      <c r="L64" s="593"/>
      <c r="M64" s="593"/>
      <c r="N64" s="593"/>
      <c r="O64" s="593"/>
      <c r="P64" s="593"/>
      <c r="Q64" s="593"/>
      <c r="R64" s="593"/>
      <c r="S64" s="593"/>
      <c r="T64" s="593"/>
      <c r="U64" s="593"/>
      <c r="V64" s="593"/>
      <c r="W64" s="593"/>
      <c r="X64" s="593"/>
      <c r="Y64" s="593"/>
      <c r="Z64" s="593"/>
      <c r="AA64" s="593"/>
      <c r="AB64" s="593"/>
      <c r="AC64" s="593"/>
      <c r="AD64" s="593"/>
      <c r="AE64" s="593"/>
      <c r="AF64" s="593"/>
      <c r="AG64" s="593"/>
      <c r="AH64" s="593"/>
      <c r="AI64" s="593"/>
      <c r="AJ64" s="593"/>
      <c r="AK64" s="593"/>
      <c r="AL64" s="593"/>
      <c r="AM64" s="593"/>
      <c r="AN64" s="593"/>
      <c r="AO64" s="593"/>
      <c r="AP64" s="593"/>
      <c r="AQ64" s="593"/>
      <c r="AR64" s="593"/>
      <c r="AS64" s="593"/>
      <c r="AT64" s="593"/>
      <c r="AU64" s="593"/>
      <c r="AV64" s="593"/>
      <c r="AW64" s="593"/>
      <c r="AX64" s="593"/>
      <c r="AY64" s="593"/>
      <c r="AZ64" s="593"/>
      <c r="BA64" s="593"/>
      <c r="BB64" s="593"/>
      <c r="BC64" s="593"/>
      <c r="BD64" s="593"/>
      <c r="BE64" s="593"/>
      <c r="BF64" s="593"/>
      <c r="BG64" s="593"/>
      <c r="BH64" s="593"/>
      <c r="BI64" s="593"/>
      <c r="BJ64" s="593"/>
      <c r="BK64" s="593"/>
      <c r="BL64" s="593"/>
      <c r="BM64" s="593"/>
      <c r="BN64" s="593"/>
      <c r="BO64" s="593"/>
      <c r="BP64" s="593"/>
      <c r="BQ64" s="593"/>
      <c r="BR64" s="593"/>
      <c r="BS64" s="593"/>
      <c r="BT64" s="593"/>
      <c r="BU64" s="593"/>
      <c r="BV64" s="593"/>
      <c r="BW64" s="593"/>
      <c r="BX64" s="593"/>
      <c r="BY64" s="593"/>
      <c r="BZ64" s="593"/>
      <c r="CA64" s="593"/>
      <c r="CB64" s="593"/>
      <c r="CC64" s="593"/>
      <c r="CD64" s="593"/>
      <c r="CE64" s="593"/>
      <c r="CF64" s="593"/>
      <c r="CG64" s="593"/>
      <c r="CH64" s="593"/>
      <c r="CI64" s="593"/>
      <c r="CJ64" s="593"/>
      <c r="CK64" s="593"/>
      <c r="CL64" s="593"/>
      <c r="CM64" s="593"/>
      <c r="CN64" s="593"/>
      <c r="CO64" s="593"/>
      <c r="CP64" s="593"/>
      <c r="CQ64" s="593"/>
      <c r="CR64" s="593"/>
      <c r="CS64" s="593"/>
      <c r="CT64" s="593"/>
      <c r="CU64" s="593"/>
      <c r="CV64" s="593"/>
      <c r="CW64" s="593"/>
      <c r="CX64" s="593"/>
      <c r="CY64" s="593"/>
      <c r="CZ64" s="593"/>
      <c r="DA64" s="593"/>
      <c r="DB64" s="593"/>
      <c r="DC64" s="593"/>
      <c r="DD64" s="593"/>
      <c r="DE64" s="593"/>
      <c r="DF64" s="593"/>
      <c r="DG64" s="593"/>
      <c r="DH64" s="593"/>
      <c r="DI64" s="593"/>
      <c r="DJ64" s="593"/>
      <c r="DK64" s="593"/>
      <c r="DL64" s="593"/>
      <c r="DM64" s="593"/>
      <c r="DN64" s="593"/>
      <c r="DO64" s="593"/>
      <c r="DP64" s="593"/>
      <c r="DQ64" s="593"/>
      <c r="DR64" s="593"/>
      <c r="DS64" s="593"/>
      <c r="DT64" s="593"/>
      <c r="DU64" s="593"/>
      <c r="DV64" s="593"/>
      <c r="DW64" s="593"/>
      <c r="DX64" s="593"/>
      <c r="DY64" s="593"/>
      <c r="DZ64" s="593"/>
      <c r="EA64" s="593"/>
      <c r="EB64" s="593"/>
      <c r="EC64" s="593"/>
      <c r="ED64" s="593"/>
      <c r="EE64" s="593"/>
      <c r="EF64" s="593"/>
      <c r="EG64" s="593"/>
      <c r="EH64" s="593"/>
      <c r="EI64" s="593"/>
      <c r="EJ64" s="593"/>
      <c r="EK64" s="593"/>
      <c r="EL64" s="593"/>
      <c r="EM64" s="593"/>
      <c r="EN64" s="593"/>
      <c r="EO64" s="593"/>
      <c r="EP64" s="593"/>
      <c r="EQ64" s="593"/>
      <c r="ER64" s="593"/>
      <c r="ES64" s="593"/>
      <c r="ET64" s="593"/>
      <c r="EU64" s="593"/>
      <c r="EV64" s="593"/>
      <c r="EW64" s="593"/>
      <c r="EX64" s="593"/>
      <c r="EY64" s="593"/>
      <c r="EZ64" s="593"/>
      <c r="FA64" s="593"/>
      <c r="FB64" s="593"/>
      <c r="FC64" s="593"/>
      <c r="FD64" s="593"/>
      <c r="FE64" s="593"/>
      <c r="FF64" s="593"/>
      <c r="FG64" s="593"/>
      <c r="FH64" s="593"/>
      <c r="FI64" s="593"/>
      <c r="FJ64" s="593"/>
      <c r="FK64" s="593"/>
      <c r="FL64" s="593"/>
      <c r="FM64" s="593"/>
      <c r="FN64" s="593"/>
      <c r="FO64" s="593"/>
      <c r="FP64" s="593"/>
      <c r="FQ64" s="593"/>
      <c r="FR64" s="593"/>
      <c r="FS64" s="593"/>
      <c r="FT64" s="593"/>
      <c r="FU64" s="593"/>
      <c r="FV64" s="593"/>
      <c r="FW64" s="593"/>
      <c r="FX64" s="593"/>
      <c r="FY64" s="593"/>
      <c r="FZ64" s="593"/>
      <c r="GA64" s="593"/>
      <c r="GB64" s="593"/>
      <c r="GC64" s="593"/>
      <c r="GD64" s="593"/>
      <c r="GE64" s="593"/>
      <c r="GF64" s="593"/>
      <c r="GG64" s="593"/>
      <c r="GH64" s="593"/>
      <c r="GI64" s="593"/>
      <c r="GJ64" s="593"/>
      <c r="GK64" s="593"/>
      <c r="GL64" s="593"/>
      <c r="GM64" s="593"/>
      <c r="GN64" s="593"/>
      <c r="GO64" s="593"/>
      <c r="GP64" s="593"/>
      <c r="GQ64" s="593"/>
      <c r="GR64" s="593"/>
      <c r="GS64" s="593"/>
      <c r="GT64" s="593"/>
      <c r="GU64" s="593"/>
      <c r="GV64" s="593"/>
      <c r="GW64" s="593"/>
      <c r="GX64" s="593"/>
      <c r="GY64" s="593"/>
      <c r="GZ64" s="593"/>
      <c r="HA64" s="593"/>
      <c r="HB64" s="593"/>
      <c r="HC64" s="593"/>
      <c r="HD64" s="593"/>
      <c r="HE64" s="593"/>
      <c r="HF64" s="593"/>
      <c r="HG64" s="593"/>
      <c r="HH64" s="593"/>
      <c r="HI64" s="593"/>
      <c r="HJ64" s="593"/>
      <c r="HK64" s="593"/>
      <c r="HL64" s="593"/>
      <c r="HM64" s="593"/>
      <c r="HN64" s="593"/>
      <c r="HO64" s="593"/>
      <c r="HP64" s="593"/>
      <c r="HQ64" s="593"/>
      <c r="HR64" s="593"/>
      <c r="HS64" s="593"/>
      <c r="HT64" s="593"/>
      <c r="HU64" s="593"/>
      <c r="HV64" s="593"/>
      <c r="HW64" s="593"/>
      <c r="HX64" s="593"/>
      <c r="HY64" s="593"/>
      <c r="HZ64" s="593"/>
      <c r="IA64" s="593"/>
      <c r="IB64" s="593"/>
      <c r="IC64" s="593"/>
      <c r="ID64" s="593"/>
      <c r="IE64" s="593"/>
      <c r="IF64" s="593"/>
      <c r="IG64" s="593"/>
      <c r="IH64" s="593"/>
      <c r="II64" s="593"/>
      <c r="IJ64" s="593"/>
      <c r="IK64" s="593"/>
      <c r="IL64" s="593"/>
      <c r="IM64" s="593"/>
      <c r="IN64" s="593"/>
      <c r="IO64" s="593"/>
      <c r="IP64" s="593"/>
      <c r="IQ64" s="593"/>
      <c r="IR64" s="593"/>
      <c r="IS64" s="593"/>
      <c r="IT64" s="593"/>
      <c r="IU64" s="593"/>
      <c r="IV64" s="593"/>
    </row>
    <row r="65" spans="1:256" s="1108" customFormat="1" hidden="1">
      <c r="A65" s="593"/>
      <c r="B65" s="594"/>
      <c r="C65" s="594"/>
      <c r="D65" s="599" t="s">
        <v>1238</v>
      </c>
      <c r="E65" s="598">
        <f>SUM(E63:E64)</f>
        <v>4.5450000000000004E-2</v>
      </c>
      <c r="F65" s="594" t="s">
        <v>644</v>
      </c>
      <c r="G65" s="594"/>
      <c r="H65" s="594"/>
      <c r="I65" s="593"/>
      <c r="J65" s="593"/>
      <c r="K65" s="593"/>
      <c r="L65" s="593"/>
      <c r="M65" s="593"/>
      <c r="N65" s="593"/>
      <c r="O65" s="593"/>
      <c r="P65" s="593"/>
      <c r="Q65" s="593"/>
      <c r="R65" s="593"/>
      <c r="S65" s="593"/>
      <c r="T65" s="593"/>
      <c r="U65" s="593"/>
      <c r="V65" s="593"/>
      <c r="W65" s="593"/>
      <c r="X65" s="593"/>
      <c r="Y65" s="593"/>
      <c r="Z65" s="593"/>
      <c r="AA65" s="593"/>
      <c r="AB65" s="593"/>
      <c r="AC65" s="593"/>
      <c r="AD65" s="593"/>
      <c r="AE65" s="593"/>
      <c r="AF65" s="593"/>
      <c r="AG65" s="593"/>
      <c r="AH65" s="593"/>
      <c r="AI65" s="593"/>
      <c r="AJ65" s="593"/>
      <c r="AK65" s="593"/>
      <c r="AL65" s="593"/>
      <c r="AM65" s="593"/>
      <c r="AN65" s="593"/>
      <c r="AO65" s="593"/>
      <c r="AP65" s="593"/>
      <c r="AQ65" s="593"/>
      <c r="AR65" s="593"/>
      <c r="AS65" s="593"/>
      <c r="AT65" s="593"/>
      <c r="AU65" s="593"/>
      <c r="AV65" s="593"/>
      <c r="AW65" s="593"/>
      <c r="AX65" s="593"/>
      <c r="AY65" s="593"/>
      <c r="AZ65" s="593"/>
      <c r="BA65" s="593"/>
      <c r="BB65" s="593"/>
      <c r="BC65" s="593"/>
      <c r="BD65" s="593"/>
      <c r="BE65" s="593"/>
      <c r="BF65" s="593"/>
      <c r="BG65" s="593"/>
      <c r="BH65" s="593"/>
      <c r="BI65" s="593"/>
      <c r="BJ65" s="593"/>
      <c r="BK65" s="593"/>
      <c r="BL65" s="593"/>
      <c r="BM65" s="593"/>
      <c r="BN65" s="593"/>
      <c r="BO65" s="593"/>
      <c r="BP65" s="593"/>
      <c r="BQ65" s="593"/>
      <c r="BR65" s="593"/>
      <c r="BS65" s="593"/>
      <c r="BT65" s="593"/>
      <c r="BU65" s="593"/>
      <c r="BV65" s="593"/>
      <c r="BW65" s="593"/>
      <c r="BX65" s="593"/>
      <c r="BY65" s="593"/>
      <c r="BZ65" s="593"/>
      <c r="CA65" s="593"/>
      <c r="CB65" s="593"/>
      <c r="CC65" s="593"/>
      <c r="CD65" s="593"/>
      <c r="CE65" s="593"/>
      <c r="CF65" s="593"/>
      <c r="CG65" s="593"/>
      <c r="CH65" s="593"/>
      <c r="CI65" s="593"/>
      <c r="CJ65" s="593"/>
      <c r="CK65" s="593"/>
      <c r="CL65" s="593"/>
      <c r="CM65" s="593"/>
      <c r="CN65" s="593"/>
      <c r="CO65" s="593"/>
      <c r="CP65" s="593"/>
      <c r="CQ65" s="593"/>
      <c r="CR65" s="593"/>
      <c r="CS65" s="593"/>
      <c r="CT65" s="593"/>
      <c r="CU65" s="593"/>
      <c r="CV65" s="593"/>
      <c r="CW65" s="593"/>
      <c r="CX65" s="593"/>
      <c r="CY65" s="593"/>
      <c r="CZ65" s="593"/>
      <c r="DA65" s="593"/>
      <c r="DB65" s="593"/>
      <c r="DC65" s="593"/>
      <c r="DD65" s="593"/>
      <c r="DE65" s="593"/>
      <c r="DF65" s="593"/>
      <c r="DG65" s="593"/>
      <c r="DH65" s="593"/>
      <c r="DI65" s="593"/>
      <c r="DJ65" s="593"/>
      <c r="DK65" s="593"/>
      <c r="DL65" s="593"/>
      <c r="DM65" s="593"/>
      <c r="DN65" s="593"/>
      <c r="DO65" s="593"/>
      <c r="DP65" s="593"/>
      <c r="DQ65" s="593"/>
      <c r="DR65" s="593"/>
      <c r="DS65" s="593"/>
      <c r="DT65" s="593"/>
      <c r="DU65" s="593"/>
      <c r="DV65" s="593"/>
      <c r="DW65" s="593"/>
      <c r="DX65" s="593"/>
      <c r="DY65" s="593"/>
      <c r="DZ65" s="593"/>
      <c r="EA65" s="593"/>
      <c r="EB65" s="593"/>
      <c r="EC65" s="593"/>
      <c r="ED65" s="593"/>
      <c r="EE65" s="593"/>
      <c r="EF65" s="593"/>
      <c r="EG65" s="593"/>
      <c r="EH65" s="593"/>
      <c r="EI65" s="593"/>
      <c r="EJ65" s="593"/>
      <c r="EK65" s="593"/>
      <c r="EL65" s="593"/>
      <c r="EM65" s="593"/>
      <c r="EN65" s="593"/>
      <c r="EO65" s="593"/>
      <c r="EP65" s="593"/>
      <c r="EQ65" s="593"/>
      <c r="ER65" s="593"/>
      <c r="ES65" s="593"/>
      <c r="ET65" s="593"/>
      <c r="EU65" s="593"/>
      <c r="EV65" s="593"/>
      <c r="EW65" s="593"/>
      <c r="EX65" s="593"/>
      <c r="EY65" s="593"/>
      <c r="EZ65" s="593"/>
      <c r="FA65" s="593"/>
      <c r="FB65" s="593"/>
      <c r="FC65" s="593"/>
      <c r="FD65" s="593"/>
      <c r="FE65" s="593"/>
      <c r="FF65" s="593"/>
      <c r="FG65" s="593"/>
      <c r="FH65" s="593"/>
      <c r="FI65" s="593"/>
      <c r="FJ65" s="593"/>
      <c r="FK65" s="593"/>
      <c r="FL65" s="593"/>
      <c r="FM65" s="593"/>
      <c r="FN65" s="593"/>
      <c r="FO65" s="593"/>
      <c r="FP65" s="593"/>
      <c r="FQ65" s="593"/>
      <c r="FR65" s="593"/>
      <c r="FS65" s="593"/>
      <c r="FT65" s="593"/>
      <c r="FU65" s="593"/>
      <c r="FV65" s="593"/>
      <c r="FW65" s="593"/>
      <c r="FX65" s="593"/>
      <c r="FY65" s="593"/>
      <c r="FZ65" s="593"/>
      <c r="GA65" s="593"/>
      <c r="GB65" s="593"/>
      <c r="GC65" s="593"/>
      <c r="GD65" s="593"/>
      <c r="GE65" s="593"/>
      <c r="GF65" s="593"/>
      <c r="GG65" s="593"/>
      <c r="GH65" s="593"/>
      <c r="GI65" s="593"/>
      <c r="GJ65" s="593"/>
      <c r="GK65" s="593"/>
      <c r="GL65" s="593"/>
      <c r="GM65" s="593"/>
      <c r="GN65" s="593"/>
      <c r="GO65" s="593"/>
      <c r="GP65" s="593"/>
      <c r="GQ65" s="593"/>
      <c r="GR65" s="593"/>
      <c r="GS65" s="593"/>
      <c r="GT65" s="593"/>
      <c r="GU65" s="593"/>
      <c r="GV65" s="593"/>
      <c r="GW65" s="593"/>
      <c r="GX65" s="593"/>
      <c r="GY65" s="593"/>
      <c r="GZ65" s="593"/>
      <c r="HA65" s="593"/>
      <c r="HB65" s="593"/>
      <c r="HC65" s="593"/>
      <c r="HD65" s="593"/>
      <c r="HE65" s="593"/>
      <c r="HF65" s="593"/>
      <c r="HG65" s="593"/>
      <c r="HH65" s="593"/>
      <c r="HI65" s="593"/>
      <c r="HJ65" s="593"/>
      <c r="HK65" s="593"/>
      <c r="HL65" s="593"/>
      <c r="HM65" s="593"/>
      <c r="HN65" s="593"/>
      <c r="HO65" s="593"/>
      <c r="HP65" s="593"/>
      <c r="HQ65" s="593"/>
      <c r="HR65" s="593"/>
      <c r="HS65" s="593"/>
      <c r="HT65" s="593"/>
      <c r="HU65" s="593"/>
      <c r="HV65" s="593"/>
      <c r="HW65" s="593"/>
      <c r="HX65" s="593"/>
      <c r="HY65" s="593"/>
      <c r="HZ65" s="593"/>
      <c r="IA65" s="593"/>
      <c r="IB65" s="593"/>
      <c r="IC65" s="593"/>
      <c r="ID65" s="593"/>
      <c r="IE65" s="593"/>
      <c r="IF65" s="593"/>
      <c r="IG65" s="593"/>
      <c r="IH65" s="593"/>
      <c r="II65" s="593"/>
      <c r="IJ65" s="593"/>
      <c r="IK65" s="593"/>
      <c r="IL65" s="593"/>
      <c r="IM65" s="593"/>
      <c r="IN65" s="593"/>
      <c r="IO65" s="593"/>
      <c r="IP65" s="593"/>
      <c r="IQ65" s="593"/>
      <c r="IR65" s="593"/>
      <c r="IS65" s="593"/>
      <c r="IT65" s="593"/>
      <c r="IU65" s="593"/>
      <c r="IV65" s="593"/>
    </row>
    <row r="66" spans="1:256" s="1108" customFormat="1" ht="27.6" hidden="1">
      <c r="A66" s="593"/>
      <c r="B66" s="594"/>
      <c r="C66" s="594"/>
      <c r="D66" s="600" t="s">
        <v>41</v>
      </c>
      <c r="E66" s="594"/>
      <c r="F66" s="594"/>
      <c r="G66" s="594"/>
      <c r="H66" s="594"/>
      <c r="I66" s="593"/>
      <c r="J66" s="593"/>
      <c r="K66" s="593"/>
      <c r="L66" s="593"/>
      <c r="M66" s="593"/>
      <c r="N66" s="593"/>
      <c r="O66" s="593"/>
      <c r="P66" s="593"/>
      <c r="Q66" s="593"/>
      <c r="R66" s="593"/>
      <c r="S66" s="593"/>
      <c r="T66" s="593"/>
      <c r="U66" s="593"/>
      <c r="V66" s="593"/>
      <c r="W66" s="593"/>
      <c r="X66" s="593"/>
      <c r="Y66" s="593"/>
      <c r="Z66" s="593"/>
      <c r="AA66" s="593"/>
      <c r="AB66" s="593"/>
      <c r="AC66" s="593"/>
      <c r="AD66" s="593"/>
      <c r="AE66" s="593"/>
      <c r="AF66" s="593"/>
      <c r="AG66" s="593"/>
      <c r="AH66" s="593"/>
      <c r="AI66" s="593"/>
      <c r="AJ66" s="593"/>
      <c r="AK66" s="593"/>
      <c r="AL66" s="593"/>
      <c r="AM66" s="593"/>
      <c r="AN66" s="593"/>
      <c r="AO66" s="593"/>
      <c r="AP66" s="593"/>
      <c r="AQ66" s="593"/>
      <c r="AR66" s="593"/>
      <c r="AS66" s="593"/>
      <c r="AT66" s="593"/>
      <c r="AU66" s="593"/>
      <c r="AV66" s="593"/>
      <c r="AW66" s="593"/>
      <c r="AX66" s="593"/>
      <c r="AY66" s="593"/>
      <c r="AZ66" s="593"/>
      <c r="BA66" s="593"/>
      <c r="BB66" s="593"/>
      <c r="BC66" s="593"/>
      <c r="BD66" s="593"/>
      <c r="BE66" s="593"/>
      <c r="BF66" s="593"/>
      <c r="BG66" s="593"/>
      <c r="BH66" s="593"/>
      <c r="BI66" s="593"/>
      <c r="BJ66" s="593"/>
      <c r="BK66" s="593"/>
      <c r="BL66" s="593"/>
      <c r="BM66" s="593"/>
      <c r="BN66" s="593"/>
      <c r="BO66" s="593"/>
      <c r="BP66" s="593"/>
      <c r="BQ66" s="593"/>
      <c r="BR66" s="593"/>
      <c r="BS66" s="593"/>
      <c r="BT66" s="593"/>
      <c r="BU66" s="593"/>
      <c r="BV66" s="593"/>
      <c r="BW66" s="593"/>
      <c r="BX66" s="593"/>
      <c r="BY66" s="593"/>
      <c r="BZ66" s="593"/>
      <c r="CA66" s="593"/>
      <c r="CB66" s="593"/>
      <c r="CC66" s="593"/>
      <c r="CD66" s="593"/>
      <c r="CE66" s="593"/>
      <c r="CF66" s="593"/>
      <c r="CG66" s="593"/>
      <c r="CH66" s="593"/>
      <c r="CI66" s="593"/>
      <c r="CJ66" s="593"/>
      <c r="CK66" s="593"/>
      <c r="CL66" s="593"/>
      <c r="CM66" s="593"/>
      <c r="CN66" s="593"/>
      <c r="CO66" s="593"/>
      <c r="CP66" s="593"/>
      <c r="CQ66" s="593"/>
      <c r="CR66" s="593"/>
      <c r="CS66" s="593"/>
      <c r="CT66" s="593"/>
      <c r="CU66" s="593"/>
      <c r="CV66" s="593"/>
      <c r="CW66" s="593"/>
      <c r="CX66" s="593"/>
      <c r="CY66" s="593"/>
      <c r="CZ66" s="593"/>
      <c r="DA66" s="593"/>
      <c r="DB66" s="593"/>
      <c r="DC66" s="593"/>
      <c r="DD66" s="593"/>
      <c r="DE66" s="593"/>
      <c r="DF66" s="593"/>
      <c r="DG66" s="593"/>
      <c r="DH66" s="593"/>
      <c r="DI66" s="593"/>
      <c r="DJ66" s="593"/>
      <c r="DK66" s="593"/>
      <c r="DL66" s="593"/>
      <c r="DM66" s="593"/>
      <c r="DN66" s="593"/>
      <c r="DO66" s="593"/>
      <c r="DP66" s="593"/>
      <c r="DQ66" s="593"/>
      <c r="DR66" s="593"/>
      <c r="DS66" s="593"/>
      <c r="DT66" s="593"/>
      <c r="DU66" s="593"/>
      <c r="DV66" s="593"/>
      <c r="DW66" s="593"/>
      <c r="DX66" s="593"/>
      <c r="DY66" s="593"/>
      <c r="DZ66" s="593"/>
      <c r="EA66" s="593"/>
      <c r="EB66" s="593"/>
      <c r="EC66" s="593"/>
      <c r="ED66" s="593"/>
      <c r="EE66" s="593"/>
      <c r="EF66" s="593"/>
      <c r="EG66" s="593"/>
      <c r="EH66" s="593"/>
      <c r="EI66" s="593"/>
      <c r="EJ66" s="593"/>
      <c r="EK66" s="593"/>
      <c r="EL66" s="593"/>
      <c r="EM66" s="593"/>
      <c r="EN66" s="593"/>
      <c r="EO66" s="593"/>
      <c r="EP66" s="593"/>
      <c r="EQ66" s="593"/>
      <c r="ER66" s="593"/>
      <c r="ES66" s="593"/>
      <c r="ET66" s="593"/>
      <c r="EU66" s="593"/>
      <c r="EV66" s="593"/>
      <c r="EW66" s="593"/>
      <c r="EX66" s="593"/>
      <c r="EY66" s="593"/>
      <c r="EZ66" s="593"/>
      <c r="FA66" s="593"/>
      <c r="FB66" s="593"/>
      <c r="FC66" s="593"/>
      <c r="FD66" s="593"/>
      <c r="FE66" s="593"/>
      <c r="FF66" s="593"/>
      <c r="FG66" s="593"/>
      <c r="FH66" s="593"/>
      <c r="FI66" s="593"/>
      <c r="FJ66" s="593"/>
      <c r="FK66" s="593"/>
      <c r="FL66" s="593"/>
      <c r="FM66" s="593"/>
      <c r="FN66" s="593"/>
      <c r="FO66" s="593"/>
      <c r="FP66" s="593"/>
      <c r="FQ66" s="593"/>
      <c r="FR66" s="593"/>
      <c r="FS66" s="593"/>
      <c r="FT66" s="593"/>
      <c r="FU66" s="593"/>
      <c r="FV66" s="593"/>
      <c r="FW66" s="593"/>
      <c r="FX66" s="593"/>
      <c r="FY66" s="593"/>
      <c r="FZ66" s="593"/>
      <c r="GA66" s="593"/>
      <c r="GB66" s="593"/>
      <c r="GC66" s="593"/>
      <c r="GD66" s="593"/>
      <c r="GE66" s="593"/>
      <c r="GF66" s="593"/>
      <c r="GG66" s="593"/>
      <c r="GH66" s="593"/>
      <c r="GI66" s="593"/>
      <c r="GJ66" s="593"/>
      <c r="GK66" s="593"/>
      <c r="GL66" s="593"/>
      <c r="GM66" s="593"/>
      <c r="GN66" s="593"/>
      <c r="GO66" s="593"/>
      <c r="GP66" s="593"/>
      <c r="GQ66" s="593"/>
      <c r="GR66" s="593"/>
      <c r="GS66" s="593"/>
      <c r="GT66" s="593"/>
      <c r="GU66" s="593"/>
      <c r="GV66" s="593"/>
      <c r="GW66" s="593"/>
      <c r="GX66" s="593"/>
      <c r="GY66" s="593"/>
      <c r="GZ66" s="593"/>
      <c r="HA66" s="593"/>
      <c r="HB66" s="593"/>
      <c r="HC66" s="593"/>
      <c r="HD66" s="593"/>
      <c r="HE66" s="593"/>
      <c r="HF66" s="593"/>
      <c r="HG66" s="593"/>
      <c r="HH66" s="593"/>
      <c r="HI66" s="593"/>
      <c r="HJ66" s="593"/>
      <c r="HK66" s="593"/>
      <c r="HL66" s="593"/>
      <c r="HM66" s="593"/>
      <c r="HN66" s="593"/>
      <c r="HO66" s="593"/>
      <c r="HP66" s="593"/>
      <c r="HQ66" s="593"/>
      <c r="HR66" s="593"/>
      <c r="HS66" s="593"/>
      <c r="HT66" s="593"/>
      <c r="HU66" s="593"/>
      <c r="HV66" s="593"/>
      <c r="HW66" s="593"/>
      <c r="HX66" s="593"/>
      <c r="HY66" s="593"/>
      <c r="HZ66" s="593"/>
      <c r="IA66" s="593"/>
      <c r="IB66" s="593"/>
      <c r="IC66" s="593"/>
      <c r="ID66" s="593"/>
      <c r="IE66" s="593"/>
      <c r="IF66" s="593"/>
      <c r="IG66" s="593"/>
      <c r="IH66" s="593"/>
      <c r="II66" s="593"/>
      <c r="IJ66" s="593"/>
      <c r="IK66" s="593"/>
      <c r="IL66" s="593"/>
      <c r="IM66" s="593"/>
      <c r="IN66" s="593"/>
      <c r="IO66" s="593"/>
      <c r="IP66" s="593"/>
      <c r="IQ66" s="593"/>
      <c r="IR66" s="593"/>
      <c r="IS66" s="593"/>
      <c r="IT66" s="593"/>
      <c r="IU66" s="593"/>
      <c r="IV66" s="593"/>
    </row>
    <row r="67" spans="1:256" s="1108" customFormat="1" hidden="1">
      <c r="A67" s="593"/>
      <c r="B67" s="594"/>
      <c r="C67" s="594"/>
      <c r="D67" s="597" t="s">
        <v>1663</v>
      </c>
      <c r="E67" s="601">
        <f>ROUND(1.68*2.03,2)</f>
        <v>3.41</v>
      </c>
      <c r="F67" s="601" t="s">
        <v>547</v>
      </c>
      <c r="G67" s="594"/>
      <c r="H67" s="594"/>
      <c r="I67" s="593">
        <f>1.5-2*0.05</f>
        <v>1.4</v>
      </c>
      <c r="J67" s="593"/>
      <c r="K67" s="593"/>
      <c r="L67" s="593"/>
      <c r="M67" s="593"/>
      <c r="N67" s="593"/>
      <c r="O67" s="593"/>
      <c r="P67" s="593"/>
      <c r="Q67" s="593"/>
      <c r="R67" s="593"/>
      <c r="S67" s="593"/>
      <c r="T67" s="593"/>
      <c r="U67" s="593"/>
      <c r="V67" s="593"/>
      <c r="W67" s="593"/>
      <c r="X67" s="593"/>
      <c r="Y67" s="593"/>
      <c r="Z67" s="593"/>
      <c r="AA67" s="593"/>
      <c r="AB67" s="593"/>
      <c r="AC67" s="593"/>
      <c r="AD67" s="593"/>
      <c r="AE67" s="593"/>
      <c r="AF67" s="593"/>
      <c r="AG67" s="593"/>
      <c r="AH67" s="593"/>
      <c r="AI67" s="593"/>
      <c r="AJ67" s="593"/>
      <c r="AK67" s="593"/>
      <c r="AL67" s="593"/>
      <c r="AM67" s="593"/>
      <c r="AN67" s="593"/>
      <c r="AO67" s="593"/>
      <c r="AP67" s="593"/>
      <c r="AQ67" s="593"/>
      <c r="AR67" s="593"/>
      <c r="AS67" s="593"/>
      <c r="AT67" s="593"/>
      <c r="AU67" s="593"/>
      <c r="AV67" s="593"/>
      <c r="AW67" s="593"/>
      <c r="AX67" s="593"/>
      <c r="AY67" s="593"/>
      <c r="AZ67" s="593"/>
      <c r="BA67" s="593"/>
      <c r="BB67" s="593"/>
      <c r="BC67" s="593"/>
      <c r="BD67" s="593"/>
      <c r="BE67" s="593"/>
      <c r="BF67" s="593"/>
      <c r="BG67" s="593"/>
      <c r="BH67" s="593"/>
      <c r="BI67" s="593"/>
      <c r="BJ67" s="593"/>
      <c r="BK67" s="593"/>
      <c r="BL67" s="593"/>
      <c r="BM67" s="593"/>
      <c r="BN67" s="593"/>
      <c r="BO67" s="593"/>
      <c r="BP67" s="593"/>
      <c r="BQ67" s="593"/>
      <c r="BR67" s="593"/>
      <c r="BS67" s="593"/>
      <c r="BT67" s="593"/>
      <c r="BU67" s="593"/>
      <c r="BV67" s="593"/>
      <c r="BW67" s="593"/>
      <c r="BX67" s="593"/>
      <c r="BY67" s="593"/>
      <c r="BZ67" s="593"/>
      <c r="CA67" s="593"/>
      <c r="CB67" s="593"/>
      <c r="CC67" s="593"/>
      <c r="CD67" s="593"/>
      <c r="CE67" s="593"/>
      <c r="CF67" s="593"/>
      <c r="CG67" s="593"/>
      <c r="CH67" s="593"/>
      <c r="CI67" s="593"/>
      <c r="CJ67" s="593"/>
      <c r="CK67" s="593"/>
      <c r="CL67" s="593"/>
      <c r="CM67" s="593"/>
      <c r="CN67" s="593"/>
      <c r="CO67" s="593"/>
      <c r="CP67" s="593"/>
      <c r="CQ67" s="593"/>
      <c r="CR67" s="593"/>
      <c r="CS67" s="593"/>
      <c r="CT67" s="593"/>
      <c r="CU67" s="593"/>
      <c r="CV67" s="593"/>
      <c r="CW67" s="593"/>
      <c r="CX67" s="593"/>
      <c r="CY67" s="593"/>
      <c r="CZ67" s="593"/>
      <c r="DA67" s="593"/>
      <c r="DB67" s="593"/>
      <c r="DC67" s="593"/>
      <c r="DD67" s="593"/>
      <c r="DE67" s="593"/>
      <c r="DF67" s="593"/>
      <c r="DG67" s="593"/>
      <c r="DH67" s="593"/>
      <c r="DI67" s="593"/>
      <c r="DJ67" s="593"/>
      <c r="DK67" s="593"/>
      <c r="DL67" s="593"/>
      <c r="DM67" s="593"/>
      <c r="DN67" s="593"/>
      <c r="DO67" s="593"/>
      <c r="DP67" s="593"/>
      <c r="DQ67" s="593"/>
      <c r="DR67" s="593"/>
      <c r="DS67" s="593"/>
      <c r="DT67" s="593"/>
      <c r="DU67" s="593"/>
      <c r="DV67" s="593"/>
      <c r="DW67" s="593"/>
      <c r="DX67" s="593"/>
      <c r="DY67" s="593"/>
      <c r="DZ67" s="593"/>
      <c r="EA67" s="593"/>
      <c r="EB67" s="593"/>
      <c r="EC67" s="593"/>
      <c r="ED67" s="593"/>
      <c r="EE67" s="593"/>
      <c r="EF67" s="593"/>
      <c r="EG67" s="593"/>
      <c r="EH67" s="593"/>
      <c r="EI67" s="593"/>
      <c r="EJ67" s="593"/>
      <c r="EK67" s="593"/>
      <c r="EL67" s="593"/>
      <c r="EM67" s="593"/>
      <c r="EN67" s="593"/>
      <c r="EO67" s="593"/>
      <c r="EP67" s="593"/>
      <c r="EQ67" s="593"/>
      <c r="ER67" s="593"/>
      <c r="ES67" s="593"/>
      <c r="ET67" s="593"/>
      <c r="EU67" s="593"/>
      <c r="EV67" s="593"/>
      <c r="EW67" s="593"/>
      <c r="EX67" s="593"/>
      <c r="EY67" s="593"/>
      <c r="EZ67" s="593"/>
      <c r="FA67" s="593"/>
      <c r="FB67" s="593"/>
      <c r="FC67" s="593"/>
      <c r="FD67" s="593"/>
      <c r="FE67" s="593"/>
      <c r="FF67" s="593"/>
      <c r="FG67" s="593"/>
      <c r="FH67" s="593"/>
      <c r="FI67" s="593"/>
      <c r="FJ67" s="593"/>
      <c r="FK67" s="593"/>
      <c r="FL67" s="593"/>
      <c r="FM67" s="593"/>
      <c r="FN67" s="593"/>
      <c r="FO67" s="593"/>
      <c r="FP67" s="593"/>
      <c r="FQ67" s="593"/>
      <c r="FR67" s="593"/>
      <c r="FS67" s="593"/>
      <c r="FT67" s="593"/>
      <c r="FU67" s="593"/>
      <c r="FV67" s="593"/>
      <c r="FW67" s="593"/>
      <c r="FX67" s="593"/>
      <c r="FY67" s="593"/>
      <c r="FZ67" s="593"/>
      <c r="GA67" s="593"/>
      <c r="GB67" s="593"/>
      <c r="GC67" s="593"/>
      <c r="GD67" s="593"/>
      <c r="GE67" s="593"/>
      <c r="GF67" s="593"/>
      <c r="GG67" s="593"/>
      <c r="GH67" s="593"/>
      <c r="GI67" s="593"/>
      <c r="GJ67" s="593"/>
      <c r="GK67" s="593"/>
      <c r="GL67" s="593"/>
      <c r="GM67" s="593"/>
      <c r="GN67" s="593"/>
      <c r="GO67" s="593"/>
      <c r="GP67" s="593"/>
      <c r="GQ67" s="593"/>
      <c r="GR67" s="593"/>
      <c r="GS67" s="593"/>
      <c r="GT67" s="593"/>
      <c r="GU67" s="593"/>
      <c r="GV67" s="593"/>
      <c r="GW67" s="593"/>
      <c r="GX67" s="593"/>
      <c r="GY67" s="593"/>
      <c r="GZ67" s="593"/>
      <c r="HA67" s="593"/>
      <c r="HB67" s="593"/>
      <c r="HC67" s="593"/>
      <c r="HD67" s="593"/>
      <c r="HE67" s="593"/>
      <c r="HF67" s="593"/>
      <c r="HG67" s="593"/>
      <c r="HH67" s="593"/>
      <c r="HI67" s="593"/>
      <c r="HJ67" s="593"/>
      <c r="HK67" s="593"/>
      <c r="HL67" s="593"/>
      <c r="HM67" s="593"/>
      <c r="HN67" s="593"/>
      <c r="HO67" s="593"/>
      <c r="HP67" s="593"/>
      <c r="HQ67" s="593"/>
      <c r="HR67" s="593"/>
      <c r="HS67" s="593"/>
      <c r="HT67" s="593"/>
      <c r="HU67" s="593"/>
      <c r="HV67" s="593"/>
      <c r="HW67" s="593"/>
      <c r="HX67" s="593"/>
      <c r="HY67" s="593"/>
      <c r="HZ67" s="593"/>
      <c r="IA67" s="593"/>
      <c r="IB67" s="593"/>
      <c r="IC67" s="593"/>
      <c r="ID67" s="593"/>
      <c r="IE67" s="593"/>
      <c r="IF67" s="593"/>
      <c r="IG67" s="593"/>
      <c r="IH67" s="593"/>
      <c r="II67" s="593"/>
      <c r="IJ67" s="593"/>
      <c r="IK67" s="593"/>
      <c r="IL67" s="593"/>
      <c r="IM67" s="593"/>
      <c r="IN67" s="593"/>
      <c r="IO67" s="593"/>
      <c r="IP67" s="593"/>
      <c r="IQ67" s="593"/>
      <c r="IR67" s="593"/>
      <c r="IS67" s="593"/>
      <c r="IT67" s="593"/>
      <c r="IU67" s="593"/>
      <c r="IV67" s="593"/>
    </row>
    <row r="68" spans="1:256" s="1108" customFormat="1" hidden="1">
      <c r="A68" s="593"/>
      <c r="B68" s="594"/>
      <c r="C68" s="594"/>
      <c r="D68" s="602" t="s">
        <v>489</v>
      </c>
      <c r="E68" s="594"/>
      <c r="F68" s="594"/>
      <c r="G68" s="594"/>
      <c r="H68" s="594"/>
      <c r="I68" s="593">
        <f>1.8-2*0.05</f>
        <v>1.7</v>
      </c>
      <c r="J68" s="593"/>
      <c r="K68" s="593"/>
      <c r="L68" s="593"/>
      <c r="M68" s="593"/>
      <c r="N68" s="593"/>
      <c r="O68" s="593"/>
      <c r="P68" s="593"/>
      <c r="Q68" s="593"/>
      <c r="R68" s="593"/>
      <c r="S68" s="593"/>
      <c r="T68" s="593"/>
      <c r="U68" s="593"/>
      <c r="V68" s="593"/>
      <c r="W68" s="593"/>
      <c r="X68" s="593"/>
      <c r="Y68" s="593"/>
      <c r="Z68" s="593"/>
      <c r="AA68" s="593"/>
      <c r="AB68" s="593"/>
      <c r="AC68" s="593"/>
      <c r="AD68" s="593"/>
      <c r="AE68" s="593"/>
      <c r="AF68" s="593"/>
      <c r="AG68" s="593"/>
      <c r="AH68" s="593"/>
      <c r="AI68" s="593"/>
      <c r="AJ68" s="593"/>
      <c r="AK68" s="593"/>
      <c r="AL68" s="593"/>
      <c r="AM68" s="593"/>
      <c r="AN68" s="593"/>
      <c r="AO68" s="593"/>
      <c r="AP68" s="593"/>
      <c r="AQ68" s="593"/>
      <c r="AR68" s="593"/>
      <c r="AS68" s="593"/>
      <c r="AT68" s="593"/>
      <c r="AU68" s="593"/>
      <c r="AV68" s="593"/>
      <c r="AW68" s="593"/>
      <c r="AX68" s="593"/>
      <c r="AY68" s="593"/>
      <c r="AZ68" s="593"/>
      <c r="BA68" s="593"/>
      <c r="BB68" s="593"/>
      <c r="BC68" s="593"/>
      <c r="BD68" s="593"/>
      <c r="BE68" s="593"/>
      <c r="BF68" s="593"/>
      <c r="BG68" s="593"/>
      <c r="BH68" s="593"/>
      <c r="BI68" s="593"/>
      <c r="BJ68" s="593"/>
      <c r="BK68" s="593"/>
      <c r="BL68" s="593"/>
      <c r="BM68" s="593"/>
      <c r="BN68" s="593"/>
      <c r="BO68" s="593"/>
      <c r="BP68" s="593"/>
      <c r="BQ68" s="593"/>
      <c r="BR68" s="593"/>
      <c r="BS68" s="593"/>
      <c r="BT68" s="593"/>
      <c r="BU68" s="593"/>
      <c r="BV68" s="593"/>
      <c r="BW68" s="593"/>
      <c r="BX68" s="593"/>
      <c r="BY68" s="593"/>
      <c r="BZ68" s="593"/>
      <c r="CA68" s="593"/>
      <c r="CB68" s="593"/>
      <c r="CC68" s="593"/>
      <c r="CD68" s="593"/>
      <c r="CE68" s="593"/>
      <c r="CF68" s="593"/>
      <c r="CG68" s="593"/>
      <c r="CH68" s="593"/>
      <c r="CI68" s="593"/>
      <c r="CJ68" s="593"/>
      <c r="CK68" s="593"/>
      <c r="CL68" s="593"/>
      <c r="CM68" s="593"/>
      <c r="CN68" s="593"/>
      <c r="CO68" s="593"/>
      <c r="CP68" s="593"/>
      <c r="CQ68" s="593"/>
      <c r="CR68" s="593"/>
      <c r="CS68" s="593"/>
      <c r="CT68" s="593"/>
      <c r="CU68" s="593"/>
      <c r="CV68" s="593"/>
      <c r="CW68" s="593"/>
      <c r="CX68" s="593"/>
      <c r="CY68" s="593"/>
      <c r="CZ68" s="593"/>
      <c r="DA68" s="593"/>
      <c r="DB68" s="593"/>
      <c r="DC68" s="593"/>
      <c r="DD68" s="593"/>
      <c r="DE68" s="593"/>
      <c r="DF68" s="593"/>
      <c r="DG68" s="593"/>
      <c r="DH68" s="593"/>
      <c r="DI68" s="593"/>
      <c r="DJ68" s="593"/>
      <c r="DK68" s="593"/>
      <c r="DL68" s="593"/>
      <c r="DM68" s="593"/>
      <c r="DN68" s="593"/>
      <c r="DO68" s="593"/>
      <c r="DP68" s="593"/>
      <c r="DQ68" s="593"/>
      <c r="DR68" s="593"/>
      <c r="DS68" s="593"/>
      <c r="DT68" s="593"/>
      <c r="DU68" s="593"/>
      <c r="DV68" s="593"/>
      <c r="DW68" s="593"/>
      <c r="DX68" s="593"/>
      <c r="DY68" s="593"/>
      <c r="DZ68" s="593"/>
      <c r="EA68" s="593"/>
      <c r="EB68" s="593"/>
      <c r="EC68" s="593"/>
      <c r="ED68" s="593"/>
      <c r="EE68" s="593"/>
      <c r="EF68" s="593"/>
      <c r="EG68" s="593"/>
      <c r="EH68" s="593"/>
      <c r="EI68" s="593"/>
      <c r="EJ68" s="593"/>
      <c r="EK68" s="593"/>
      <c r="EL68" s="593"/>
      <c r="EM68" s="593"/>
      <c r="EN68" s="593"/>
      <c r="EO68" s="593"/>
      <c r="EP68" s="593"/>
      <c r="EQ68" s="593"/>
      <c r="ER68" s="593"/>
      <c r="ES68" s="593"/>
      <c r="ET68" s="593"/>
      <c r="EU68" s="593"/>
      <c r="EV68" s="593"/>
      <c r="EW68" s="593"/>
      <c r="EX68" s="593"/>
      <c r="EY68" s="593"/>
      <c r="EZ68" s="593"/>
      <c r="FA68" s="593"/>
      <c r="FB68" s="593"/>
      <c r="FC68" s="593"/>
      <c r="FD68" s="593"/>
      <c r="FE68" s="593"/>
      <c r="FF68" s="593"/>
      <c r="FG68" s="593"/>
      <c r="FH68" s="593"/>
      <c r="FI68" s="593"/>
      <c r="FJ68" s="593"/>
      <c r="FK68" s="593"/>
      <c r="FL68" s="593"/>
      <c r="FM68" s="593"/>
      <c r="FN68" s="593"/>
      <c r="FO68" s="593"/>
      <c r="FP68" s="593"/>
      <c r="FQ68" s="593"/>
      <c r="FR68" s="593"/>
      <c r="FS68" s="593"/>
      <c r="FT68" s="593"/>
      <c r="FU68" s="593"/>
      <c r="FV68" s="593"/>
      <c r="FW68" s="593"/>
      <c r="FX68" s="593"/>
      <c r="FY68" s="593"/>
      <c r="FZ68" s="593"/>
      <c r="GA68" s="593"/>
      <c r="GB68" s="593"/>
      <c r="GC68" s="593"/>
      <c r="GD68" s="593"/>
      <c r="GE68" s="593"/>
      <c r="GF68" s="593"/>
      <c r="GG68" s="593"/>
      <c r="GH68" s="593"/>
      <c r="GI68" s="593"/>
      <c r="GJ68" s="593"/>
      <c r="GK68" s="593"/>
      <c r="GL68" s="593"/>
      <c r="GM68" s="593"/>
      <c r="GN68" s="593"/>
      <c r="GO68" s="593"/>
      <c r="GP68" s="593"/>
      <c r="GQ68" s="593"/>
      <c r="GR68" s="593"/>
      <c r="GS68" s="593"/>
      <c r="GT68" s="593"/>
      <c r="GU68" s="593"/>
      <c r="GV68" s="593"/>
      <c r="GW68" s="593"/>
      <c r="GX68" s="593"/>
      <c r="GY68" s="593"/>
      <c r="GZ68" s="593"/>
      <c r="HA68" s="593"/>
      <c r="HB68" s="593"/>
      <c r="HC68" s="593"/>
      <c r="HD68" s="593"/>
      <c r="HE68" s="593"/>
      <c r="HF68" s="593"/>
      <c r="HG68" s="593"/>
      <c r="HH68" s="593"/>
      <c r="HI68" s="593"/>
      <c r="HJ68" s="593"/>
      <c r="HK68" s="593"/>
      <c r="HL68" s="593"/>
      <c r="HM68" s="593"/>
      <c r="HN68" s="593"/>
      <c r="HO68" s="593"/>
      <c r="HP68" s="593"/>
      <c r="HQ68" s="593"/>
      <c r="HR68" s="593"/>
      <c r="HS68" s="593"/>
      <c r="HT68" s="593"/>
      <c r="HU68" s="593"/>
      <c r="HV68" s="593"/>
      <c r="HW68" s="593"/>
      <c r="HX68" s="593"/>
      <c r="HY68" s="593"/>
      <c r="HZ68" s="593"/>
      <c r="IA68" s="593"/>
      <c r="IB68" s="593"/>
      <c r="IC68" s="593"/>
      <c r="ID68" s="593"/>
      <c r="IE68" s="593"/>
      <c r="IF68" s="593"/>
      <c r="IG68" s="593"/>
      <c r="IH68" s="593"/>
      <c r="II68" s="593"/>
      <c r="IJ68" s="593"/>
      <c r="IK68" s="593"/>
      <c r="IL68" s="593"/>
      <c r="IM68" s="593"/>
      <c r="IN68" s="593"/>
      <c r="IO68" s="593"/>
      <c r="IP68" s="593"/>
      <c r="IQ68" s="593"/>
      <c r="IR68" s="593"/>
      <c r="IS68" s="593"/>
      <c r="IT68" s="593"/>
      <c r="IU68" s="593"/>
      <c r="IV68" s="593"/>
    </row>
    <row r="69" spans="1:256" s="1108" customFormat="1" hidden="1">
      <c r="A69" s="593"/>
      <c r="B69" s="594"/>
      <c r="C69" s="594"/>
      <c r="D69" s="621" t="s">
        <v>509</v>
      </c>
      <c r="E69" s="594"/>
      <c r="F69" s="594"/>
      <c r="G69" s="594"/>
      <c r="H69" s="594"/>
      <c r="I69" s="593"/>
      <c r="J69" s="593"/>
      <c r="K69" s="593"/>
      <c r="L69" s="593"/>
      <c r="M69" s="593"/>
      <c r="N69" s="593"/>
      <c r="O69" s="593"/>
      <c r="P69" s="593"/>
      <c r="Q69" s="593"/>
      <c r="R69" s="593"/>
      <c r="S69" s="593"/>
      <c r="T69" s="593"/>
      <c r="U69" s="593"/>
      <c r="V69" s="593"/>
      <c r="W69" s="593"/>
      <c r="X69" s="593"/>
      <c r="Y69" s="593"/>
      <c r="Z69" s="593"/>
      <c r="AA69" s="593"/>
      <c r="AB69" s="593"/>
      <c r="AC69" s="593"/>
      <c r="AD69" s="593"/>
      <c r="AE69" s="593"/>
      <c r="AF69" s="593"/>
      <c r="AG69" s="593"/>
      <c r="AH69" s="593"/>
      <c r="AI69" s="593"/>
      <c r="AJ69" s="593"/>
      <c r="AK69" s="593"/>
      <c r="AL69" s="593"/>
      <c r="AM69" s="593"/>
      <c r="AN69" s="593"/>
      <c r="AO69" s="593"/>
      <c r="AP69" s="593"/>
      <c r="AQ69" s="593"/>
      <c r="AR69" s="593"/>
      <c r="AS69" s="593"/>
      <c r="AT69" s="593"/>
      <c r="AU69" s="593"/>
      <c r="AV69" s="593"/>
      <c r="AW69" s="593"/>
      <c r="AX69" s="593"/>
      <c r="AY69" s="593"/>
      <c r="AZ69" s="593"/>
      <c r="BA69" s="593"/>
      <c r="BB69" s="593"/>
      <c r="BC69" s="593"/>
      <c r="BD69" s="593"/>
      <c r="BE69" s="593"/>
      <c r="BF69" s="593"/>
      <c r="BG69" s="593"/>
      <c r="BH69" s="593"/>
      <c r="BI69" s="593"/>
      <c r="BJ69" s="593"/>
      <c r="BK69" s="593"/>
      <c r="BL69" s="593"/>
      <c r="BM69" s="593"/>
      <c r="BN69" s="593"/>
      <c r="BO69" s="593"/>
      <c r="BP69" s="593"/>
      <c r="BQ69" s="593"/>
      <c r="BR69" s="593"/>
      <c r="BS69" s="593"/>
      <c r="BT69" s="593"/>
      <c r="BU69" s="593"/>
      <c r="BV69" s="593"/>
      <c r="BW69" s="593"/>
      <c r="BX69" s="593"/>
      <c r="BY69" s="593"/>
      <c r="BZ69" s="593"/>
      <c r="CA69" s="593"/>
      <c r="CB69" s="593"/>
      <c r="CC69" s="593"/>
      <c r="CD69" s="593"/>
      <c r="CE69" s="593"/>
      <c r="CF69" s="593"/>
      <c r="CG69" s="593"/>
      <c r="CH69" s="593"/>
      <c r="CI69" s="593"/>
      <c r="CJ69" s="593"/>
      <c r="CK69" s="593"/>
      <c r="CL69" s="593"/>
      <c r="CM69" s="593"/>
      <c r="CN69" s="593"/>
      <c r="CO69" s="593"/>
      <c r="CP69" s="593"/>
      <c r="CQ69" s="593"/>
      <c r="CR69" s="593"/>
      <c r="CS69" s="593"/>
      <c r="CT69" s="593"/>
      <c r="CU69" s="593"/>
      <c r="CV69" s="593"/>
      <c r="CW69" s="593"/>
      <c r="CX69" s="593"/>
      <c r="CY69" s="593"/>
      <c r="CZ69" s="593"/>
      <c r="DA69" s="593"/>
      <c r="DB69" s="593"/>
      <c r="DC69" s="593"/>
      <c r="DD69" s="593"/>
      <c r="DE69" s="593"/>
      <c r="DF69" s="593"/>
      <c r="DG69" s="593"/>
      <c r="DH69" s="593"/>
      <c r="DI69" s="593"/>
      <c r="DJ69" s="593"/>
      <c r="DK69" s="593"/>
      <c r="DL69" s="593"/>
      <c r="DM69" s="593"/>
      <c r="DN69" s="593"/>
      <c r="DO69" s="593"/>
      <c r="DP69" s="593"/>
      <c r="DQ69" s="593"/>
      <c r="DR69" s="593"/>
      <c r="DS69" s="593"/>
      <c r="DT69" s="593"/>
      <c r="DU69" s="593"/>
      <c r="DV69" s="593"/>
      <c r="DW69" s="593"/>
      <c r="DX69" s="593"/>
      <c r="DY69" s="593"/>
      <c r="DZ69" s="593"/>
      <c r="EA69" s="593"/>
      <c r="EB69" s="593"/>
      <c r="EC69" s="593"/>
      <c r="ED69" s="593"/>
      <c r="EE69" s="593"/>
      <c r="EF69" s="593"/>
      <c r="EG69" s="593"/>
      <c r="EH69" s="593"/>
      <c r="EI69" s="593"/>
      <c r="EJ69" s="593"/>
      <c r="EK69" s="593"/>
      <c r="EL69" s="593"/>
      <c r="EM69" s="593"/>
      <c r="EN69" s="593"/>
      <c r="EO69" s="593"/>
      <c r="EP69" s="593"/>
      <c r="EQ69" s="593"/>
      <c r="ER69" s="593"/>
      <c r="ES69" s="593"/>
      <c r="ET69" s="593"/>
      <c r="EU69" s="593"/>
      <c r="EV69" s="593"/>
      <c r="EW69" s="593"/>
      <c r="EX69" s="593"/>
      <c r="EY69" s="593"/>
      <c r="EZ69" s="593"/>
      <c r="FA69" s="593"/>
      <c r="FB69" s="593"/>
      <c r="FC69" s="593"/>
      <c r="FD69" s="593"/>
      <c r="FE69" s="593"/>
      <c r="FF69" s="593"/>
      <c r="FG69" s="593"/>
      <c r="FH69" s="593"/>
      <c r="FI69" s="593"/>
      <c r="FJ69" s="593"/>
      <c r="FK69" s="593"/>
      <c r="FL69" s="593"/>
      <c r="FM69" s="593"/>
      <c r="FN69" s="593"/>
      <c r="FO69" s="593"/>
      <c r="FP69" s="593"/>
      <c r="FQ69" s="593"/>
      <c r="FR69" s="593"/>
      <c r="FS69" s="593"/>
      <c r="FT69" s="593"/>
      <c r="FU69" s="593"/>
      <c r="FV69" s="593"/>
      <c r="FW69" s="593"/>
      <c r="FX69" s="593"/>
      <c r="FY69" s="593"/>
      <c r="FZ69" s="593"/>
      <c r="GA69" s="593"/>
      <c r="GB69" s="593"/>
      <c r="GC69" s="593"/>
      <c r="GD69" s="593"/>
      <c r="GE69" s="593"/>
      <c r="GF69" s="593"/>
      <c r="GG69" s="593"/>
      <c r="GH69" s="593"/>
      <c r="GI69" s="593"/>
      <c r="GJ69" s="593"/>
      <c r="GK69" s="593"/>
      <c r="GL69" s="593"/>
      <c r="GM69" s="593"/>
      <c r="GN69" s="593"/>
      <c r="GO69" s="593"/>
      <c r="GP69" s="593"/>
      <c r="GQ69" s="593"/>
      <c r="GR69" s="593"/>
      <c r="GS69" s="593"/>
      <c r="GT69" s="593"/>
      <c r="GU69" s="593"/>
      <c r="GV69" s="593"/>
      <c r="GW69" s="593"/>
      <c r="GX69" s="593"/>
      <c r="GY69" s="593"/>
      <c r="GZ69" s="593"/>
      <c r="HA69" s="593"/>
      <c r="HB69" s="593"/>
      <c r="HC69" s="593"/>
      <c r="HD69" s="593"/>
      <c r="HE69" s="593"/>
      <c r="HF69" s="593"/>
      <c r="HG69" s="593"/>
      <c r="HH69" s="593"/>
      <c r="HI69" s="593"/>
      <c r="HJ69" s="593"/>
      <c r="HK69" s="593"/>
      <c r="HL69" s="593"/>
      <c r="HM69" s="593"/>
      <c r="HN69" s="593"/>
      <c r="HO69" s="593"/>
      <c r="HP69" s="593"/>
      <c r="HQ69" s="593"/>
      <c r="HR69" s="593"/>
      <c r="HS69" s="593"/>
      <c r="HT69" s="593"/>
      <c r="HU69" s="593"/>
      <c r="HV69" s="593"/>
      <c r="HW69" s="593"/>
      <c r="HX69" s="593"/>
      <c r="HY69" s="593"/>
      <c r="HZ69" s="593"/>
      <c r="IA69" s="593"/>
      <c r="IB69" s="593"/>
      <c r="IC69" s="593"/>
      <c r="ID69" s="593"/>
      <c r="IE69" s="593"/>
      <c r="IF69" s="593"/>
      <c r="IG69" s="593"/>
      <c r="IH69" s="593"/>
      <c r="II69" s="593"/>
      <c r="IJ69" s="593"/>
      <c r="IK69" s="593"/>
      <c r="IL69" s="593"/>
      <c r="IM69" s="593"/>
      <c r="IN69" s="593"/>
      <c r="IO69" s="593"/>
      <c r="IP69" s="593"/>
      <c r="IQ69" s="593"/>
      <c r="IR69" s="593"/>
      <c r="IS69" s="593"/>
      <c r="IT69" s="593"/>
      <c r="IU69" s="593"/>
      <c r="IV69" s="593"/>
    </row>
    <row r="70" spans="1:256" s="1108" customFormat="1" hidden="1">
      <c r="A70" s="593"/>
      <c r="B70" s="594">
        <v>1</v>
      </c>
      <c r="C70" s="598">
        <f>E63</f>
        <v>3.1949999999999999E-2</v>
      </c>
      <c r="D70" s="622" t="s">
        <v>1044</v>
      </c>
      <c r="E70" s="596">
        <f>E42</f>
        <v>84724</v>
      </c>
      <c r="F70" s="594">
        <v>1</v>
      </c>
      <c r="G70" s="594" t="s">
        <v>465</v>
      </c>
      <c r="H70" s="623">
        <f>ROUND(C70*E70/F70,2)</f>
        <v>2706.93</v>
      </c>
      <c r="I70" s="593"/>
      <c r="J70" s="593"/>
      <c r="K70" s="593"/>
      <c r="L70" s="593"/>
      <c r="M70" s="593"/>
      <c r="N70" s="593"/>
      <c r="O70" s="593"/>
      <c r="P70" s="593"/>
      <c r="Q70" s="593"/>
      <c r="R70" s="593"/>
      <c r="S70" s="593"/>
      <c r="T70" s="593"/>
      <c r="U70" s="593"/>
      <c r="V70" s="593"/>
      <c r="W70" s="593"/>
      <c r="X70" s="593"/>
      <c r="Y70" s="593"/>
      <c r="Z70" s="593"/>
      <c r="AA70" s="593"/>
      <c r="AB70" s="593"/>
      <c r="AC70" s="593"/>
      <c r="AD70" s="593"/>
      <c r="AE70" s="593"/>
      <c r="AF70" s="593"/>
      <c r="AG70" s="593"/>
      <c r="AH70" s="593"/>
      <c r="AI70" s="593"/>
      <c r="AJ70" s="593"/>
      <c r="AK70" s="593"/>
      <c r="AL70" s="593"/>
      <c r="AM70" s="593"/>
      <c r="AN70" s="593"/>
      <c r="AO70" s="593"/>
      <c r="AP70" s="593"/>
      <c r="AQ70" s="593"/>
      <c r="AR70" s="593"/>
      <c r="AS70" s="593"/>
      <c r="AT70" s="593"/>
      <c r="AU70" s="593"/>
      <c r="AV70" s="593"/>
      <c r="AW70" s="593"/>
      <c r="AX70" s="593"/>
      <c r="AY70" s="593"/>
      <c r="AZ70" s="593"/>
      <c r="BA70" s="593"/>
      <c r="BB70" s="593"/>
      <c r="BC70" s="593"/>
      <c r="BD70" s="593"/>
      <c r="BE70" s="593"/>
      <c r="BF70" s="593"/>
      <c r="BG70" s="593"/>
      <c r="BH70" s="593"/>
      <c r="BI70" s="593"/>
      <c r="BJ70" s="593"/>
      <c r="BK70" s="593"/>
      <c r="BL70" s="593"/>
      <c r="BM70" s="593"/>
      <c r="BN70" s="593"/>
      <c r="BO70" s="593"/>
      <c r="BP70" s="593"/>
      <c r="BQ70" s="593"/>
      <c r="BR70" s="593"/>
      <c r="BS70" s="593"/>
      <c r="BT70" s="593"/>
      <c r="BU70" s="593"/>
      <c r="BV70" s="593"/>
      <c r="BW70" s="593"/>
      <c r="BX70" s="593"/>
      <c r="BY70" s="593"/>
      <c r="BZ70" s="593"/>
      <c r="CA70" s="593"/>
      <c r="CB70" s="593"/>
      <c r="CC70" s="593"/>
      <c r="CD70" s="593"/>
      <c r="CE70" s="593"/>
      <c r="CF70" s="593"/>
      <c r="CG70" s="593"/>
      <c r="CH70" s="593"/>
      <c r="CI70" s="593"/>
      <c r="CJ70" s="593"/>
      <c r="CK70" s="593"/>
      <c r="CL70" s="593"/>
      <c r="CM70" s="593"/>
      <c r="CN70" s="593"/>
      <c r="CO70" s="593"/>
      <c r="CP70" s="593"/>
      <c r="CQ70" s="593"/>
      <c r="CR70" s="593"/>
      <c r="CS70" s="593"/>
      <c r="CT70" s="593"/>
      <c r="CU70" s="593"/>
      <c r="CV70" s="593"/>
      <c r="CW70" s="593"/>
      <c r="CX70" s="593"/>
      <c r="CY70" s="593"/>
      <c r="CZ70" s="593"/>
      <c r="DA70" s="593"/>
      <c r="DB70" s="593"/>
      <c r="DC70" s="593"/>
      <c r="DD70" s="593"/>
      <c r="DE70" s="593"/>
      <c r="DF70" s="593"/>
      <c r="DG70" s="593"/>
      <c r="DH70" s="593"/>
      <c r="DI70" s="593"/>
      <c r="DJ70" s="593"/>
      <c r="DK70" s="593"/>
      <c r="DL70" s="593"/>
      <c r="DM70" s="593"/>
      <c r="DN70" s="593"/>
      <c r="DO70" s="593"/>
      <c r="DP70" s="593"/>
      <c r="DQ70" s="593"/>
      <c r="DR70" s="593"/>
      <c r="DS70" s="593"/>
      <c r="DT70" s="593"/>
      <c r="DU70" s="593"/>
      <c r="DV70" s="593"/>
      <c r="DW70" s="593"/>
      <c r="DX70" s="593"/>
      <c r="DY70" s="593"/>
      <c r="DZ70" s="593"/>
      <c r="EA70" s="593"/>
      <c r="EB70" s="593"/>
      <c r="EC70" s="593"/>
      <c r="ED70" s="593"/>
      <c r="EE70" s="593"/>
      <c r="EF70" s="593"/>
      <c r="EG70" s="593"/>
      <c r="EH70" s="593"/>
      <c r="EI70" s="593"/>
      <c r="EJ70" s="593"/>
      <c r="EK70" s="593"/>
      <c r="EL70" s="593"/>
      <c r="EM70" s="593"/>
      <c r="EN70" s="593"/>
      <c r="EO70" s="593"/>
      <c r="EP70" s="593"/>
      <c r="EQ70" s="593"/>
      <c r="ER70" s="593"/>
      <c r="ES70" s="593"/>
      <c r="ET70" s="593"/>
      <c r="EU70" s="593"/>
      <c r="EV70" s="593"/>
      <c r="EW70" s="593"/>
      <c r="EX70" s="593"/>
      <c r="EY70" s="593"/>
      <c r="EZ70" s="593"/>
      <c r="FA70" s="593"/>
      <c r="FB70" s="593"/>
      <c r="FC70" s="593"/>
      <c r="FD70" s="593"/>
      <c r="FE70" s="593"/>
      <c r="FF70" s="593"/>
      <c r="FG70" s="593"/>
      <c r="FH70" s="593"/>
      <c r="FI70" s="593"/>
      <c r="FJ70" s="593"/>
      <c r="FK70" s="593"/>
      <c r="FL70" s="593"/>
      <c r="FM70" s="593"/>
      <c r="FN70" s="593"/>
      <c r="FO70" s="593"/>
      <c r="FP70" s="593"/>
      <c r="FQ70" s="593"/>
      <c r="FR70" s="593"/>
      <c r="FS70" s="593"/>
      <c r="FT70" s="593"/>
      <c r="FU70" s="593"/>
      <c r="FV70" s="593"/>
      <c r="FW70" s="593"/>
      <c r="FX70" s="593"/>
      <c r="FY70" s="593"/>
      <c r="FZ70" s="593"/>
      <c r="GA70" s="593"/>
      <c r="GB70" s="593"/>
      <c r="GC70" s="593"/>
      <c r="GD70" s="593"/>
      <c r="GE70" s="593"/>
      <c r="GF70" s="593"/>
      <c r="GG70" s="593"/>
      <c r="GH70" s="593"/>
      <c r="GI70" s="593"/>
      <c r="GJ70" s="593"/>
      <c r="GK70" s="593"/>
      <c r="GL70" s="593"/>
      <c r="GM70" s="593"/>
      <c r="GN70" s="593"/>
      <c r="GO70" s="593"/>
      <c r="GP70" s="593"/>
      <c r="GQ70" s="593"/>
      <c r="GR70" s="593"/>
      <c r="GS70" s="593"/>
      <c r="GT70" s="593"/>
      <c r="GU70" s="593"/>
      <c r="GV70" s="593"/>
      <c r="GW70" s="593"/>
      <c r="GX70" s="593"/>
      <c r="GY70" s="593"/>
      <c r="GZ70" s="593"/>
      <c r="HA70" s="593"/>
      <c r="HB70" s="593"/>
      <c r="HC70" s="593"/>
      <c r="HD70" s="593"/>
      <c r="HE70" s="593"/>
      <c r="HF70" s="593"/>
      <c r="HG70" s="593"/>
      <c r="HH70" s="593"/>
      <c r="HI70" s="593"/>
      <c r="HJ70" s="593"/>
      <c r="HK70" s="593"/>
      <c r="HL70" s="593"/>
      <c r="HM70" s="593"/>
      <c r="HN70" s="593"/>
      <c r="HO70" s="593"/>
      <c r="HP70" s="593"/>
      <c r="HQ70" s="593"/>
      <c r="HR70" s="593"/>
      <c r="HS70" s="593"/>
      <c r="HT70" s="593"/>
      <c r="HU70" s="593"/>
      <c r="HV70" s="593"/>
      <c r="HW70" s="593"/>
      <c r="HX70" s="593"/>
      <c r="HY70" s="593"/>
      <c r="HZ70" s="593"/>
      <c r="IA70" s="593"/>
      <c r="IB70" s="593"/>
      <c r="IC70" s="593"/>
      <c r="ID70" s="593"/>
      <c r="IE70" s="593"/>
      <c r="IF70" s="593"/>
      <c r="IG70" s="593"/>
      <c r="IH70" s="593"/>
      <c r="II70" s="593"/>
      <c r="IJ70" s="593"/>
      <c r="IK70" s="593"/>
      <c r="IL70" s="593"/>
      <c r="IM70" s="593"/>
      <c r="IN70" s="593"/>
      <c r="IO70" s="593"/>
      <c r="IP70" s="593"/>
      <c r="IQ70" s="593"/>
      <c r="IR70" s="593"/>
      <c r="IS70" s="593"/>
      <c r="IT70" s="593"/>
      <c r="IU70" s="593"/>
      <c r="IV70" s="593"/>
    </row>
    <row r="71" spans="1:256" s="1108" customFormat="1" hidden="1">
      <c r="A71" s="593"/>
      <c r="B71" s="594">
        <v>2</v>
      </c>
      <c r="C71" s="598">
        <f>E64</f>
        <v>1.3500000000000002E-2</v>
      </c>
      <c r="D71" s="622" t="s">
        <v>1045</v>
      </c>
      <c r="E71" s="596">
        <f t="shared" ref="E71:E79" si="3">E43</f>
        <v>76251</v>
      </c>
      <c r="F71" s="594">
        <v>1</v>
      </c>
      <c r="G71" s="594" t="s">
        <v>465</v>
      </c>
      <c r="H71" s="623">
        <f t="shared" ref="H71:H79" si="4">ROUND(C71*E71/F71,2)</f>
        <v>1029.3900000000001</v>
      </c>
      <c r="I71" s="593"/>
      <c r="J71" s="593"/>
      <c r="K71" s="593"/>
      <c r="L71" s="593"/>
      <c r="M71" s="593"/>
      <c r="N71" s="593"/>
      <c r="O71" s="593"/>
      <c r="P71" s="593"/>
      <c r="Q71" s="593"/>
      <c r="R71" s="593"/>
      <c r="S71" s="593"/>
      <c r="T71" s="593"/>
      <c r="U71" s="593"/>
      <c r="V71" s="593"/>
      <c r="W71" s="593"/>
      <c r="X71" s="593"/>
      <c r="Y71" s="593"/>
      <c r="Z71" s="593"/>
      <c r="AA71" s="593"/>
      <c r="AB71" s="593"/>
      <c r="AC71" s="593"/>
      <c r="AD71" s="593"/>
      <c r="AE71" s="593"/>
      <c r="AF71" s="593"/>
      <c r="AG71" s="593"/>
      <c r="AH71" s="593"/>
      <c r="AI71" s="593"/>
      <c r="AJ71" s="593"/>
      <c r="AK71" s="593"/>
      <c r="AL71" s="593"/>
      <c r="AM71" s="593"/>
      <c r="AN71" s="593"/>
      <c r="AO71" s="593"/>
      <c r="AP71" s="593"/>
      <c r="AQ71" s="593"/>
      <c r="AR71" s="593"/>
      <c r="AS71" s="593"/>
      <c r="AT71" s="593"/>
      <c r="AU71" s="593"/>
      <c r="AV71" s="593"/>
      <c r="AW71" s="593"/>
      <c r="AX71" s="593"/>
      <c r="AY71" s="593"/>
      <c r="AZ71" s="593"/>
      <c r="BA71" s="593"/>
      <c r="BB71" s="593"/>
      <c r="BC71" s="593"/>
      <c r="BD71" s="593"/>
      <c r="BE71" s="593"/>
      <c r="BF71" s="593"/>
      <c r="BG71" s="593"/>
      <c r="BH71" s="593"/>
      <c r="BI71" s="593"/>
      <c r="BJ71" s="593"/>
      <c r="BK71" s="593"/>
      <c r="BL71" s="593"/>
      <c r="BM71" s="593"/>
      <c r="BN71" s="593"/>
      <c r="BO71" s="593"/>
      <c r="BP71" s="593"/>
      <c r="BQ71" s="593"/>
      <c r="BR71" s="593"/>
      <c r="BS71" s="593"/>
      <c r="BT71" s="593"/>
      <c r="BU71" s="593"/>
      <c r="BV71" s="593"/>
      <c r="BW71" s="593"/>
      <c r="BX71" s="593"/>
      <c r="BY71" s="593"/>
      <c r="BZ71" s="593"/>
      <c r="CA71" s="593"/>
      <c r="CB71" s="593"/>
      <c r="CC71" s="593"/>
      <c r="CD71" s="593"/>
      <c r="CE71" s="593"/>
      <c r="CF71" s="593"/>
      <c r="CG71" s="593"/>
      <c r="CH71" s="593"/>
      <c r="CI71" s="593"/>
      <c r="CJ71" s="593"/>
      <c r="CK71" s="593"/>
      <c r="CL71" s="593"/>
      <c r="CM71" s="593"/>
      <c r="CN71" s="593"/>
      <c r="CO71" s="593"/>
      <c r="CP71" s="593"/>
      <c r="CQ71" s="593"/>
      <c r="CR71" s="593"/>
      <c r="CS71" s="593"/>
      <c r="CT71" s="593"/>
      <c r="CU71" s="593"/>
      <c r="CV71" s="593"/>
      <c r="CW71" s="593"/>
      <c r="CX71" s="593"/>
      <c r="CY71" s="593"/>
      <c r="CZ71" s="593"/>
      <c r="DA71" s="593"/>
      <c r="DB71" s="593"/>
      <c r="DC71" s="593"/>
      <c r="DD71" s="593"/>
      <c r="DE71" s="593"/>
      <c r="DF71" s="593"/>
      <c r="DG71" s="593"/>
      <c r="DH71" s="593"/>
      <c r="DI71" s="593"/>
      <c r="DJ71" s="593"/>
      <c r="DK71" s="593"/>
      <c r="DL71" s="593"/>
      <c r="DM71" s="593"/>
      <c r="DN71" s="593"/>
      <c r="DO71" s="593"/>
      <c r="DP71" s="593"/>
      <c r="DQ71" s="593"/>
      <c r="DR71" s="593"/>
      <c r="DS71" s="593"/>
      <c r="DT71" s="593"/>
      <c r="DU71" s="593"/>
      <c r="DV71" s="593"/>
      <c r="DW71" s="593"/>
      <c r="DX71" s="593"/>
      <c r="DY71" s="593"/>
      <c r="DZ71" s="593"/>
      <c r="EA71" s="593"/>
      <c r="EB71" s="593"/>
      <c r="EC71" s="593"/>
      <c r="ED71" s="593"/>
      <c r="EE71" s="593"/>
      <c r="EF71" s="593"/>
      <c r="EG71" s="593"/>
      <c r="EH71" s="593"/>
      <c r="EI71" s="593"/>
      <c r="EJ71" s="593"/>
      <c r="EK71" s="593"/>
      <c r="EL71" s="593"/>
      <c r="EM71" s="593"/>
      <c r="EN71" s="593"/>
      <c r="EO71" s="593"/>
      <c r="EP71" s="593"/>
      <c r="EQ71" s="593"/>
      <c r="ER71" s="593"/>
      <c r="ES71" s="593"/>
      <c r="ET71" s="593"/>
      <c r="EU71" s="593"/>
      <c r="EV71" s="593"/>
      <c r="EW71" s="593"/>
      <c r="EX71" s="593"/>
      <c r="EY71" s="593"/>
      <c r="EZ71" s="593"/>
      <c r="FA71" s="593"/>
      <c r="FB71" s="593"/>
      <c r="FC71" s="593"/>
      <c r="FD71" s="593"/>
      <c r="FE71" s="593"/>
      <c r="FF71" s="593"/>
      <c r="FG71" s="593"/>
      <c r="FH71" s="593"/>
      <c r="FI71" s="593"/>
      <c r="FJ71" s="593"/>
      <c r="FK71" s="593"/>
      <c r="FL71" s="593"/>
      <c r="FM71" s="593"/>
      <c r="FN71" s="593"/>
      <c r="FO71" s="593"/>
      <c r="FP71" s="593"/>
      <c r="FQ71" s="593"/>
      <c r="FR71" s="593"/>
      <c r="FS71" s="593"/>
      <c r="FT71" s="593"/>
      <c r="FU71" s="593"/>
      <c r="FV71" s="593"/>
      <c r="FW71" s="593"/>
      <c r="FX71" s="593"/>
      <c r="FY71" s="593"/>
      <c r="FZ71" s="593"/>
      <c r="GA71" s="593"/>
      <c r="GB71" s="593"/>
      <c r="GC71" s="593"/>
      <c r="GD71" s="593"/>
      <c r="GE71" s="593"/>
      <c r="GF71" s="593"/>
      <c r="GG71" s="593"/>
      <c r="GH71" s="593"/>
      <c r="GI71" s="593"/>
      <c r="GJ71" s="593"/>
      <c r="GK71" s="593"/>
      <c r="GL71" s="593"/>
      <c r="GM71" s="593"/>
      <c r="GN71" s="593"/>
      <c r="GO71" s="593"/>
      <c r="GP71" s="593"/>
      <c r="GQ71" s="593"/>
      <c r="GR71" s="593"/>
      <c r="GS71" s="593"/>
      <c r="GT71" s="593"/>
      <c r="GU71" s="593"/>
      <c r="GV71" s="593"/>
      <c r="GW71" s="593"/>
      <c r="GX71" s="593"/>
      <c r="GY71" s="593"/>
      <c r="GZ71" s="593"/>
      <c r="HA71" s="593"/>
      <c r="HB71" s="593"/>
      <c r="HC71" s="593"/>
      <c r="HD71" s="593"/>
      <c r="HE71" s="593"/>
      <c r="HF71" s="593"/>
      <c r="HG71" s="593"/>
      <c r="HH71" s="593"/>
      <c r="HI71" s="593"/>
      <c r="HJ71" s="593"/>
      <c r="HK71" s="593"/>
      <c r="HL71" s="593"/>
      <c r="HM71" s="593"/>
      <c r="HN71" s="593"/>
      <c r="HO71" s="593"/>
      <c r="HP71" s="593"/>
      <c r="HQ71" s="593"/>
      <c r="HR71" s="593"/>
      <c r="HS71" s="593"/>
      <c r="HT71" s="593"/>
      <c r="HU71" s="593"/>
      <c r="HV71" s="593"/>
      <c r="HW71" s="593"/>
      <c r="HX71" s="593"/>
      <c r="HY71" s="593"/>
      <c r="HZ71" s="593"/>
      <c r="IA71" s="593"/>
      <c r="IB71" s="593"/>
      <c r="IC71" s="593"/>
      <c r="ID71" s="593"/>
      <c r="IE71" s="593"/>
      <c r="IF71" s="593"/>
      <c r="IG71" s="593"/>
      <c r="IH71" s="593"/>
      <c r="II71" s="593"/>
      <c r="IJ71" s="593"/>
      <c r="IK71" s="593"/>
      <c r="IL71" s="593"/>
      <c r="IM71" s="593"/>
      <c r="IN71" s="593"/>
      <c r="IO71" s="593"/>
      <c r="IP71" s="593"/>
      <c r="IQ71" s="593"/>
      <c r="IR71" s="593"/>
      <c r="IS71" s="593"/>
      <c r="IT71" s="593"/>
      <c r="IU71" s="593"/>
      <c r="IV71" s="593"/>
    </row>
    <row r="72" spans="1:256" s="1108" customFormat="1" ht="56.25" hidden="1" customHeight="1">
      <c r="A72" s="593"/>
      <c r="B72" s="594">
        <v>3</v>
      </c>
      <c r="C72" s="594">
        <f>E67</f>
        <v>3.41</v>
      </c>
      <c r="D72" s="600" t="s">
        <v>978</v>
      </c>
      <c r="E72" s="596">
        <f t="shared" si="3"/>
        <v>1417</v>
      </c>
      <c r="F72" s="594">
        <v>1</v>
      </c>
      <c r="G72" s="594" t="s">
        <v>461</v>
      </c>
      <c r="H72" s="623">
        <f t="shared" si="4"/>
        <v>4831.97</v>
      </c>
      <c r="I72" s="593"/>
      <c r="J72" s="593"/>
      <c r="K72" s="593"/>
      <c r="L72" s="593"/>
      <c r="M72" s="593"/>
      <c r="N72" s="593"/>
      <c r="O72" s="593"/>
      <c r="P72" s="593"/>
      <c r="Q72" s="593"/>
      <c r="R72" s="593"/>
      <c r="S72" s="593"/>
      <c r="T72" s="593"/>
      <c r="U72" s="593"/>
      <c r="V72" s="593"/>
      <c r="W72" s="593"/>
      <c r="X72" s="593"/>
      <c r="Y72" s="593"/>
      <c r="Z72" s="593"/>
      <c r="AA72" s="593"/>
      <c r="AB72" s="593"/>
      <c r="AC72" s="593"/>
      <c r="AD72" s="593"/>
      <c r="AE72" s="593"/>
      <c r="AF72" s="593"/>
      <c r="AG72" s="593"/>
      <c r="AH72" s="593"/>
      <c r="AI72" s="593"/>
      <c r="AJ72" s="593"/>
      <c r="AK72" s="593"/>
      <c r="AL72" s="593"/>
      <c r="AM72" s="593"/>
      <c r="AN72" s="593"/>
      <c r="AO72" s="593"/>
      <c r="AP72" s="593"/>
      <c r="AQ72" s="593"/>
      <c r="AR72" s="593"/>
      <c r="AS72" s="593"/>
      <c r="AT72" s="593"/>
      <c r="AU72" s="593"/>
      <c r="AV72" s="593"/>
      <c r="AW72" s="593"/>
      <c r="AX72" s="593"/>
      <c r="AY72" s="593"/>
      <c r="AZ72" s="593"/>
      <c r="BA72" s="593"/>
      <c r="BB72" s="593"/>
      <c r="BC72" s="593"/>
      <c r="BD72" s="593"/>
      <c r="BE72" s="593"/>
      <c r="BF72" s="593"/>
      <c r="BG72" s="593"/>
      <c r="BH72" s="593"/>
      <c r="BI72" s="593"/>
      <c r="BJ72" s="593"/>
      <c r="BK72" s="593"/>
      <c r="BL72" s="593"/>
      <c r="BM72" s="593"/>
      <c r="BN72" s="593"/>
      <c r="BO72" s="593"/>
      <c r="BP72" s="593"/>
      <c r="BQ72" s="593"/>
      <c r="BR72" s="593"/>
      <c r="BS72" s="593"/>
      <c r="BT72" s="593"/>
      <c r="BU72" s="593"/>
      <c r="BV72" s="593"/>
      <c r="BW72" s="593"/>
      <c r="BX72" s="593"/>
      <c r="BY72" s="593"/>
      <c r="BZ72" s="593"/>
      <c r="CA72" s="593"/>
      <c r="CB72" s="593"/>
      <c r="CC72" s="593"/>
      <c r="CD72" s="593"/>
      <c r="CE72" s="593"/>
      <c r="CF72" s="593"/>
      <c r="CG72" s="593"/>
      <c r="CH72" s="593"/>
      <c r="CI72" s="593"/>
      <c r="CJ72" s="593"/>
      <c r="CK72" s="593"/>
      <c r="CL72" s="593"/>
      <c r="CM72" s="593"/>
      <c r="CN72" s="593"/>
      <c r="CO72" s="593"/>
      <c r="CP72" s="593"/>
      <c r="CQ72" s="593"/>
      <c r="CR72" s="593"/>
      <c r="CS72" s="593"/>
      <c r="CT72" s="593"/>
      <c r="CU72" s="593"/>
      <c r="CV72" s="593"/>
      <c r="CW72" s="593"/>
      <c r="CX72" s="593"/>
      <c r="CY72" s="593"/>
      <c r="CZ72" s="593"/>
      <c r="DA72" s="593"/>
      <c r="DB72" s="593"/>
      <c r="DC72" s="593"/>
      <c r="DD72" s="593"/>
      <c r="DE72" s="593"/>
      <c r="DF72" s="593"/>
      <c r="DG72" s="593"/>
      <c r="DH72" s="593"/>
      <c r="DI72" s="593"/>
      <c r="DJ72" s="593"/>
      <c r="DK72" s="593"/>
      <c r="DL72" s="593"/>
      <c r="DM72" s="593"/>
      <c r="DN72" s="593"/>
      <c r="DO72" s="593"/>
      <c r="DP72" s="593"/>
      <c r="DQ72" s="593"/>
      <c r="DR72" s="593"/>
      <c r="DS72" s="593"/>
      <c r="DT72" s="593"/>
      <c r="DU72" s="593"/>
      <c r="DV72" s="593"/>
      <c r="DW72" s="593"/>
      <c r="DX72" s="593"/>
      <c r="DY72" s="593"/>
      <c r="DZ72" s="593"/>
      <c r="EA72" s="593"/>
      <c r="EB72" s="593"/>
      <c r="EC72" s="593"/>
      <c r="ED72" s="593"/>
      <c r="EE72" s="593"/>
      <c r="EF72" s="593"/>
      <c r="EG72" s="593"/>
      <c r="EH72" s="593"/>
      <c r="EI72" s="593"/>
      <c r="EJ72" s="593"/>
      <c r="EK72" s="593"/>
      <c r="EL72" s="593"/>
      <c r="EM72" s="593"/>
      <c r="EN72" s="593"/>
      <c r="EO72" s="593"/>
      <c r="EP72" s="593"/>
      <c r="EQ72" s="593"/>
      <c r="ER72" s="593"/>
      <c r="ES72" s="593"/>
      <c r="ET72" s="593"/>
      <c r="EU72" s="593"/>
      <c r="EV72" s="593"/>
      <c r="EW72" s="593"/>
      <c r="EX72" s="593"/>
      <c r="EY72" s="593"/>
      <c r="EZ72" s="593"/>
      <c r="FA72" s="593"/>
      <c r="FB72" s="593"/>
      <c r="FC72" s="593"/>
      <c r="FD72" s="593"/>
      <c r="FE72" s="593"/>
      <c r="FF72" s="593"/>
      <c r="FG72" s="593"/>
      <c r="FH72" s="593"/>
      <c r="FI72" s="593"/>
      <c r="FJ72" s="593"/>
      <c r="FK72" s="593"/>
      <c r="FL72" s="593"/>
      <c r="FM72" s="593"/>
      <c r="FN72" s="593"/>
      <c r="FO72" s="593"/>
      <c r="FP72" s="593"/>
      <c r="FQ72" s="593"/>
      <c r="FR72" s="593"/>
      <c r="FS72" s="593"/>
      <c r="FT72" s="593"/>
      <c r="FU72" s="593"/>
      <c r="FV72" s="593"/>
      <c r="FW72" s="593"/>
      <c r="FX72" s="593"/>
      <c r="FY72" s="593"/>
      <c r="FZ72" s="593"/>
      <c r="GA72" s="593"/>
      <c r="GB72" s="593"/>
      <c r="GC72" s="593"/>
      <c r="GD72" s="593"/>
      <c r="GE72" s="593"/>
      <c r="GF72" s="593"/>
      <c r="GG72" s="593"/>
      <c r="GH72" s="593"/>
      <c r="GI72" s="593"/>
      <c r="GJ72" s="593"/>
      <c r="GK72" s="593"/>
      <c r="GL72" s="593"/>
      <c r="GM72" s="593"/>
      <c r="GN72" s="593"/>
      <c r="GO72" s="593"/>
      <c r="GP72" s="593"/>
      <c r="GQ72" s="593"/>
      <c r="GR72" s="593"/>
      <c r="GS72" s="593"/>
      <c r="GT72" s="593"/>
      <c r="GU72" s="593"/>
      <c r="GV72" s="593"/>
      <c r="GW72" s="593"/>
      <c r="GX72" s="593"/>
      <c r="GY72" s="593"/>
      <c r="GZ72" s="593"/>
      <c r="HA72" s="593"/>
      <c r="HB72" s="593"/>
      <c r="HC72" s="593"/>
      <c r="HD72" s="593"/>
      <c r="HE72" s="593"/>
      <c r="HF72" s="593"/>
      <c r="HG72" s="593"/>
      <c r="HH72" s="593"/>
      <c r="HI72" s="593"/>
      <c r="HJ72" s="593"/>
      <c r="HK72" s="593"/>
      <c r="HL72" s="593"/>
      <c r="HM72" s="593"/>
      <c r="HN72" s="593"/>
      <c r="HO72" s="593"/>
      <c r="HP72" s="593"/>
      <c r="HQ72" s="593"/>
      <c r="HR72" s="593"/>
      <c r="HS72" s="593"/>
      <c r="HT72" s="593"/>
      <c r="HU72" s="593"/>
      <c r="HV72" s="593"/>
      <c r="HW72" s="593"/>
      <c r="HX72" s="593"/>
      <c r="HY72" s="593"/>
      <c r="HZ72" s="593"/>
      <c r="IA72" s="593"/>
      <c r="IB72" s="593"/>
      <c r="IC72" s="593"/>
      <c r="ID72" s="593"/>
      <c r="IE72" s="593"/>
      <c r="IF72" s="593"/>
      <c r="IG72" s="593"/>
      <c r="IH72" s="593"/>
      <c r="II72" s="593"/>
      <c r="IJ72" s="593"/>
      <c r="IK72" s="593"/>
      <c r="IL72" s="593"/>
      <c r="IM72" s="593"/>
      <c r="IN72" s="593"/>
      <c r="IO72" s="593"/>
      <c r="IP72" s="593"/>
      <c r="IQ72" s="593"/>
      <c r="IR72" s="593"/>
      <c r="IS72" s="593"/>
      <c r="IT72" s="593"/>
      <c r="IU72" s="593"/>
      <c r="IV72" s="593"/>
    </row>
    <row r="73" spans="1:256" s="1108" customFormat="1" hidden="1">
      <c r="A73" s="593"/>
      <c r="B73" s="594">
        <v>4</v>
      </c>
      <c r="C73" s="596">
        <v>6</v>
      </c>
      <c r="D73" s="597" t="s">
        <v>1026</v>
      </c>
      <c r="E73" s="596">
        <f t="shared" si="3"/>
        <v>34</v>
      </c>
      <c r="F73" s="594">
        <v>1</v>
      </c>
      <c r="G73" s="594" t="s">
        <v>268</v>
      </c>
      <c r="H73" s="623">
        <f t="shared" si="4"/>
        <v>204</v>
      </c>
      <c r="I73" s="593"/>
      <c r="J73" s="593"/>
      <c r="K73" s="593"/>
      <c r="L73" s="593"/>
      <c r="M73" s="593"/>
      <c r="N73" s="593"/>
      <c r="O73" s="593"/>
      <c r="P73" s="593"/>
      <c r="Q73" s="593"/>
      <c r="R73" s="593"/>
      <c r="S73" s="593"/>
      <c r="T73" s="593"/>
      <c r="U73" s="593"/>
      <c r="V73" s="593"/>
      <c r="W73" s="593"/>
      <c r="X73" s="593"/>
      <c r="Y73" s="593"/>
      <c r="Z73" s="593"/>
      <c r="AA73" s="593"/>
      <c r="AB73" s="593"/>
      <c r="AC73" s="593"/>
      <c r="AD73" s="593"/>
      <c r="AE73" s="593"/>
      <c r="AF73" s="593"/>
      <c r="AG73" s="593"/>
      <c r="AH73" s="593"/>
      <c r="AI73" s="593"/>
      <c r="AJ73" s="593"/>
      <c r="AK73" s="593"/>
      <c r="AL73" s="593"/>
      <c r="AM73" s="593"/>
      <c r="AN73" s="593"/>
      <c r="AO73" s="593"/>
      <c r="AP73" s="593"/>
      <c r="AQ73" s="593"/>
      <c r="AR73" s="593"/>
      <c r="AS73" s="593"/>
      <c r="AT73" s="593"/>
      <c r="AU73" s="593"/>
      <c r="AV73" s="593"/>
      <c r="AW73" s="593"/>
      <c r="AX73" s="593"/>
      <c r="AY73" s="593"/>
      <c r="AZ73" s="593"/>
      <c r="BA73" s="593"/>
      <c r="BB73" s="593"/>
      <c r="BC73" s="593"/>
      <c r="BD73" s="593"/>
      <c r="BE73" s="593"/>
      <c r="BF73" s="593"/>
      <c r="BG73" s="593"/>
      <c r="BH73" s="593"/>
      <c r="BI73" s="593"/>
      <c r="BJ73" s="593"/>
      <c r="BK73" s="593"/>
      <c r="BL73" s="593"/>
      <c r="BM73" s="593"/>
      <c r="BN73" s="593"/>
      <c r="BO73" s="593"/>
      <c r="BP73" s="593"/>
      <c r="BQ73" s="593"/>
      <c r="BR73" s="593"/>
      <c r="BS73" s="593"/>
      <c r="BT73" s="593"/>
      <c r="BU73" s="593"/>
      <c r="BV73" s="593"/>
      <c r="BW73" s="593"/>
      <c r="BX73" s="593"/>
      <c r="BY73" s="593"/>
      <c r="BZ73" s="593"/>
      <c r="CA73" s="593"/>
      <c r="CB73" s="593"/>
      <c r="CC73" s="593"/>
      <c r="CD73" s="593"/>
      <c r="CE73" s="593"/>
      <c r="CF73" s="593"/>
      <c r="CG73" s="593"/>
      <c r="CH73" s="593"/>
      <c r="CI73" s="593"/>
      <c r="CJ73" s="593"/>
      <c r="CK73" s="593"/>
      <c r="CL73" s="593"/>
      <c r="CM73" s="593"/>
      <c r="CN73" s="593"/>
      <c r="CO73" s="593"/>
      <c r="CP73" s="593"/>
      <c r="CQ73" s="593"/>
      <c r="CR73" s="593"/>
      <c r="CS73" s="593"/>
      <c r="CT73" s="593"/>
      <c r="CU73" s="593"/>
      <c r="CV73" s="593"/>
      <c r="CW73" s="593"/>
      <c r="CX73" s="593"/>
      <c r="CY73" s="593"/>
      <c r="CZ73" s="593"/>
      <c r="DA73" s="593"/>
      <c r="DB73" s="593"/>
      <c r="DC73" s="593"/>
      <c r="DD73" s="593"/>
      <c r="DE73" s="593"/>
      <c r="DF73" s="593"/>
      <c r="DG73" s="593"/>
      <c r="DH73" s="593"/>
      <c r="DI73" s="593"/>
      <c r="DJ73" s="593"/>
      <c r="DK73" s="593"/>
      <c r="DL73" s="593"/>
      <c r="DM73" s="593"/>
      <c r="DN73" s="593"/>
      <c r="DO73" s="593"/>
      <c r="DP73" s="593"/>
      <c r="DQ73" s="593"/>
      <c r="DR73" s="593"/>
      <c r="DS73" s="593"/>
      <c r="DT73" s="593"/>
      <c r="DU73" s="593"/>
      <c r="DV73" s="593"/>
      <c r="DW73" s="593"/>
      <c r="DX73" s="593"/>
      <c r="DY73" s="593"/>
      <c r="DZ73" s="593"/>
      <c r="EA73" s="593"/>
      <c r="EB73" s="593"/>
      <c r="EC73" s="593"/>
      <c r="ED73" s="593"/>
      <c r="EE73" s="593"/>
      <c r="EF73" s="593"/>
      <c r="EG73" s="593"/>
      <c r="EH73" s="593"/>
      <c r="EI73" s="593"/>
      <c r="EJ73" s="593"/>
      <c r="EK73" s="593"/>
      <c r="EL73" s="593"/>
      <c r="EM73" s="593"/>
      <c r="EN73" s="593"/>
      <c r="EO73" s="593"/>
      <c r="EP73" s="593"/>
      <c r="EQ73" s="593"/>
      <c r="ER73" s="593"/>
      <c r="ES73" s="593"/>
      <c r="ET73" s="593"/>
      <c r="EU73" s="593"/>
      <c r="EV73" s="593"/>
      <c r="EW73" s="593"/>
      <c r="EX73" s="593"/>
      <c r="EY73" s="593"/>
      <c r="EZ73" s="593"/>
      <c r="FA73" s="593"/>
      <c r="FB73" s="593"/>
      <c r="FC73" s="593"/>
      <c r="FD73" s="593"/>
      <c r="FE73" s="593"/>
      <c r="FF73" s="593"/>
      <c r="FG73" s="593"/>
      <c r="FH73" s="593"/>
      <c r="FI73" s="593"/>
      <c r="FJ73" s="593"/>
      <c r="FK73" s="593"/>
      <c r="FL73" s="593"/>
      <c r="FM73" s="593"/>
      <c r="FN73" s="593"/>
      <c r="FO73" s="593"/>
      <c r="FP73" s="593"/>
      <c r="FQ73" s="593"/>
      <c r="FR73" s="593"/>
      <c r="FS73" s="593"/>
      <c r="FT73" s="593"/>
      <c r="FU73" s="593"/>
      <c r="FV73" s="593"/>
      <c r="FW73" s="593"/>
      <c r="FX73" s="593"/>
      <c r="FY73" s="593"/>
      <c r="FZ73" s="593"/>
      <c r="GA73" s="593"/>
      <c r="GB73" s="593"/>
      <c r="GC73" s="593"/>
      <c r="GD73" s="593"/>
      <c r="GE73" s="593"/>
      <c r="GF73" s="593"/>
      <c r="GG73" s="593"/>
      <c r="GH73" s="593"/>
      <c r="GI73" s="593"/>
      <c r="GJ73" s="593"/>
      <c r="GK73" s="593"/>
      <c r="GL73" s="593"/>
      <c r="GM73" s="593"/>
      <c r="GN73" s="593"/>
      <c r="GO73" s="593"/>
      <c r="GP73" s="593"/>
      <c r="GQ73" s="593"/>
      <c r="GR73" s="593"/>
      <c r="GS73" s="593"/>
      <c r="GT73" s="593"/>
      <c r="GU73" s="593"/>
      <c r="GV73" s="593"/>
      <c r="GW73" s="593"/>
      <c r="GX73" s="593"/>
      <c r="GY73" s="593"/>
      <c r="GZ73" s="593"/>
      <c r="HA73" s="593"/>
      <c r="HB73" s="593"/>
      <c r="HC73" s="593"/>
      <c r="HD73" s="593"/>
      <c r="HE73" s="593"/>
      <c r="HF73" s="593"/>
      <c r="HG73" s="593"/>
      <c r="HH73" s="593"/>
      <c r="HI73" s="593"/>
      <c r="HJ73" s="593"/>
      <c r="HK73" s="593"/>
      <c r="HL73" s="593"/>
      <c r="HM73" s="593"/>
      <c r="HN73" s="593"/>
      <c r="HO73" s="593"/>
      <c r="HP73" s="593"/>
      <c r="HQ73" s="593"/>
      <c r="HR73" s="593"/>
      <c r="HS73" s="593"/>
      <c r="HT73" s="593"/>
      <c r="HU73" s="593"/>
      <c r="HV73" s="593"/>
      <c r="HW73" s="593"/>
      <c r="HX73" s="593"/>
      <c r="HY73" s="593"/>
      <c r="HZ73" s="593"/>
      <c r="IA73" s="593"/>
      <c r="IB73" s="593"/>
      <c r="IC73" s="593"/>
      <c r="ID73" s="593"/>
      <c r="IE73" s="593"/>
      <c r="IF73" s="593"/>
      <c r="IG73" s="593"/>
      <c r="IH73" s="593"/>
      <c r="II73" s="593"/>
      <c r="IJ73" s="593"/>
      <c r="IK73" s="593"/>
      <c r="IL73" s="593"/>
      <c r="IM73" s="593"/>
      <c r="IN73" s="593"/>
      <c r="IO73" s="593"/>
      <c r="IP73" s="593"/>
      <c r="IQ73" s="593"/>
      <c r="IR73" s="593"/>
      <c r="IS73" s="593"/>
      <c r="IT73" s="593"/>
      <c r="IU73" s="593"/>
      <c r="IV73" s="593"/>
    </row>
    <row r="74" spans="1:256" s="1108" customFormat="1" hidden="1">
      <c r="A74" s="593"/>
      <c r="B74" s="594">
        <v>5</v>
      </c>
      <c r="C74" s="596">
        <v>1</v>
      </c>
      <c r="D74" s="622" t="s">
        <v>1228</v>
      </c>
      <c r="E74" s="596">
        <f t="shared" si="3"/>
        <v>173</v>
      </c>
      <c r="F74" s="594">
        <v>1</v>
      </c>
      <c r="G74" s="594" t="s">
        <v>268</v>
      </c>
      <c r="H74" s="623">
        <f t="shared" si="4"/>
        <v>173</v>
      </c>
      <c r="I74" s="593"/>
      <c r="J74" s="593"/>
      <c r="K74" s="593"/>
      <c r="L74" s="593"/>
      <c r="M74" s="593"/>
      <c r="N74" s="593"/>
      <c r="O74" s="593"/>
      <c r="P74" s="593"/>
      <c r="Q74" s="593"/>
      <c r="R74" s="593"/>
      <c r="S74" s="593"/>
      <c r="T74" s="593"/>
      <c r="U74" s="593"/>
      <c r="V74" s="593"/>
      <c r="W74" s="593"/>
      <c r="X74" s="593"/>
      <c r="Y74" s="593"/>
      <c r="Z74" s="593"/>
      <c r="AA74" s="593"/>
      <c r="AB74" s="593"/>
      <c r="AC74" s="593"/>
      <c r="AD74" s="593"/>
      <c r="AE74" s="593"/>
      <c r="AF74" s="593"/>
      <c r="AG74" s="593"/>
      <c r="AH74" s="593"/>
      <c r="AI74" s="593"/>
      <c r="AJ74" s="593"/>
      <c r="AK74" s="593"/>
      <c r="AL74" s="593"/>
      <c r="AM74" s="593"/>
      <c r="AN74" s="593"/>
      <c r="AO74" s="593"/>
      <c r="AP74" s="593"/>
      <c r="AQ74" s="593"/>
      <c r="AR74" s="593"/>
      <c r="AS74" s="593"/>
      <c r="AT74" s="593"/>
      <c r="AU74" s="593"/>
      <c r="AV74" s="593"/>
      <c r="AW74" s="593"/>
      <c r="AX74" s="593"/>
      <c r="AY74" s="593"/>
      <c r="AZ74" s="593"/>
      <c r="BA74" s="593"/>
      <c r="BB74" s="593"/>
      <c r="BC74" s="593"/>
      <c r="BD74" s="593"/>
      <c r="BE74" s="593"/>
      <c r="BF74" s="593"/>
      <c r="BG74" s="593"/>
      <c r="BH74" s="593"/>
      <c r="BI74" s="593"/>
      <c r="BJ74" s="593"/>
      <c r="BK74" s="593"/>
      <c r="BL74" s="593"/>
      <c r="BM74" s="593"/>
      <c r="BN74" s="593"/>
      <c r="BO74" s="593"/>
      <c r="BP74" s="593"/>
      <c r="BQ74" s="593"/>
      <c r="BR74" s="593"/>
      <c r="BS74" s="593"/>
      <c r="BT74" s="593"/>
      <c r="BU74" s="593"/>
      <c r="BV74" s="593"/>
      <c r="BW74" s="593"/>
      <c r="BX74" s="593"/>
      <c r="BY74" s="593"/>
      <c r="BZ74" s="593"/>
      <c r="CA74" s="593"/>
      <c r="CB74" s="593"/>
      <c r="CC74" s="593"/>
      <c r="CD74" s="593"/>
      <c r="CE74" s="593"/>
      <c r="CF74" s="593"/>
      <c r="CG74" s="593"/>
      <c r="CH74" s="593"/>
      <c r="CI74" s="593"/>
      <c r="CJ74" s="593"/>
      <c r="CK74" s="593"/>
      <c r="CL74" s="593"/>
      <c r="CM74" s="593"/>
      <c r="CN74" s="593"/>
      <c r="CO74" s="593"/>
      <c r="CP74" s="593"/>
      <c r="CQ74" s="593"/>
      <c r="CR74" s="593"/>
      <c r="CS74" s="593"/>
      <c r="CT74" s="593"/>
      <c r="CU74" s="593"/>
      <c r="CV74" s="593"/>
      <c r="CW74" s="593"/>
      <c r="CX74" s="593"/>
      <c r="CY74" s="593"/>
      <c r="CZ74" s="593"/>
      <c r="DA74" s="593"/>
      <c r="DB74" s="593"/>
      <c r="DC74" s="593"/>
      <c r="DD74" s="593"/>
      <c r="DE74" s="593"/>
      <c r="DF74" s="593"/>
      <c r="DG74" s="593"/>
      <c r="DH74" s="593"/>
      <c r="DI74" s="593"/>
      <c r="DJ74" s="593"/>
      <c r="DK74" s="593"/>
      <c r="DL74" s="593"/>
      <c r="DM74" s="593"/>
      <c r="DN74" s="593"/>
      <c r="DO74" s="593"/>
      <c r="DP74" s="593"/>
      <c r="DQ74" s="593"/>
      <c r="DR74" s="593"/>
      <c r="DS74" s="593"/>
      <c r="DT74" s="593"/>
      <c r="DU74" s="593"/>
      <c r="DV74" s="593"/>
      <c r="DW74" s="593"/>
      <c r="DX74" s="593"/>
      <c r="DY74" s="593"/>
      <c r="DZ74" s="593"/>
      <c r="EA74" s="593"/>
      <c r="EB74" s="593"/>
      <c r="EC74" s="593"/>
      <c r="ED74" s="593"/>
      <c r="EE74" s="593"/>
      <c r="EF74" s="593"/>
      <c r="EG74" s="593"/>
      <c r="EH74" s="593"/>
      <c r="EI74" s="593"/>
      <c r="EJ74" s="593"/>
      <c r="EK74" s="593"/>
      <c r="EL74" s="593"/>
      <c r="EM74" s="593"/>
      <c r="EN74" s="593"/>
      <c r="EO74" s="593"/>
      <c r="EP74" s="593"/>
      <c r="EQ74" s="593"/>
      <c r="ER74" s="593"/>
      <c r="ES74" s="593"/>
      <c r="ET74" s="593"/>
      <c r="EU74" s="593"/>
      <c r="EV74" s="593"/>
      <c r="EW74" s="593"/>
      <c r="EX74" s="593"/>
      <c r="EY74" s="593"/>
      <c r="EZ74" s="593"/>
      <c r="FA74" s="593"/>
      <c r="FB74" s="593"/>
      <c r="FC74" s="593"/>
      <c r="FD74" s="593"/>
      <c r="FE74" s="593"/>
      <c r="FF74" s="593"/>
      <c r="FG74" s="593"/>
      <c r="FH74" s="593"/>
      <c r="FI74" s="593"/>
      <c r="FJ74" s="593"/>
      <c r="FK74" s="593"/>
      <c r="FL74" s="593"/>
      <c r="FM74" s="593"/>
      <c r="FN74" s="593"/>
      <c r="FO74" s="593"/>
      <c r="FP74" s="593"/>
      <c r="FQ74" s="593"/>
      <c r="FR74" s="593"/>
      <c r="FS74" s="593"/>
      <c r="FT74" s="593"/>
      <c r="FU74" s="593"/>
      <c r="FV74" s="593"/>
      <c r="FW74" s="593"/>
      <c r="FX74" s="593"/>
      <c r="FY74" s="593"/>
      <c r="FZ74" s="593"/>
      <c r="GA74" s="593"/>
      <c r="GB74" s="593"/>
      <c r="GC74" s="593"/>
      <c r="GD74" s="593"/>
      <c r="GE74" s="593"/>
      <c r="GF74" s="593"/>
      <c r="GG74" s="593"/>
      <c r="GH74" s="593"/>
      <c r="GI74" s="593"/>
      <c r="GJ74" s="593"/>
      <c r="GK74" s="593"/>
      <c r="GL74" s="593"/>
      <c r="GM74" s="593"/>
      <c r="GN74" s="593"/>
      <c r="GO74" s="593"/>
      <c r="GP74" s="593"/>
      <c r="GQ74" s="593"/>
      <c r="GR74" s="593"/>
      <c r="GS74" s="593"/>
      <c r="GT74" s="593"/>
      <c r="GU74" s="593"/>
      <c r="GV74" s="593"/>
      <c r="GW74" s="593"/>
      <c r="GX74" s="593"/>
      <c r="GY74" s="593"/>
      <c r="GZ74" s="593"/>
      <c r="HA74" s="593"/>
      <c r="HB74" s="593"/>
      <c r="HC74" s="593"/>
      <c r="HD74" s="593"/>
      <c r="HE74" s="593"/>
      <c r="HF74" s="593"/>
      <c r="HG74" s="593"/>
      <c r="HH74" s="593"/>
      <c r="HI74" s="593"/>
      <c r="HJ74" s="593"/>
      <c r="HK74" s="593"/>
      <c r="HL74" s="593"/>
      <c r="HM74" s="593"/>
      <c r="HN74" s="593"/>
      <c r="HO74" s="593"/>
      <c r="HP74" s="593"/>
      <c r="HQ74" s="593"/>
      <c r="HR74" s="593"/>
      <c r="HS74" s="593"/>
      <c r="HT74" s="593"/>
      <c r="HU74" s="593"/>
      <c r="HV74" s="593"/>
      <c r="HW74" s="593"/>
      <c r="HX74" s="593"/>
      <c r="HY74" s="593"/>
      <c r="HZ74" s="593"/>
      <c r="IA74" s="593"/>
      <c r="IB74" s="593"/>
      <c r="IC74" s="593"/>
      <c r="ID74" s="593"/>
      <c r="IE74" s="593"/>
      <c r="IF74" s="593"/>
      <c r="IG74" s="593"/>
      <c r="IH74" s="593"/>
      <c r="II74" s="593"/>
      <c r="IJ74" s="593"/>
      <c r="IK74" s="593"/>
      <c r="IL74" s="593"/>
      <c r="IM74" s="593"/>
      <c r="IN74" s="593"/>
      <c r="IO74" s="593"/>
      <c r="IP74" s="593"/>
      <c r="IQ74" s="593"/>
      <c r="IR74" s="593"/>
      <c r="IS74" s="593"/>
      <c r="IT74" s="593"/>
      <c r="IU74" s="593"/>
      <c r="IV74" s="593"/>
    </row>
    <row r="75" spans="1:256" s="1108" customFormat="1" hidden="1">
      <c r="A75" s="593"/>
      <c r="B75" s="594">
        <v>6</v>
      </c>
      <c r="C75" s="596">
        <v>2</v>
      </c>
      <c r="D75" s="622" t="s">
        <v>1229</v>
      </c>
      <c r="E75" s="596">
        <f t="shared" si="3"/>
        <v>72</v>
      </c>
      <c r="F75" s="594">
        <v>1</v>
      </c>
      <c r="G75" s="594" t="s">
        <v>268</v>
      </c>
      <c r="H75" s="623">
        <f t="shared" si="4"/>
        <v>144</v>
      </c>
      <c r="I75" s="593"/>
      <c r="J75" s="593"/>
      <c r="K75" s="593"/>
      <c r="L75" s="593"/>
      <c r="M75" s="593"/>
      <c r="N75" s="593"/>
      <c r="O75" s="593"/>
      <c r="P75" s="593"/>
      <c r="Q75" s="593"/>
      <c r="R75" s="593"/>
      <c r="S75" s="593"/>
      <c r="T75" s="593"/>
      <c r="U75" s="593"/>
      <c r="V75" s="593"/>
      <c r="W75" s="593"/>
      <c r="X75" s="593"/>
      <c r="Y75" s="593"/>
      <c r="Z75" s="593"/>
      <c r="AA75" s="593"/>
      <c r="AB75" s="593"/>
      <c r="AC75" s="593"/>
      <c r="AD75" s="593"/>
      <c r="AE75" s="593"/>
      <c r="AF75" s="593"/>
      <c r="AG75" s="593"/>
      <c r="AH75" s="593"/>
      <c r="AI75" s="593"/>
      <c r="AJ75" s="593"/>
      <c r="AK75" s="593"/>
      <c r="AL75" s="593"/>
      <c r="AM75" s="593"/>
      <c r="AN75" s="593"/>
      <c r="AO75" s="593"/>
      <c r="AP75" s="593"/>
      <c r="AQ75" s="593"/>
      <c r="AR75" s="593"/>
      <c r="AS75" s="593"/>
      <c r="AT75" s="593"/>
      <c r="AU75" s="593"/>
      <c r="AV75" s="593"/>
      <c r="AW75" s="593"/>
      <c r="AX75" s="593"/>
      <c r="AY75" s="593"/>
      <c r="AZ75" s="593"/>
      <c r="BA75" s="593"/>
      <c r="BB75" s="593"/>
      <c r="BC75" s="593"/>
      <c r="BD75" s="593"/>
      <c r="BE75" s="593"/>
      <c r="BF75" s="593"/>
      <c r="BG75" s="593"/>
      <c r="BH75" s="593"/>
      <c r="BI75" s="593"/>
      <c r="BJ75" s="593"/>
      <c r="BK75" s="593"/>
      <c r="BL75" s="593"/>
      <c r="BM75" s="593"/>
      <c r="BN75" s="593"/>
      <c r="BO75" s="593"/>
      <c r="BP75" s="593"/>
      <c r="BQ75" s="593"/>
      <c r="BR75" s="593"/>
      <c r="BS75" s="593"/>
      <c r="BT75" s="593"/>
      <c r="BU75" s="593"/>
      <c r="BV75" s="593"/>
      <c r="BW75" s="593"/>
      <c r="BX75" s="593"/>
      <c r="BY75" s="593"/>
      <c r="BZ75" s="593"/>
      <c r="CA75" s="593"/>
      <c r="CB75" s="593"/>
      <c r="CC75" s="593"/>
      <c r="CD75" s="593"/>
      <c r="CE75" s="593"/>
      <c r="CF75" s="593"/>
      <c r="CG75" s="593"/>
      <c r="CH75" s="593"/>
      <c r="CI75" s="593"/>
      <c r="CJ75" s="593"/>
      <c r="CK75" s="593"/>
      <c r="CL75" s="593"/>
      <c r="CM75" s="593"/>
      <c r="CN75" s="593"/>
      <c r="CO75" s="593"/>
      <c r="CP75" s="593"/>
      <c r="CQ75" s="593"/>
      <c r="CR75" s="593"/>
      <c r="CS75" s="593"/>
      <c r="CT75" s="593"/>
      <c r="CU75" s="593"/>
      <c r="CV75" s="593"/>
      <c r="CW75" s="593"/>
      <c r="CX75" s="593"/>
      <c r="CY75" s="593"/>
      <c r="CZ75" s="593"/>
      <c r="DA75" s="593"/>
      <c r="DB75" s="593"/>
      <c r="DC75" s="593"/>
      <c r="DD75" s="593"/>
      <c r="DE75" s="593"/>
      <c r="DF75" s="593"/>
      <c r="DG75" s="593"/>
      <c r="DH75" s="593"/>
      <c r="DI75" s="593"/>
      <c r="DJ75" s="593"/>
      <c r="DK75" s="593"/>
      <c r="DL75" s="593"/>
      <c r="DM75" s="593"/>
      <c r="DN75" s="593"/>
      <c r="DO75" s="593"/>
      <c r="DP75" s="593"/>
      <c r="DQ75" s="593"/>
      <c r="DR75" s="593"/>
      <c r="DS75" s="593"/>
      <c r="DT75" s="593"/>
      <c r="DU75" s="593"/>
      <c r="DV75" s="593"/>
      <c r="DW75" s="593"/>
      <c r="DX75" s="593"/>
      <c r="DY75" s="593"/>
      <c r="DZ75" s="593"/>
      <c r="EA75" s="593"/>
      <c r="EB75" s="593"/>
      <c r="EC75" s="593"/>
      <c r="ED75" s="593"/>
      <c r="EE75" s="593"/>
      <c r="EF75" s="593"/>
      <c r="EG75" s="593"/>
      <c r="EH75" s="593"/>
      <c r="EI75" s="593"/>
      <c r="EJ75" s="593"/>
      <c r="EK75" s="593"/>
      <c r="EL75" s="593"/>
      <c r="EM75" s="593"/>
      <c r="EN75" s="593"/>
      <c r="EO75" s="593"/>
      <c r="EP75" s="593"/>
      <c r="EQ75" s="593"/>
      <c r="ER75" s="593"/>
      <c r="ES75" s="593"/>
      <c r="ET75" s="593"/>
      <c r="EU75" s="593"/>
      <c r="EV75" s="593"/>
      <c r="EW75" s="593"/>
      <c r="EX75" s="593"/>
      <c r="EY75" s="593"/>
      <c r="EZ75" s="593"/>
      <c r="FA75" s="593"/>
      <c r="FB75" s="593"/>
      <c r="FC75" s="593"/>
      <c r="FD75" s="593"/>
      <c r="FE75" s="593"/>
      <c r="FF75" s="593"/>
      <c r="FG75" s="593"/>
      <c r="FH75" s="593"/>
      <c r="FI75" s="593"/>
      <c r="FJ75" s="593"/>
      <c r="FK75" s="593"/>
      <c r="FL75" s="593"/>
      <c r="FM75" s="593"/>
      <c r="FN75" s="593"/>
      <c r="FO75" s="593"/>
      <c r="FP75" s="593"/>
      <c r="FQ75" s="593"/>
      <c r="FR75" s="593"/>
      <c r="FS75" s="593"/>
      <c r="FT75" s="593"/>
      <c r="FU75" s="593"/>
      <c r="FV75" s="593"/>
      <c r="FW75" s="593"/>
      <c r="FX75" s="593"/>
      <c r="FY75" s="593"/>
      <c r="FZ75" s="593"/>
      <c r="GA75" s="593"/>
      <c r="GB75" s="593"/>
      <c r="GC75" s="593"/>
      <c r="GD75" s="593"/>
      <c r="GE75" s="593"/>
      <c r="GF75" s="593"/>
      <c r="GG75" s="593"/>
      <c r="GH75" s="593"/>
      <c r="GI75" s="593"/>
      <c r="GJ75" s="593"/>
      <c r="GK75" s="593"/>
      <c r="GL75" s="593"/>
      <c r="GM75" s="593"/>
      <c r="GN75" s="593"/>
      <c r="GO75" s="593"/>
      <c r="GP75" s="593"/>
      <c r="GQ75" s="593"/>
      <c r="GR75" s="593"/>
      <c r="GS75" s="593"/>
      <c r="GT75" s="593"/>
      <c r="GU75" s="593"/>
      <c r="GV75" s="593"/>
      <c r="GW75" s="593"/>
      <c r="GX75" s="593"/>
      <c r="GY75" s="593"/>
      <c r="GZ75" s="593"/>
      <c r="HA75" s="593"/>
      <c r="HB75" s="593"/>
      <c r="HC75" s="593"/>
      <c r="HD75" s="593"/>
      <c r="HE75" s="593"/>
      <c r="HF75" s="593"/>
      <c r="HG75" s="593"/>
      <c r="HH75" s="593"/>
      <c r="HI75" s="593"/>
      <c r="HJ75" s="593"/>
      <c r="HK75" s="593"/>
      <c r="HL75" s="593"/>
      <c r="HM75" s="593"/>
      <c r="HN75" s="593"/>
      <c r="HO75" s="593"/>
      <c r="HP75" s="593"/>
      <c r="HQ75" s="593"/>
      <c r="HR75" s="593"/>
      <c r="HS75" s="593"/>
      <c r="HT75" s="593"/>
      <c r="HU75" s="593"/>
      <c r="HV75" s="593"/>
      <c r="HW75" s="593"/>
      <c r="HX75" s="593"/>
      <c r="HY75" s="593"/>
      <c r="HZ75" s="593"/>
      <c r="IA75" s="593"/>
      <c r="IB75" s="593"/>
      <c r="IC75" s="593"/>
      <c r="ID75" s="593"/>
      <c r="IE75" s="593"/>
      <c r="IF75" s="593"/>
      <c r="IG75" s="593"/>
      <c r="IH75" s="593"/>
      <c r="II75" s="593"/>
      <c r="IJ75" s="593"/>
      <c r="IK75" s="593"/>
      <c r="IL75" s="593"/>
      <c r="IM75" s="593"/>
      <c r="IN75" s="593"/>
      <c r="IO75" s="593"/>
      <c r="IP75" s="593"/>
      <c r="IQ75" s="593"/>
      <c r="IR75" s="593"/>
      <c r="IS75" s="593"/>
      <c r="IT75" s="593"/>
      <c r="IU75" s="593"/>
      <c r="IV75" s="593"/>
    </row>
    <row r="76" spans="1:256" s="1108" customFormat="1" hidden="1">
      <c r="A76" s="593"/>
      <c r="B76" s="594">
        <v>7</v>
      </c>
      <c r="C76" s="596">
        <v>4</v>
      </c>
      <c r="D76" s="622" t="s">
        <v>1230</v>
      </c>
      <c r="E76" s="596">
        <f t="shared" si="3"/>
        <v>48</v>
      </c>
      <c r="F76" s="594">
        <v>1</v>
      </c>
      <c r="G76" s="594" t="s">
        <v>268</v>
      </c>
      <c r="H76" s="623">
        <f t="shared" si="4"/>
        <v>192</v>
      </c>
      <c r="I76" s="593"/>
      <c r="J76" s="593"/>
      <c r="K76" s="593"/>
      <c r="L76" s="593"/>
      <c r="M76" s="593"/>
      <c r="N76" s="593"/>
      <c r="O76" s="593"/>
      <c r="P76" s="593"/>
      <c r="Q76" s="593"/>
      <c r="R76" s="593"/>
      <c r="S76" s="593"/>
      <c r="T76" s="593"/>
      <c r="U76" s="593"/>
      <c r="V76" s="593"/>
      <c r="W76" s="593"/>
      <c r="X76" s="593"/>
      <c r="Y76" s="593"/>
      <c r="Z76" s="593"/>
      <c r="AA76" s="593"/>
      <c r="AB76" s="593"/>
      <c r="AC76" s="593"/>
      <c r="AD76" s="593"/>
      <c r="AE76" s="593"/>
      <c r="AF76" s="593"/>
      <c r="AG76" s="593"/>
      <c r="AH76" s="593"/>
      <c r="AI76" s="593"/>
      <c r="AJ76" s="593"/>
      <c r="AK76" s="593"/>
      <c r="AL76" s="593"/>
      <c r="AM76" s="593"/>
      <c r="AN76" s="593"/>
      <c r="AO76" s="593"/>
      <c r="AP76" s="593"/>
      <c r="AQ76" s="593"/>
      <c r="AR76" s="593"/>
      <c r="AS76" s="593"/>
      <c r="AT76" s="593"/>
      <c r="AU76" s="593"/>
      <c r="AV76" s="593"/>
      <c r="AW76" s="593"/>
      <c r="AX76" s="593"/>
      <c r="AY76" s="593"/>
      <c r="AZ76" s="593"/>
      <c r="BA76" s="593"/>
      <c r="BB76" s="593"/>
      <c r="BC76" s="593"/>
      <c r="BD76" s="593"/>
      <c r="BE76" s="593"/>
      <c r="BF76" s="593"/>
      <c r="BG76" s="593"/>
      <c r="BH76" s="593"/>
      <c r="BI76" s="593"/>
      <c r="BJ76" s="593"/>
      <c r="BK76" s="593"/>
      <c r="BL76" s="593"/>
      <c r="BM76" s="593"/>
      <c r="BN76" s="593"/>
      <c r="BO76" s="593"/>
      <c r="BP76" s="593"/>
      <c r="BQ76" s="593"/>
      <c r="BR76" s="593"/>
      <c r="BS76" s="593"/>
      <c r="BT76" s="593"/>
      <c r="BU76" s="593"/>
      <c r="BV76" s="593"/>
      <c r="BW76" s="593"/>
      <c r="BX76" s="593"/>
      <c r="BY76" s="593"/>
      <c r="BZ76" s="593"/>
      <c r="CA76" s="593"/>
      <c r="CB76" s="593"/>
      <c r="CC76" s="593"/>
      <c r="CD76" s="593"/>
      <c r="CE76" s="593"/>
      <c r="CF76" s="593"/>
      <c r="CG76" s="593"/>
      <c r="CH76" s="593"/>
      <c r="CI76" s="593"/>
      <c r="CJ76" s="593"/>
      <c r="CK76" s="593"/>
      <c r="CL76" s="593"/>
      <c r="CM76" s="593"/>
      <c r="CN76" s="593"/>
      <c r="CO76" s="593"/>
      <c r="CP76" s="593"/>
      <c r="CQ76" s="593"/>
      <c r="CR76" s="593"/>
      <c r="CS76" s="593"/>
      <c r="CT76" s="593"/>
      <c r="CU76" s="593"/>
      <c r="CV76" s="593"/>
      <c r="CW76" s="593"/>
      <c r="CX76" s="593"/>
      <c r="CY76" s="593"/>
      <c r="CZ76" s="593"/>
      <c r="DA76" s="593"/>
      <c r="DB76" s="593"/>
      <c r="DC76" s="593"/>
      <c r="DD76" s="593"/>
      <c r="DE76" s="593"/>
      <c r="DF76" s="593"/>
      <c r="DG76" s="593"/>
      <c r="DH76" s="593"/>
      <c r="DI76" s="593"/>
      <c r="DJ76" s="593"/>
      <c r="DK76" s="593"/>
      <c r="DL76" s="593"/>
      <c r="DM76" s="593"/>
      <c r="DN76" s="593"/>
      <c r="DO76" s="593"/>
      <c r="DP76" s="593"/>
      <c r="DQ76" s="593"/>
      <c r="DR76" s="593"/>
      <c r="DS76" s="593"/>
      <c r="DT76" s="593"/>
      <c r="DU76" s="593"/>
      <c r="DV76" s="593"/>
      <c r="DW76" s="593"/>
      <c r="DX76" s="593"/>
      <c r="DY76" s="593"/>
      <c r="DZ76" s="593"/>
      <c r="EA76" s="593"/>
      <c r="EB76" s="593"/>
      <c r="EC76" s="593"/>
      <c r="ED76" s="593"/>
      <c r="EE76" s="593"/>
      <c r="EF76" s="593"/>
      <c r="EG76" s="593"/>
      <c r="EH76" s="593"/>
      <c r="EI76" s="593"/>
      <c r="EJ76" s="593"/>
      <c r="EK76" s="593"/>
      <c r="EL76" s="593"/>
      <c r="EM76" s="593"/>
      <c r="EN76" s="593"/>
      <c r="EO76" s="593"/>
      <c r="EP76" s="593"/>
      <c r="EQ76" s="593"/>
      <c r="ER76" s="593"/>
      <c r="ES76" s="593"/>
      <c r="ET76" s="593"/>
      <c r="EU76" s="593"/>
      <c r="EV76" s="593"/>
      <c r="EW76" s="593"/>
      <c r="EX76" s="593"/>
      <c r="EY76" s="593"/>
      <c r="EZ76" s="593"/>
      <c r="FA76" s="593"/>
      <c r="FB76" s="593"/>
      <c r="FC76" s="593"/>
      <c r="FD76" s="593"/>
      <c r="FE76" s="593"/>
      <c r="FF76" s="593"/>
      <c r="FG76" s="593"/>
      <c r="FH76" s="593"/>
      <c r="FI76" s="593"/>
      <c r="FJ76" s="593"/>
      <c r="FK76" s="593"/>
      <c r="FL76" s="593"/>
      <c r="FM76" s="593"/>
      <c r="FN76" s="593"/>
      <c r="FO76" s="593"/>
      <c r="FP76" s="593"/>
      <c r="FQ76" s="593"/>
      <c r="FR76" s="593"/>
      <c r="FS76" s="593"/>
      <c r="FT76" s="593"/>
      <c r="FU76" s="593"/>
      <c r="FV76" s="593"/>
      <c r="FW76" s="593"/>
      <c r="FX76" s="593"/>
      <c r="FY76" s="593"/>
      <c r="FZ76" s="593"/>
      <c r="GA76" s="593"/>
      <c r="GB76" s="593"/>
      <c r="GC76" s="593"/>
      <c r="GD76" s="593"/>
      <c r="GE76" s="593"/>
      <c r="GF76" s="593"/>
      <c r="GG76" s="593"/>
      <c r="GH76" s="593"/>
      <c r="GI76" s="593"/>
      <c r="GJ76" s="593"/>
      <c r="GK76" s="593"/>
      <c r="GL76" s="593"/>
      <c r="GM76" s="593"/>
      <c r="GN76" s="593"/>
      <c r="GO76" s="593"/>
      <c r="GP76" s="593"/>
      <c r="GQ76" s="593"/>
      <c r="GR76" s="593"/>
      <c r="GS76" s="593"/>
      <c r="GT76" s="593"/>
      <c r="GU76" s="593"/>
      <c r="GV76" s="593"/>
      <c r="GW76" s="593"/>
      <c r="GX76" s="593"/>
      <c r="GY76" s="593"/>
      <c r="GZ76" s="593"/>
      <c r="HA76" s="593"/>
      <c r="HB76" s="593"/>
      <c r="HC76" s="593"/>
      <c r="HD76" s="593"/>
      <c r="HE76" s="593"/>
      <c r="HF76" s="593"/>
      <c r="HG76" s="593"/>
      <c r="HH76" s="593"/>
      <c r="HI76" s="593"/>
      <c r="HJ76" s="593"/>
      <c r="HK76" s="593"/>
      <c r="HL76" s="593"/>
      <c r="HM76" s="593"/>
      <c r="HN76" s="593"/>
      <c r="HO76" s="593"/>
      <c r="HP76" s="593"/>
      <c r="HQ76" s="593"/>
      <c r="HR76" s="593"/>
      <c r="HS76" s="593"/>
      <c r="HT76" s="593"/>
      <c r="HU76" s="593"/>
      <c r="HV76" s="593"/>
      <c r="HW76" s="593"/>
      <c r="HX76" s="593"/>
      <c r="HY76" s="593"/>
      <c r="HZ76" s="593"/>
      <c r="IA76" s="593"/>
      <c r="IB76" s="593"/>
      <c r="IC76" s="593"/>
      <c r="ID76" s="593"/>
      <c r="IE76" s="593"/>
      <c r="IF76" s="593"/>
      <c r="IG76" s="593"/>
      <c r="IH76" s="593"/>
      <c r="II76" s="593"/>
      <c r="IJ76" s="593"/>
      <c r="IK76" s="593"/>
      <c r="IL76" s="593"/>
      <c r="IM76" s="593"/>
      <c r="IN76" s="593"/>
      <c r="IO76" s="593"/>
      <c r="IP76" s="593"/>
      <c r="IQ76" s="593"/>
      <c r="IR76" s="593"/>
      <c r="IS76" s="593"/>
      <c r="IT76" s="593"/>
      <c r="IU76" s="593"/>
      <c r="IV76" s="593"/>
    </row>
    <row r="77" spans="1:256" s="1108" customFormat="1" hidden="1">
      <c r="A77" s="593"/>
      <c r="B77" s="594">
        <v>8</v>
      </c>
      <c r="C77" s="596">
        <v>6</v>
      </c>
      <c r="D77" s="622" t="s">
        <v>1231</v>
      </c>
      <c r="E77" s="596">
        <f t="shared" si="3"/>
        <v>33</v>
      </c>
      <c r="F77" s="594">
        <v>1</v>
      </c>
      <c r="G77" s="594" t="s">
        <v>268</v>
      </c>
      <c r="H77" s="623">
        <f t="shared" si="4"/>
        <v>198</v>
      </c>
      <c r="I77" s="593"/>
      <c r="J77" s="593"/>
      <c r="K77" s="593"/>
      <c r="L77" s="593"/>
      <c r="M77" s="593"/>
      <c r="N77" s="593"/>
      <c r="O77" s="593"/>
      <c r="P77" s="593"/>
      <c r="Q77" s="593"/>
      <c r="R77" s="593"/>
      <c r="S77" s="593"/>
      <c r="T77" s="593"/>
      <c r="U77" s="593"/>
      <c r="V77" s="593"/>
      <c r="W77" s="593"/>
      <c r="X77" s="593"/>
      <c r="Y77" s="593"/>
      <c r="Z77" s="593"/>
      <c r="AA77" s="593"/>
      <c r="AB77" s="593"/>
      <c r="AC77" s="593"/>
      <c r="AD77" s="593"/>
      <c r="AE77" s="593"/>
      <c r="AF77" s="593"/>
      <c r="AG77" s="593"/>
      <c r="AH77" s="593"/>
      <c r="AI77" s="593"/>
      <c r="AJ77" s="593"/>
      <c r="AK77" s="593"/>
      <c r="AL77" s="593"/>
      <c r="AM77" s="593"/>
      <c r="AN77" s="593"/>
      <c r="AO77" s="593"/>
      <c r="AP77" s="593"/>
      <c r="AQ77" s="593"/>
      <c r="AR77" s="593"/>
      <c r="AS77" s="593"/>
      <c r="AT77" s="593"/>
      <c r="AU77" s="593"/>
      <c r="AV77" s="593"/>
      <c r="AW77" s="593"/>
      <c r="AX77" s="593"/>
      <c r="AY77" s="593"/>
      <c r="AZ77" s="593"/>
      <c r="BA77" s="593"/>
      <c r="BB77" s="593"/>
      <c r="BC77" s="593"/>
      <c r="BD77" s="593"/>
      <c r="BE77" s="593"/>
      <c r="BF77" s="593"/>
      <c r="BG77" s="593"/>
      <c r="BH77" s="593"/>
      <c r="BI77" s="593"/>
      <c r="BJ77" s="593"/>
      <c r="BK77" s="593"/>
      <c r="BL77" s="593"/>
      <c r="BM77" s="593"/>
      <c r="BN77" s="593"/>
      <c r="BO77" s="593"/>
      <c r="BP77" s="593"/>
      <c r="BQ77" s="593"/>
      <c r="BR77" s="593"/>
      <c r="BS77" s="593"/>
      <c r="BT77" s="593"/>
      <c r="BU77" s="593"/>
      <c r="BV77" s="593"/>
      <c r="BW77" s="593"/>
      <c r="BX77" s="593"/>
      <c r="BY77" s="593"/>
      <c r="BZ77" s="593"/>
      <c r="CA77" s="593"/>
      <c r="CB77" s="593"/>
      <c r="CC77" s="593"/>
      <c r="CD77" s="593"/>
      <c r="CE77" s="593"/>
      <c r="CF77" s="593"/>
      <c r="CG77" s="593"/>
      <c r="CH77" s="593"/>
      <c r="CI77" s="593"/>
      <c r="CJ77" s="593"/>
      <c r="CK77" s="593"/>
      <c r="CL77" s="593"/>
      <c r="CM77" s="593"/>
      <c r="CN77" s="593"/>
      <c r="CO77" s="593"/>
      <c r="CP77" s="593"/>
      <c r="CQ77" s="593"/>
      <c r="CR77" s="593"/>
      <c r="CS77" s="593"/>
      <c r="CT77" s="593"/>
      <c r="CU77" s="593"/>
      <c r="CV77" s="593"/>
      <c r="CW77" s="593"/>
      <c r="CX77" s="593"/>
      <c r="CY77" s="593"/>
      <c r="CZ77" s="593"/>
      <c r="DA77" s="593"/>
      <c r="DB77" s="593"/>
      <c r="DC77" s="593"/>
      <c r="DD77" s="593"/>
      <c r="DE77" s="593"/>
      <c r="DF77" s="593"/>
      <c r="DG77" s="593"/>
      <c r="DH77" s="593"/>
      <c r="DI77" s="593"/>
      <c r="DJ77" s="593"/>
      <c r="DK77" s="593"/>
      <c r="DL77" s="593"/>
      <c r="DM77" s="593"/>
      <c r="DN77" s="593"/>
      <c r="DO77" s="593"/>
      <c r="DP77" s="593"/>
      <c r="DQ77" s="593"/>
      <c r="DR77" s="593"/>
      <c r="DS77" s="593"/>
      <c r="DT77" s="593"/>
      <c r="DU77" s="593"/>
      <c r="DV77" s="593"/>
      <c r="DW77" s="593"/>
      <c r="DX77" s="593"/>
      <c r="DY77" s="593"/>
      <c r="DZ77" s="593"/>
      <c r="EA77" s="593"/>
      <c r="EB77" s="593"/>
      <c r="EC77" s="593"/>
      <c r="ED77" s="593"/>
      <c r="EE77" s="593"/>
      <c r="EF77" s="593"/>
      <c r="EG77" s="593"/>
      <c r="EH77" s="593"/>
      <c r="EI77" s="593"/>
      <c r="EJ77" s="593"/>
      <c r="EK77" s="593"/>
      <c r="EL77" s="593"/>
      <c r="EM77" s="593"/>
      <c r="EN77" s="593"/>
      <c r="EO77" s="593"/>
      <c r="EP77" s="593"/>
      <c r="EQ77" s="593"/>
      <c r="ER77" s="593"/>
      <c r="ES77" s="593"/>
      <c r="ET77" s="593"/>
      <c r="EU77" s="593"/>
      <c r="EV77" s="593"/>
      <c r="EW77" s="593"/>
      <c r="EX77" s="593"/>
      <c r="EY77" s="593"/>
      <c r="EZ77" s="593"/>
      <c r="FA77" s="593"/>
      <c r="FB77" s="593"/>
      <c r="FC77" s="593"/>
      <c r="FD77" s="593"/>
      <c r="FE77" s="593"/>
      <c r="FF77" s="593"/>
      <c r="FG77" s="593"/>
      <c r="FH77" s="593"/>
      <c r="FI77" s="593"/>
      <c r="FJ77" s="593"/>
      <c r="FK77" s="593"/>
      <c r="FL77" s="593"/>
      <c r="FM77" s="593"/>
      <c r="FN77" s="593"/>
      <c r="FO77" s="593"/>
      <c r="FP77" s="593"/>
      <c r="FQ77" s="593"/>
      <c r="FR77" s="593"/>
      <c r="FS77" s="593"/>
      <c r="FT77" s="593"/>
      <c r="FU77" s="593"/>
      <c r="FV77" s="593"/>
      <c r="FW77" s="593"/>
      <c r="FX77" s="593"/>
      <c r="FY77" s="593"/>
      <c r="FZ77" s="593"/>
      <c r="GA77" s="593"/>
      <c r="GB77" s="593"/>
      <c r="GC77" s="593"/>
      <c r="GD77" s="593"/>
      <c r="GE77" s="593"/>
      <c r="GF77" s="593"/>
      <c r="GG77" s="593"/>
      <c r="GH77" s="593"/>
      <c r="GI77" s="593"/>
      <c r="GJ77" s="593"/>
      <c r="GK77" s="593"/>
      <c r="GL77" s="593"/>
      <c r="GM77" s="593"/>
      <c r="GN77" s="593"/>
      <c r="GO77" s="593"/>
      <c r="GP77" s="593"/>
      <c r="GQ77" s="593"/>
      <c r="GR77" s="593"/>
      <c r="GS77" s="593"/>
      <c r="GT77" s="593"/>
      <c r="GU77" s="593"/>
      <c r="GV77" s="593"/>
      <c r="GW77" s="593"/>
      <c r="GX77" s="593"/>
      <c r="GY77" s="593"/>
      <c r="GZ77" s="593"/>
      <c r="HA77" s="593"/>
      <c r="HB77" s="593"/>
      <c r="HC77" s="593"/>
      <c r="HD77" s="593"/>
      <c r="HE77" s="593"/>
      <c r="HF77" s="593"/>
      <c r="HG77" s="593"/>
      <c r="HH77" s="593"/>
      <c r="HI77" s="593"/>
      <c r="HJ77" s="593"/>
      <c r="HK77" s="593"/>
      <c r="HL77" s="593"/>
      <c r="HM77" s="593"/>
      <c r="HN77" s="593"/>
      <c r="HO77" s="593"/>
      <c r="HP77" s="593"/>
      <c r="HQ77" s="593"/>
      <c r="HR77" s="593"/>
      <c r="HS77" s="593"/>
      <c r="HT77" s="593"/>
      <c r="HU77" s="593"/>
      <c r="HV77" s="593"/>
      <c r="HW77" s="593"/>
      <c r="HX77" s="593"/>
      <c r="HY77" s="593"/>
      <c r="HZ77" s="593"/>
      <c r="IA77" s="593"/>
      <c r="IB77" s="593"/>
      <c r="IC77" s="593"/>
      <c r="ID77" s="593"/>
      <c r="IE77" s="593"/>
      <c r="IF77" s="593"/>
      <c r="IG77" s="593"/>
      <c r="IH77" s="593"/>
      <c r="II77" s="593"/>
      <c r="IJ77" s="593"/>
      <c r="IK77" s="593"/>
      <c r="IL77" s="593"/>
      <c r="IM77" s="593"/>
      <c r="IN77" s="593"/>
      <c r="IO77" s="593"/>
      <c r="IP77" s="593"/>
      <c r="IQ77" s="593"/>
      <c r="IR77" s="593"/>
      <c r="IS77" s="593"/>
      <c r="IT77" s="593"/>
      <c r="IU77" s="593"/>
      <c r="IV77" s="593"/>
    </row>
    <row r="78" spans="1:256" s="1108" customFormat="1" hidden="1">
      <c r="A78" s="593"/>
      <c r="B78" s="594">
        <v>9</v>
      </c>
      <c r="C78" s="596">
        <v>1</v>
      </c>
      <c r="D78" s="622" t="s">
        <v>1232</v>
      </c>
      <c r="E78" s="596">
        <f t="shared" si="3"/>
        <v>70</v>
      </c>
      <c r="F78" s="594">
        <v>1</v>
      </c>
      <c r="G78" s="594" t="s">
        <v>268</v>
      </c>
      <c r="H78" s="623">
        <f t="shared" si="4"/>
        <v>70</v>
      </c>
      <c r="I78" s="593"/>
      <c r="J78" s="593"/>
      <c r="K78" s="593"/>
      <c r="L78" s="593"/>
      <c r="M78" s="593"/>
      <c r="N78" s="593"/>
      <c r="O78" s="593"/>
      <c r="P78" s="593"/>
      <c r="Q78" s="593"/>
      <c r="R78" s="593"/>
      <c r="S78" s="593"/>
      <c r="T78" s="593"/>
      <c r="U78" s="593"/>
      <c r="V78" s="593"/>
      <c r="W78" s="593"/>
      <c r="X78" s="593"/>
      <c r="Y78" s="593"/>
      <c r="Z78" s="593"/>
      <c r="AA78" s="593"/>
      <c r="AB78" s="593"/>
      <c r="AC78" s="593"/>
      <c r="AD78" s="593"/>
      <c r="AE78" s="593"/>
      <c r="AF78" s="593"/>
      <c r="AG78" s="593"/>
      <c r="AH78" s="593"/>
      <c r="AI78" s="593"/>
      <c r="AJ78" s="593"/>
      <c r="AK78" s="593"/>
      <c r="AL78" s="593"/>
      <c r="AM78" s="593"/>
      <c r="AN78" s="593"/>
      <c r="AO78" s="593"/>
      <c r="AP78" s="593"/>
      <c r="AQ78" s="593"/>
      <c r="AR78" s="593"/>
      <c r="AS78" s="593"/>
      <c r="AT78" s="593"/>
      <c r="AU78" s="593"/>
      <c r="AV78" s="593"/>
      <c r="AW78" s="593"/>
      <c r="AX78" s="593"/>
      <c r="AY78" s="593"/>
      <c r="AZ78" s="593"/>
      <c r="BA78" s="593"/>
      <c r="BB78" s="593"/>
      <c r="BC78" s="593"/>
      <c r="BD78" s="593"/>
      <c r="BE78" s="593"/>
      <c r="BF78" s="593"/>
      <c r="BG78" s="593"/>
      <c r="BH78" s="593"/>
      <c r="BI78" s="593"/>
      <c r="BJ78" s="593"/>
      <c r="BK78" s="593"/>
      <c r="BL78" s="593"/>
      <c r="BM78" s="593"/>
      <c r="BN78" s="593"/>
      <c r="BO78" s="593"/>
      <c r="BP78" s="593"/>
      <c r="BQ78" s="593"/>
      <c r="BR78" s="593"/>
      <c r="BS78" s="593"/>
      <c r="BT78" s="593"/>
      <c r="BU78" s="593"/>
      <c r="BV78" s="593"/>
      <c r="BW78" s="593"/>
      <c r="BX78" s="593"/>
      <c r="BY78" s="593"/>
      <c r="BZ78" s="593"/>
      <c r="CA78" s="593"/>
      <c r="CB78" s="593"/>
      <c r="CC78" s="593"/>
      <c r="CD78" s="593"/>
      <c r="CE78" s="593"/>
      <c r="CF78" s="593"/>
      <c r="CG78" s="593"/>
      <c r="CH78" s="593"/>
      <c r="CI78" s="593"/>
      <c r="CJ78" s="593"/>
      <c r="CK78" s="593"/>
      <c r="CL78" s="593"/>
      <c r="CM78" s="593"/>
      <c r="CN78" s="593"/>
      <c r="CO78" s="593"/>
      <c r="CP78" s="593"/>
      <c r="CQ78" s="593"/>
      <c r="CR78" s="593"/>
      <c r="CS78" s="593"/>
      <c r="CT78" s="593"/>
      <c r="CU78" s="593"/>
      <c r="CV78" s="593"/>
      <c r="CW78" s="593"/>
      <c r="CX78" s="593"/>
      <c r="CY78" s="593"/>
      <c r="CZ78" s="593"/>
      <c r="DA78" s="593"/>
      <c r="DB78" s="593"/>
      <c r="DC78" s="593"/>
      <c r="DD78" s="593"/>
      <c r="DE78" s="593"/>
      <c r="DF78" s="593"/>
      <c r="DG78" s="593"/>
      <c r="DH78" s="593"/>
      <c r="DI78" s="593"/>
      <c r="DJ78" s="593"/>
      <c r="DK78" s="593"/>
      <c r="DL78" s="593"/>
      <c r="DM78" s="593"/>
      <c r="DN78" s="593"/>
      <c r="DO78" s="593"/>
      <c r="DP78" s="593"/>
      <c r="DQ78" s="593"/>
      <c r="DR78" s="593"/>
      <c r="DS78" s="593"/>
      <c r="DT78" s="593"/>
      <c r="DU78" s="593"/>
      <c r="DV78" s="593"/>
      <c r="DW78" s="593"/>
      <c r="DX78" s="593"/>
      <c r="DY78" s="593"/>
      <c r="DZ78" s="593"/>
      <c r="EA78" s="593"/>
      <c r="EB78" s="593"/>
      <c r="EC78" s="593"/>
      <c r="ED78" s="593"/>
      <c r="EE78" s="593"/>
      <c r="EF78" s="593"/>
      <c r="EG78" s="593"/>
      <c r="EH78" s="593"/>
      <c r="EI78" s="593"/>
      <c r="EJ78" s="593"/>
      <c r="EK78" s="593"/>
      <c r="EL78" s="593"/>
      <c r="EM78" s="593"/>
      <c r="EN78" s="593"/>
      <c r="EO78" s="593"/>
      <c r="EP78" s="593"/>
      <c r="EQ78" s="593"/>
      <c r="ER78" s="593"/>
      <c r="ES78" s="593"/>
      <c r="ET78" s="593"/>
      <c r="EU78" s="593"/>
      <c r="EV78" s="593"/>
      <c r="EW78" s="593"/>
      <c r="EX78" s="593"/>
      <c r="EY78" s="593"/>
      <c r="EZ78" s="593"/>
      <c r="FA78" s="593"/>
      <c r="FB78" s="593"/>
      <c r="FC78" s="593"/>
      <c r="FD78" s="593"/>
      <c r="FE78" s="593"/>
      <c r="FF78" s="593"/>
      <c r="FG78" s="593"/>
      <c r="FH78" s="593"/>
      <c r="FI78" s="593"/>
      <c r="FJ78" s="593"/>
      <c r="FK78" s="593"/>
      <c r="FL78" s="593"/>
      <c r="FM78" s="593"/>
      <c r="FN78" s="593"/>
      <c r="FO78" s="593"/>
      <c r="FP78" s="593"/>
      <c r="FQ78" s="593"/>
      <c r="FR78" s="593"/>
      <c r="FS78" s="593"/>
      <c r="FT78" s="593"/>
      <c r="FU78" s="593"/>
      <c r="FV78" s="593"/>
      <c r="FW78" s="593"/>
      <c r="FX78" s="593"/>
      <c r="FY78" s="593"/>
      <c r="FZ78" s="593"/>
      <c r="GA78" s="593"/>
      <c r="GB78" s="593"/>
      <c r="GC78" s="593"/>
      <c r="GD78" s="593"/>
      <c r="GE78" s="593"/>
      <c r="GF78" s="593"/>
      <c r="GG78" s="593"/>
      <c r="GH78" s="593"/>
      <c r="GI78" s="593"/>
      <c r="GJ78" s="593"/>
      <c r="GK78" s="593"/>
      <c r="GL78" s="593"/>
      <c r="GM78" s="593"/>
      <c r="GN78" s="593"/>
      <c r="GO78" s="593"/>
      <c r="GP78" s="593"/>
      <c r="GQ78" s="593"/>
      <c r="GR78" s="593"/>
      <c r="GS78" s="593"/>
      <c r="GT78" s="593"/>
      <c r="GU78" s="593"/>
      <c r="GV78" s="593"/>
      <c r="GW78" s="593"/>
      <c r="GX78" s="593"/>
      <c r="GY78" s="593"/>
      <c r="GZ78" s="593"/>
      <c r="HA78" s="593"/>
      <c r="HB78" s="593"/>
      <c r="HC78" s="593"/>
      <c r="HD78" s="593"/>
      <c r="HE78" s="593"/>
      <c r="HF78" s="593"/>
      <c r="HG78" s="593"/>
      <c r="HH78" s="593"/>
      <c r="HI78" s="593"/>
      <c r="HJ78" s="593"/>
      <c r="HK78" s="593"/>
      <c r="HL78" s="593"/>
      <c r="HM78" s="593"/>
      <c r="HN78" s="593"/>
      <c r="HO78" s="593"/>
      <c r="HP78" s="593"/>
      <c r="HQ78" s="593"/>
      <c r="HR78" s="593"/>
      <c r="HS78" s="593"/>
      <c r="HT78" s="593"/>
      <c r="HU78" s="593"/>
      <c r="HV78" s="593"/>
      <c r="HW78" s="593"/>
      <c r="HX78" s="593"/>
      <c r="HY78" s="593"/>
      <c r="HZ78" s="593"/>
      <c r="IA78" s="593"/>
      <c r="IB78" s="593"/>
      <c r="IC78" s="593"/>
      <c r="ID78" s="593"/>
      <c r="IE78" s="593"/>
      <c r="IF78" s="593"/>
      <c r="IG78" s="593"/>
      <c r="IH78" s="593"/>
      <c r="II78" s="593"/>
      <c r="IJ78" s="593"/>
      <c r="IK78" s="593"/>
      <c r="IL78" s="593"/>
      <c r="IM78" s="593"/>
      <c r="IN78" s="593"/>
      <c r="IO78" s="593"/>
      <c r="IP78" s="593"/>
      <c r="IQ78" s="593"/>
      <c r="IR78" s="593"/>
      <c r="IS78" s="593"/>
      <c r="IT78" s="593"/>
      <c r="IU78" s="593"/>
      <c r="IV78" s="593"/>
    </row>
    <row r="79" spans="1:256" s="1108" customFormat="1" hidden="1">
      <c r="A79" s="593"/>
      <c r="B79" s="594">
        <v>10</v>
      </c>
      <c r="C79" s="596">
        <v>2</v>
      </c>
      <c r="D79" s="622" t="s">
        <v>1233</v>
      </c>
      <c r="E79" s="596">
        <f t="shared" si="3"/>
        <v>48</v>
      </c>
      <c r="F79" s="594">
        <v>1</v>
      </c>
      <c r="G79" s="594" t="s">
        <v>268</v>
      </c>
      <c r="H79" s="623">
        <f t="shared" si="4"/>
        <v>96</v>
      </c>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3"/>
      <c r="AY79" s="593"/>
      <c r="AZ79" s="593"/>
      <c r="BA79" s="593"/>
      <c r="BB79" s="593"/>
      <c r="BC79" s="593"/>
      <c r="BD79" s="593"/>
      <c r="BE79" s="593"/>
      <c r="BF79" s="593"/>
      <c r="BG79" s="593"/>
      <c r="BH79" s="593"/>
      <c r="BI79" s="593"/>
      <c r="BJ79" s="593"/>
      <c r="BK79" s="593"/>
      <c r="BL79" s="593"/>
      <c r="BM79" s="593"/>
      <c r="BN79" s="593"/>
      <c r="BO79" s="593"/>
      <c r="BP79" s="593"/>
      <c r="BQ79" s="593"/>
      <c r="BR79" s="593"/>
      <c r="BS79" s="593"/>
      <c r="BT79" s="593"/>
      <c r="BU79" s="593"/>
      <c r="BV79" s="593"/>
      <c r="BW79" s="593"/>
      <c r="BX79" s="593"/>
      <c r="BY79" s="593"/>
      <c r="BZ79" s="593"/>
      <c r="CA79" s="593"/>
      <c r="CB79" s="593"/>
      <c r="CC79" s="593"/>
      <c r="CD79" s="593"/>
      <c r="CE79" s="593"/>
      <c r="CF79" s="593"/>
      <c r="CG79" s="593"/>
      <c r="CH79" s="593"/>
      <c r="CI79" s="593"/>
      <c r="CJ79" s="593"/>
      <c r="CK79" s="593"/>
      <c r="CL79" s="593"/>
      <c r="CM79" s="593"/>
      <c r="CN79" s="593"/>
      <c r="CO79" s="593"/>
      <c r="CP79" s="593"/>
      <c r="CQ79" s="593"/>
      <c r="CR79" s="593"/>
      <c r="CS79" s="593"/>
      <c r="CT79" s="593"/>
      <c r="CU79" s="593"/>
      <c r="CV79" s="593"/>
      <c r="CW79" s="593"/>
      <c r="CX79" s="593"/>
      <c r="CY79" s="593"/>
      <c r="CZ79" s="593"/>
      <c r="DA79" s="593"/>
      <c r="DB79" s="593"/>
      <c r="DC79" s="593"/>
      <c r="DD79" s="593"/>
      <c r="DE79" s="593"/>
      <c r="DF79" s="593"/>
      <c r="DG79" s="593"/>
      <c r="DH79" s="593"/>
      <c r="DI79" s="593"/>
      <c r="DJ79" s="593"/>
      <c r="DK79" s="593"/>
      <c r="DL79" s="593"/>
      <c r="DM79" s="593"/>
      <c r="DN79" s="593"/>
      <c r="DO79" s="593"/>
      <c r="DP79" s="593"/>
      <c r="DQ79" s="593"/>
      <c r="DR79" s="593"/>
      <c r="DS79" s="593"/>
      <c r="DT79" s="593"/>
      <c r="DU79" s="593"/>
      <c r="DV79" s="593"/>
      <c r="DW79" s="593"/>
      <c r="DX79" s="593"/>
      <c r="DY79" s="593"/>
      <c r="DZ79" s="593"/>
      <c r="EA79" s="593"/>
      <c r="EB79" s="593"/>
      <c r="EC79" s="593"/>
      <c r="ED79" s="593"/>
      <c r="EE79" s="593"/>
      <c r="EF79" s="593"/>
      <c r="EG79" s="593"/>
      <c r="EH79" s="593"/>
      <c r="EI79" s="593"/>
      <c r="EJ79" s="593"/>
      <c r="EK79" s="593"/>
      <c r="EL79" s="593"/>
      <c r="EM79" s="593"/>
      <c r="EN79" s="593"/>
      <c r="EO79" s="593"/>
      <c r="EP79" s="593"/>
      <c r="EQ79" s="593"/>
      <c r="ER79" s="593"/>
      <c r="ES79" s="593"/>
      <c r="ET79" s="593"/>
      <c r="EU79" s="593"/>
      <c r="EV79" s="593"/>
      <c r="EW79" s="593"/>
      <c r="EX79" s="593"/>
      <c r="EY79" s="593"/>
      <c r="EZ79" s="593"/>
      <c r="FA79" s="593"/>
      <c r="FB79" s="593"/>
      <c r="FC79" s="593"/>
      <c r="FD79" s="593"/>
      <c r="FE79" s="593"/>
      <c r="FF79" s="593"/>
      <c r="FG79" s="593"/>
      <c r="FH79" s="593"/>
      <c r="FI79" s="593"/>
      <c r="FJ79" s="593"/>
      <c r="FK79" s="593"/>
      <c r="FL79" s="593"/>
      <c r="FM79" s="593"/>
      <c r="FN79" s="593"/>
      <c r="FO79" s="593"/>
      <c r="FP79" s="593"/>
      <c r="FQ79" s="593"/>
      <c r="FR79" s="593"/>
      <c r="FS79" s="593"/>
      <c r="FT79" s="593"/>
      <c r="FU79" s="593"/>
      <c r="FV79" s="593"/>
      <c r="FW79" s="593"/>
      <c r="FX79" s="593"/>
      <c r="FY79" s="593"/>
      <c r="FZ79" s="593"/>
      <c r="GA79" s="593"/>
      <c r="GB79" s="593"/>
      <c r="GC79" s="593"/>
      <c r="GD79" s="593"/>
      <c r="GE79" s="593"/>
      <c r="GF79" s="593"/>
      <c r="GG79" s="593"/>
      <c r="GH79" s="593"/>
      <c r="GI79" s="593"/>
      <c r="GJ79" s="593"/>
      <c r="GK79" s="593"/>
      <c r="GL79" s="593"/>
      <c r="GM79" s="593"/>
      <c r="GN79" s="593"/>
      <c r="GO79" s="593"/>
      <c r="GP79" s="593"/>
      <c r="GQ79" s="593"/>
      <c r="GR79" s="593"/>
      <c r="GS79" s="593"/>
      <c r="GT79" s="593"/>
      <c r="GU79" s="593"/>
      <c r="GV79" s="593"/>
      <c r="GW79" s="593"/>
      <c r="GX79" s="593"/>
      <c r="GY79" s="593"/>
      <c r="GZ79" s="593"/>
      <c r="HA79" s="593"/>
      <c r="HB79" s="593"/>
      <c r="HC79" s="593"/>
      <c r="HD79" s="593"/>
      <c r="HE79" s="593"/>
      <c r="HF79" s="593"/>
      <c r="HG79" s="593"/>
      <c r="HH79" s="593"/>
      <c r="HI79" s="593"/>
      <c r="HJ79" s="593"/>
      <c r="HK79" s="593"/>
      <c r="HL79" s="593"/>
      <c r="HM79" s="593"/>
      <c r="HN79" s="593"/>
      <c r="HO79" s="593"/>
      <c r="HP79" s="593"/>
      <c r="HQ79" s="593"/>
      <c r="HR79" s="593"/>
      <c r="HS79" s="593"/>
      <c r="HT79" s="593"/>
      <c r="HU79" s="593"/>
      <c r="HV79" s="593"/>
      <c r="HW79" s="593"/>
      <c r="HX79" s="593"/>
      <c r="HY79" s="593"/>
      <c r="HZ79" s="593"/>
      <c r="IA79" s="593"/>
      <c r="IB79" s="593"/>
      <c r="IC79" s="593"/>
      <c r="ID79" s="593"/>
      <c r="IE79" s="593"/>
      <c r="IF79" s="593"/>
      <c r="IG79" s="593"/>
      <c r="IH79" s="593"/>
      <c r="II79" s="593"/>
      <c r="IJ79" s="593"/>
      <c r="IK79" s="593"/>
      <c r="IL79" s="593"/>
      <c r="IM79" s="593"/>
      <c r="IN79" s="593"/>
      <c r="IO79" s="593"/>
      <c r="IP79" s="593"/>
      <c r="IQ79" s="593"/>
      <c r="IR79" s="593"/>
      <c r="IS79" s="593"/>
      <c r="IT79" s="593"/>
      <c r="IU79" s="593"/>
      <c r="IV79" s="593"/>
    </row>
    <row r="80" spans="1:256" s="1108" customFormat="1" hidden="1">
      <c r="A80" s="593"/>
      <c r="B80" s="594"/>
      <c r="C80" s="596"/>
      <c r="D80" s="621" t="s">
        <v>510</v>
      </c>
      <c r="E80" s="596"/>
      <c r="F80" s="594"/>
      <c r="G80" s="594"/>
      <c r="H80" s="623"/>
      <c r="I80" s="593"/>
      <c r="J80" s="593"/>
      <c r="K80" s="593"/>
      <c r="L80" s="593"/>
      <c r="M80" s="593"/>
      <c r="N80" s="593"/>
      <c r="O80" s="593"/>
      <c r="P80" s="593"/>
      <c r="Q80" s="593"/>
      <c r="R80" s="593"/>
      <c r="S80" s="593"/>
      <c r="T80" s="593"/>
      <c r="U80" s="593"/>
      <c r="V80" s="593"/>
      <c r="W80" s="593"/>
      <c r="X80" s="593"/>
      <c r="Y80" s="593"/>
      <c r="Z80" s="593"/>
      <c r="AA80" s="593"/>
      <c r="AB80" s="593"/>
      <c r="AC80" s="593"/>
      <c r="AD80" s="593"/>
      <c r="AE80" s="593"/>
      <c r="AF80" s="593"/>
      <c r="AG80" s="593"/>
      <c r="AH80" s="593"/>
      <c r="AI80" s="593"/>
      <c r="AJ80" s="593"/>
      <c r="AK80" s="593"/>
      <c r="AL80" s="593"/>
      <c r="AM80" s="593"/>
      <c r="AN80" s="593"/>
      <c r="AO80" s="593"/>
      <c r="AP80" s="593"/>
      <c r="AQ80" s="593"/>
      <c r="AR80" s="593"/>
      <c r="AS80" s="593"/>
      <c r="AT80" s="593"/>
      <c r="AU80" s="593"/>
      <c r="AV80" s="593"/>
      <c r="AW80" s="593"/>
      <c r="AX80" s="593"/>
      <c r="AY80" s="593"/>
      <c r="AZ80" s="593"/>
      <c r="BA80" s="593"/>
      <c r="BB80" s="593"/>
      <c r="BC80" s="593"/>
      <c r="BD80" s="593"/>
      <c r="BE80" s="593"/>
      <c r="BF80" s="593"/>
      <c r="BG80" s="593"/>
      <c r="BH80" s="593"/>
      <c r="BI80" s="593"/>
      <c r="BJ80" s="593"/>
      <c r="BK80" s="593"/>
      <c r="BL80" s="593"/>
      <c r="BM80" s="593"/>
      <c r="BN80" s="593"/>
      <c r="BO80" s="593"/>
      <c r="BP80" s="593"/>
      <c r="BQ80" s="593"/>
      <c r="BR80" s="593"/>
      <c r="BS80" s="593"/>
      <c r="BT80" s="593"/>
      <c r="BU80" s="593"/>
      <c r="BV80" s="593"/>
      <c r="BW80" s="593"/>
      <c r="BX80" s="593"/>
      <c r="BY80" s="593"/>
      <c r="BZ80" s="593"/>
      <c r="CA80" s="593"/>
      <c r="CB80" s="593"/>
      <c r="CC80" s="593"/>
      <c r="CD80" s="593"/>
      <c r="CE80" s="593"/>
      <c r="CF80" s="593"/>
      <c r="CG80" s="593"/>
      <c r="CH80" s="593"/>
      <c r="CI80" s="593"/>
      <c r="CJ80" s="593"/>
      <c r="CK80" s="593"/>
      <c r="CL80" s="593"/>
      <c r="CM80" s="593"/>
      <c r="CN80" s="593"/>
      <c r="CO80" s="593"/>
      <c r="CP80" s="593"/>
      <c r="CQ80" s="593"/>
      <c r="CR80" s="593"/>
      <c r="CS80" s="593"/>
      <c r="CT80" s="593"/>
      <c r="CU80" s="593"/>
      <c r="CV80" s="593"/>
      <c r="CW80" s="593"/>
      <c r="CX80" s="593"/>
      <c r="CY80" s="593"/>
      <c r="CZ80" s="593"/>
      <c r="DA80" s="593"/>
      <c r="DB80" s="593"/>
      <c r="DC80" s="593"/>
      <c r="DD80" s="593"/>
      <c r="DE80" s="593"/>
      <c r="DF80" s="593"/>
      <c r="DG80" s="593"/>
      <c r="DH80" s="593"/>
      <c r="DI80" s="593"/>
      <c r="DJ80" s="593"/>
      <c r="DK80" s="593"/>
      <c r="DL80" s="593"/>
      <c r="DM80" s="593"/>
      <c r="DN80" s="593"/>
      <c r="DO80" s="593"/>
      <c r="DP80" s="593"/>
      <c r="DQ80" s="593"/>
      <c r="DR80" s="593"/>
      <c r="DS80" s="593"/>
      <c r="DT80" s="593"/>
      <c r="DU80" s="593"/>
      <c r="DV80" s="593"/>
      <c r="DW80" s="593"/>
      <c r="DX80" s="593"/>
      <c r="DY80" s="593"/>
      <c r="DZ80" s="593"/>
      <c r="EA80" s="593"/>
      <c r="EB80" s="593"/>
      <c r="EC80" s="593"/>
      <c r="ED80" s="593"/>
      <c r="EE80" s="593"/>
      <c r="EF80" s="593"/>
      <c r="EG80" s="593"/>
      <c r="EH80" s="593"/>
      <c r="EI80" s="593"/>
      <c r="EJ80" s="593"/>
      <c r="EK80" s="593"/>
      <c r="EL80" s="593"/>
      <c r="EM80" s="593"/>
      <c r="EN80" s="593"/>
      <c r="EO80" s="593"/>
      <c r="EP80" s="593"/>
      <c r="EQ80" s="593"/>
      <c r="ER80" s="593"/>
      <c r="ES80" s="593"/>
      <c r="ET80" s="593"/>
      <c r="EU80" s="593"/>
      <c r="EV80" s="593"/>
      <c r="EW80" s="593"/>
      <c r="EX80" s="593"/>
      <c r="EY80" s="593"/>
      <c r="EZ80" s="593"/>
      <c r="FA80" s="593"/>
      <c r="FB80" s="593"/>
      <c r="FC80" s="593"/>
      <c r="FD80" s="593"/>
      <c r="FE80" s="593"/>
      <c r="FF80" s="593"/>
      <c r="FG80" s="593"/>
      <c r="FH80" s="593"/>
      <c r="FI80" s="593"/>
      <c r="FJ80" s="593"/>
      <c r="FK80" s="593"/>
      <c r="FL80" s="593"/>
      <c r="FM80" s="593"/>
      <c r="FN80" s="593"/>
      <c r="FO80" s="593"/>
      <c r="FP80" s="593"/>
      <c r="FQ80" s="593"/>
      <c r="FR80" s="593"/>
      <c r="FS80" s="593"/>
      <c r="FT80" s="593"/>
      <c r="FU80" s="593"/>
      <c r="FV80" s="593"/>
      <c r="FW80" s="593"/>
      <c r="FX80" s="593"/>
      <c r="FY80" s="593"/>
      <c r="FZ80" s="593"/>
      <c r="GA80" s="593"/>
      <c r="GB80" s="593"/>
      <c r="GC80" s="593"/>
      <c r="GD80" s="593"/>
      <c r="GE80" s="593"/>
      <c r="GF80" s="593"/>
      <c r="GG80" s="593"/>
      <c r="GH80" s="593"/>
      <c r="GI80" s="593"/>
      <c r="GJ80" s="593"/>
      <c r="GK80" s="593"/>
      <c r="GL80" s="593"/>
      <c r="GM80" s="593"/>
      <c r="GN80" s="593"/>
      <c r="GO80" s="593"/>
      <c r="GP80" s="593"/>
      <c r="GQ80" s="593"/>
      <c r="GR80" s="593"/>
      <c r="GS80" s="593"/>
      <c r="GT80" s="593"/>
      <c r="GU80" s="593"/>
      <c r="GV80" s="593"/>
      <c r="GW80" s="593"/>
      <c r="GX80" s="593"/>
      <c r="GY80" s="593"/>
      <c r="GZ80" s="593"/>
      <c r="HA80" s="593"/>
      <c r="HB80" s="593"/>
      <c r="HC80" s="593"/>
      <c r="HD80" s="593"/>
      <c r="HE80" s="593"/>
      <c r="HF80" s="593"/>
      <c r="HG80" s="593"/>
      <c r="HH80" s="593"/>
      <c r="HI80" s="593"/>
      <c r="HJ80" s="593"/>
      <c r="HK80" s="593"/>
      <c r="HL80" s="593"/>
      <c r="HM80" s="593"/>
      <c r="HN80" s="593"/>
      <c r="HO80" s="593"/>
      <c r="HP80" s="593"/>
      <c r="HQ80" s="593"/>
      <c r="HR80" s="593"/>
      <c r="HS80" s="593"/>
      <c r="HT80" s="593"/>
      <c r="HU80" s="593"/>
      <c r="HV80" s="593"/>
      <c r="HW80" s="593"/>
      <c r="HX80" s="593"/>
      <c r="HY80" s="593"/>
      <c r="HZ80" s="593"/>
      <c r="IA80" s="593"/>
      <c r="IB80" s="593"/>
      <c r="IC80" s="593"/>
      <c r="ID80" s="593"/>
      <c r="IE80" s="593"/>
      <c r="IF80" s="593"/>
      <c r="IG80" s="593"/>
      <c r="IH80" s="593"/>
      <c r="II80" s="593"/>
      <c r="IJ80" s="593"/>
      <c r="IK80" s="593"/>
      <c r="IL80" s="593"/>
      <c r="IM80" s="593"/>
      <c r="IN80" s="593"/>
      <c r="IO80" s="593"/>
      <c r="IP80" s="593"/>
      <c r="IQ80" s="593"/>
      <c r="IR80" s="593"/>
      <c r="IS80" s="593"/>
      <c r="IT80" s="593"/>
      <c r="IU80" s="593"/>
      <c r="IV80" s="593"/>
    </row>
    <row r="81" spans="1:256" s="1108" customFormat="1" hidden="1">
      <c r="A81" s="593"/>
      <c r="B81" s="594"/>
      <c r="C81" s="596"/>
      <c r="D81" s="621"/>
      <c r="E81" s="596"/>
      <c r="F81" s="594"/>
      <c r="G81" s="594"/>
      <c r="H81" s="623"/>
      <c r="I81" s="593"/>
      <c r="J81" s="593"/>
      <c r="K81" s="593"/>
      <c r="L81" s="593"/>
      <c r="M81" s="593"/>
      <c r="N81" s="593"/>
      <c r="O81" s="593"/>
      <c r="P81" s="593"/>
      <c r="Q81" s="593"/>
      <c r="R81" s="593"/>
      <c r="S81" s="593"/>
      <c r="T81" s="593"/>
      <c r="U81" s="593"/>
      <c r="V81" s="593"/>
      <c r="W81" s="593"/>
      <c r="X81" s="593"/>
      <c r="Y81" s="593"/>
      <c r="Z81" s="593"/>
      <c r="AA81" s="593"/>
      <c r="AB81" s="593"/>
      <c r="AC81" s="593"/>
      <c r="AD81" s="593"/>
      <c r="AE81" s="593"/>
      <c r="AF81" s="593"/>
      <c r="AG81" s="593"/>
      <c r="AH81" s="593"/>
      <c r="AI81" s="593"/>
      <c r="AJ81" s="593"/>
      <c r="AK81" s="593"/>
      <c r="AL81" s="593"/>
      <c r="AM81" s="593"/>
      <c r="AN81" s="593"/>
      <c r="AO81" s="593"/>
      <c r="AP81" s="593"/>
      <c r="AQ81" s="593"/>
      <c r="AR81" s="593"/>
      <c r="AS81" s="593"/>
      <c r="AT81" s="593"/>
      <c r="AU81" s="593"/>
      <c r="AV81" s="593"/>
      <c r="AW81" s="593"/>
      <c r="AX81" s="593"/>
      <c r="AY81" s="593"/>
      <c r="AZ81" s="593"/>
      <c r="BA81" s="593"/>
      <c r="BB81" s="593"/>
      <c r="BC81" s="593"/>
      <c r="BD81" s="593"/>
      <c r="BE81" s="593"/>
      <c r="BF81" s="593"/>
      <c r="BG81" s="593"/>
      <c r="BH81" s="593"/>
      <c r="BI81" s="593"/>
      <c r="BJ81" s="593"/>
      <c r="BK81" s="593"/>
      <c r="BL81" s="593"/>
      <c r="BM81" s="593"/>
      <c r="BN81" s="593"/>
      <c r="BO81" s="593"/>
      <c r="BP81" s="593"/>
      <c r="BQ81" s="593"/>
      <c r="BR81" s="593"/>
      <c r="BS81" s="593"/>
      <c r="BT81" s="593"/>
      <c r="BU81" s="593"/>
      <c r="BV81" s="593"/>
      <c r="BW81" s="593"/>
      <c r="BX81" s="593"/>
      <c r="BY81" s="593"/>
      <c r="BZ81" s="593"/>
      <c r="CA81" s="593"/>
      <c r="CB81" s="593"/>
      <c r="CC81" s="593"/>
      <c r="CD81" s="593"/>
      <c r="CE81" s="593"/>
      <c r="CF81" s="593"/>
      <c r="CG81" s="593"/>
      <c r="CH81" s="593"/>
      <c r="CI81" s="593"/>
      <c r="CJ81" s="593"/>
      <c r="CK81" s="593"/>
      <c r="CL81" s="593"/>
      <c r="CM81" s="593"/>
      <c r="CN81" s="593"/>
      <c r="CO81" s="593"/>
      <c r="CP81" s="593"/>
      <c r="CQ81" s="593"/>
      <c r="CR81" s="593"/>
      <c r="CS81" s="593"/>
      <c r="CT81" s="593"/>
      <c r="CU81" s="593"/>
      <c r="CV81" s="593"/>
      <c r="CW81" s="593"/>
      <c r="CX81" s="593"/>
      <c r="CY81" s="593"/>
      <c r="CZ81" s="593"/>
      <c r="DA81" s="593"/>
      <c r="DB81" s="593"/>
      <c r="DC81" s="593"/>
      <c r="DD81" s="593"/>
      <c r="DE81" s="593"/>
      <c r="DF81" s="593"/>
      <c r="DG81" s="593"/>
      <c r="DH81" s="593"/>
      <c r="DI81" s="593"/>
      <c r="DJ81" s="593"/>
      <c r="DK81" s="593"/>
      <c r="DL81" s="593"/>
      <c r="DM81" s="593"/>
      <c r="DN81" s="593"/>
      <c r="DO81" s="593"/>
      <c r="DP81" s="593"/>
      <c r="DQ81" s="593"/>
      <c r="DR81" s="593"/>
      <c r="DS81" s="593"/>
      <c r="DT81" s="593"/>
      <c r="DU81" s="593"/>
      <c r="DV81" s="593"/>
      <c r="DW81" s="593"/>
      <c r="DX81" s="593"/>
      <c r="DY81" s="593"/>
      <c r="DZ81" s="593"/>
      <c r="EA81" s="593"/>
      <c r="EB81" s="593"/>
      <c r="EC81" s="593"/>
      <c r="ED81" s="593"/>
      <c r="EE81" s="593"/>
      <c r="EF81" s="593"/>
      <c r="EG81" s="593"/>
      <c r="EH81" s="593"/>
      <c r="EI81" s="593"/>
      <c r="EJ81" s="593"/>
      <c r="EK81" s="593"/>
      <c r="EL81" s="593"/>
      <c r="EM81" s="593"/>
      <c r="EN81" s="593"/>
      <c r="EO81" s="593"/>
      <c r="EP81" s="593"/>
      <c r="EQ81" s="593"/>
      <c r="ER81" s="593"/>
      <c r="ES81" s="593"/>
      <c r="ET81" s="593"/>
      <c r="EU81" s="593"/>
      <c r="EV81" s="593"/>
      <c r="EW81" s="593"/>
      <c r="EX81" s="593"/>
      <c r="EY81" s="593"/>
      <c r="EZ81" s="593"/>
      <c r="FA81" s="593"/>
      <c r="FB81" s="593"/>
      <c r="FC81" s="593"/>
      <c r="FD81" s="593"/>
      <c r="FE81" s="593"/>
      <c r="FF81" s="593"/>
      <c r="FG81" s="593"/>
      <c r="FH81" s="593"/>
      <c r="FI81" s="593"/>
      <c r="FJ81" s="593"/>
      <c r="FK81" s="593"/>
      <c r="FL81" s="593"/>
      <c r="FM81" s="593"/>
      <c r="FN81" s="593"/>
      <c r="FO81" s="593"/>
      <c r="FP81" s="593"/>
      <c r="FQ81" s="593"/>
      <c r="FR81" s="593"/>
      <c r="FS81" s="593"/>
      <c r="FT81" s="593"/>
      <c r="FU81" s="593"/>
      <c r="FV81" s="593"/>
      <c r="FW81" s="593"/>
      <c r="FX81" s="593"/>
      <c r="FY81" s="593"/>
      <c r="FZ81" s="593"/>
      <c r="GA81" s="593"/>
      <c r="GB81" s="593"/>
      <c r="GC81" s="593"/>
      <c r="GD81" s="593"/>
      <c r="GE81" s="593"/>
      <c r="GF81" s="593"/>
      <c r="GG81" s="593"/>
      <c r="GH81" s="593"/>
      <c r="GI81" s="593"/>
      <c r="GJ81" s="593"/>
      <c r="GK81" s="593"/>
      <c r="GL81" s="593"/>
      <c r="GM81" s="593"/>
      <c r="GN81" s="593"/>
      <c r="GO81" s="593"/>
      <c r="GP81" s="593"/>
      <c r="GQ81" s="593"/>
      <c r="GR81" s="593"/>
      <c r="GS81" s="593"/>
      <c r="GT81" s="593"/>
      <c r="GU81" s="593"/>
      <c r="GV81" s="593"/>
      <c r="GW81" s="593"/>
      <c r="GX81" s="593"/>
      <c r="GY81" s="593"/>
      <c r="GZ81" s="593"/>
      <c r="HA81" s="593"/>
      <c r="HB81" s="593"/>
      <c r="HC81" s="593"/>
      <c r="HD81" s="593"/>
      <c r="HE81" s="593"/>
      <c r="HF81" s="593"/>
      <c r="HG81" s="593"/>
      <c r="HH81" s="593"/>
      <c r="HI81" s="593"/>
      <c r="HJ81" s="593"/>
      <c r="HK81" s="593"/>
      <c r="HL81" s="593"/>
      <c r="HM81" s="593"/>
      <c r="HN81" s="593"/>
      <c r="HO81" s="593"/>
      <c r="HP81" s="593"/>
      <c r="HQ81" s="593"/>
      <c r="HR81" s="593"/>
      <c r="HS81" s="593"/>
      <c r="HT81" s="593"/>
      <c r="HU81" s="593"/>
      <c r="HV81" s="593"/>
      <c r="HW81" s="593"/>
      <c r="HX81" s="593"/>
      <c r="HY81" s="593"/>
      <c r="HZ81" s="593"/>
      <c r="IA81" s="593"/>
      <c r="IB81" s="593"/>
      <c r="IC81" s="593"/>
      <c r="ID81" s="593"/>
      <c r="IE81" s="593"/>
      <c r="IF81" s="593"/>
      <c r="IG81" s="593"/>
      <c r="IH81" s="593"/>
      <c r="II81" s="593"/>
      <c r="IJ81" s="593"/>
      <c r="IK81" s="593"/>
      <c r="IL81" s="593"/>
      <c r="IM81" s="593"/>
      <c r="IN81" s="593"/>
      <c r="IO81" s="593"/>
      <c r="IP81" s="593"/>
      <c r="IQ81" s="593"/>
      <c r="IR81" s="593"/>
      <c r="IS81" s="593"/>
      <c r="IT81" s="593"/>
      <c r="IU81" s="593"/>
      <c r="IV81" s="593"/>
    </row>
    <row r="82" spans="1:256" s="1108" customFormat="1" ht="63" hidden="1" customHeight="1">
      <c r="A82" s="593"/>
      <c r="B82" s="594"/>
      <c r="C82" s="596">
        <f>H61</f>
        <v>3.83</v>
      </c>
      <c r="D82" s="624" t="str">
        <f>D26</f>
        <v>Labour charges  for wrought and put up including fixing in position frames of any size , shutters for doors, windows, ventilators including fixing all necesssary fixtures etc complete for  teak wood flush type door shutter  including frame.(TBSC-T.I-31)</v>
      </c>
      <c r="E82" s="596">
        <f>E26</f>
        <v>1057</v>
      </c>
      <c r="F82" s="594">
        <v>1</v>
      </c>
      <c r="G82" s="594" t="s">
        <v>461</v>
      </c>
      <c r="H82" s="625">
        <f>ROUND(C82*E82/F82,2)</f>
        <v>4048.31</v>
      </c>
      <c r="I82" s="593"/>
      <c r="J82" s="593"/>
      <c r="K82" s="593"/>
      <c r="L82" s="593"/>
      <c r="M82" s="593"/>
      <c r="N82" s="593"/>
      <c r="O82" s="593"/>
      <c r="P82" s="593"/>
      <c r="Q82" s="593"/>
      <c r="R82" s="593"/>
      <c r="S82" s="593"/>
      <c r="T82" s="593"/>
      <c r="U82" s="593"/>
      <c r="V82" s="593"/>
      <c r="W82" s="593"/>
      <c r="X82" s="593"/>
      <c r="Y82" s="593"/>
      <c r="Z82" s="593"/>
      <c r="AA82" s="593"/>
      <c r="AB82" s="593"/>
      <c r="AC82" s="593"/>
      <c r="AD82" s="593"/>
      <c r="AE82" s="593"/>
      <c r="AF82" s="593"/>
      <c r="AG82" s="593"/>
      <c r="AH82" s="593"/>
      <c r="AI82" s="593"/>
      <c r="AJ82" s="593"/>
      <c r="AK82" s="593"/>
      <c r="AL82" s="593"/>
      <c r="AM82" s="593"/>
      <c r="AN82" s="593"/>
      <c r="AO82" s="593"/>
      <c r="AP82" s="593"/>
      <c r="AQ82" s="593"/>
      <c r="AR82" s="593"/>
      <c r="AS82" s="593"/>
      <c r="AT82" s="593"/>
      <c r="AU82" s="593"/>
      <c r="AV82" s="593"/>
      <c r="AW82" s="593"/>
      <c r="AX82" s="593"/>
      <c r="AY82" s="593"/>
      <c r="AZ82" s="593"/>
      <c r="BA82" s="593"/>
      <c r="BB82" s="593"/>
      <c r="BC82" s="593"/>
      <c r="BD82" s="593"/>
      <c r="BE82" s="593"/>
      <c r="BF82" s="593"/>
      <c r="BG82" s="593"/>
      <c r="BH82" s="593"/>
      <c r="BI82" s="593"/>
      <c r="BJ82" s="593"/>
      <c r="BK82" s="593"/>
      <c r="BL82" s="593"/>
      <c r="BM82" s="593"/>
      <c r="BN82" s="593"/>
      <c r="BO82" s="593"/>
      <c r="BP82" s="593"/>
      <c r="BQ82" s="593"/>
      <c r="BR82" s="593"/>
      <c r="BS82" s="593"/>
      <c r="BT82" s="593"/>
      <c r="BU82" s="593"/>
      <c r="BV82" s="593"/>
      <c r="BW82" s="593"/>
      <c r="BX82" s="593"/>
      <c r="BY82" s="593"/>
      <c r="BZ82" s="593"/>
      <c r="CA82" s="593"/>
      <c r="CB82" s="593"/>
      <c r="CC82" s="593"/>
      <c r="CD82" s="593"/>
      <c r="CE82" s="593"/>
      <c r="CF82" s="593"/>
      <c r="CG82" s="593"/>
      <c r="CH82" s="593"/>
      <c r="CI82" s="593"/>
      <c r="CJ82" s="593"/>
      <c r="CK82" s="593"/>
      <c r="CL82" s="593"/>
      <c r="CM82" s="593"/>
      <c r="CN82" s="593"/>
      <c r="CO82" s="593"/>
      <c r="CP82" s="593"/>
      <c r="CQ82" s="593"/>
      <c r="CR82" s="593"/>
      <c r="CS82" s="593"/>
      <c r="CT82" s="593"/>
      <c r="CU82" s="593"/>
      <c r="CV82" s="593"/>
      <c r="CW82" s="593"/>
      <c r="CX82" s="593"/>
      <c r="CY82" s="593"/>
      <c r="CZ82" s="593"/>
      <c r="DA82" s="593"/>
      <c r="DB82" s="593"/>
      <c r="DC82" s="593"/>
      <c r="DD82" s="593"/>
      <c r="DE82" s="593"/>
      <c r="DF82" s="593"/>
      <c r="DG82" s="593"/>
      <c r="DH82" s="593"/>
      <c r="DI82" s="593"/>
      <c r="DJ82" s="593"/>
      <c r="DK82" s="593"/>
      <c r="DL82" s="593"/>
      <c r="DM82" s="593"/>
      <c r="DN82" s="593"/>
      <c r="DO82" s="593"/>
      <c r="DP82" s="593"/>
      <c r="DQ82" s="593"/>
      <c r="DR82" s="593"/>
      <c r="DS82" s="593"/>
      <c r="DT82" s="593"/>
      <c r="DU82" s="593"/>
      <c r="DV82" s="593"/>
      <c r="DW82" s="593"/>
      <c r="DX82" s="593"/>
      <c r="DY82" s="593"/>
      <c r="DZ82" s="593"/>
      <c r="EA82" s="593"/>
      <c r="EB82" s="593"/>
      <c r="EC82" s="593"/>
      <c r="ED82" s="593"/>
      <c r="EE82" s="593"/>
      <c r="EF82" s="593"/>
      <c r="EG82" s="593"/>
      <c r="EH82" s="593"/>
      <c r="EI82" s="593"/>
      <c r="EJ82" s="593"/>
      <c r="EK82" s="593"/>
      <c r="EL82" s="593"/>
      <c r="EM82" s="593"/>
      <c r="EN82" s="593"/>
      <c r="EO82" s="593"/>
      <c r="EP82" s="593"/>
      <c r="EQ82" s="593"/>
      <c r="ER82" s="593"/>
      <c r="ES82" s="593"/>
      <c r="ET82" s="593"/>
      <c r="EU82" s="593"/>
      <c r="EV82" s="593"/>
      <c r="EW82" s="593"/>
      <c r="EX82" s="593"/>
      <c r="EY82" s="593"/>
      <c r="EZ82" s="593"/>
      <c r="FA82" s="593"/>
      <c r="FB82" s="593"/>
      <c r="FC82" s="593"/>
      <c r="FD82" s="593"/>
      <c r="FE82" s="593"/>
      <c r="FF82" s="593"/>
      <c r="FG82" s="593"/>
      <c r="FH82" s="593"/>
      <c r="FI82" s="593"/>
      <c r="FJ82" s="593"/>
      <c r="FK82" s="593"/>
      <c r="FL82" s="593"/>
      <c r="FM82" s="593"/>
      <c r="FN82" s="593"/>
      <c r="FO82" s="593"/>
      <c r="FP82" s="593"/>
      <c r="FQ82" s="593"/>
      <c r="FR82" s="593"/>
      <c r="FS82" s="593"/>
      <c r="FT82" s="593"/>
      <c r="FU82" s="593"/>
      <c r="FV82" s="593"/>
      <c r="FW82" s="593"/>
      <c r="FX82" s="593"/>
      <c r="FY82" s="593"/>
      <c r="FZ82" s="593"/>
      <c r="GA82" s="593"/>
      <c r="GB82" s="593"/>
      <c r="GC82" s="593"/>
      <c r="GD82" s="593"/>
      <c r="GE82" s="593"/>
      <c r="GF82" s="593"/>
      <c r="GG82" s="593"/>
      <c r="GH82" s="593"/>
      <c r="GI82" s="593"/>
      <c r="GJ82" s="593"/>
      <c r="GK82" s="593"/>
      <c r="GL82" s="593"/>
      <c r="GM82" s="593"/>
      <c r="GN82" s="593"/>
      <c r="GO82" s="593"/>
      <c r="GP82" s="593"/>
      <c r="GQ82" s="593"/>
      <c r="GR82" s="593"/>
      <c r="GS82" s="593"/>
      <c r="GT82" s="593"/>
      <c r="GU82" s="593"/>
      <c r="GV82" s="593"/>
      <c r="GW82" s="593"/>
      <c r="GX82" s="593"/>
      <c r="GY82" s="593"/>
      <c r="GZ82" s="593"/>
      <c r="HA82" s="593"/>
      <c r="HB82" s="593"/>
      <c r="HC82" s="593"/>
      <c r="HD82" s="593"/>
      <c r="HE82" s="593"/>
      <c r="HF82" s="593"/>
      <c r="HG82" s="593"/>
      <c r="HH82" s="593"/>
      <c r="HI82" s="593"/>
      <c r="HJ82" s="593"/>
      <c r="HK82" s="593"/>
      <c r="HL82" s="593"/>
      <c r="HM82" s="593"/>
      <c r="HN82" s="593"/>
      <c r="HO82" s="593"/>
      <c r="HP82" s="593"/>
      <c r="HQ82" s="593"/>
      <c r="HR82" s="593"/>
      <c r="HS82" s="593"/>
      <c r="HT82" s="593"/>
      <c r="HU82" s="593"/>
      <c r="HV82" s="593"/>
      <c r="HW82" s="593"/>
      <c r="HX82" s="593"/>
      <c r="HY82" s="593"/>
      <c r="HZ82" s="593"/>
      <c r="IA82" s="593"/>
      <c r="IB82" s="593"/>
      <c r="IC82" s="593"/>
      <c r="ID82" s="593"/>
      <c r="IE82" s="593"/>
      <c r="IF82" s="593"/>
      <c r="IG82" s="593"/>
      <c r="IH82" s="593"/>
      <c r="II82" s="593"/>
      <c r="IJ82" s="593"/>
      <c r="IK82" s="593"/>
      <c r="IL82" s="593"/>
      <c r="IM82" s="593"/>
      <c r="IN82" s="593"/>
      <c r="IO82" s="593"/>
      <c r="IP82" s="593"/>
      <c r="IQ82" s="593"/>
      <c r="IR82" s="593"/>
      <c r="IS82" s="593"/>
      <c r="IT82" s="593"/>
      <c r="IU82" s="593"/>
      <c r="IV82" s="593"/>
    </row>
    <row r="83" spans="1:256" s="1108" customFormat="1" hidden="1">
      <c r="A83" s="593"/>
      <c r="B83" s="594"/>
      <c r="C83" s="596">
        <f>'C-data'!$E$5</f>
        <v>0</v>
      </c>
      <c r="D83" s="626" t="s">
        <v>2194</v>
      </c>
      <c r="E83" s="627">
        <f>+H82</f>
        <v>4048.31</v>
      </c>
      <c r="F83" s="628">
        <v>1</v>
      </c>
      <c r="G83" s="628"/>
      <c r="H83" s="629">
        <f>ROUND(C83*E83/F83,2)</f>
        <v>0</v>
      </c>
      <c r="I83" s="593"/>
      <c r="J83" s="593"/>
      <c r="K83" s="593"/>
      <c r="L83" s="593"/>
      <c r="M83" s="593"/>
      <c r="N83" s="593"/>
      <c r="O83" s="593"/>
      <c r="P83" s="593"/>
      <c r="Q83" s="593"/>
      <c r="R83" s="593"/>
      <c r="S83" s="593"/>
      <c r="T83" s="593"/>
      <c r="U83" s="593"/>
      <c r="V83" s="593"/>
      <c r="W83" s="593"/>
      <c r="X83" s="593"/>
      <c r="Y83" s="593"/>
      <c r="Z83" s="593"/>
      <c r="AA83" s="593"/>
      <c r="AB83" s="593"/>
      <c r="AC83" s="593"/>
      <c r="AD83" s="593"/>
      <c r="AE83" s="593"/>
      <c r="AF83" s="593"/>
      <c r="AG83" s="593"/>
      <c r="AH83" s="593"/>
      <c r="AI83" s="593"/>
      <c r="AJ83" s="593"/>
      <c r="AK83" s="593"/>
      <c r="AL83" s="593"/>
      <c r="AM83" s="593"/>
      <c r="AN83" s="593"/>
      <c r="AO83" s="593"/>
      <c r="AP83" s="593"/>
      <c r="AQ83" s="593"/>
      <c r="AR83" s="593"/>
      <c r="AS83" s="593"/>
      <c r="AT83" s="593"/>
      <c r="AU83" s="593"/>
      <c r="AV83" s="593"/>
      <c r="AW83" s="593"/>
      <c r="AX83" s="593"/>
      <c r="AY83" s="593"/>
      <c r="AZ83" s="593"/>
      <c r="BA83" s="593"/>
      <c r="BB83" s="593"/>
      <c r="BC83" s="593"/>
      <c r="BD83" s="593"/>
      <c r="BE83" s="593"/>
      <c r="BF83" s="593"/>
      <c r="BG83" s="593"/>
      <c r="BH83" s="593"/>
      <c r="BI83" s="593"/>
      <c r="BJ83" s="593"/>
      <c r="BK83" s="593"/>
      <c r="BL83" s="593"/>
      <c r="BM83" s="593"/>
      <c r="BN83" s="593"/>
      <c r="BO83" s="593"/>
      <c r="BP83" s="593"/>
      <c r="BQ83" s="593"/>
      <c r="BR83" s="593"/>
      <c r="BS83" s="593"/>
      <c r="BT83" s="593"/>
      <c r="BU83" s="593"/>
      <c r="BV83" s="593"/>
      <c r="BW83" s="593"/>
      <c r="BX83" s="593"/>
      <c r="BY83" s="593"/>
      <c r="BZ83" s="593"/>
      <c r="CA83" s="593"/>
      <c r="CB83" s="593"/>
      <c r="CC83" s="593"/>
      <c r="CD83" s="593"/>
      <c r="CE83" s="593"/>
      <c r="CF83" s="593"/>
      <c r="CG83" s="593"/>
      <c r="CH83" s="593"/>
      <c r="CI83" s="593"/>
      <c r="CJ83" s="593"/>
      <c r="CK83" s="593"/>
      <c r="CL83" s="593"/>
      <c r="CM83" s="593"/>
      <c r="CN83" s="593"/>
      <c r="CO83" s="593"/>
      <c r="CP83" s="593"/>
      <c r="CQ83" s="593"/>
      <c r="CR83" s="593"/>
      <c r="CS83" s="593"/>
      <c r="CT83" s="593"/>
      <c r="CU83" s="593"/>
      <c r="CV83" s="593"/>
      <c r="CW83" s="593"/>
      <c r="CX83" s="593"/>
      <c r="CY83" s="593"/>
      <c r="CZ83" s="593"/>
      <c r="DA83" s="593"/>
      <c r="DB83" s="593"/>
      <c r="DC83" s="593"/>
      <c r="DD83" s="593"/>
      <c r="DE83" s="593"/>
      <c r="DF83" s="593"/>
      <c r="DG83" s="593"/>
      <c r="DH83" s="593"/>
      <c r="DI83" s="593"/>
      <c r="DJ83" s="593"/>
      <c r="DK83" s="593"/>
      <c r="DL83" s="593"/>
      <c r="DM83" s="593"/>
      <c r="DN83" s="593"/>
      <c r="DO83" s="593"/>
      <c r="DP83" s="593"/>
      <c r="DQ83" s="593"/>
      <c r="DR83" s="593"/>
      <c r="DS83" s="593"/>
      <c r="DT83" s="593"/>
      <c r="DU83" s="593"/>
      <c r="DV83" s="593"/>
      <c r="DW83" s="593"/>
      <c r="DX83" s="593"/>
      <c r="DY83" s="593"/>
      <c r="DZ83" s="593"/>
      <c r="EA83" s="593"/>
      <c r="EB83" s="593"/>
      <c r="EC83" s="593"/>
      <c r="ED83" s="593"/>
      <c r="EE83" s="593"/>
      <c r="EF83" s="593"/>
      <c r="EG83" s="593"/>
      <c r="EH83" s="593"/>
      <c r="EI83" s="593"/>
      <c r="EJ83" s="593"/>
      <c r="EK83" s="593"/>
      <c r="EL83" s="593"/>
      <c r="EM83" s="593"/>
      <c r="EN83" s="593"/>
      <c r="EO83" s="593"/>
      <c r="EP83" s="593"/>
      <c r="EQ83" s="593"/>
      <c r="ER83" s="593"/>
      <c r="ES83" s="593"/>
      <c r="ET83" s="593"/>
      <c r="EU83" s="593"/>
      <c r="EV83" s="593"/>
      <c r="EW83" s="593"/>
      <c r="EX83" s="593"/>
      <c r="EY83" s="593"/>
      <c r="EZ83" s="593"/>
      <c r="FA83" s="593"/>
      <c r="FB83" s="593"/>
      <c r="FC83" s="593"/>
      <c r="FD83" s="593"/>
      <c r="FE83" s="593"/>
      <c r="FF83" s="593"/>
      <c r="FG83" s="593"/>
      <c r="FH83" s="593"/>
      <c r="FI83" s="593"/>
      <c r="FJ83" s="593"/>
      <c r="FK83" s="593"/>
      <c r="FL83" s="593"/>
      <c r="FM83" s="593"/>
      <c r="FN83" s="593"/>
      <c r="FO83" s="593"/>
      <c r="FP83" s="593"/>
      <c r="FQ83" s="593"/>
      <c r="FR83" s="593"/>
      <c r="FS83" s="593"/>
      <c r="FT83" s="593"/>
      <c r="FU83" s="593"/>
      <c r="FV83" s="593"/>
      <c r="FW83" s="593"/>
      <c r="FX83" s="593"/>
      <c r="FY83" s="593"/>
      <c r="FZ83" s="593"/>
      <c r="GA83" s="593"/>
      <c r="GB83" s="593"/>
      <c r="GC83" s="593"/>
      <c r="GD83" s="593"/>
      <c r="GE83" s="593"/>
      <c r="GF83" s="593"/>
      <c r="GG83" s="593"/>
      <c r="GH83" s="593"/>
      <c r="GI83" s="593"/>
      <c r="GJ83" s="593"/>
      <c r="GK83" s="593"/>
      <c r="GL83" s="593"/>
      <c r="GM83" s="593"/>
      <c r="GN83" s="593"/>
      <c r="GO83" s="593"/>
      <c r="GP83" s="593"/>
      <c r="GQ83" s="593"/>
      <c r="GR83" s="593"/>
      <c r="GS83" s="593"/>
      <c r="GT83" s="593"/>
      <c r="GU83" s="593"/>
      <c r="GV83" s="593"/>
      <c r="GW83" s="593"/>
      <c r="GX83" s="593"/>
      <c r="GY83" s="593"/>
      <c r="GZ83" s="593"/>
      <c r="HA83" s="593"/>
      <c r="HB83" s="593"/>
      <c r="HC83" s="593"/>
      <c r="HD83" s="593"/>
      <c r="HE83" s="593"/>
      <c r="HF83" s="593"/>
      <c r="HG83" s="593"/>
      <c r="HH83" s="593"/>
      <c r="HI83" s="593"/>
      <c r="HJ83" s="593"/>
      <c r="HK83" s="593"/>
      <c r="HL83" s="593"/>
      <c r="HM83" s="593"/>
      <c r="HN83" s="593"/>
      <c r="HO83" s="593"/>
      <c r="HP83" s="593"/>
      <c r="HQ83" s="593"/>
      <c r="HR83" s="593"/>
      <c r="HS83" s="593"/>
      <c r="HT83" s="593"/>
      <c r="HU83" s="593"/>
      <c r="HV83" s="593"/>
      <c r="HW83" s="593"/>
      <c r="HX83" s="593"/>
      <c r="HY83" s="593"/>
      <c r="HZ83" s="593"/>
      <c r="IA83" s="593"/>
      <c r="IB83" s="593"/>
      <c r="IC83" s="593"/>
      <c r="ID83" s="593"/>
      <c r="IE83" s="593"/>
      <c r="IF83" s="593"/>
      <c r="IG83" s="593"/>
      <c r="IH83" s="593"/>
      <c r="II83" s="593"/>
      <c r="IJ83" s="593"/>
      <c r="IK83" s="593"/>
      <c r="IL83" s="593"/>
      <c r="IM83" s="593"/>
      <c r="IN83" s="593"/>
      <c r="IO83" s="593"/>
      <c r="IP83" s="593"/>
      <c r="IQ83" s="593"/>
      <c r="IR83" s="593"/>
      <c r="IS83" s="593"/>
      <c r="IT83" s="593"/>
      <c r="IU83" s="593"/>
      <c r="IV83" s="593"/>
    </row>
    <row r="84" spans="1:256" s="1108" customFormat="1" hidden="1">
      <c r="A84" s="593"/>
      <c r="B84" s="594"/>
      <c r="C84" s="596"/>
      <c r="D84" s="597"/>
      <c r="E84" s="596"/>
      <c r="F84" s="594"/>
      <c r="G84" s="594"/>
      <c r="H84" s="623">
        <f>SUM(H70:H83)</f>
        <v>13693.6</v>
      </c>
      <c r="I84" s="593"/>
      <c r="J84" s="593"/>
      <c r="K84" s="593"/>
      <c r="L84" s="593"/>
      <c r="M84" s="593"/>
      <c r="N84" s="593"/>
      <c r="O84" s="593"/>
      <c r="P84" s="593"/>
      <c r="Q84" s="593"/>
      <c r="R84" s="593"/>
      <c r="S84" s="593"/>
      <c r="T84" s="593"/>
      <c r="U84" s="593"/>
      <c r="V84" s="593"/>
      <c r="W84" s="593"/>
      <c r="X84" s="593"/>
      <c r="Y84" s="593"/>
      <c r="Z84" s="593"/>
      <c r="AA84" s="593"/>
      <c r="AB84" s="593"/>
      <c r="AC84" s="593"/>
      <c r="AD84" s="593"/>
      <c r="AE84" s="593"/>
      <c r="AF84" s="593"/>
      <c r="AG84" s="593"/>
      <c r="AH84" s="593"/>
      <c r="AI84" s="593"/>
      <c r="AJ84" s="593"/>
      <c r="AK84" s="593"/>
      <c r="AL84" s="593"/>
      <c r="AM84" s="593"/>
      <c r="AN84" s="593"/>
      <c r="AO84" s="593"/>
      <c r="AP84" s="593"/>
      <c r="AQ84" s="593"/>
      <c r="AR84" s="593"/>
      <c r="AS84" s="593"/>
      <c r="AT84" s="593"/>
      <c r="AU84" s="593"/>
      <c r="AV84" s="593"/>
      <c r="AW84" s="593"/>
      <c r="AX84" s="593"/>
      <c r="AY84" s="593"/>
      <c r="AZ84" s="593"/>
      <c r="BA84" s="593"/>
      <c r="BB84" s="593"/>
      <c r="BC84" s="593"/>
      <c r="BD84" s="593"/>
      <c r="BE84" s="593"/>
      <c r="BF84" s="593"/>
      <c r="BG84" s="593"/>
      <c r="BH84" s="593"/>
      <c r="BI84" s="593"/>
      <c r="BJ84" s="593"/>
      <c r="BK84" s="593"/>
      <c r="BL84" s="593"/>
      <c r="BM84" s="593"/>
      <c r="BN84" s="593"/>
      <c r="BO84" s="593"/>
      <c r="BP84" s="593"/>
      <c r="BQ84" s="593"/>
      <c r="BR84" s="593"/>
      <c r="BS84" s="593"/>
      <c r="BT84" s="593"/>
      <c r="BU84" s="593"/>
      <c r="BV84" s="593"/>
      <c r="BW84" s="593"/>
      <c r="BX84" s="593"/>
      <c r="BY84" s="593"/>
      <c r="BZ84" s="593"/>
      <c r="CA84" s="593"/>
      <c r="CB84" s="593"/>
      <c r="CC84" s="593"/>
      <c r="CD84" s="593"/>
      <c r="CE84" s="593"/>
      <c r="CF84" s="593"/>
      <c r="CG84" s="593"/>
      <c r="CH84" s="593"/>
      <c r="CI84" s="593"/>
      <c r="CJ84" s="593"/>
      <c r="CK84" s="593"/>
      <c r="CL84" s="593"/>
      <c r="CM84" s="593"/>
      <c r="CN84" s="593"/>
      <c r="CO84" s="593"/>
      <c r="CP84" s="593"/>
      <c r="CQ84" s="593"/>
      <c r="CR84" s="593"/>
      <c r="CS84" s="593"/>
      <c r="CT84" s="593"/>
      <c r="CU84" s="593"/>
      <c r="CV84" s="593"/>
      <c r="CW84" s="593"/>
      <c r="CX84" s="593"/>
      <c r="CY84" s="593"/>
      <c r="CZ84" s="593"/>
      <c r="DA84" s="593"/>
      <c r="DB84" s="593"/>
      <c r="DC84" s="593"/>
      <c r="DD84" s="593"/>
      <c r="DE84" s="593"/>
      <c r="DF84" s="593"/>
      <c r="DG84" s="593"/>
      <c r="DH84" s="593"/>
      <c r="DI84" s="593"/>
      <c r="DJ84" s="593"/>
      <c r="DK84" s="593"/>
      <c r="DL84" s="593"/>
      <c r="DM84" s="593"/>
      <c r="DN84" s="593"/>
      <c r="DO84" s="593"/>
      <c r="DP84" s="593"/>
      <c r="DQ84" s="593"/>
      <c r="DR84" s="593"/>
      <c r="DS84" s="593"/>
      <c r="DT84" s="593"/>
      <c r="DU84" s="593"/>
      <c r="DV84" s="593"/>
      <c r="DW84" s="593"/>
      <c r="DX84" s="593"/>
      <c r="DY84" s="593"/>
      <c r="DZ84" s="593"/>
      <c r="EA84" s="593"/>
      <c r="EB84" s="593"/>
      <c r="EC84" s="593"/>
      <c r="ED84" s="593"/>
      <c r="EE84" s="593"/>
      <c r="EF84" s="593"/>
      <c r="EG84" s="593"/>
      <c r="EH84" s="593"/>
      <c r="EI84" s="593"/>
      <c r="EJ84" s="593"/>
      <c r="EK84" s="593"/>
      <c r="EL84" s="593"/>
      <c r="EM84" s="593"/>
      <c r="EN84" s="593"/>
      <c r="EO84" s="593"/>
      <c r="EP84" s="593"/>
      <c r="EQ84" s="593"/>
      <c r="ER84" s="593"/>
      <c r="ES84" s="593"/>
      <c r="ET84" s="593"/>
      <c r="EU84" s="593"/>
      <c r="EV84" s="593"/>
      <c r="EW84" s="593"/>
      <c r="EX84" s="593"/>
      <c r="EY84" s="593"/>
      <c r="EZ84" s="593"/>
      <c r="FA84" s="593"/>
      <c r="FB84" s="593"/>
      <c r="FC84" s="593"/>
      <c r="FD84" s="593"/>
      <c r="FE84" s="593"/>
      <c r="FF84" s="593"/>
      <c r="FG84" s="593"/>
      <c r="FH84" s="593"/>
      <c r="FI84" s="593"/>
      <c r="FJ84" s="593"/>
      <c r="FK84" s="593"/>
      <c r="FL84" s="593"/>
      <c r="FM84" s="593"/>
      <c r="FN84" s="593"/>
      <c r="FO84" s="593"/>
      <c r="FP84" s="593"/>
      <c r="FQ84" s="593"/>
      <c r="FR84" s="593"/>
      <c r="FS84" s="593"/>
      <c r="FT84" s="593"/>
      <c r="FU84" s="593"/>
      <c r="FV84" s="593"/>
      <c r="FW84" s="593"/>
      <c r="FX84" s="593"/>
      <c r="FY84" s="593"/>
      <c r="FZ84" s="593"/>
      <c r="GA84" s="593"/>
      <c r="GB84" s="593"/>
      <c r="GC84" s="593"/>
      <c r="GD84" s="593"/>
      <c r="GE84" s="593"/>
      <c r="GF84" s="593"/>
      <c r="GG84" s="593"/>
      <c r="GH84" s="593"/>
      <c r="GI84" s="593"/>
      <c r="GJ84" s="593"/>
      <c r="GK84" s="593"/>
      <c r="GL84" s="593"/>
      <c r="GM84" s="593"/>
      <c r="GN84" s="593"/>
      <c r="GO84" s="593"/>
      <c r="GP84" s="593"/>
      <c r="GQ84" s="593"/>
      <c r="GR84" s="593"/>
      <c r="GS84" s="593"/>
      <c r="GT84" s="593"/>
      <c r="GU84" s="593"/>
      <c r="GV84" s="593"/>
      <c r="GW84" s="593"/>
      <c r="GX84" s="593"/>
      <c r="GY84" s="593"/>
      <c r="GZ84" s="593"/>
      <c r="HA84" s="593"/>
      <c r="HB84" s="593"/>
      <c r="HC84" s="593"/>
      <c r="HD84" s="593"/>
      <c r="HE84" s="593"/>
      <c r="HF84" s="593"/>
      <c r="HG84" s="593"/>
      <c r="HH84" s="593"/>
      <c r="HI84" s="593"/>
      <c r="HJ84" s="593"/>
      <c r="HK84" s="593"/>
      <c r="HL84" s="593"/>
      <c r="HM84" s="593"/>
      <c r="HN84" s="593"/>
      <c r="HO84" s="593"/>
      <c r="HP84" s="593"/>
      <c r="HQ84" s="593"/>
      <c r="HR84" s="593"/>
      <c r="HS84" s="593"/>
      <c r="HT84" s="593"/>
      <c r="HU84" s="593"/>
      <c r="HV84" s="593"/>
      <c r="HW84" s="593"/>
      <c r="HX84" s="593"/>
      <c r="HY84" s="593"/>
      <c r="HZ84" s="593"/>
      <c r="IA84" s="593"/>
      <c r="IB84" s="593"/>
      <c r="IC84" s="593"/>
      <c r="ID84" s="593"/>
      <c r="IE84" s="593"/>
      <c r="IF84" s="593"/>
      <c r="IG84" s="593"/>
      <c r="IH84" s="593"/>
      <c r="II84" s="593"/>
      <c r="IJ84" s="593"/>
      <c r="IK84" s="593"/>
      <c r="IL84" s="593"/>
      <c r="IM84" s="593"/>
      <c r="IN84" s="593"/>
      <c r="IO84" s="593"/>
      <c r="IP84" s="593"/>
      <c r="IQ84" s="593"/>
      <c r="IR84" s="593"/>
      <c r="IS84" s="593"/>
      <c r="IT84" s="593"/>
      <c r="IU84" s="593"/>
      <c r="IV84" s="593"/>
    </row>
    <row r="85" spans="1:256" s="1108" customFormat="1" hidden="1">
      <c r="A85" s="593"/>
      <c r="B85" s="594"/>
      <c r="C85" s="594"/>
      <c r="D85" s="630" t="s">
        <v>511</v>
      </c>
      <c r="E85" s="631">
        <v>0.13614999999999999</v>
      </c>
      <c r="F85" s="594"/>
      <c r="G85" s="594"/>
      <c r="H85" s="623">
        <f>ROUND(E85*H84,2)</f>
        <v>1864.38</v>
      </c>
      <c r="I85" s="593"/>
      <c r="J85" s="593"/>
      <c r="K85" s="593"/>
      <c r="L85" s="593"/>
      <c r="M85" s="593"/>
      <c r="N85" s="593"/>
      <c r="O85" s="593"/>
      <c r="P85" s="593"/>
      <c r="Q85" s="593"/>
      <c r="R85" s="593"/>
      <c r="S85" s="593"/>
      <c r="T85" s="593"/>
      <c r="U85" s="593"/>
      <c r="V85" s="593"/>
      <c r="W85" s="593"/>
      <c r="X85" s="593"/>
      <c r="Y85" s="593"/>
      <c r="Z85" s="593"/>
      <c r="AA85" s="593"/>
      <c r="AB85" s="593"/>
      <c r="AC85" s="593"/>
      <c r="AD85" s="593"/>
      <c r="AE85" s="593"/>
      <c r="AF85" s="593"/>
      <c r="AG85" s="593"/>
      <c r="AH85" s="593"/>
      <c r="AI85" s="593"/>
      <c r="AJ85" s="593"/>
      <c r="AK85" s="593"/>
      <c r="AL85" s="593"/>
      <c r="AM85" s="593"/>
      <c r="AN85" s="593"/>
      <c r="AO85" s="593"/>
      <c r="AP85" s="593"/>
      <c r="AQ85" s="593"/>
      <c r="AR85" s="593"/>
      <c r="AS85" s="593"/>
      <c r="AT85" s="593"/>
      <c r="AU85" s="593"/>
      <c r="AV85" s="593"/>
      <c r="AW85" s="593"/>
      <c r="AX85" s="593"/>
      <c r="AY85" s="593"/>
      <c r="AZ85" s="593"/>
      <c r="BA85" s="593"/>
      <c r="BB85" s="593"/>
      <c r="BC85" s="593"/>
      <c r="BD85" s="593"/>
      <c r="BE85" s="593"/>
      <c r="BF85" s="593"/>
      <c r="BG85" s="593"/>
      <c r="BH85" s="593"/>
      <c r="BI85" s="593"/>
      <c r="BJ85" s="593"/>
      <c r="BK85" s="593"/>
      <c r="BL85" s="593"/>
      <c r="BM85" s="593"/>
      <c r="BN85" s="593"/>
      <c r="BO85" s="593"/>
      <c r="BP85" s="593"/>
      <c r="BQ85" s="593"/>
      <c r="BR85" s="593"/>
      <c r="BS85" s="593"/>
      <c r="BT85" s="593"/>
      <c r="BU85" s="593"/>
      <c r="BV85" s="593"/>
      <c r="BW85" s="593"/>
      <c r="BX85" s="593"/>
      <c r="BY85" s="593"/>
      <c r="BZ85" s="593"/>
      <c r="CA85" s="593"/>
      <c r="CB85" s="593"/>
      <c r="CC85" s="593"/>
      <c r="CD85" s="593"/>
      <c r="CE85" s="593"/>
      <c r="CF85" s="593"/>
      <c r="CG85" s="593"/>
      <c r="CH85" s="593"/>
      <c r="CI85" s="593"/>
      <c r="CJ85" s="593"/>
      <c r="CK85" s="593"/>
      <c r="CL85" s="593"/>
      <c r="CM85" s="593"/>
      <c r="CN85" s="593"/>
      <c r="CO85" s="593"/>
      <c r="CP85" s="593"/>
      <c r="CQ85" s="593"/>
      <c r="CR85" s="593"/>
      <c r="CS85" s="593"/>
      <c r="CT85" s="593"/>
      <c r="CU85" s="593"/>
      <c r="CV85" s="593"/>
      <c r="CW85" s="593"/>
      <c r="CX85" s="593"/>
      <c r="CY85" s="593"/>
      <c r="CZ85" s="593"/>
      <c r="DA85" s="593"/>
      <c r="DB85" s="593"/>
      <c r="DC85" s="593"/>
      <c r="DD85" s="593"/>
      <c r="DE85" s="593"/>
      <c r="DF85" s="593"/>
      <c r="DG85" s="593"/>
      <c r="DH85" s="593"/>
      <c r="DI85" s="593"/>
      <c r="DJ85" s="593"/>
      <c r="DK85" s="593"/>
      <c r="DL85" s="593"/>
      <c r="DM85" s="593"/>
      <c r="DN85" s="593"/>
      <c r="DO85" s="593"/>
      <c r="DP85" s="593"/>
      <c r="DQ85" s="593"/>
      <c r="DR85" s="593"/>
      <c r="DS85" s="593"/>
      <c r="DT85" s="593"/>
      <c r="DU85" s="593"/>
      <c r="DV85" s="593"/>
      <c r="DW85" s="593"/>
      <c r="DX85" s="593"/>
      <c r="DY85" s="593"/>
      <c r="DZ85" s="593"/>
      <c r="EA85" s="593"/>
      <c r="EB85" s="593"/>
      <c r="EC85" s="593"/>
      <c r="ED85" s="593"/>
      <c r="EE85" s="593"/>
      <c r="EF85" s="593"/>
      <c r="EG85" s="593"/>
      <c r="EH85" s="593"/>
      <c r="EI85" s="593"/>
      <c r="EJ85" s="593"/>
      <c r="EK85" s="593"/>
      <c r="EL85" s="593"/>
      <c r="EM85" s="593"/>
      <c r="EN85" s="593"/>
      <c r="EO85" s="593"/>
      <c r="EP85" s="593"/>
      <c r="EQ85" s="593"/>
      <c r="ER85" s="593"/>
      <c r="ES85" s="593"/>
      <c r="ET85" s="593"/>
      <c r="EU85" s="593"/>
      <c r="EV85" s="593"/>
      <c r="EW85" s="593"/>
      <c r="EX85" s="593"/>
      <c r="EY85" s="593"/>
      <c r="EZ85" s="593"/>
      <c r="FA85" s="593"/>
      <c r="FB85" s="593"/>
      <c r="FC85" s="593"/>
      <c r="FD85" s="593"/>
      <c r="FE85" s="593"/>
      <c r="FF85" s="593"/>
      <c r="FG85" s="593"/>
      <c r="FH85" s="593"/>
      <c r="FI85" s="593"/>
      <c r="FJ85" s="593"/>
      <c r="FK85" s="593"/>
      <c r="FL85" s="593"/>
      <c r="FM85" s="593"/>
      <c r="FN85" s="593"/>
      <c r="FO85" s="593"/>
      <c r="FP85" s="593"/>
      <c r="FQ85" s="593"/>
      <c r="FR85" s="593"/>
      <c r="FS85" s="593"/>
      <c r="FT85" s="593"/>
      <c r="FU85" s="593"/>
      <c r="FV85" s="593"/>
      <c r="FW85" s="593"/>
      <c r="FX85" s="593"/>
      <c r="FY85" s="593"/>
      <c r="FZ85" s="593"/>
      <c r="GA85" s="593"/>
      <c r="GB85" s="593"/>
      <c r="GC85" s="593"/>
      <c r="GD85" s="593"/>
      <c r="GE85" s="593"/>
      <c r="GF85" s="593"/>
      <c r="GG85" s="593"/>
      <c r="GH85" s="593"/>
      <c r="GI85" s="593"/>
      <c r="GJ85" s="593"/>
      <c r="GK85" s="593"/>
      <c r="GL85" s="593"/>
      <c r="GM85" s="593"/>
      <c r="GN85" s="593"/>
      <c r="GO85" s="593"/>
      <c r="GP85" s="593"/>
      <c r="GQ85" s="593"/>
      <c r="GR85" s="593"/>
      <c r="GS85" s="593"/>
      <c r="GT85" s="593"/>
      <c r="GU85" s="593"/>
      <c r="GV85" s="593"/>
      <c r="GW85" s="593"/>
      <c r="GX85" s="593"/>
      <c r="GY85" s="593"/>
      <c r="GZ85" s="593"/>
      <c r="HA85" s="593"/>
      <c r="HB85" s="593"/>
      <c r="HC85" s="593"/>
      <c r="HD85" s="593"/>
      <c r="HE85" s="593"/>
      <c r="HF85" s="593"/>
      <c r="HG85" s="593"/>
      <c r="HH85" s="593"/>
      <c r="HI85" s="593"/>
      <c r="HJ85" s="593"/>
      <c r="HK85" s="593"/>
      <c r="HL85" s="593"/>
      <c r="HM85" s="593"/>
      <c r="HN85" s="593"/>
      <c r="HO85" s="593"/>
      <c r="HP85" s="593"/>
      <c r="HQ85" s="593"/>
      <c r="HR85" s="593"/>
      <c r="HS85" s="593"/>
      <c r="HT85" s="593"/>
      <c r="HU85" s="593"/>
      <c r="HV85" s="593"/>
      <c r="HW85" s="593"/>
      <c r="HX85" s="593"/>
      <c r="HY85" s="593"/>
      <c r="HZ85" s="593"/>
      <c r="IA85" s="593"/>
      <c r="IB85" s="593"/>
      <c r="IC85" s="593"/>
      <c r="ID85" s="593"/>
      <c r="IE85" s="593"/>
      <c r="IF85" s="593"/>
      <c r="IG85" s="593"/>
      <c r="IH85" s="593"/>
      <c r="II85" s="593"/>
      <c r="IJ85" s="593"/>
      <c r="IK85" s="593"/>
      <c r="IL85" s="593"/>
      <c r="IM85" s="593"/>
      <c r="IN85" s="593"/>
      <c r="IO85" s="593"/>
      <c r="IP85" s="593"/>
      <c r="IQ85" s="593"/>
      <c r="IR85" s="593"/>
      <c r="IS85" s="593"/>
      <c r="IT85" s="593"/>
      <c r="IU85" s="593"/>
      <c r="IV85" s="593"/>
    </row>
    <row r="86" spans="1:256" s="1108" customFormat="1" hidden="1">
      <c r="A86" s="593"/>
      <c r="B86" s="594"/>
      <c r="C86" s="594"/>
      <c r="D86" s="597" t="s">
        <v>490</v>
      </c>
      <c r="E86" s="594"/>
      <c r="F86" s="594"/>
      <c r="G86" s="594"/>
      <c r="H86" s="632">
        <f>SUM(H84:H85)</f>
        <v>15557.98</v>
      </c>
      <c r="I86" s="593"/>
      <c r="J86" s="593"/>
      <c r="K86" s="593"/>
      <c r="L86" s="593"/>
      <c r="M86" s="593"/>
      <c r="N86" s="593"/>
      <c r="O86" s="593"/>
      <c r="P86" s="593"/>
      <c r="Q86" s="593"/>
      <c r="R86" s="593"/>
      <c r="S86" s="593"/>
      <c r="T86" s="593"/>
      <c r="U86" s="593"/>
      <c r="V86" s="593"/>
      <c r="W86" s="593"/>
      <c r="X86" s="593"/>
      <c r="Y86" s="593"/>
      <c r="Z86" s="593"/>
      <c r="AA86" s="593"/>
      <c r="AB86" s="593"/>
      <c r="AC86" s="593"/>
      <c r="AD86" s="593"/>
      <c r="AE86" s="593"/>
      <c r="AF86" s="593"/>
      <c r="AG86" s="593"/>
      <c r="AH86" s="593"/>
      <c r="AI86" s="593"/>
      <c r="AJ86" s="593"/>
      <c r="AK86" s="593"/>
      <c r="AL86" s="593"/>
      <c r="AM86" s="593"/>
      <c r="AN86" s="593"/>
      <c r="AO86" s="593"/>
      <c r="AP86" s="593"/>
      <c r="AQ86" s="593"/>
      <c r="AR86" s="593"/>
      <c r="AS86" s="593"/>
      <c r="AT86" s="593"/>
      <c r="AU86" s="593"/>
      <c r="AV86" s="593"/>
      <c r="AW86" s="593"/>
      <c r="AX86" s="593"/>
      <c r="AY86" s="593"/>
      <c r="AZ86" s="593"/>
      <c r="BA86" s="593"/>
      <c r="BB86" s="593"/>
      <c r="BC86" s="593"/>
      <c r="BD86" s="593"/>
      <c r="BE86" s="593"/>
      <c r="BF86" s="593"/>
      <c r="BG86" s="593"/>
      <c r="BH86" s="593"/>
      <c r="BI86" s="593"/>
      <c r="BJ86" s="593"/>
      <c r="BK86" s="593"/>
      <c r="BL86" s="593"/>
      <c r="BM86" s="593"/>
      <c r="BN86" s="593"/>
      <c r="BO86" s="593"/>
      <c r="BP86" s="593"/>
      <c r="BQ86" s="593"/>
      <c r="BR86" s="593"/>
      <c r="BS86" s="593"/>
      <c r="BT86" s="593"/>
      <c r="BU86" s="593"/>
      <c r="BV86" s="593"/>
      <c r="BW86" s="593"/>
      <c r="BX86" s="593"/>
      <c r="BY86" s="593"/>
      <c r="BZ86" s="593"/>
      <c r="CA86" s="593"/>
      <c r="CB86" s="593"/>
      <c r="CC86" s="593"/>
      <c r="CD86" s="593"/>
      <c r="CE86" s="593"/>
      <c r="CF86" s="593"/>
      <c r="CG86" s="593"/>
      <c r="CH86" s="593"/>
      <c r="CI86" s="593"/>
      <c r="CJ86" s="593"/>
      <c r="CK86" s="593"/>
      <c r="CL86" s="593"/>
      <c r="CM86" s="593"/>
      <c r="CN86" s="593"/>
      <c r="CO86" s="593"/>
      <c r="CP86" s="593"/>
      <c r="CQ86" s="593"/>
      <c r="CR86" s="593"/>
      <c r="CS86" s="593"/>
      <c r="CT86" s="593"/>
      <c r="CU86" s="593"/>
      <c r="CV86" s="593"/>
      <c r="CW86" s="593"/>
      <c r="CX86" s="593"/>
      <c r="CY86" s="593"/>
      <c r="CZ86" s="593"/>
      <c r="DA86" s="593"/>
      <c r="DB86" s="593"/>
      <c r="DC86" s="593"/>
      <c r="DD86" s="593"/>
      <c r="DE86" s="593"/>
      <c r="DF86" s="593"/>
      <c r="DG86" s="593"/>
      <c r="DH86" s="593"/>
      <c r="DI86" s="593"/>
      <c r="DJ86" s="593"/>
      <c r="DK86" s="593"/>
      <c r="DL86" s="593"/>
      <c r="DM86" s="593"/>
      <c r="DN86" s="593"/>
      <c r="DO86" s="593"/>
      <c r="DP86" s="593"/>
      <c r="DQ86" s="593"/>
      <c r="DR86" s="593"/>
      <c r="DS86" s="593"/>
      <c r="DT86" s="593"/>
      <c r="DU86" s="593"/>
      <c r="DV86" s="593"/>
      <c r="DW86" s="593"/>
      <c r="DX86" s="593"/>
      <c r="DY86" s="593"/>
      <c r="DZ86" s="593"/>
      <c r="EA86" s="593"/>
      <c r="EB86" s="593"/>
      <c r="EC86" s="593"/>
      <c r="ED86" s="593"/>
      <c r="EE86" s="593"/>
      <c r="EF86" s="593"/>
      <c r="EG86" s="593"/>
      <c r="EH86" s="593"/>
      <c r="EI86" s="593"/>
      <c r="EJ86" s="593"/>
      <c r="EK86" s="593"/>
      <c r="EL86" s="593"/>
      <c r="EM86" s="593"/>
      <c r="EN86" s="593"/>
      <c r="EO86" s="593"/>
      <c r="EP86" s="593"/>
      <c r="EQ86" s="593"/>
      <c r="ER86" s="593"/>
      <c r="ES86" s="593"/>
      <c r="ET86" s="593"/>
      <c r="EU86" s="593"/>
      <c r="EV86" s="593"/>
      <c r="EW86" s="593"/>
      <c r="EX86" s="593"/>
      <c r="EY86" s="593"/>
      <c r="EZ86" s="593"/>
      <c r="FA86" s="593"/>
      <c r="FB86" s="593"/>
      <c r="FC86" s="593"/>
      <c r="FD86" s="593"/>
      <c r="FE86" s="593"/>
      <c r="FF86" s="593"/>
      <c r="FG86" s="593"/>
      <c r="FH86" s="593"/>
      <c r="FI86" s="593"/>
      <c r="FJ86" s="593"/>
      <c r="FK86" s="593"/>
      <c r="FL86" s="593"/>
      <c r="FM86" s="593"/>
      <c r="FN86" s="593"/>
      <c r="FO86" s="593"/>
      <c r="FP86" s="593"/>
      <c r="FQ86" s="593"/>
      <c r="FR86" s="593"/>
      <c r="FS86" s="593"/>
      <c r="FT86" s="593"/>
      <c r="FU86" s="593"/>
      <c r="FV86" s="593"/>
      <c r="FW86" s="593"/>
      <c r="FX86" s="593"/>
      <c r="FY86" s="593"/>
      <c r="FZ86" s="593"/>
      <c r="GA86" s="593"/>
      <c r="GB86" s="593"/>
      <c r="GC86" s="593"/>
      <c r="GD86" s="593"/>
      <c r="GE86" s="593"/>
      <c r="GF86" s="593"/>
      <c r="GG86" s="593"/>
      <c r="GH86" s="593"/>
      <c r="GI86" s="593"/>
      <c r="GJ86" s="593"/>
      <c r="GK86" s="593"/>
      <c r="GL86" s="593"/>
      <c r="GM86" s="593"/>
      <c r="GN86" s="593"/>
      <c r="GO86" s="593"/>
      <c r="GP86" s="593"/>
      <c r="GQ86" s="593"/>
      <c r="GR86" s="593"/>
      <c r="GS86" s="593"/>
      <c r="GT86" s="593"/>
      <c r="GU86" s="593"/>
      <c r="GV86" s="593"/>
      <c r="GW86" s="593"/>
      <c r="GX86" s="593"/>
      <c r="GY86" s="593"/>
      <c r="GZ86" s="593"/>
      <c r="HA86" s="593"/>
      <c r="HB86" s="593"/>
      <c r="HC86" s="593"/>
      <c r="HD86" s="593"/>
      <c r="HE86" s="593"/>
      <c r="HF86" s="593"/>
      <c r="HG86" s="593"/>
      <c r="HH86" s="593"/>
      <c r="HI86" s="593"/>
      <c r="HJ86" s="593"/>
      <c r="HK86" s="593"/>
      <c r="HL86" s="593"/>
      <c r="HM86" s="593"/>
      <c r="HN86" s="593"/>
      <c r="HO86" s="593"/>
      <c r="HP86" s="593"/>
      <c r="HQ86" s="593"/>
      <c r="HR86" s="593"/>
      <c r="HS86" s="593"/>
      <c r="HT86" s="593"/>
      <c r="HU86" s="593"/>
      <c r="HV86" s="593"/>
      <c r="HW86" s="593"/>
      <c r="HX86" s="593"/>
      <c r="HY86" s="593"/>
      <c r="HZ86" s="593"/>
      <c r="IA86" s="593"/>
      <c r="IB86" s="593"/>
      <c r="IC86" s="593"/>
      <c r="ID86" s="593"/>
      <c r="IE86" s="593"/>
      <c r="IF86" s="593"/>
      <c r="IG86" s="593"/>
      <c r="IH86" s="593"/>
      <c r="II86" s="593"/>
      <c r="IJ86" s="593"/>
      <c r="IK86" s="593"/>
      <c r="IL86" s="593"/>
      <c r="IM86" s="593"/>
      <c r="IN86" s="593"/>
      <c r="IO86" s="593"/>
      <c r="IP86" s="593"/>
      <c r="IQ86" s="593"/>
      <c r="IR86" s="593"/>
      <c r="IS86" s="593"/>
      <c r="IT86" s="593"/>
      <c r="IU86" s="593"/>
      <c r="IV86" s="593"/>
    </row>
    <row r="87" spans="1:256" s="1108" customFormat="1" hidden="1">
      <c r="A87" s="593"/>
      <c r="B87" s="594"/>
      <c r="C87" s="594"/>
      <c r="D87" s="597"/>
      <c r="E87" s="594"/>
      <c r="F87" s="594"/>
      <c r="G87" s="594" t="s">
        <v>744</v>
      </c>
      <c r="H87" s="594">
        <f>CEILING(H86,1)</f>
        <v>15558</v>
      </c>
      <c r="I87" s="593"/>
      <c r="J87" s="593"/>
      <c r="K87" s="593"/>
      <c r="L87" s="593"/>
      <c r="M87" s="593"/>
      <c r="N87" s="593"/>
      <c r="O87" s="593"/>
      <c r="P87" s="593"/>
      <c r="Q87" s="593"/>
      <c r="R87" s="593"/>
      <c r="S87" s="593"/>
      <c r="T87" s="593"/>
      <c r="U87" s="593"/>
      <c r="V87" s="593"/>
      <c r="W87" s="593"/>
      <c r="X87" s="593"/>
      <c r="Y87" s="593"/>
      <c r="Z87" s="593"/>
      <c r="AA87" s="593"/>
      <c r="AB87" s="593"/>
      <c r="AC87" s="593"/>
      <c r="AD87" s="593"/>
      <c r="AE87" s="593"/>
      <c r="AF87" s="593"/>
      <c r="AG87" s="593"/>
      <c r="AH87" s="593"/>
      <c r="AI87" s="593"/>
      <c r="AJ87" s="593"/>
      <c r="AK87" s="593"/>
      <c r="AL87" s="593"/>
      <c r="AM87" s="593"/>
      <c r="AN87" s="593"/>
      <c r="AO87" s="593"/>
      <c r="AP87" s="593"/>
      <c r="AQ87" s="593"/>
      <c r="AR87" s="593"/>
      <c r="AS87" s="593"/>
      <c r="AT87" s="593"/>
      <c r="AU87" s="593"/>
      <c r="AV87" s="593"/>
      <c r="AW87" s="593"/>
      <c r="AX87" s="593"/>
      <c r="AY87" s="593"/>
      <c r="AZ87" s="593"/>
      <c r="BA87" s="593"/>
      <c r="BB87" s="593"/>
      <c r="BC87" s="593"/>
      <c r="BD87" s="593"/>
      <c r="BE87" s="593"/>
      <c r="BF87" s="593"/>
      <c r="BG87" s="593"/>
      <c r="BH87" s="593"/>
      <c r="BI87" s="593"/>
      <c r="BJ87" s="593"/>
      <c r="BK87" s="593"/>
      <c r="BL87" s="593"/>
      <c r="BM87" s="593"/>
      <c r="BN87" s="593"/>
      <c r="BO87" s="593"/>
      <c r="BP87" s="593"/>
      <c r="BQ87" s="593"/>
      <c r="BR87" s="593"/>
      <c r="BS87" s="593"/>
      <c r="BT87" s="593"/>
      <c r="BU87" s="593"/>
      <c r="BV87" s="593"/>
      <c r="BW87" s="593"/>
      <c r="BX87" s="593"/>
      <c r="BY87" s="593"/>
      <c r="BZ87" s="593"/>
      <c r="CA87" s="593"/>
      <c r="CB87" s="593"/>
      <c r="CC87" s="593"/>
      <c r="CD87" s="593"/>
      <c r="CE87" s="593"/>
      <c r="CF87" s="593"/>
      <c r="CG87" s="593"/>
      <c r="CH87" s="593"/>
      <c r="CI87" s="593"/>
      <c r="CJ87" s="593"/>
      <c r="CK87" s="593"/>
      <c r="CL87" s="593"/>
      <c r="CM87" s="593"/>
      <c r="CN87" s="593"/>
      <c r="CO87" s="593"/>
      <c r="CP87" s="593"/>
      <c r="CQ87" s="593"/>
      <c r="CR87" s="593"/>
      <c r="CS87" s="593"/>
      <c r="CT87" s="593"/>
      <c r="CU87" s="593"/>
      <c r="CV87" s="593"/>
      <c r="CW87" s="593"/>
      <c r="CX87" s="593"/>
      <c r="CY87" s="593"/>
      <c r="CZ87" s="593"/>
      <c r="DA87" s="593"/>
      <c r="DB87" s="593"/>
      <c r="DC87" s="593"/>
      <c r="DD87" s="593"/>
      <c r="DE87" s="593"/>
      <c r="DF87" s="593"/>
      <c r="DG87" s="593"/>
      <c r="DH87" s="593"/>
      <c r="DI87" s="593"/>
      <c r="DJ87" s="593"/>
      <c r="DK87" s="593"/>
      <c r="DL87" s="593"/>
      <c r="DM87" s="593"/>
      <c r="DN87" s="593"/>
      <c r="DO87" s="593"/>
      <c r="DP87" s="593"/>
      <c r="DQ87" s="593"/>
      <c r="DR87" s="593"/>
      <c r="DS87" s="593"/>
      <c r="DT87" s="593"/>
      <c r="DU87" s="593"/>
      <c r="DV87" s="593"/>
      <c r="DW87" s="593"/>
      <c r="DX87" s="593"/>
      <c r="DY87" s="593"/>
      <c r="DZ87" s="593"/>
      <c r="EA87" s="593"/>
      <c r="EB87" s="593"/>
      <c r="EC87" s="593"/>
      <c r="ED87" s="593"/>
      <c r="EE87" s="593"/>
      <c r="EF87" s="593"/>
      <c r="EG87" s="593"/>
      <c r="EH87" s="593"/>
      <c r="EI87" s="593"/>
      <c r="EJ87" s="593"/>
      <c r="EK87" s="593"/>
      <c r="EL87" s="593"/>
      <c r="EM87" s="593"/>
      <c r="EN87" s="593"/>
      <c r="EO87" s="593"/>
      <c r="EP87" s="593"/>
      <c r="EQ87" s="593"/>
      <c r="ER87" s="593"/>
      <c r="ES87" s="593"/>
      <c r="ET87" s="593"/>
      <c r="EU87" s="593"/>
      <c r="EV87" s="593"/>
      <c r="EW87" s="593"/>
      <c r="EX87" s="593"/>
      <c r="EY87" s="593"/>
      <c r="EZ87" s="593"/>
      <c r="FA87" s="593"/>
      <c r="FB87" s="593"/>
      <c r="FC87" s="593"/>
      <c r="FD87" s="593"/>
      <c r="FE87" s="593"/>
      <c r="FF87" s="593"/>
      <c r="FG87" s="593"/>
      <c r="FH87" s="593"/>
      <c r="FI87" s="593"/>
      <c r="FJ87" s="593"/>
      <c r="FK87" s="593"/>
      <c r="FL87" s="593"/>
      <c r="FM87" s="593"/>
      <c r="FN87" s="593"/>
      <c r="FO87" s="593"/>
      <c r="FP87" s="593"/>
      <c r="FQ87" s="593"/>
      <c r="FR87" s="593"/>
      <c r="FS87" s="593"/>
      <c r="FT87" s="593"/>
      <c r="FU87" s="593"/>
      <c r="FV87" s="593"/>
      <c r="FW87" s="593"/>
      <c r="FX87" s="593"/>
      <c r="FY87" s="593"/>
      <c r="FZ87" s="593"/>
      <c r="GA87" s="593"/>
      <c r="GB87" s="593"/>
      <c r="GC87" s="593"/>
      <c r="GD87" s="593"/>
      <c r="GE87" s="593"/>
      <c r="GF87" s="593"/>
      <c r="GG87" s="593"/>
      <c r="GH87" s="593"/>
      <c r="GI87" s="593"/>
      <c r="GJ87" s="593"/>
      <c r="GK87" s="593"/>
      <c r="GL87" s="593"/>
      <c r="GM87" s="593"/>
      <c r="GN87" s="593"/>
      <c r="GO87" s="593"/>
      <c r="GP87" s="593"/>
      <c r="GQ87" s="593"/>
      <c r="GR87" s="593"/>
      <c r="GS87" s="593"/>
      <c r="GT87" s="593"/>
      <c r="GU87" s="593"/>
      <c r="GV87" s="593"/>
      <c r="GW87" s="593"/>
      <c r="GX87" s="593"/>
      <c r="GY87" s="593"/>
      <c r="GZ87" s="593"/>
      <c r="HA87" s="593"/>
      <c r="HB87" s="593"/>
      <c r="HC87" s="593"/>
      <c r="HD87" s="593"/>
      <c r="HE87" s="593"/>
      <c r="HF87" s="593"/>
      <c r="HG87" s="593"/>
      <c r="HH87" s="593"/>
      <c r="HI87" s="593"/>
      <c r="HJ87" s="593"/>
      <c r="HK87" s="593"/>
      <c r="HL87" s="593"/>
      <c r="HM87" s="593"/>
      <c r="HN87" s="593"/>
      <c r="HO87" s="593"/>
      <c r="HP87" s="593"/>
      <c r="HQ87" s="593"/>
      <c r="HR87" s="593"/>
      <c r="HS87" s="593"/>
      <c r="HT87" s="593"/>
      <c r="HU87" s="593"/>
      <c r="HV87" s="593"/>
      <c r="HW87" s="593"/>
      <c r="HX87" s="593"/>
      <c r="HY87" s="593"/>
      <c r="HZ87" s="593"/>
      <c r="IA87" s="593"/>
      <c r="IB87" s="593"/>
      <c r="IC87" s="593"/>
      <c r="ID87" s="593"/>
      <c r="IE87" s="593"/>
      <c r="IF87" s="593"/>
      <c r="IG87" s="593"/>
      <c r="IH87" s="593"/>
      <c r="II87" s="593"/>
      <c r="IJ87" s="593"/>
      <c r="IK87" s="593"/>
      <c r="IL87" s="593"/>
      <c r="IM87" s="593"/>
      <c r="IN87" s="593"/>
      <c r="IO87" s="593"/>
      <c r="IP87" s="593"/>
      <c r="IQ87" s="593"/>
      <c r="IR87" s="593"/>
      <c r="IS87" s="593"/>
      <c r="IT87" s="593"/>
      <c r="IU87" s="593"/>
      <c r="IV87" s="593"/>
    </row>
    <row r="88" spans="1:256" ht="129.75" hidden="1" customHeight="1">
      <c r="B88" s="261">
        <f>+B32+1</f>
        <v>3</v>
      </c>
      <c r="C88" s="261"/>
      <c r="D88" s="1517" t="s">
        <v>1309</v>
      </c>
      <c r="E88" s="1518"/>
      <c r="F88" s="1518"/>
      <c r="G88" s="1518"/>
      <c r="H88" s="1519"/>
    </row>
    <row r="89" spans="1:256" hidden="1">
      <c r="B89" s="261"/>
      <c r="C89" s="261"/>
      <c r="D89" s="262" t="s">
        <v>1073</v>
      </c>
      <c r="E89" s="261">
        <v>1.5</v>
      </c>
      <c r="F89" s="261" t="s">
        <v>533</v>
      </c>
      <c r="G89" s="261">
        <v>2.13</v>
      </c>
      <c r="H89" s="261">
        <f>ROUND(E89*G89,2)</f>
        <v>3.2</v>
      </c>
    </row>
    <row r="90" spans="1:256" hidden="1">
      <c r="B90" s="261"/>
      <c r="C90" s="261"/>
      <c r="D90" s="263" t="s">
        <v>303</v>
      </c>
      <c r="E90" s="261"/>
      <c r="F90" s="261"/>
      <c r="G90" s="261"/>
      <c r="H90" s="261"/>
    </row>
    <row r="91" spans="1:256" hidden="1">
      <c r="B91" s="261"/>
      <c r="C91" s="261"/>
      <c r="D91" s="263" t="s">
        <v>1288</v>
      </c>
      <c r="E91" s="264">
        <f>2*2.13*0.075*0.1</f>
        <v>3.1949999999999999E-2</v>
      </c>
      <c r="F91" s="261" t="s">
        <v>644</v>
      </c>
      <c r="G91" s="261"/>
      <c r="H91" s="261"/>
    </row>
    <row r="92" spans="1:256" hidden="1">
      <c r="B92" s="261"/>
      <c r="C92" s="261"/>
      <c r="D92" s="263" t="s">
        <v>1074</v>
      </c>
      <c r="E92" s="264">
        <f>1.5*0.075*0.1</f>
        <v>1.125E-2</v>
      </c>
      <c r="F92" s="261" t="s">
        <v>644</v>
      </c>
      <c r="G92" s="261"/>
      <c r="H92" s="261"/>
    </row>
    <row r="93" spans="1:256" hidden="1">
      <c r="B93" s="261"/>
      <c r="C93" s="261"/>
      <c r="D93" s="265" t="s">
        <v>1238</v>
      </c>
      <c r="E93" s="264">
        <f>SUM(E91:E92)</f>
        <v>4.3200000000000002E-2</v>
      </c>
      <c r="F93" s="261" t="s">
        <v>644</v>
      </c>
      <c r="G93" s="261"/>
      <c r="H93" s="261"/>
    </row>
    <row r="94" spans="1:256" ht="27.6" hidden="1">
      <c r="B94" s="261"/>
      <c r="C94" s="261"/>
      <c r="D94" s="266" t="s">
        <v>41</v>
      </c>
      <c r="E94" s="261"/>
      <c r="F94" s="261"/>
      <c r="G94" s="261"/>
      <c r="H94" s="261"/>
    </row>
    <row r="95" spans="1:256" hidden="1">
      <c r="B95" s="261"/>
      <c r="C95" s="261"/>
      <c r="D95" s="263" t="s">
        <v>1239</v>
      </c>
      <c r="E95" s="267">
        <f>ROUND(1.4*2.03,2)</f>
        <v>2.84</v>
      </c>
      <c r="F95" s="267" t="s">
        <v>547</v>
      </c>
      <c r="G95" s="261"/>
      <c r="H95" s="261"/>
    </row>
    <row r="96" spans="1:256" hidden="1">
      <c r="B96" s="261"/>
      <c r="C96" s="261"/>
      <c r="D96" s="268" t="s">
        <v>489</v>
      </c>
      <c r="E96" s="261"/>
      <c r="F96" s="261"/>
      <c r="G96" s="261"/>
      <c r="H96" s="261"/>
    </row>
    <row r="97" spans="2:8" hidden="1">
      <c r="B97" s="261"/>
      <c r="C97" s="261"/>
      <c r="D97" s="269" t="s">
        <v>509</v>
      </c>
      <c r="E97" s="261"/>
      <c r="F97" s="261"/>
      <c r="G97" s="261"/>
      <c r="H97" s="261"/>
    </row>
    <row r="98" spans="2:8" hidden="1">
      <c r="B98" s="261">
        <v>1</v>
      </c>
      <c r="C98" s="264">
        <f>E91</f>
        <v>3.1949999999999999E-2</v>
      </c>
      <c r="D98" s="270" t="s">
        <v>1044</v>
      </c>
      <c r="E98" s="271">
        <f>E70</f>
        <v>84724</v>
      </c>
      <c r="F98" s="261">
        <v>1</v>
      </c>
      <c r="G98" s="261" t="s">
        <v>465</v>
      </c>
      <c r="H98" s="272">
        <f>ROUND(C98*E98/F98,2)</f>
        <v>2706.93</v>
      </c>
    </row>
    <row r="99" spans="2:8" hidden="1">
      <c r="B99" s="261">
        <v>2</v>
      </c>
      <c r="C99" s="264">
        <f>E92</f>
        <v>1.125E-2</v>
      </c>
      <c r="D99" s="270" t="s">
        <v>1045</v>
      </c>
      <c r="E99" s="271">
        <f t="shared" ref="E99:E107" si="5">E71</f>
        <v>76251</v>
      </c>
      <c r="F99" s="261">
        <v>1</v>
      </c>
      <c r="G99" s="261" t="s">
        <v>465</v>
      </c>
      <c r="H99" s="272">
        <f t="shared" ref="H99:H107" si="6">ROUND(C99*E99/F99,2)</f>
        <v>857.82</v>
      </c>
    </row>
    <row r="100" spans="2:8" ht="56.25" hidden="1" customHeight="1">
      <c r="B100" s="261">
        <v>3</v>
      </c>
      <c r="C100" s="261">
        <f>E95</f>
        <v>2.84</v>
      </c>
      <c r="D100" s="266" t="s">
        <v>978</v>
      </c>
      <c r="E100" s="271">
        <f t="shared" si="5"/>
        <v>1417</v>
      </c>
      <c r="F100" s="261">
        <v>1</v>
      </c>
      <c r="G100" s="261" t="s">
        <v>461</v>
      </c>
      <c r="H100" s="272">
        <f t="shared" si="6"/>
        <v>4024.28</v>
      </c>
    </row>
    <row r="101" spans="2:8" hidden="1">
      <c r="B101" s="261">
        <v>4</v>
      </c>
      <c r="C101" s="271">
        <v>6</v>
      </c>
      <c r="D101" s="263" t="s">
        <v>1026</v>
      </c>
      <c r="E101" s="271">
        <f t="shared" si="5"/>
        <v>34</v>
      </c>
      <c r="F101" s="261">
        <v>1</v>
      </c>
      <c r="G101" s="261" t="s">
        <v>268</v>
      </c>
      <c r="H101" s="272">
        <f t="shared" si="6"/>
        <v>204</v>
      </c>
    </row>
    <row r="102" spans="2:8" hidden="1">
      <c r="B102" s="261">
        <v>5</v>
      </c>
      <c r="C102" s="271">
        <v>1</v>
      </c>
      <c r="D102" s="270" t="s">
        <v>1228</v>
      </c>
      <c r="E102" s="271">
        <f t="shared" si="5"/>
        <v>173</v>
      </c>
      <c r="F102" s="261">
        <v>1</v>
      </c>
      <c r="G102" s="261" t="s">
        <v>268</v>
      </c>
      <c r="H102" s="272">
        <f t="shared" si="6"/>
        <v>173</v>
      </c>
    </row>
    <row r="103" spans="2:8" hidden="1">
      <c r="B103" s="261">
        <v>6</v>
      </c>
      <c r="C103" s="271">
        <v>2</v>
      </c>
      <c r="D103" s="270" t="s">
        <v>1229</v>
      </c>
      <c r="E103" s="271">
        <f t="shared" si="5"/>
        <v>72</v>
      </c>
      <c r="F103" s="261">
        <v>1</v>
      </c>
      <c r="G103" s="261" t="s">
        <v>268</v>
      </c>
      <c r="H103" s="272">
        <f t="shared" si="6"/>
        <v>144</v>
      </c>
    </row>
    <row r="104" spans="2:8" hidden="1">
      <c r="B104" s="261">
        <v>7</v>
      </c>
      <c r="C104" s="271">
        <v>4</v>
      </c>
      <c r="D104" s="270" t="s">
        <v>1230</v>
      </c>
      <c r="E104" s="271">
        <f t="shared" si="5"/>
        <v>48</v>
      </c>
      <c r="F104" s="261">
        <v>1</v>
      </c>
      <c r="G104" s="261" t="s">
        <v>268</v>
      </c>
      <c r="H104" s="272">
        <f t="shared" si="6"/>
        <v>192</v>
      </c>
    </row>
    <row r="105" spans="2:8" hidden="1">
      <c r="B105" s="261">
        <v>8</v>
      </c>
      <c r="C105" s="271">
        <v>6</v>
      </c>
      <c r="D105" s="270" t="s">
        <v>1231</v>
      </c>
      <c r="E105" s="271">
        <f t="shared" si="5"/>
        <v>33</v>
      </c>
      <c r="F105" s="261">
        <v>1</v>
      </c>
      <c r="G105" s="261" t="s">
        <v>268</v>
      </c>
      <c r="H105" s="272">
        <f t="shared" si="6"/>
        <v>198</v>
      </c>
    </row>
    <row r="106" spans="2:8" hidden="1">
      <c r="B106" s="261">
        <v>9</v>
      </c>
      <c r="C106" s="271">
        <v>1</v>
      </c>
      <c r="D106" s="270" t="s">
        <v>1232</v>
      </c>
      <c r="E106" s="271">
        <f t="shared" si="5"/>
        <v>70</v>
      </c>
      <c r="F106" s="261">
        <v>1</v>
      </c>
      <c r="G106" s="261" t="s">
        <v>268</v>
      </c>
      <c r="H106" s="272">
        <f t="shared" si="6"/>
        <v>70</v>
      </c>
    </row>
    <row r="107" spans="2:8" hidden="1">
      <c r="B107" s="261">
        <v>10</v>
      </c>
      <c r="C107" s="271">
        <v>2</v>
      </c>
      <c r="D107" s="270" t="s">
        <v>1233</v>
      </c>
      <c r="E107" s="271">
        <f t="shared" si="5"/>
        <v>48</v>
      </c>
      <c r="F107" s="261">
        <v>1</v>
      </c>
      <c r="G107" s="261" t="s">
        <v>268</v>
      </c>
      <c r="H107" s="272">
        <f t="shared" si="6"/>
        <v>96</v>
      </c>
    </row>
    <row r="108" spans="2:8" hidden="1">
      <c r="B108" s="261"/>
      <c r="C108" s="271"/>
      <c r="D108" s="269" t="s">
        <v>510</v>
      </c>
      <c r="E108" s="271"/>
      <c r="F108" s="261"/>
      <c r="G108" s="261"/>
      <c r="H108" s="272"/>
    </row>
    <row r="109" spans="2:8" hidden="1">
      <c r="B109" s="261"/>
      <c r="C109" s="271"/>
      <c r="D109" s="269"/>
      <c r="E109" s="271"/>
      <c r="F109" s="261"/>
      <c r="G109" s="261"/>
      <c r="H109" s="272"/>
    </row>
    <row r="110" spans="2:8" ht="63" hidden="1" customHeight="1">
      <c r="B110" s="261"/>
      <c r="C110" s="271">
        <f>H89</f>
        <v>3.2</v>
      </c>
      <c r="D110" s="284" t="str">
        <f>D26</f>
        <v>Labour charges  for wrought and put up including fixing in position frames of any size , shutters for doors, windows, ventilators including fixing all necesssary fixtures etc complete for  teak wood flush type door shutter  including frame.(TBSC-T.I-31)</v>
      </c>
      <c r="E110" s="271">
        <f>E26</f>
        <v>1057</v>
      </c>
      <c r="F110" s="261">
        <v>1</v>
      </c>
      <c r="G110" s="261" t="s">
        <v>461</v>
      </c>
      <c r="H110" s="274">
        <f>ROUND(C110*E110/F110,2)</f>
        <v>3382.4</v>
      </c>
    </row>
    <row r="111" spans="2:8" hidden="1">
      <c r="B111" s="261"/>
      <c r="C111" s="271">
        <f>'C-data'!$E$5</f>
        <v>0</v>
      </c>
      <c r="D111" s="275" t="s">
        <v>2194</v>
      </c>
      <c r="E111" s="276">
        <f>+H110</f>
        <v>3382.4</v>
      </c>
      <c r="F111" s="277">
        <v>1</v>
      </c>
      <c r="G111" s="277"/>
      <c r="H111" s="383">
        <f>ROUND(C111*E111/F111,2)</f>
        <v>0</v>
      </c>
    </row>
    <row r="112" spans="2:8" hidden="1">
      <c r="B112" s="261"/>
      <c r="C112" s="271"/>
      <c r="D112" s="263"/>
      <c r="E112" s="271"/>
      <c r="F112" s="261"/>
      <c r="G112" s="261"/>
      <c r="H112" s="272">
        <f>SUM(H98:H111)</f>
        <v>12048.43</v>
      </c>
    </row>
    <row r="113" spans="2:13" hidden="1">
      <c r="B113" s="261"/>
      <c r="C113" s="261"/>
      <c r="D113" s="279" t="s">
        <v>511</v>
      </c>
      <c r="E113" s="280">
        <v>0.13614999999999999</v>
      </c>
      <c r="F113" s="261"/>
      <c r="G113" s="261"/>
      <c r="H113" s="272">
        <v>0</v>
      </c>
    </row>
    <row r="114" spans="2:13" hidden="1">
      <c r="B114" s="261"/>
      <c r="C114" s="261"/>
      <c r="D114" s="263" t="s">
        <v>490</v>
      </c>
      <c r="E114" s="261"/>
      <c r="F114" s="261"/>
      <c r="G114" s="261"/>
      <c r="H114" s="281">
        <f>SUM(H112:H113)</f>
        <v>12048.43</v>
      </c>
    </row>
    <row r="115" spans="2:13" hidden="1">
      <c r="B115" s="261"/>
      <c r="C115" s="261"/>
      <c r="D115" s="263"/>
      <c r="E115" s="261"/>
      <c r="F115" s="261"/>
      <c r="G115" s="261" t="s">
        <v>744</v>
      </c>
      <c r="H115" s="261">
        <f>CEILING(H114,1)</f>
        <v>12049</v>
      </c>
    </row>
    <row r="116" spans="2:13" ht="147.75" customHeight="1">
      <c r="B116" s="261">
        <v>2</v>
      </c>
      <c r="C116" s="261"/>
      <c r="D116" s="1523" t="s">
        <v>1310</v>
      </c>
      <c r="E116" s="1524"/>
      <c r="F116" s="1524"/>
      <c r="G116" s="1525"/>
      <c r="H116" s="261"/>
    </row>
    <row r="117" spans="2:13" ht="15" customHeight="1">
      <c r="B117" s="261"/>
      <c r="C117" s="261"/>
      <c r="D117" s="262" t="s">
        <v>440</v>
      </c>
      <c r="E117" s="261">
        <v>1.22</v>
      </c>
      <c r="F117" s="261" t="s">
        <v>533</v>
      </c>
      <c r="G117" s="261">
        <v>2.13</v>
      </c>
      <c r="H117" s="261">
        <f>ROUND(E117*G117,2)</f>
        <v>2.6</v>
      </c>
    </row>
    <row r="118" spans="2:13" ht="15" customHeight="1">
      <c r="B118" s="261"/>
      <c r="C118" s="261"/>
      <c r="D118" s="263" t="s">
        <v>1240</v>
      </c>
      <c r="E118" s="261"/>
      <c r="F118" s="261"/>
      <c r="G118" s="261"/>
      <c r="H118" s="261"/>
    </row>
    <row r="119" spans="2:13" ht="15" customHeight="1">
      <c r="B119" s="261"/>
      <c r="C119" s="261"/>
      <c r="D119" s="263" t="s">
        <v>441</v>
      </c>
      <c r="E119" s="264">
        <f>2*2.13*0.075*0.1</f>
        <v>3.1949999999999999E-2</v>
      </c>
      <c r="F119" s="261" t="s">
        <v>644</v>
      </c>
      <c r="G119" s="261"/>
      <c r="H119" s="261"/>
    </row>
    <row r="120" spans="2:13" ht="15" customHeight="1">
      <c r="B120" s="261"/>
      <c r="C120" s="261"/>
      <c r="D120" s="263" t="s">
        <v>442</v>
      </c>
      <c r="E120" s="264">
        <f>1.22*0.075*0.1</f>
        <v>9.1500000000000001E-3</v>
      </c>
      <c r="F120" s="261" t="s">
        <v>644</v>
      </c>
      <c r="G120" s="261"/>
      <c r="H120" s="261"/>
    </row>
    <row r="121" spans="2:13" ht="15" customHeight="1">
      <c r="B121" s="261"/>
      <c r="C121" s="261"/>
      <c r="D121" s="265" t="s">
        <v>305</v>
      </c>
      <c r="E121" s="264">
        <f>SUM(E119:E120)</f>
        <v>4.1099999999999998E-2</v>
      </c>
      <c r="F121" s="261" t="s">
        <v>644</v>
      </c>
      <c r="G121" s="261"/>
      <c r="H121" s="261"/>
    </row>
    <row r="122" spans="2:13" ht="32.25" customHeight="1">
      <c r="B122" s="261"/>
      <c r="C122" s="261"/>
      <c r="D122" s="266" t="s">
        <v>41</v>
      </c>
      <c r="E122" s="261"/>
      <c r="F122" s="261"/>
      <c r="G122" s="261"/>
      <c r="H122" s="261"/>
    </row>
    <row r="123" spans="2:13" ht="15" customHeight="1">
      <c r="B123" s="261"/>
      <c r="C123" s="261"/>
      <c r="D123" s="263" t="s">
        <v>1241</v>
      </c>
      <c r="E123" s="267">
        <f>ROUND(1.1*2.05,2)</f>
        <v>2.2599999999999998</v>
      </c>
      <c r="F123" s="267" t="s">
        <v>547</v>
      </c>
      <c r="G123" s="261"/>
      <c r="H123" s="261"/>
    </row>
    <row r="124" spans="2:13">
      <c r="B124" s="261"/>
      <c r="C124" s="261"/>
      <c r="D124" s="268" t="s">
        <v>489</v>
      </c>
      <c r="E124" s="261"/>
      <c r="F124" s="261"/>
      <c r="G124" s="261"/>
      <c r="H124" s="261"/>
    </row>
    <row r="125" spans="2:13">
      <c r="B125" s="261"/>
      <c r="C125" s="261"/>
      <c r="D125" s="269" t="s">
        <v>509</v>
      </c>
      <c r="E125" s="261"/>
      <c r="F125" s="261"/>
      <c r="G125" s="261"/>
      <c r="H125" s="261"/>
    </row>
    <row r="126" spans="2:13" ht="15" customHeight="1">
      <c r="B126" s="261">
        <v>1</v>
      </c>
      <c r="C126" s="285">
        <f>E119</f>
        <v>3.1949999999999999E-2</v>
      </c>
      <c r="D126" s="270" t="s">
        <v>1044</v>
      </c>
      <c r="E126" s="271">
        <f>E98</f>
        <v>84724</v>
      </c>
      <c r="F126" s="261">
        <v>1</v>
      </c>
      <c r="G126" s="261" t="s">
        <v>465</v>
      </c>
      <c r="H126" s="274">
        <f>ROUND(C126*E126/F126,2)</f>
        <v>2706.93</v>
      </c>
      <c r="M126" s="286" t="s">
        <v>1044</v>
      </c>
    </row>
    <row r="127" spans="2:13" ht="15" customHeight="1">
      <c r="B127" s="261">
        <v>2</v>
      </c>
      <c r="C127" s="285">
        <f>E120</f>
        <v>9.1500000000000001E-3</v>
      </c>
      <c r="D127" s="270" t="s">
        <v>1045</v>
      </c>
      <c r="E127" s="271">
        <f t="shared" ref="E127:E135" si="7">E99</f>
        <v>76251</v>
      </c>
      <c r="F127" s="261">
        <v>1</v>
      </c>
      <c r="G127" s="261" t="s">
        <v>465</v>
      </c>
      <c r="H127" s="274">
        <f t="shared" ref="H127:H135" si="8">ROUND(C127*E127/F127,2)</f>
        <v>697.7</v>
      </c>
    </row>
    <row r="128" spans="2:13" ht="57" customHeight="1">
      <c r="B128" s="261">
        <v>3</v>
      </c>
      <c r="C128" s="261">
        <f>E123</f>
        <v>2.2599999999999998</v>
      </c>
      <c r="D128" s="284" t="s">
        <v>978</v>
      </c>
      <c r="E128" s="271">
        <f t="shared" si="7"/>
        <v>1417</v>
      </c>
      <c r="F128" s="261">
        <v>1</v>
      </c>
      <c r="G128" s="261" t="s">
        <v>461</v>
      </c>
      <c r="H128" s="274">
        <f t="shared" si="8"/>
        <v>3202.42</v>
      </c>
    </row>
    <row r="129" spans="1:256" ht="17.25" customHeight="1">
      <c r="B129" s="261">
        <v>4</v>
      </c>
      <c r="C129" s="271">
        <v>6</v>
      </c>
      <c r="D129" s="270" t="s">
        <v>1026</v>
      </c>
      <c r="E129" s="271">
        <f t="shared" si="7"/>
        <v>34</v>
      </c>
      <c r="F129" s="261">
        <v>1</v>
      </c>
      <c r="G129" s="261" t="s">
        <v>268</v>
      </c>
      <c r="H129" s="274">
        <f t="shared" si="8"/>
        <v>204</v>
      </c>
    </row>
    <row r="130" spans="1:256" ht="17.25" customHeight="1">
      <c r="B130" s="261">
        <v>5</v>
      </c>
      <c r="C130" s="271">
        <v>1</v>
      </c>
      <c r="D130" s="270" t="s">
        <v>1228</v>
      </c>
      <c r="E130" s="271">
        <f t="shared" si="7"/>
        <v>173</v>
      </c>
      <c r="F130" s="261">
        <v>1</v>
      </c>
      <c r="G130" s="261" t="s">
        <v>268</v>
      </c>
      <c r="H130" s="274">
        <f t="shared" si="8"/>
        <v>173</v>
      </c>
    </row>
    <row r="131" spans="1:256" ht="17.25" customHeight="1">
      <c r="B131" s="261">
        <v>6</v>
      </c>
      <c r="C131" s="271">
        <v>2</v>
      </c>
      <c r="D131" s="270" t="s">
        <v>1229</v>
      </c>
      <c r="E131" s="271">
        <f t="shared" si="7"/>
        <v>72</v>
      </c>
      <c r="F131" s="261">
        <v>1</v>
      </c>
      <c r="G131" s="261" t="s">
        <v>268</v>
      </c>
      <c r="H131" s="274">
        <f t="shared" si="8"/>
        <v>144</v>
      </c>
    </row>
    <row r="132" spans="1:256" ht="17.25" customHeight="1">
      <c r="B132" s="261">
        <v>7</v>
      </c>
      <c r="C132" s="271">
        <v>2</v>
      </c>
      <c r="D132" s="270" t="s">
        <v>1230</v>
      </c>
      <c r="E132" s="271">
        <f t="shared" si="7"/>
        <v>48</v>
      </c>
      <c r="F132" s="261">
        <v>1</v>
      </c>
      <c r="G132" s="261" t="s">
        <v>268</v>
      </c>
      <c r="H132" s="274">
        <f t="shared" si="8"/>
        <v>96</v>
      </c>
    </row>
    <row r="133" spans="1:256" ht="17.25" customHeight="1">
      <c r="B133" s="261">
        <v>8</v>
      </c>
      <c r="C133" s="271">
        <v>6</v>
      </c>
      <c r="D133" s="270" t="s">
        <v>1231</v>
      </c>
      <c r="E133" s="271">
        <f t="shared" si="7"/>
        <v>33</v>
      </c>
      <c r="F133" s="261">
        <v>1</v>
      </c>
      <c r="G133" s="261" t="s">
        <v>268</v>
      </c>
      <c r="H133" s="274">
        <f t="shared" si="8"/>
        <v>198</v>
      </c>
      <c r="N133" s="783" t="s">
        <v>1058</v>
      </c>
    </row>
    <row r="134" spans="1:256" ht="17.25" customHeight="1">
      <c r="B134" s="261">
        <v>9</v>
      </c>
      <c r="C134" s="271">
        <v>1</v>
      </c>
      <c r="D134" s="270" t="s">
        <v>1232</v>
      </c>
      <c r="E134" s="271">
        <f t="shared" si="7"/>
        <v>70</v>
      </c>
      <c r="F134" s="261">
        <v>1</v>
      </c>
      <c r="G134" s="261" t="s">
        <v>268</v>
      </c>
      <c r="H134" s="274">
        <f t="shared" si="8"/>
        <v>70</v>
      </c>
    </row>
    <row r="135" spans="1:256" ht="17.25" customHeight="1">
      <c r="B135" s="261">
        <v>10</v>
      </c>
      <c r="C135" s="271">
        <v>2</v>
      </c>
      <c r="D135" s="270" t="s">
        <v>1233</v>
      </c>
      <c r="E135" s="271">
        <f t="shared" si="7"/>
        <v>48</v>
      </c>
      <c r="F135" s="261">
        <v>1</v>
      </c>
      <c r="G135" s="261" t="s">
        <v>268</v>
      </c>
      <c r="H135" s="274">
        <f t="shared" si="8"/>
        <v>96</v>
      </c>
    </row>
    <row r="136" spans="1:256">
      <c r="B136" s="261"/>
      <c r="C136" s="271"/>
      <c r="D136" s="269" t="s">
        <v>510</v>
      </c>
      <c r="E136" s="271"/>
      <c r="F136" s="261"/>
      <c r="G136" s="261"/>
      <c r="H136" s="274"/>
    </row>
    <row r="137" spans="1:256" ht="64.5" customHeight="1">
      <c r="B137" s="261">
        <v>11</v>
      </c>
      <c r="C137" s="271">
        <f>H117</f>
        <v>2.6</v>
      </c>
      <c r="D137" s="266" t="s">
        <v>1242</v>
      </c>
      <c r="E137" s="271">
        <f>E26</f>
        <v>1057</v>
      </c>
      <c r="F137" s="261">
        <v>1</v>
      </c>
      <c r="G137" s="261" t="s">
        <v>461</v>
      </c>
      <c r="H137" s="274">
        <f>ROUND(C137*E137/F137,2)</f>
        <v>2748.2</v>
      </c>
      <c r="J137" s="287"/>
    </row>
    <row r="138" spans="1:256">
      <c r="B138" s="261"/>
      <c r="C138" s="271">
        <f>'C-data'!$E$5</f>
        <v>0</v>
      </c>
      <c r="D138" s="275" t="s">
        <v>2194</v>
      </c>
      <c r="E138" s="276">
        <f>H137</f>
        <v>2748.2</v>
      </c>
      <c r="F138" s="277">
        <v>1</v>
      </c>
      <c r="G138" s="277"/>
      <c r="H138" s="278">
        <f>ROUND(C138*E138/F138,2)</f>
        <v>0</v>
      </c>
    </row>
    <row r="139" spans="1:256">
      <c r="B139" s="261"/>
      <c r="C139" s="271"/>
      <c r="D139" s="263"/>
      <c r="E139" s="271"/>
      <c r="F139" s="261"/>
      <c r="G139" s="261"/>
      <c r="H139" s="274">
        <f>SUM(H126:H138)</f>
        <v>10336.25</v>
      </c>
    </row>
    <row r="140" spans="1:256">
      <c r="B140" s="261">
        <v>12</v>
      </c>
      <c r="C140" s="261"/>
      <c r="D140" s="279" t="s">
        <v>511</v>
      </c>
      <c r="E140" s="280">
        <v>0</v>
      </c>
      <c r="F140" s="261"/>
      <c r="G140" s="261"/>
      <c r="H140" s="274">
        <f>E140*H139</f>
        <v>0</v>
      </c>
    </row>
    <row r="141" spans="1:256">
      <c r="B141" s="261"/>
      <c r="C141" s="261"/>
      <c r="D141" s="263" t="s">
        <v>490</v>
      </c>
      <c r="E141" s="261"/>
      <c r="F141" s="261"/>
      <c r="G141" s="261"/>
      <c r="H141" s="281">
        <f>CEILING(H139+H140,0.05)</f>
        <v>10336.25</v>
      </c>
    </row>
    <row r="142" spans="1:256">
      <c r="B142" s="261"/>
      <c r="C142" s="261"/>
      <c r="D142" s="263"/>
      <c r="E142" s="261"/>
      <c r="F142" s="261"/>
      <c r="G142" s="267" t="s">
        <v>81</v>
      </c>
      <c r="H142" s="1177">
        <f>CEILING(H141,1)</f>
        <v>10337</v>
      </c>
    </row>
    <row r="143" spans="1:256" s="1109" customFormat="1" ht="134.25" hidden="1" customHeight="1">
      <c r="A143" s="783"/>
      <c r="B143" s="261">
        <f>+B116+1</f>
        <v>3</v>
      </c>
      <c r="C143" s="261"/>
      <c r="D143" s="1523" t="s">
        <v>1656</v>
      </c>
      <c r="E143" s="1524"/>
      <c r="F143" s="1524"/>
      <c r="G143" s="1524"/>
      <c r="H143" s="1525"/>
      <c r="I143" s="783"/>
      <c r="J143" s="783"/>
      <c r="K143" s="783"/>
      <c r="L143" s="783"/>
      <c r="M143" s="783"/>
      <c r="N143" s="783"/>
      <c r="O143" s="783"/>
      <c r="P143" s="783"/>
      <c r="Q143" s="783"/>
      <c r="R143" s="783"/>
      <c r="S143" s="783"/>
      <c r="T143" s="783"/>
      <c r="U143" s="783"/>
      <c r="V143" s="783"/>
      <c r="W143" s="783"/>
      <c r="X143" s="783"/>
      <c r="Y143" s="783"/>
      <c r="Z143" s="783"/>
      <c r="AA143" s="783"/>
      <c r="AB143" s="783"/>
      <c r="AC143" s="783"/>
      <c r="AD143" s="783"/>
      <c r="AE143" s="783"/>
      <c r="AF143" s="783"/>
      <c r="AG143" s="783"/>
      <c r="AH143" s="783"/>
      <c r="AI143" s="783"/>
      <c r="AJ143" s="783"/>
      <c r="AK143" s="783"/>
      <c r="AL143" s="783"/>
      <c r="AM143" s="783"/>
      <c r="AN143" s="783"/>
      <c r="AO143" s="783"/>
      <c r="AP143" s="783"/>
      <c r="AQ143" s="783"/>
      <c r="AR143" s="783"/>
      <c r="AS143" s="783"/>
      <c r="AT143" s="783"/>
      <c r="AU143" s="783"/>
      <c r="AV143" s="783"/>
      <c r="AW143" s="783"/>
      <c r="AX143" s="783"/>
      <c r="AY143" s="783"/>
      <c r="AZ143" s="783"/>
      <c r="BA143" s="783"/>
      <c r="BB143" s="783"/>
      <c r="BC143" s="783"/>
      <c r="BD143" s="783"/>
      <c r="BE143" s="783"/>
      <c r="BF143" s="783"/>
      <c r="BG143" s="783"/>
      <c r="BH143" s="783"/>
      <c r="BI143" s="783"/>
      <c r="BJ143" s="783"/>
      <c r="BK143" s="783"/>
      <c r="BL143" s="783"/>
      <c r="BM143" s="783"/>
      <c r="BN143" s="783"/>
      <c r="BO143" s="783"/>
      <c r="BP143" s="783"/>
      <c r="BQ143" s="783"/>
      <c r="BR143" s="783"/>
      <c r="BS143" s="783"/>
      <c r="BT143" s="783"/>
      <c r="BU143" s="783"/>
      <c r="BV143" s="783"/>
      <c r="BW143" s="783"/>
      <c r="BX143" s="783"/>
      <c r="BY143" s="783"/>
      <c r="BZ143" s="783"/>
      <c r="CA143" s="783"/>
      <c r="CB143" s="783"/>
      <c r="CC143" s="783"/>
      <c r="CD143" s="783"/>
      <c r="CE143" s="783"/>
      <c r="CF143" s="783"/>
      <c r="CG143" s="783"/>
      <c r="CH143" s="783"/>
      <c r="CI143" s="783"/>
      <c r="CJ143" s="783"/>
      <c r="CK143" s="783"/>
      <c r="CL143" s="783"/>
      <c r="CM143" s="783"/>
      <c r="CN143" s="783"/>
      <c r="CO143" s="783"/>
      <c r="CP143" s="783"/>
      <c r="CQ143" s="783"/>
      <c r="CR143" s="783"/>
      <c r="CS143" s="783"/>
      <c r="CT143" s="783"/>
      <c r="CU143" s="783"/>
      <c r="CV143" s="783"/>
      <c r="CW143" s="783"/>
      <c r="CX143" s="783"/>
      <c r="CY143" s="783"/>
      <c r="CZ143" s="783"/>
      <c r="DA143" s="783"/>
      <c r="DB143" s="783"/>
      <c r="DC143" s="783"/>
      <c r="DD143" s="783"/>
      <c r="DE143" s="783"/>
      <c r="DF143" s="783"/>
      <c r="DG143" s="783"/>
      <c r="DH143" s="783"/>
      <c r="DI143" s="783"/>
      <c r="DJ143" s="783"/>
      <c r="DK143" s="783"/>
      <c r="DL143" s="783"/>
      <c r="DM143" s="783"/>
      <c r="DN143" s="783"/>
      <c r="DO143" s="783"/>
      <c r="DP143" s="783"/>
      <c r="DQ143" s="783"/>
      <c r="DR143" s="783"/>
      <c r="DS143" s="783"/>
      <c r="DT143" s="783"/>
      <c r="DU143" s="783"/>
      <c r="DV143" s="783"/>
      <c r="DW143" s="783"/>
      <c r="DX143" s="783"/>
      <c r="DY143" s="783"/>
      <c r="DZ143" s="783"/>
      <c r="EA143" s="783"/>
      <c r="EB143" s="783"/>
      <c r="EC143" s="783"/>
      <c r="ED143" s="783"/>
      <c r="EE143" s="783"/>
      <c r="EF143" s="783"/>
      <c r="EG143" s="783"/>
      <c r="EH143" s="783"/>
      <c r="EI143" s="783"/>
      <c r="EJ143" s="783"/>
      <c r="EK143" s="783"/>
      <c r="EL143" s="783"/>
      <c r="EM143" s="783"/>
      <c r="EN143" s="783"/>
      <c r="EO143" s="783"/>
      <c r="EP143" s="783"/>
      <c r="EQ143" s="783"/>
      <c r="ER143" s="783"/>
      <c r="ES143" s="783"/>
      <c r="ET143" s="783"/>
      <c r="EU143" s="783"/>
      <c r="EV143" s="783"/>
      <c r="EW143" s="783"/>
      <c r="EX143" s="783"/>
      <c r="EY143" s="783"/>
      <c r="EZ143" s="783"/>
      <c r="FA143" s="783"/>
      <c r="FB143" s="783"/>
      <c r="FC143" s="783"/>
      <c r="FD143" s="783"/>
      <c r="FE143" s="783"/>
      <c r="FF143" s="783"/>
      <c r="FG143" s="783"/>
      <c r="FH143" s="783"/>
      <c r="FI143" s="783"/>
      <c r="FJ143" s="783"/>
      <c r="FK143" s="783"/>
      <c r="FL143" s="783"/>
      <c r="FM143" s="783"/>
      <c r="FN143" s="783"/>
      <c r="FO143" s="783"/>
      <c r="FP143" s="783"/>
      <c r="FQ143" s="783"/>
      <c r="FR143" s="783"/>
      <c r="FS143" s="783"/>
      <c r="FT143" s="783"/>
      <c r="FU143" s="783"/>
      <c r="FV143" s="783"/>
      <c r="FW143" s="783"/>
      <c r="FX143" s="783"/>
      <c r="FY143" s="783"/>
      <c r="FZ143" s="783"/>
      <c r="GA143" s="783"/>
      <c r="GB143" s="783"/>
      <c r="GC143" s="783"/>
      <c r="GD143" s="783"/>
      <c r="GE143" s="783"/>
      <c r="GF143" s="783"/>
      <c r="GG143" s="783"/>
      <c r="GH143" s="783"/>
      <c r="GI143" s="783"/>
      <c r="GJ143" s="783"/>
      <c r="GK143" s="783"/>
      <c r="GL143" s="783"/>
      <c r="GM143" s="783"/>
      <c r="GN143" s="783"/>
      <c r="GO143" s="783"/>
      <c r="GP143" s="783"/>
      <c r="GQ143" s="783"/>
      <c r="GR143" s="783"/>
      <c r="GS143" s="783"/>
      <c r="GT143" s="783"/>
      <c r="GU143" s="783"/>
      <c r="GV143" s="783"/>
      <c r="GW143" s="783"/>
      <c r="GX143" s="783"/>
      <c r="GY143" s="783"/>
      <c r="GZ143" s="783"/>
      <c r="HA143" s="783"/>
      <c r="HB143" s="783"/>
      <c r="HC143" s="783"/>
      <c r="HD143" s="783"/>
      <c r="HE143" s="783"/>
      <c r="HF143" s="783"/>
      <c r="HG143" s="783"/>
      <c r="HH143" s="783"/>
      <c r="HI143" s="783"/>
      <c r="HJ143" s="783"/>
      <c r="HK143" s="783"/>
      <c r="HL143" s="783"/>
      <c r="HM143" s="783"/>
      <c r="HN143" s="783"/>
      <c r="HO143" s="783"/>
      <c r="HP143" s="783"/>
      <c r="HQ143" s="783"/>
      <c r="HR143" s="783"/>
      <c r="HS143" s="783"/>
      <c r="HT143" s="783"/>
      <c r="HU143" s="783"/>
      <c r="HV143" s="783"/>
      <c r="HW143" s="783"/>
      <c r="HX143" s="783"/>
      <c r="HY143" s="783"/>
      <c r="HZ143" s="783"/>
      <c r="IA143" s="783"/>
      <c r="IB143" s="783"/>
      <c r="IC143" s="783"/>
      <c r="ID143" s="783"/>
      <c r="IE143" s="783"/>
      <c r="IF143" s="783"/>
      <c r="IG143" s="783"/>
      <c r="IH143" s="783"/>
      <c r="II143" s="783"/>
      <c r="IJ143" s="783"/>
      <c r="IK143" s="783"/>
      <c r="IL143" s="783"/>
      <c r="IM143" s="783"/>
      <c r="IN143" s="783"/>
      <c r="IO143" s="783"/>
      <c r="IP143" s="783"/>
      <c r="IQ143" s="783"/>
      <c r="IR143" s="783"/>
      <c r="IS143" s="783"/>
      <c r="IT143" s="783"/>
      <c r="IU143" s="783"/>
      <c r="IV143" s="783"/>
    </row>
    <row r="144" spans="1:256" s="1109" customFormat="1" hidden="1">
      <c r="A144" s="783"/>
      <c r="B144" s="261"/>
      <c r="C144" s="261"/>
      <c r="D144" s="262" t="s">
        <v>1244</v>
      </c>
      <c r="E144" s="271">
        <v>1.05</v>
      </c>
      <c r="F144" s="261" t="s">
        <v>533</v>
      </c>
      <c r="G144" s="261">
        <v>2.13</v>
      </c>
      <c r="H144" s="261">
        <f>ROUND(E144*G144,2)</f>
        <v>2.2400000000000002</v>
      </c>
      <c r="I144" s="783"/>
      <c r="J144" s="783"/>
      <c r="K144" s="783"/>
      <c r="L144" s="783"/>
      <c r="M144" s="783"/>
      <c r="N144" s="783"/>
      <c r="O144" s="783"/>
      <c r="P144" s="783"/>
      <c r="Q144" s="783"/>
      <c r="R144" s="783"/>
      <c r="S144" s="783"/>
      <c r="T144" s="783"/>
      <c r="U144" s="783"/>
      <c r="V144" s="783"/>
      <c r="W144" s="783"/>
      <c r="X144" s="783"/>
      <c r="Y144" s="783"/>
      <c r="Z144" s="783"/>
      <c r="AA144" s="783"/>
      <c r="AB144" s="783"/>
      <c r="AC144" s="783"/>
      <c r="AD144" s="783"/>
      <c r="AE144" s="783"/>
      <c r="AF144" s="783"/>
      <c r="AG144" s="783"/>
      <c r="AH144" s="783"/>
      <c r="AI144" s="783"/>
      <c r="AJ144" s="783"/>
      <c r="AK144" s="783"/>
      <c r="AL144" s="783"/>
      <c r="AM144" s="783"/>
      <c r="AN144" s="783"/>
      <c r="AO144" s="783"/>
      <c r="AP144" s="783"/>
      <c r="AQ144" s="783"/>
      <c r="AR144" s="783"/>
      <c r="AS144" s="783"/>
      <c r="AT144" s="783"/>
      <c r="AU144" s="783"/>
      <c r="AV144" s="783"/>
      <c r="AW144" s="783"/>
      <c r="AX144" s="783"/>
      <c r="AY144" s="783"/>
      <c r="AZ144" s="783"/>
      <c r="BA144" s="783"/>
      <c r="BB144" s="783"/>
      <c r="BC144" s="783"/>
      <c r="BD144" s="783"/>
      <c r="BE144" s="783"/>
      <c r="BF144" s="783"/>
      <c r="BG144" s="783"/>
      <c r="BH144" s="783"/>
      <c r="BI144" s="783"/>
      <c r="BJ144" s="783"/>
      <c r="BK144" s="783"/>
      <c r="BL144" s="783"/>
      <c r="BM144" s="783"/>
      <c r="BN144" s="783"/>
      <c r="BO144" s="783"/>
      <c r="BP144" s="783"/>
      <c r="BQ144" s="783"/>
      <c r="BR144" s="783"/>
      <c r="BS144" s="783"/>
      <c r="BT144" s="783"/>
      <c r="BU144" s="783"/>
      <c r="BV144" s="783"/>
      <c r="BW144" s="783"/>
      <c r="BX144" s="783"/>
      <c r="BY144" s="783"/>
      <c r="BZ144" s="783"/>
      <c r="CA144" s="783"/>
      <c r="CB144" s="783"/>
      <c r="CC144" s="783"/>
      <c r="CD144" s="783"/>
      <c r="CE144" s="783"/>
      <c r="CF144" s="783"/>
      <c r="CG144" s="783"/>
      <c r="CH144" s="783"/>
      <c r="CI144" s="783"/>
      <c r="CJ144" s="783"/>
      <c r="CK144" s="783"/>
      <c r="CL144" s="783"/>
      <c r="CM144" s="783"/>
      <c r="CN144" s="783"/>
      <c r="CO144" s="783"/>
      <c r="CP144" s="783"/>
      <c r="CQ144" s="783"/>
      <c r="CR144" s="783"/>
      <c r="CS144" s="783"/>
      <c r="CT144" s="783"/>
      <c r="CU144" s="783"/>
      <c r="CV144" s="783"/>
      <c r="CW144" s="783"/>
      <c r="CX144" s="783"/>
      <c r="CY144" s="783"/>
      <c r="CZ144" s="783"/>
      <c r="DA144" s="783"/>
      <c r="DB144" s="783"/>
      <c r="DC144" s="783"/>
      <c r="DD144" s="783"/>
      <c r="DE144" s="783"/>
      <c r="DF144" s="783"/>
      <c r="DG144" s="783"/>
      <c r="DH144" s="783"/>
      <c r="DI144" s="783"/>
      <c r="DJ144" s="783"/>
      <c r="DK144" s="783"/>
      <c r="DL144" s="783"/>
      <c r="DM144" s="783"/>
      <c r="DN144" s="783"/>
      <c r="DO144" s="783"/>
      <c r="DP144" s="783"/>
      <c r="DQ144" s="783"/>
      <c r="DR144" s="783"/>
      <c r="DS144" s="783"/>
      <c r="DT144" s="783"/>
      <c r="DU144" s="783"/>
      <c r="DV144" s="783"/>
      <c r="DW144" s="783"/>
      <c r="DX144" s="783"/>
      <c r="DY144" s="783"/>
      <c r="DZ144" s="783"/>
      <c r="EA144" s="783"/>
      <c r="EB144" s="783"/>
      <c r="EC144" s="783"/>
      <c r="ED144" s="783"/>
      <c r="EE144" s="783"/>
      <c r="EF144" s="783"/>
      <c r="EG144" s="783"/>
      <c r="EH144" s="783"/>
      <c r="EI144" s="783"/>
      <c r="EJ144" s="783"/>
      <c r="EK144" s="783"/>
      <c r="EL144" s="783"/>
      <c r="EM144" s="783"/>
      <c r="EN144" s="783"/>
      <c r="EO144" s="783"/>
      <c r="EP144" s="783"/>
      <c r="EQ144" s="783"/>
      <c r="ER144" s="783"/>
      <c r="ES144" s="783"/>
      <c r="ET144" s="783"/>
      <c r="EU144" s="783"/>
      <c r="EV144" s="783"/>
      <c r="EW144" s="783"/>
      <c r="EX144" s="783"/>
      <c r="EY144" s="783"/>
      <c r="EZ144" s="783"/>
      <c r="FA144" s="783"/>
      <c r="FB144" s="783"/>
      <c r="FC144" s="783"/>
      <c r="FD144" s="783"/>
      <c r="FE144" s="783"/>
      <c r="FF144" s="783"/>
      <c r="FG144" s="783"/>
      <c r="FH144" s="783"/>
      <c r="FI144" s="783"/>
      <c r="FJ144" s="783"/>
      <c r="FK144" s="783"/>
      <c r="FL144" s="783"/>
      <c r="FM144" s="783"/>
      <c r="FN144" s="783"/>
      <c r="FO144" s="783"/>
      <c r="FP144" s="783"/>
      <c r="FQ144" s="783"/>
      <c r="FR144" s="783"/>
      <c r="FS144" s="783"/>
      <c r="FT144" s="783"/>
      <c r="FU144" s="783"/>
      <c r="FV144" s="783"/>
      <c r="FW144" s="783"/>
      <c r="FX144" s="783"/>
      <c r="FY144" s="783"/>
      <c r="FZ144" s="783"/>
      <c r="GA144" s="783"/>
      <c r="GB144" s="783"/>
      <c r="GC144" s="783"/>
      <c r="GD144" s="783"/>
      <c r="GE144" s="783"/>
      <c r="GF144" s="783"/>
      <c r="GG144" s="783"/>
      <c r="GH144" s="783"/>
      <c r="GI144" s="783"/>
      <c r="GJ144" s="783"/>
      <c r="GK144" s="783"/>
      <c r="GL144" s="783"/>
      <c r="GM144" s="783"/>
      <c r="GN144" s="783"/>
      <c r="GO144" s="783"/>
      <c r="GP144" s="783"/>
      <c r="GQ144" s="783"/>
      <c r="GR144" s="783"/>
      <c r="GS144" s="783"/>
      <c r="GT144" s="783"/>
      <c r="GU144" s="783"/>
      <c r="GV144" s="783"/>
      <c r="GW144" s="783"/>
      <c r="GX144" s="783"/>
      <c r="GY144" s="783"/>
      <c r="GZ144" s="783"/>
      <c r="HA144" s="783"/>
      <c r="HB144" s="783"/>
      <c r="HC144" s="783"/>
      <c r="HD144" s="783"/>
      <c r="HE144" s="783"/>
      <c r="HF144" s="783"/>
      <c r="HG144" s="783"/>
      <c r="HH144" s="783"/>
      <c r="HI144" s="783"/>
      <c r="HJ144" s="783"/>
      <c r="HK144" s="783"/>
      <c r="HL144" s="783"/>
      <c r="HM144" s="783"/>
      <c r="HN144" s="783"/>
      <c r="HO144" s="783"/>
      <c r="HP144" s="783"/>
      <c r="HQ144" s="783"/>
      <c r="HR144" s="783"/>
      <c r="HS144" s="783"/>
      <c r="HT144" s="783"/>
      <c r="HU144" s="783"/>
      <c r="HV144" s="783"/>
      <c r="HW144" s="783"/>
      <c r="HX144" s="783"/>
      <c r="HY144" s="783"/>
      <c r="HZ144" s="783"/>
      <c r="IA144" s="783"/>
      <c r="IB144" s="783"/>
      <c r="IC144" s="783"/>
      <c r="ID144" s="783"/>
      <c r="IE144" s="783"/>
      <c r="IF144" s="783"/>
      <c r="IG144" s="783"/>
      <c r="IH144" s="783"/>
      <c r="II144" s="783"/>
      <c r="IJ144" s="783"/>
      <c r="IK144" s="783"/>
      <c r="IL144" s="783"/>
      <c r="IM144" s="783"/>
      <c r="IN144" s="783"/>
      <c r="IO144" s="783"/>
      <c r="IP144" s="783"/>
      <c r="IQ144" s="783"/>
      <c r="IR144" s="783"/>
      <c r="IS144" s="783"/>
      <c r="IT144" s="783"/>
      <c r="IU144" s="783"/>
      <c r="IV144" s="783"/>
    </row>
    <row r="145" spans="1:256" s="1109" customFormat="1" hidden="1">
      <c r="A145" s="783"/>
      <c r="B145" s="261">
        <v>1</v>
      </c>
      <c r="C145" s="261"/>
      <c r="D145" s="263" t="str">
        <f>D91</f>
        <v>Verticals   2 x 2.13 x 0.075 x 0.10       = 0.03225</v>
      </c>
      <c r="E145" s="261"/>
      <c r="F145" s="261"/>
      <c r="G145" s="261"/>
      <c r="H145" s="261"/>
      <c r="I145" s="783"/>
      <c r="J145" s="783"/>
      <c r="K145" s="783"/>
      <c r="L145" s="783"/>
      <c r="M145" s="783"/>
      <c r="N145" s="783"/>
      <c r="O145" s="783"/>
      <c r="P145" s="783"/>
      <c r="Q145" s="783"/>
      <c r="R145" s="783"/>
      <c r="S145" s="783"/>
      <c r="T145" s="783"/>
      <c r="U145" s="783"/>
      <c r="V145" s="783"/>
      <c r="W145" s="783"/>
      <c r="X145" s="783"/>
      <c r="Y145" s="783"/>
      <c r="Z145" s="783"/>
      <c r="AA145" s="783"/>
      <c r="AB145" s="783"/>
      <c r="AC145" s="783"/>
      <c r="AD145" s="783"/>
      <c r="AE145" s="783"/>
      <c r="AF145" s="783"/>
      <c r="AG145" s="783"/>
      <c r="AH145" s="783"/>
      <c r="AI145" s="783"/>
      <c r="AJ145" s="783"/>
      <c r="AK145" s="783"/>
      <c r="AL145" s="783"/>
      <c r="AM145" s="783"/>
      <c r="AN145" s="783"/>
      <c r="AO145" s="783"/>
      <c r="AP145" s="783"/>
      <c r="AQ145" s="783"/>
      <c r="AR145" s="783"/>
      <c r="AS145" s="783"/>
      <c r="AT145" s="783"/>
      <c r="AU145" s="783"/>
      <c r="AV145" s="783"/>
      <c r="AW145" s="783"/>
      <c r="AX145" s="783"/>
      <c r="AY145" s="783"/>
      <c r="AZ145" s="783"/>
      <c r="BA145" s="783"/>
      <c r="BB145" s="783"/>
      <c r="BC145" s="783"/>
      <c r="BD145" s="783"/>
      <c r="BE145" s="783"/>
      <c r="BF145" s="783"/>
      <c r="BG145" s="783"/>
      <c r="BH145" s="783"/>
      <c r="BI145" s="783"/>
      <c r="BJ145" s="783"/>
      <c r="BK145" s="783"/>
      <c r="BL145" s="783"/>
      <c r="BM145" s="783"/>
      <c r="BN145" s="783"/>
      <c r="BO145" s="783"/>
      <c r="BP145" s="783"/>
      <c r="BQ145" s="783"/>
      <c r="BR145" s="783"/>
      <c r="BS145" s="783"/>
      <c r="BT145" s="783"/>
      <c r="BU145" s="783"/>
      <c r="BV145" s="783"/>
      <c r="BW145" s="783"/>
      <c r="BX145" s="783"/>
      <c r="BY145" s="783"/>
      <c r="BZ145" s="783"/>
      <c r="CA145" s="783"/>
      <c r="CB145" s="783"/>
      <c r="CC145" s="783"/>
      <c r="CD145" s="783"/>
      <c r="CE145" s="783"/>
      <c r="CF145" s="783"/>
      <c r="CG145" s="783"/>
      <c r="CH145" s="783"/>
      <c r="CI145" s="783"/>
      <c r="CJ145" s="783"/>
      <c r="CK145" s="783"/>
      <c r="CL145" s="783"/>
      <c r="CM145" s="783"/>
      <c r="CN145" s="783"/>
      <c r="CO145" s="783"/>
      <c r="CP145" s="783"/>
      <c r="CQ145" s="783"/>
      <c r="CR145" s="783"/>
      <c r="CS145" s="783"/>
      <c r="CT145" s="783"/>
      <c r="CU145" s="783"/>
      <c r="CV145" s="783"/>
      <c r="CW145" s="783"/>
      <c r="CX145" s="783"/>
      <c r="CY145" s="783"/>
      <c r="CZ145" s="783"/>
      <c r="DA145" s="783"/>
      <c r="DB145" s="783"/>
      <c r="DC145" s="783"/>
      <c r="DD145" s="783"/>
      <c r="DE145" s="783"/>
      <c r="DF145" s="783"/>
      <c r="DG145" s="783"/>
      <c r="DH145" s="783"/>
      <c r="DI145" s="783"/>
      <c r="DJ145" s="783"/>
      <c r="DK145" s="783"/>
      <c r="DL145" s="783"/>
      <c r="DM145" s="783"/>
      <c r="DN145" s="783"/>
      <c r="DO145" s="783"/>
      <c r="DP145" s="783"/>
      <c r="DQ145" s="783"/>
      <c r="DR145" s="783"/>
      <c r="DS145" s="783"/>
      <c r="DT145" s="783"/>
      <c r="DU145" s="783"/>
      <c r="DV145" s="783"/>
      <c r="DW145" s="783"/>
      <c r="DX145" s="783"/>
      <c r="DY145" s="783"/>
      <c r="DZ145" s="783"/>
      <c r="EA145" s="783"/>
      <c r="EB145" s="783"/>
      <c r="EC145" s="783"/>
      <c r="ED145" s="783"/>
      <c r="EE145" s="783"/>
      <c r="EF145" s="783"/>
      <c r="EG145" s="783"/>
      <c r="EH145" s="783"/>
      <c r="EI145" s="783"/>
      <c r="EJ145" s="783"/>
      <c r="EK145" s="783"/>
      <c r="EL145" s="783"/>
      <c r="EM145" s="783"/>
      <c r="EN145" s="783"/>
      <c r="EO145" s="783"/>
      <c r="EP145" s="783"/>
      <c r="EQ145" s="783"/>
      <c r="ER145" s="783"/>
      <c r="ES145" s="783"/>
      <c r="ET145" s="783"/>
      <c r="EU145" s="783"/>
      <c r="EV145" s="783"/>
      <c r="EW145" s="783"/>
      <c r="EX145" s="783"/>
      <c r="EY145" s="783"/>
      <c r="EZ145" s="783"/>
      <c r="FA145" s="783"/>
      <c r="FB145" s="783"/>
      <c r="FC145" s="783"/>
      <c r="FD145" s="783"/>
      <c r="FE145" s="783"/>
      <c r="FF145" s="783"/>
      <c r="FG145" s="783"/>
      <c r="FH145" s="783"/>
      <c r="FI145" s="783"/>
      <c r="FJ145" s="783"/>
      <c r="FK145" s="783"/>
      <c r="FL145" s="783"/>
      <c r="FM145" s="783"/>
      <c r="FN145" s="783"/>
      <c r="FO145" s="783"/>
      <c r="FP145" s="783"/>
      <c r="FQ145" s="783"/>
      <c r="FR145" s="783"/>
      <c r="FS145" s="783"/>
      <c r="FT145" s="783"/>
      <c r="FU145" s="783"/>
      <c r="FV145" s="783"/>
      <c r="FW145" s="783"/>
      <c r="FX145" s="783"/>
      <c r="FY145" s="783"/>
      <c r="FZ145" s="783"/>
      <c r="GA145" s="783"/>
      <c r="GB145" s="783"/>
      <c r="GC145" s="783"/>
      <c r="GD145" s="783"/>
      <c r="GE145" s="783"/>
      <c r="GF145" s="783"/>
      <c r="GG145" s="783"/>
      <c r="GH145" s="783"/>
      <c r="GI145" s="783"/>
      <c r="GJ145" s="783"/>
      <c r="GK145" s="783"/>
      <c r="GL145" s="783"/>
      <c r="GM145" s="783"/>
      <c r="GN145" s="783"/>
      <c r="GO145" s="783"/>
      <c r="GP145" s="783"/>
      <c r="GQ145" s="783"/>
      <c r="GR145" s="783"/>
      <c r="GS145" s="783"/>
      <c r="GT145" s="783"/>
      <c r="GU145" s="783"/>
      <c r="GV145" s="783"/>
      <c r="GW145" s="783"/>
      <c r="GX145" s="783"/>
      <c r="GY145" s="783"/>
      <c r="GZ145" s="783"/>
      <c r="HA145" s="783"/>
      <c r="HB145" s="783"/>
      <c r="HC145" s="783"/>
      <c r="HD145" s="783"/>
      <c r="HE145" s="783"/>
      <c r="HF145" s="783"/>
      <c r="HG145" s="783"/>
      <c r="HH145" s="783"/>
      <c r="HI145" s="783"/>
      <c r="HJ145" s="783"/>
      <c r="HK145" s="783"/>
      <c r="HL145" s="783"/>
      <c r="HM145" s="783"/>
      <c r="HN145" s="783"/>
      <c r="HO145" s="783"/>
      <c r="HP145" s="783"/>
      <c r="HQ145" s="783"/>
      <c r="HR145" s="783"/>
      <c r="HS145" s="783"/>
      <c r="HT145" s="783"/>
      <c r="HU145" s="783"/>
      <c r="HV145" s="783"/>
      <c r="HW145" s="783"/>
      <c r="HX145" s="783"/>
      <c r="HY145" s="783"/>
      <c r="HZ145" s="783"/>
      <c r="IA145" s="783"/>
      <c r="IB145" s="783"/>
      <c r="IC145" s="783"/>
      <c r="ID145" s="783"/>
      <c r="IE145" s="783"/>
      <c r="IF145" s="783"/>
      <c r="IG145" s="783"/>
      <c r="IH145" s="783"/>
      <c r="II145" s="783"/>
      <c r="IJ145" s="783"/>
      <c r="IK145" s="783"/>
      <c r="IL145" s="783"/>
      <c r="IM145" s="783"/>
      <c r="IN145" s="783"/>
      <c r="IO145" s="783"/>
      <c r="IP145" s="783"/>
      <c r="IQ145" s="783"/>
      <c r="IR145" s="783"/>
      <c r="IS145" s="783"/>
      <c r="IT145" s="783"/>
      <c r="IU145" s="783"/>
      <c r="IV145" s="783"/>
    </row>
    <row r="146" spans="1:256" s="1109" customFormat="1" hidden="1">
      <c r="A146" s="783"/>
      <c r="B146" s="261"/>
      <c r="C146" s="261"/>
      <c r="D146" s="263" t="s">
        <v>446</v>
      </c>
      <c r="E146" s="264">
        <f>2*2.13*0.075*0.1</f>
        <v>3.1949999999999999E-2</v>
      </c>
      <c r="F146" s="261" t="s">
        <v>644</v>
      </c>
      <c r="G146" s="261"/>
      <c r="H146" s="261"/>
      <c r="I146" s="783"/>
      <c r="J146" s="783"/>
      <c r="K146" s="783"/>
      <c r="L146" s="783"/>
      <c r="M146" s="783"/>
      <c r="N146" s="783"/>
      <c r="O146" s="783"/>
      <c r="P146" s="783"/>
      <c r="Q146" s="783"/>
      <c r="R146" s="783"/>
      <c r="S146" s="783"/>
      <c r="T146" s="783"/>
      <c r="U146" s="783"/>
      <c r="V146" s="783"/>
      <c r="W146" s="783"/>
      <c r="X146" s="783"/>
      <c r="Y146" s="783"/>
      <c r="Z146" s="783"/>
      <c r="AA146" s="783"/>
      <c r="AB146" s="783"/>
      <c r="AC146" s="783"/>
      <c r="AD146" s="783"/>
      <c r="AE146" s="783"/>
      <c r="AF146" s="783"/>
      <c r="AG146" s="783"/>
      <c r="AH146" s="783"/>
      <c r="AI146" s="783"/>
      <c r="AJ146" s="783"/>
      <c r="AK146" s="783"/>
      <c r="AL146" s="783"/>
      <c r="AM146" s="783"/>
      <c r="AN146" s="783"/>
      <c r="AO146" s="783"/>
      <c r="AP146" s="783"/>
      <c r="AQ146" s="783"/>
      <c r="AR146" s="783"/>
      <c r="AS146" s="783"/>
      <c r="AT146" s="783"/>
      <c r="AU146" s="783"/>
      <c r="AV146" s="783"/>
      <c r="AW146" s="783"/>
      <c r="AX146" s="783"/>
      <c r="AY146" s="783"/>
      <c r="AZ146" s="783"/>
      <c r="BA146" s="783"/>
      <c r="BB146" s="783"/>
      <c r="BC146" s="783"/>
      <c r="BD146" s="783"/>
      <c r="BE146" s="783"/>
      <c r="BF146" s="783"/>
      <c r="BG146" s="783"/>
      <c r="BH146" s="783"/>
      <c r="BI146" s="783"/>
      <c r="BJ146" s="783"/>
      <c r="BK146" s="783"/>
      <c r="BL146" s="783"/>
      <c r="BM146" s="783"/>
      <c r="BN146" s="783"/>
      <c r="BO146" s="783"/>
      <c r="BP146" s="783"/>
      <c r="BQ146" s="783"/>
      <c r="BR146" s="783"/>
      <c r="BS146" s="783"/>
      <c r="BT146" s="783"/>
      <c r="BU146" s="783"/>
      <c r="BV146" s="783"/>
      <c r="BW146" s="783"/>
      <c r="BX146" s="783"/>
      <c r="BY146" s="783"/>
      <c r="BZ146" s="783"/>
      <c r="CA146" s="783"/>
      <c r="CB146" s="783"/>
      <c r="CC146" s="783"/>
      <c r="CD146" s="783"/>
      <c r="CE146" s="783"/>
      <c r="CF146" s="783"/>
      <c r="CG146" s="783"/>
      <c r="CH146" s="783"/>
      <c r="CI146" s="783"/>
      <c r="CJ146" s="783"/>
      <c r="CK146" s="783"/>
      <c r="CL146" s="783"/>
      <c r="CM146" s="783"/>
      <c r="CN146" s="783"/>
      <c r="CO146" s="783"/>
      <c r="CP146" s="783"/>
      <c r="CQ146" s="783"/>
      <c r="CR146" s="783"/>
      <c r="CS146" s="783"/>
      <c r="CT146" s="783"/>
      <c r="CU146" s="783"/>
      <c r="CV146" s="783"/>
      <c r="CW146" s="783"/>
      <c r="CX146" s="783"/>
      <c r="CY146" s="783"/>
      <c r="CZ146" s="783"/>
      <c r="DA146" s="783"/>
      <c r="DB146" s="783"/>
      <c r="DC146" s="783"/>
      <c r="DD146" s="783"/>
      <c r="DE146" s="783"/>
      <c r="DF146" s="783"/>
      <c r="DG146" s="783"/>
      <c r="DH146" s="783"/>
      <c r="DI146" s="783"/>
      <c r="DJ146" s="783"/>
      <c r="DK146" s="783"/>
      <c r="DL146" s="783"/>
      <c r="DM146" s="783"/>
      <c r="DN146" s="783"/>
      <c r="DO146" s="783"/>
      <c r="DP146" s="783"/>
      <c r="DQ146" s="783"/>
      <c r="DR146" s="783"/>
      <c r="DS146" s="783"/>
      <c r="DT146" s="783"/>
      <c r="DU146" s="783"/>
      <c r="DV146" s="783"/>
      <c r="DW146" s="783"/>
      <c r="DX146" s="783"/>
      <c r="DY146" s="783"/>
      <c r="DZ146" s="783"/>
      <c r="EA146" s="783"/>
      <c r="EB146" s="783"/>
      <c r="EC146" s="783"/>
      <c r="ED146" s="783"/>
      <c r="EE146" s="783"/>
      <c r="EF146" s="783"/>
      <c r="EG146" s="783"/>
      <c r="EH146" s="783"/>
      <c r="EI146" s="783"/>
      <c r="EJ146" s="783"/>
      <c r="EK146" s="783"/>
      <c r="EL146" s="783"/>
      <c r="EM146" s="783"/>
      <c r="EN146" s="783"/>
      <c r="EO146" s="783"/>
      <c r="EP146" s="783"/>
      <c r="EQ146" s="783"/>
      <c r="ER146" s="783"/>
      <c r="ES146" s="783"/>
      <c r="ET146" s="783"/>
      <c r="EU146" s="783"/>
      <c r="EV146" s="783"/>
      <c r="EW146" s="783"/>
      <c r="EX146" s="783"/>
      <c r="EY146" s="783"/>
      <c r="EZ146" s="783"/>
      <c r="FA146" s="783"/>
      <c r="FB146" s="783"/>
      <c r="FC146" s="783"/>
      <c r="FD146" s="783"/>
      <c r="FE146" s="783"/>
      <c r="FF146" s="783"/>
      <c r="FG146" s="783"/>
      <c r="FH146" s="783"/>
      <c r="FI146" s="783"/>
      <c r="FJ146" s="783"/>
      <c r="FK146" s="783"/>
      <c r="FL146" s="783"/>
      <c r="FM146" s="783"/>
      <c r="FN146" s="783"/>
      <c r="FO146" s="783"/>
      <c r="FP146" s="783"/>
      <c r="FQ146" s="783"/>
      <c r="FR146" s="783"/>
      <c r="FS146" s="783"/>
      <c r="FT146" s="783"/>
      <c r="FU146" s="783"/>
      <c r="FV146" s="783"/>
      <c r="FW146" s="783"/>
      <c r="FX146" s="783"/>
      <c r="FY146" s="783"/>
      <c r="FZ146" s="783"/>
      <c r="GA146" s="783"/>
      <c r="GB146" s="783"/>
      <c r="GC146" s="783"/>
      <c r="GD146" s="783"/>
      <c r="GE146" s="783"/>
      <c r="GF146" s="783"/>
      <c r="GG146" s="783"/>
      <c r="GH146" s="783"/>
      <c r="GI146" s="783"/>
      <c r="GJ146" s="783"/>
      <c r="GK146" s="783"/>
      <c r="GL146" s="783"/>
      <c r="GM146" s="783"/>
      <c r="GN146" s="783"/>
      <c r="GO146" s="783"/>
      <c r="GP146" s="783"/>
      <c r="GQ146" s="783"/>
      <c r="GR146" s="783"/>
      <c r="GS146" s="783"/>
      <c r="GT146" s="783"/>
      <c r="GU146" s="783"/>
      <c r="GV146" s="783"/>
      <c r="GW146" s="783"/>
      <c r="GX146" s="783"/>
      <c r="GY146" s="783"/>
      <c r="GZ146" s="783"/>
      <c r="HA146" s="783"/>
      <c r="HB146" s="783"/>
      <c r="HC146" s="783"/>
      <c r="HD146" s="783"/>
      <c r="HE146" s="783"/>
      <c r="HF146" s="783"/>
      <c r="HG146" s="783"/>
      <c r="HH146" s="783"/>
      <c r="HI146" s="783"/>
      <c r="HJ146" s="783"/>
      <c r="HK146" s="783"/>
      <c r="HL146" s="783"/>
      <c r="HM146" s="783"/>
      <c r="HN146" s="783"/>
      <c r="HO146" s="783"/>
      <c r="HP146" s="783"/>
      <c r="HQ146" s="783"/>
      <c r="HR146" s="783"/>
      <c r="HS146" s="783"/>
      <c r="HT146" s="783"/>
      <c r="HU146" s="783"/>
      <c r="HV146" s="783"/>
      <c r="HW146" s="783"/>
      <c r="HX146" s="783"/>
      <c r="HY146" s="783"/>
      <c r="HZ146" s="783"/>
      <c r="IA146" s="783"/>
      <c r="IB146" s="783"/>
      <c r="IC146" s="783"/>
      <c r="ID146" s="783"/>
      <c r="IE146" s="783"/>
      <c r="IF146" s="783"/>
      <c r="IG146" s="783"/>
      <c r="IH146" s="783"/>
      <c r="II146" s="783"/>
      <c r="IJ146" s="783"/>
      <c r="IK146" s="783"/>
      <c r="IL146" s="783"/>
      <c r="IM146" s="783"/>
      <c r="IN146" s="783"/>
      <c r="IO146" s="783"/>
      <c r="IP146" s="783"/>
      <c r="IQ146" s="783"/>
      <c r="IR146" s="783"/>
      <c r="IS146" s="783"/>
      <c r="IT146" s="783"/>
      <c r="IU146" s="783"/>
      <c r="IV146" s="783"/>
    </row>
    <row r="147" spans="1:256" s="1109" customFormat="1" hidden="1">
      <c r="A147" s="783"/>
      <c r="B147" s="261"/>
      <c r="C147" s="261"/>
      <c r="D147" s="263" t="s">
        <v>1657</v>
      </c>
      <c r="E147" s="264">
        <f>1.05*0.075*0.1</f>
        <v>7.8750000000000001E-3</v>
      </c>
      <c r="F147" s="261" t="s">
        <v>644</v>
      </c>
      <c r="G147" s="261"/>
      <c r="H147" s="261"/>
      <c r="I147" s="783"/>
      <c r="J147" s="783"/>
      <c r="K147" s="783"/>
      <c r="L147" s="783"/>
      <c r="M147" s="783"/>
      <c r="N147" s="783"/>
      <c r="O147" s="783"/>
      <c r="P147" s="783"/>
      <c r="Q147" s="783"/>
      <c r="R147" s="783"/>
      <c r="S147" s="783"/>
      <c r="T147" s="783"/>
      <c r="U147" s="783"/>
      <c r="V147" s="783"/>
      <c r="W147" s="783"/>
      <c r="X147" s="783"/>
      <c r="Y147" s="783"/>
      <c r="Z147" s="783"/>
      <c r="AA147" s="783"/>
      <c r="AB147" s="783"/>
      <c r="AC147" s="783"/>
      <c r="AD147" s="783"/>
      <c r="AE147" s="783"/>
      <c r="AF147" s="783"/>
      <c r="AG147" s="783"/>
      <c r="AH147" s="783"/>
      <c r="AI147" s="783"/>
      <c r="AJ147" s="783"/>
      <c r="AK147" s="783"/>
      <c r="AL147" s="783"/>
      <c r="AM147" s="783"/>
      <c r="AN147" s="783"/>
      <c r="AO147" s="783"/>
      <c r="AP147" s="783"/>
      <c r="AQ147" s="783"/>
      <c r="AR147" s="783"/>
      <c r="AS147" s="783"/>
      <c r="AT147" s="783"/>
      <c r="AU147" s="783"/>
      <c r="AV147" s="783"/>
      <c r="AW147" s="783"/>
      <c r="AX147" s="783"/>
      <c r="AY147" s="783"/>
      <c r="AZ147" s="783"/>
      <c r="BA147" s="783"/>
      <c r="BB147" s="783"/>
      <c r="BC147" s="783"/>
      <c r="BD147" s="783"/>
      <c r="BE147" s="783"/>
      <c r="BF147" s="783"/>
      <c r="BG147" s="783"/>
      <c r="BH147" s="783"/>
      <c r="BI147" s="783"/>
      <c r="BJ147" s="783"/>
      <c r="BK147" s="783"/>
      <c r="BL147" s="783"/>
      <c r="BM147" s="783"/>
      <c r="BN147" s="783"/>
      <c r="BO147" s="783"/>
      <c r="BP147" s="783"/>
      <c r="BQ147" s="783"/>
      <c r="BR147" s="783"/>
      <c r="BS147" s="783"/>
      <c r="BT147" s="783"/>
      <c r="BU147" s="783"/>
      <c r="BV147" s="783"/>
      <c r="BW147" s="783"/>
      <c r="BX147" s="783"/>
      <c r="BY147" s="783"/>
      <c r="BZ147" s="783"/>
      <c r="CA147" s="783"/>
      <c r="CB147" s="783"/>
      <c r="CC147" s="783"/>
      <c r="CD147" s="783"/>
      <c r="CE147" s="783"/>
      <c r="CF147" s="783"/>
      <c r="CG147" s="783"/>
      <c r="CH147" s="783"/>
      <c r="CI147" s="783"/>
      <c r="CJ147" s="783"/>
      <c r="CK147" s="783"/>
      <c r="CL147" s="783"/>
      <c r="CM147" s="783"/>
      <c r="CN147" s="783"/>
      <c r="CO147" s="783"/>
      <c r="CP147" s="783"/>
      <c r="CQ147" s="783"/>
      <c r="CR147" s="783"/>
      <c r="CS147" s="783"/>
      <c r="CT147" s="783"/>
      <c r="CU147" s="783"/>
      <c r="CV147" s="783"/>
      <c r="CW147" s="783"/>
      <c r="CX147" s="783"/>
      <c r="CY147" s="783"/>
      <c r="CZ147" s="783"/>
      <c r="DA147" s="783"/>
      <c r="DB147" s="783"/>
      <c r="DC147" s="783"/>
      <c r="DD147" s="783"/>
      <c r="DE147" s="783"/>
      <c r="DF147" s="783"/>
      <c r="DG147" s="783"/>
      <c r="DH147" s="783"/>
      <c r="DI147" s="783"/>
      <c r="DJ147" s="783"/>
      <c r="DK147" s="783"/>
      <c r="DL147" s="783"/>
      <c r="DM147" s="783"/>
      <c r="DN147" s="783"/>
      <c r="DO147" s="783"/>
      <c r="DP147" s="783"/>
      <c r="DQ147" s="783"/>
      <c r="DR147" s="783"/>
      <c r="DS147" s="783"/>
      <c r="DT147" s="783"/>
      <c r="DU147" s="783"/>
      <c r="DV147" s="783"/>
      <c r="DW147" s="783"/>
      <c r="DX147" s="783"/>
      <c r="DY147" s="783"/>
      <c r="DZ147" s="783"/>
      <c r="EA147" s="783"/>
      <c r="EB147" s="783"/>
      <c r="EC147" s="783"/>
      <c r="ED147" s="783"/>
      <c r="EE147" s="783"/>
      <c r="EF147" s="783"/>
      <c r="EG147" s="783"/>
      <c r="EH147" s="783"/>
      <c r="EI147" s="783"/>
      <c r="EJ147" s="783"/>
      <c r="EK147" s="783"/>
      <c r="EL147" s="783"/>
      <c r="EM147" s="783"/>
      <c r="EN147" s="783"/>
      <c r="EO147" s="783"/>
      <c r="EP147" s="783"/>
      <c r="EQ147" s="783"/>
      <c r="ER147" s="783"/>
      <c r="ES147" s="783"/>
      <c r="ET147" s="783"/>
      <c r="EU147" s="783"/>
      <c r="EV147" s="783"/>
      <c r="EW147" s="783"/>
      <c r="EX147" s="783"/>
      <c r="EY147" s="783"/>
      <c r="EZ147" s="783"/>
      <c r="FA147" s="783"/>
      <c r="FB147" s="783"/>
      <c r="FC147" s="783"/>
      <c r="FD147" s="783"/>
      <c r="FE147" s="783"/>
      <c r="FF147" s="783"/>
      <c r="FG147" s="783"/>
      <c r="FH147" s="783"/>
      <c r="FI147" s="783"/>
      <c r="FJ147" s="783"/>
      <c r="FK147" s="783"/>
      <c r="FL147" s="783"/>
      <c r="FM147" s="783"/>
      <c r="FN147" s="783"/>
      <c r="FO147" s="783"/>
      <c r="FP147" s="783"/>
      <c r="FQ147" s="783"/>
      <c r="FR147" s="783"/>
      <c r="FS147" s="783"/>
      <c r="FT147" s="783"/>
      <c r="FU147" s="783"/>
      <c r="FV147" s="783"/>
      <c r="FW147" s="783"/>
      <c r="FX147" s="783"/>
      <c r="FY147" s="783"/>
      <c r="FZ147" s="783"/>
      <c r="GA147" s="783"/>
      <c r="GB147" s="783"/>
      <c r="GC147" s="783"/>
      <c r="GD147" s="783"/>
      <c r="GE147" s="783"/>
      <c r="GF147" s="783"/>
      <c r="GG147" s="783"/>
      <c r="GH147" s="783"/>
      <c r="GI147" s="783"/>
      <c r="GJ147" s="783"/>
      <c r="GK147" s="783"/>
      <c r="GL147" s="783"/>
      <c r="GM147" s="783"/>
      <c r="GN147" s="783"/>
      <c r="GO147" s="783"/>
      <c r="GP147" s="783"/>
      <c r="GQ147" s="783"/>
      <c r="GR147" s="783"/>
      <c r="GS147" s="783"/>
      <c r="GT147" s="783"/>
      <c r="GU147" s="783"/>
      <c r="GV147" s="783"/>
      <c r="GW147" s="783"/>
      <c r="GX147" s="783"/>
      <c r="GY147" s="783"/>
      <c r="GZ147" s="783"/>
      <c r="HA147" s="783"/>
      <c r="HB147" s="783"/>
      <c r="HC147" s="783"/>
      <c r="HD147" s="783"/>
      <c r="HE147" s="783"/>
      <c r="HF147" s="783"/>
      <c r="HG147" s="783"/>
      <c r="HH147" s="783"/>
      <c r="HI147" s="783"/>
      <c r="HJ147" s="783"/>
      <c r="HK147" s="783"/>
      <c r="HL147" s="783"/>
      <c r="HM147" s="783"/>
      <c r="HN147" s="783"/>
      <c r="HO147" s="783"/>
      <c r="HP147" s="783"/>
      <c r="HQ147" s="783"/>
      <c r="HR147" s="783"/>
      <c r="HS147" s="783"/>
      <c r="HT147" s="783"/>
      <c r="HU147" s="783"/>
      <c r="HV147" s="783"/>
      <c r="HW147" s="783"/>
      <c r="HX147" s="783"/>
      <c r="HY147" s="783"/>
      <c r="HZ147" s="783"/>
      <c r="IA147" s="783"/>
      <c r="IB147" s="783"/>
      <c r="IC147" s="783"/>
      <c r="ID147" s="783"/>
      <c r="IE147" s="783"/>
      <c r="IF147" s="783"/>
      <c r="IG147" s="783"/>
      <c r="IH147" s="783"/>
      <c r="II147" s="783"/>
      <c r="IJ147" s="783"/>
      <c r="IK147" s="783"/>
      <c r="IL147" s="783"/>
      <c r="IM147" s="783"/>
      <c r="IN147" s="783"/>
      <c r="IO147" s="783"/>
      <c r="IP147" s="783"/>
      <c r="IQ147" s="783"/>
      <c r="IR147" s="783"/>
      <c r="IS147" s="783"/>
      <c r="IT147" s="783"/>
      <c r="IU147" s="783"/>
      <c r="IV147" s="783"/>
    </row>
    <row r="148" spans="1:256" s="1109" customFormat="1" hidden="1">
      <c r="A148" s="783"/>
      <c r="B148" s="261"/>
      <c r="C148" s="261"/>
      <c r="D148" s="265" t="s">
        <v>447</v>
      </c>
      <c r="E148" s="264">
        <f>SUM(E146:E147)</f>
        <v>3.9824999999999999E-2</v>
      </c>
      <c r="F148" s="261" t="s">
        <v>644</v>
      </c>
      <c r="G148" s="261"/>
      <c r="H148" s="261"/>
      <c r="I148" s="783"/>
      <c r="J148" s="783"/>
      <c r="K148" s="783"/>
      <c r="L148" s="783"/>
      <c r="M148" s="783"/>
      <c r="N148" s="783"/>
      <c r="O148" s="783"/>
      <c r="P148" s="783"/>
      <c r="Q148" s="783"/>
      <c r="R148" s="783"/>
      <c r="S148" s="783"/>
      <c r="T148" s="783"/>
      <c r="U148" s="783"/>
      <c r="V148" s="783"/>
      <c r="W148" s="783"/>
      <c r="X148" s="783"/>
      <c r="Y148" s="783"/>
      <c r="Z148" s="783"/>
      <c r="AA148" s="783"/>
      <c r="AB148" s="783"/>
      <c r="AC148" s="783"/>
      <c r="AD148" s="783"/>
      <c r="AE148" s="783"/>
      <c r="AF148" s="783"/>
      <c r="AG148" s="783"/>
      <c r="AH148" s="783"/>
      <c r="AI148" s="783"/>
      <c r="AJ148" s="783"/>
      <c r="AK148" s="783"/>
      <c r="AL148" s="783"/>
      <c r="AM148" s="783"/>
      <c r="AN148" s="783"/>
      <c r="AO148" s="783"/>
      <c r="AP148" s="783"/>
      <c r="AQ148" s="783"/>
      <c r="AR148" s="783"/>
      <c r="AS148" s="783"/>
      <c r="AT148" s="783"/>
      <c r="AU148" s="783"/>
      <c r="AV148" s="783"/>
      <c r="AW148" s="783"/>
      <c r="AX148" s="783"/>
      <c r="AY148" s="783"/>
      <c r="AZ148" s="783"/>
      <c r="BA148" s="783"/>
      <c r="BB148" s="783"/>
      <c r="BC148" s="783"/>
      <c r="BD148" s="783"/>
      <c r="BE148" s="783"/>
      <c r="BF148" s="783"/>
      <c r="BG148" s="783"/>
      <c r="BH148" s="783"/>
      <c r="BI148" s="783"/>
      <c r="BJ148" s="783"/>
      <c r="BK148" s="783"/>
      <c r="BL148" s="783"/>
      <c r="BM148" s="783"/>
      <c r="BN148" s="783"/>
      <c r="BO148" s="783"/>
      <c r="BP148" s="783"/>
      <c r="BQ148" s="783"/>
      <c r="BR148" s="783"/>
      <c r="BS148" s="783"/>
      <c r="BT148" s="783"/>
      <c r="BU148" s="783"/>
      <c r="BV148" s="783"/>
      <c r="BW148" s="783"/>
      <c r="BX148" s="783"/>
      <c r="BY148" s="783"/>
      <c r="BZ148" s="783"/>
      <c r="CA148" s="783"/>
      <c r="CB148" s="783"/>
      <c r="CC148" s="783"/>
      <c r="CD148" s="783"/>
      <c r="CE148" s="783"/>
      <c r="CF148" s="783"/>
      <c r="CG148" s="783"/>
      <c r="CH148" s="783"/>
      <c r="CI148" s="783"/>
      <c r="CJ148" s="783"/>
      <c r="CK148" s="783"/>
      <c r="CL148" s="783"/>
      <c r="CM148" s="783"/>
      <c r="CN148" s="783"/>
      <c r="CO148" s="783"/>
      <c r="CP148" s="783"/>
      <c r="CQ148" s="783"/>
      <c r="CR148" s="783"/>
      <c r="CS148" s="783"/>
      <c r="CT148" s="783"/>
      <c r="CU148" s="783"/>
      <c r="CV148" s="783"/>
      <c r="CW148" s="783"/>
      <c r="CX148" s="783"/>
      <c r="CY148" s="783"/>
      <c r="CZ148" s="783"/>
      <c r="DA148" s="783"/>
      <c r="DB148" s="783"/>
      <c r="DC148" s="783"/>
      <c r="DD148" s="783"/>
      <c r="DE148" s="783"/>
      <c r="DF148" s="783"/>
      <c r="DG148" s="783"/>
      <c r="DH148" s="783"/>
      <c r="DI148" s="783"/>
      <c r="DJ148" s="783"/>
      <c r="DK148" s="783"/>
      <c r="DL148" s="783"/>
      <c r="DM148" s="783"/>
      <c r="DN148" s="783"/>
      <c r="DO148" s="783"/>
      <c r="DP148" s="783"/>
      <c r="DQ148" s="783"/>
      <c r="DR148" s="783"/>
      <c r="DS148" s="783"/>
      <c r="DT148" s="783"/>
      <c r="DU148" s="783"/>
      <c r="DV148" s="783"/>
      <c r="DW148" s="783"/>
      <c r="DX148" s="783"/>
      <c r="DY148" s="783"/>
      <c r="DZ148" s="783"/>
      <c r="EA148" s="783"/>
      <c r="EB148" s="783"/>
      <c r="EC148" s="783"/>
      <c r="ED148" s="783"/>
      <c r="EE148" s="783"/>
      <c r="EF148" s="783"/>
      <c r="EG148" s="783"/>
      <c r="EH148" s="783"/>
      <c r="EI148" s="783"/>
      <c r="EJ148" s="783"/>
      <c r="EK148" s="783"/>
      <c r="EL148" s="783"/>
      <c r="EM148" s="783"/>
      <c r="EN148" s="783"/>
      <c r="EO148" s="783"/>
      <c r="EP148" s="783"/>
      <c r="EQ148" s="783"/>
      <c r="ER148" s="783"/>
      <c r="ES148" s="783"/>
      <c r="ET148" s="783"/>
      <c r="EU148" s="783"/>
      <c r="EV148" s="783"/>
      <c r="EW148" s="783"/>
      <c r="EX148" s="783"/>
      <c r="EY148" s="783"/>
      <c r="EZ148" s="783"/>
      <c r="FA148" s="783"/>
      <c r="FB148" s="783"/>
      <c r="FC148" s="783"/>
      <c r="FD148" s="783"/>
      <c r="FE148" s="783"/>
      <c r="FF148" s="783"/>
      <c r="FG148" s="783"/>
      <c r="FH148" s="783"/>
      <c r="FI148" s="783"/>
      <c r="FJ148" s="783"/>
      <c r="FK148" s="783"/>
      <c r="FL148" s="783"/>
      <c r="FM148" s="783"/>
      <c r="FN148" s="783"/>
      <c r="FO148" s="783"/>
      <c r="FP148" s="783"/>
      <c r="FQ148" s="783"/>
      <c r="FR148" s="783"/>
      <c r="FS148" s="783"/>
      <c r="FT148" s="783"/>
      <c r="FU148" s="783"/>
      <c r="FV148" s="783"/>
      <c r="FW148" s="783"/>
      <c r="FX148" s="783"/>
      <c r="FY148" s="783"/>
      <c r="FZ148" s="783"/>
      <c r="GA148" s="783"/>
      <c r="GB148" s="783"/>
      <c r="GC148" s="783"/>
      <c r="GD148" s="783"/>
      <c r="GE148" s="783"/>
      <c r="GF148" s="783"/>
      <c r="GG148" s="783"/>
      <c r="GH148" s="783"/>
      <c r="GI148" s="783"/>
      <c r="GJ148" s="783"/>
      <c r="GK148" s="783"/>
      <c r="GL148" s="783"/>
      <c r="GM148" s="783"/>
      <c r="GN148" s="783"/>
      <c r="GO148" s="783"/>
      <c r="GP148" s="783"/>
      <c r="GQ148" s="783"/>
      <c r="GR148" s="783"/>
      <c r="GS148" s="783"/>
      <c r="GT148" s="783"/>
      <c r="GU148" s="783"/>
      <c r="GV148" s="783"/>
      <c r="GW148" s="783"/>
      <c r="GX148" s="783"/>
      <c r="GY148" s="783"/>
      <c r="GZ148" s="783"/>
      <c r="HA148" s="783"/>
      <c r="HB148" s="783"/>
      <c r="HC148" s="783"/>
      <c r="HD148" s="783"/>
      <c r="HE148" s="783"/>
      <c r="HF148" s="783"/>
      <c r="HG148" s="783"/>
      <c r="HH148" s="783"/>
      <c r="HI148" s="783"/>
      <c r="HJ148" s="783"/>
      <c r="HK148" s="783"/>
      <c r="HL148" s="783"/>
      <c r="HM148" s="783"/>
      <c r="HN148" s="783"/>
      <c r="HO148" s="783"/>
      <c r="HP148" s="783"/>
      <c r="HQ148" s="783"/>
      <c r="HR148" s="783"/>
      <c r="HS148" s="783"/>
      <c r="HT148" s="783"/>
      <c r="HU148" s="783"/>
      <c r="HV148" s="783"/>
      <c r="HW148" s="783"/>
      <c r="HX148" s="783"/>
      <c r="HY148" s="783"/>
      <c r="HZ148" s="783"/>
      <c r="IA148" s="783"/>
      <c r="IB148" s="783"/>
      <c r="IC148" s="783"/>
      <c r="ID148" s="783"/>
      <c r="IE148" s="783"/>
      <c r="IF148" s="783"/>
      <c r="IG148" s="783"/>
      <c r="IH148" s="783"/>
      <c r="II148" s="783"/>
      <c r="IJ148" s="783"/>
      <c r="IK148" s="783"/>
      <c r="IL148" s="783"/>
      <c r="IM148" s="783"/>
      <c r="IN148" s="783"/>
      <c r="IO148" s="783"/>
      <c r="IP148" s="783"/>
      <c r="IQ148" s="783"/>
      <c r="IR148" s="783"/>
      <c r="IS148" s="783"/>
      <c r="IT148" s="783"/>
      <c r="IU148" s="783"/>
      <c r="IV148" s="783"/>
    </row>
    <row r="149" spans="1:256" s="1109" customFormat="1" ht="27.6" hidden="1">
      <c r="A149" s="783"/>
      <c r="B149" s="261"/>
      <c r="C149" s="261"/>
      <c r="D149" s="266" t="s">
        <v>41</v>
      </c>
      <c r="E149" s="261"/>
      <c r="F149" s="261"/>
      <c r="G149" s="261"/>
      <c r="H149" s="261"/>
      <c r="I149" s="783"/>
      <c r="J149" s="783"/>
      <c r="K149" s="783"/>
      <c r="L149" s="783"/>
      <c r="M149" s="783"/>
      <c r="N149" s="783"/>
      <c r="O149" s="783"/>
      <c r="P149" s="783"/>
      <c r="Q149" s="783"/>
      <c r="R149" s="783"/>
      <c r="S149" s="783"/>
      <c r="T149" s="783"/>
      <c r="U149" s="783"/>
      <c r="V149" s="783"/>
      <c r="W149" s="783"/>
      <c r="X149" s="783"/>
      <c r="Y149" s="783"/>
      <c r="Z149" s="783"/>
      <c r="AA149" s="783"/>
      <c r="AB149" s="783"/>
      <c r="AC149" s="783"/>
      <c r="AD149" s="783"/>
      <c r="AE149" s="783"/>
      <c r="AF149" s="783"/>
      <c r="AG149" s="783"/>
      <c r="AH149" s="783"/>
      <c r="AI149" s="783"/>
      <c r="AJ149" s="783"/>
      <c r="AK149" s="783"/>
      <c r="AL149" s="783"/>
      <c r="AM149" s="783"/>
      <c r="AN149" s="783"/>
      <c r="AO149" s="783"/>
      <c r="AP149" s="783"/>
      <c r="AQ149" s="783"/>
      <c r="AR149" s="783"/>
      <c r="AS149" s="783"/>
      <c r="AT149" s="783"/>
      <c r="AU149" s="783"/>
      <c r="AV149" s="783"/>
      <c r="AW149" s="783"/>
      <c r="AX149" s="783"/>
      <c r="AY149" s="783"/>
      <c r="AZ149" s="783"/>
      <c r="BA149" s="783"/>
      <c r="BB149" s="783"/>
      <c r="BC149" s="783"/>
      <c r="BD149" s="783"/>
      <c r="BE149" s="783"/>
      <c r="BF149" s="783"/>
      <c r="BG149" s="783"/>
      <c r="BH149" s="783"/>
      <c r="BI149" s="783"/>
      <c r="BJ149" s="783"/>
      <c r="BK149" s="783"/>
      <c r="BL149" s="783"/>
      <c r="BM149" s="783"/>
      <c r="BN149" s="783"/>
      <c r="BO149" s="783"/>
      <c r="BP149" s="783"/>
      <c r="BQ149" s="783"/>
      <c r="BR149" s="783"/>
      <c r="BS149" s="783"/>
      <c r="BT149" s="783"/>
      <c r="BU149" s="783"/>
      <c r="BV149" s="783"/>
      <c r="BW149" s="783"/>
      <c r="BX149" s="783"/>
      <c r="BY149" s="783"/>
      <c r="BZ149" s="783"/>
      <c r="CA149" s="783"/>
      <c r="CB149" s="783"/>
      <c r="CC149" s="783"/>
      <c r="CD149" s="783"/>
      <c r="CE149" s="783"/>
      <c r="CF149" s="783"/>
      <c r="CG149" s="783"/>
      <c r="CH149" s="783"/>
      <c r="CI149" s="783"/>
      <c r="CJ149" s="783"/>
      <c r="CK149" s="783"/>
      <c r="CL149" s="783"/>
      <c r="CM149" s="783"/>
      <c r="CN149" s="783"/>
      <c r="CO149" s="783"/>
      <c r="CP149" s="783"/>
      <c r="CQ149" s="783"/>
      <c r="CR149" s="783"/>
      <c r="CS149" s="783"/>
      <c r="CT149" s="783"/>
      <c r="CU149" s="783"/>
      <c r="CV149" s="783"/>
      <c r="CW149" s="783"/>
      <c r="CX149" s="783"/>
      <c r="CY149" s="783"/>
      <c r="CZ149" s="783"/>
      <c r="DA149" s="783"/>
      <c r="DB149" s="783"/>
      <c r="DC149" s="783"/>
      <c r="DD149" s="783"/>
      <c r="DE149" s="783"/>
      <c r="DF149" s="783"/>
      <c r="DG149" s="783"/>
      <c r="DH149" s="783"/>
      <c r="DI149" s="783"/>
      <c r="DJ149" s="783"/>
      <c r="DK149" s="783"/>
      <c r="DL149" s="783"/>
      <c r="DM149" s="783"/>
      <c r="DN149" s="783"/>
      <c r="DO149" s="783"/>
      <c r="DP149" s="783"/>
      <c r="DQ149" s="783"/>
      <c r="DR149" s="783"/>
      <c r="DS149" s="783"/>
      <c r="DT149" s="783"/>
      <c r="DU149" s="783"/>
      <c r="DV149" s="783"/>
      <c r="DW149" s="783"/>
      <c r="DX149" s="783"/>
      <c r="DY149" s="783"/>
      <c r="DZ149" s="783"/>
      <c r="EA149" s="783"/>
      <c r="EB149" s="783"/>
      <c r="EC149" s="783"/>
      <c r="ED149" s="783"/>
      <c r="EE149" s="783"/>
      <c r="EF149" s="783"/>
      <c r="EG149" s="783"/>
      <c r="EH149" s="783"/>
      <c r="EI149" s="783"/>
      <c r="EJ149" s="783"/>
      <c r="EK149" s="783"/>
      <c r="EL149" s="783"/>
      <c r="EM149" s="783"/>
      <c r="EN149" s="783"/>
      <c r="EO149" s="783"/>
      <c r="EP149" s="783"/>
      <c r="EQ149" s="783"/>
      <c r="ER149" s="783"/>
      <c r="ES149" s="783"/>
      <c r="ET149" s="783"/>
      <c r="EU149" s="783"/>
      <c r="EV149" s="783"/>
      <c r="EW149" s="783"/>
      <c r="EX149" s="783"/>
      <c r="EY149" s="783"/>
      <c r="EZ149" s="783"/>
      <c r="FA149" s="783"/>
      <c r="FB149" s="783"/>
      <c r="FC149" s="783"/>
      <c r="FD149" s="783"/>
      <c r="FE149" s="783"/>
      <c r="FF149" s="783"/>
      <c r="FG149" s="783"/>
      <c r="FH149" s="783"/>
      <c r="FI149" s="783"/>
      <c r="FJ149" s="783"/>
      <c r="FK149" s="783"/>
      <c r="FL149" s="783"/>
      <c r="FM149" s="783"/>
      <c r="FN149" s="783"/>
      <c r="FO149" s="783"/>
      <c r="FP149" s="783"/>
      <c r="FQ149" s="783"/>
      <c r="FR149" s="783"/>
      <c r="FS149" s="783"/>
      <c r="FT149" s="783"/>
      <c r="FU149" s="783"/>
      <c r="FV149" s="783"/>
      <c r="FW149" s="783"/>
      <c r="FX149" s="783"/>
      <c r="FY149" s="783"/>
      <c r="FZ149" s="783"/>
      <c r="GA149" s="783"/>
      <c r="GB149" s="783"/>
      <c r="GC149" s="783"/>
      <c r="GD149" s="783"/>
      <c r="GE149" s="783"/>
      <c r="GF149" s="783"/>
      <c r="GG149" s="783"/>
      <c r="GH149" s="783"/>
      <c r="GI149" s="783"/>
      <c r="GJ149" s="783"/>
      <c r="GK149" s="783"/>
      <c r="GL149" s="783"/>
      <c r="GM149" s="783"/>
      <c r="GN149" s="783"/>
      <c r="GO149" s="783"/>
      <c r="GP149" s="783"/>
      <c r="GQ149" s="783"/>
      <c r="GR149" s="783"/>
      <c r="GS149" s="783"/>
      <c r="GT149" s="783"/>
      <c r="GU149" s="783"/>
      <c r="GV149" s="783"/>
      <c r="GW149" s="783"/>
      <c r="GX149" s="783"/>
      <c r="GY149" s="783"/>
      <c r="GZ149" s="783"/>
      <c r="HA149" s="783"/>
      <c r="HB149" s="783"/>
      <c r="HC149" s="783"/>
      <c r="HD149" s="783"/>
      <c r="HE149" s="783"/>
      <c r="HF149" s="783"/>
      <c r="HG149" s="783"/>
      <c r="HH149" s="783"/>
      <c r="HI149" s="783"/>
      <c r="HJ149" s="783"/>
      <c r="HK149" s="783"/>
      <c r="HL149" s="783"/>
      <c r="HM149" s="783"/>
      <c r="HN149" s="783"/>
      <c r="HO149" s="783"/>
      <c r="HP149" s="783"/>
      <c r="HQ149" s="783"/>
      <c r="HR149" s="783"/>
      <c r="HS149" s="783"/>
      <c r="HT149" s="783"/>
      <c r="HU149" s="783"/>
      <c r="HV149" s="783"/>
      <c r="HW149" s="783"/>
      <c r="HX149" s="783"/>
      <c r="HY149" s="783"/>
      <c r="HZ149" s="783"/>
      <c r="IA149" s="783"/>
      <c r="IB149" s="783"/>
      <c r="IC149" s="783"/>
      <c r="ID149" s="783"/>
      <c r="IE149" s="783"/>
      <c r="IF149" s="783"/>
      <c r="IG149" s="783"/>
      <c r="IH149" s="783"/>
      <c r="II149" s="783"/>
      <c r="IJ149" s="783"/>
      <c r="IK149" s="783"/>
      <c r="IL149" s="783"/>
      <c r="IM149" s="783"/>
      <c r="IN149" s="783"/>
      <c r="IO149" s="783"/>
      <c r="IP149" s="783"/>
      <c r="IQ149" s="783"/>
      <c r="IR149" s="783"/>
      <c r="IS149" s="783"/>
      <c r="IT149" s="783"/>
      <c r="IU149" s="783"/>
      <c r="IV149" s="783"/>
    </row>
    <row r="150" spans="1:256" s="1109" customFormat="1" hidden="1">
      <c r="A150" s="783"/>
      <c r="B150" s="261"/>
      <c r="C150" s="261"/>
      <c r="D150" s="263" t="s">
        <v>1658</v>
      </c>
      <c r="E150" s="267">
        <f>ROUND(0.93*2.05,2)</f>
        <v>1.91</v>
      </c>
      <c r="F150" s="267" t="s">
        <v>547</v>
      </c>
      <c r="G150" s="261"/>
      <c r="H150" s="261"/>
      <c r="I150" s="770">
        <f>1.05-0.075*2+0.015*2</f>
        <v>0.93</v>
      </c>
      <c r="J150" s="783"/>
      <c r="K150" s="783"/>
      <c r="L150" s="783"/>
      <c r="M150" s="783"/>
      <c r="N150" s="783"/>
      <c r="O150" s="783"/>
      <c r="P150" s="783"/>
      <c r="Q150" s="783"/>
      <c r="R150" s="783"/>
      <c r="S150" s="783"/>
      <c r="T150" s="783"/>
      <c r="U150" s="783"/>
      <c r="V150" s="783"/>
      <c r="W150" s="783"/>
      <c r="X150" s="783"/>
      <c r="Y150" s="783"/>
      <c r="Z150" s="783"/>
      <c r="AA150" s="783"/>
      <c r="AB150" s="783"/>
      <c r="AC150" s="783"/>
      <c r="AD150" s="783"/>
      <c r="AE150" s="783"/>
      <c r="AF150" s="783"/>
      <c r="AG150" s="783"/>
      <c r="AH150" s="783"/>
      <c r="AI150" s="783"/>
      <c r="AJ150" s="783"/>
      <c r="AK150" s="783"/>
      <c r="AL150" s="783"/>
      <c r="AM150" s="783"/>
      <c r="AN150" s="783"/>
      <c r="AO150" s="783"/>
      <c r="AP150" s="783"/>
      <c r="AQ150" s="783"/>
      <c r="AR150" s="783"/>
      <c r="AS150" s="783"/>
      <c r="AT150" s="783"/>
      <c r="AU150" s="783"/>
      <c r="AV150" s="783"/>
      <c r="AW150" s="783"/>
      <c r="AX150" s="783"/>
      <c r="AY150" s="783"/>
      <c r="AZ150" s="783"/>
      <c r="BA150" s="783"/>
      <c r="BB150" s="783"/>
      <c r="BC150" s="783"/>
      <c r="BD150" s="783"/>
      <c r="BE150" s="783"/>
      <c r="BF150" s="783"/>
      <c r="BG150" s="783"/>
      <c r="BH150" s="783"/>
      <c r="BI150" s="783"/>
      <c r="BJ150" s="783"/>
      <c r="BK150" s="783"/>
      <c r="BL150" s="783"/>
      <c r="BM150" s="783"/>
      <c r="BN150" s="783"/>
      <c r="BO150" s="783"/>
      <c r="BP150" s="783"/>
      <c r="BQ150" s="783"/>
      <c r="BR150" s="783"/>
      <c r="BS150" s="783"/>
      <c r="BT150" s="783"/>
      <c r="BU150" s="783"/>
      <c r="BV150" s="783"/>
      <c r="BW150" s="783"/>
      <c r="BX150" s="783"/>
      <c r="BY150" s="783"/>
      <c r="BZ150" s="783"/>
      <c r="CA150" s="783"/>
      <c r="CB150" s="783"/>
      <c r="CC150" s="783"/>
      <c r="CD150" s="783"/>
      <c r="CE150" s="783"/>
      <c r="CF150" s="783"/>
      <c r="CG150" s="783"/>
      <c r="CH150" s="783"/>
      <c r="CI150" s="783"/>
      <c r="CJ150" s="783"/>
      <c r="CK150" s="783"/>
      <c r="CL150" s="783"/>
      <c r="CM150" s="783"/>
      <c r="CN150" s="783"/>
      <c r="CO150" s="783"/>
      <c r="CP150" s="783"/>
      <c r="CQ150" s="783"/>
      <c r="CR150" s="783"/>
      <c r="CS150" s="783"/>
      <c r="CT150" s="783"/>
      <c r="CU150" s="783"/>
      <c r="CV150" s="783"/>
      <c r="CW150" s="783"/>
      <c r="CX150" s="783"/>
      <c r="CY150" s="783"/>
      <c r="CZ150" s="783"/>
      <c r="DA150" s="783"/>
      <c r="DB150" s="783"/>
      <c r="DC150" s="783"/>
      <c r="DD150" s="783"/>
      <c r="DE150" s="783"/>
      <c r="DF150" s="783"/>
      <c r="DG150" s="783"/>
      <c r="DH150" s="783"/>
      <c r="DI150" s="783"/>
      <c r="DJ150" s="783"/>
      <c r="DK150" s="783"/>
      <c r="DL150" s="783"/>
      <c r="DM150" s="783"/>
      <c r="DN150" s="783"/>
      <c r="DO150" s="783"/>
      <c r="DP150" s="783"/>
      <c r="DQ150" s="783"/>
      <c r="DR150" s="783"/>
      <c r="DS150" s="783"/>
      <c r="DT150" s="783"/>
      <c r="DU150" s="783"/>
      <c r="DV150" s="783"/>
      <c r="DW150" s="783"/>
      <c r="DX150" s="783"/>
      <c r="DY150" s="783"/>
      <c r="DZ150" s="783"/>
      <c r="EA150" s="783"/>
      <c r="EB150" s="783"/>
      <c r="EC150" s="783"/>
      <c r="ED150" s="783"/>
      <c r="EE150" s="783"/>
      <c r="EF150" s="783"/>
      <c r="EG150" s="783"/>
      <c r="EH150" s="783"/>
      <c r="EI150" s="783"/>
      <c r="EJ150" s="783"/>
      <c r="EK150" s="783"/>
      <c r="EL150" s="783"/>
      <c r="EM150" s="783"/>
      <c r="EN150" s="783"/>
      <c r="EO150" s="783"/>
      <c r="EP150" s="783"/>
      <c r="EQ150" s="783"/>
      <c r="ER150" s="783"/>
      <c r="ES150" s="783"/>
      <c r="ET150" s="783"/>
      <c r="EU150" s="783"/>
      <c r="EV150" s="783"/>
      <c r="EW150" s="783"/>
      <c r="EX150" s="783"/>
      <c r="EY150" s="783"/>
      <c r="EZ150" s="783"/>
      <c r="FA150" s="783"/>
      <c r="FB150" s="783"/>
      <c r="FC150" s="783"/>
      <c r="FD150" s="783"/>
      <c r="FE150" s="783"/>
      <c r="FF150" s="783"/>
      <c r="FG150" s="783"/>
      <c r="FH150" s="783"/>
      <c r="FI150" s="783"/>
      <c r="FJ150" s="783"/>
      <c r="FK150" s="783"/>
      <c r="FL150" s="783"/>
      <c r="FM150" s="783"/>
      <c r="FN150" s="783"/>
      <c r="FO150" s="783"/>
      <c r="FP150" s="783"/>
      <c r="FQ150" s="783"/>
      <c r="FR150" s="783"/>
      <c r="FS150" s="783"/>
      <c r="FT150" s="783"/>
      <c r="FU150" s="783"/>
      <c r="FV150" s="783"/>
      <c r="FW150" s="783"/>
      <c r="FX150" s="783"/>
      <c r="FY150" s="783"/>
      <c r="FZ150" s="783"/>
      <c r="GA150" s="783"/>
      <c r="GB150" s="783"/>
      <c r="GC150" s="783"/>
      <c r="GD150" s="783"/>
      <c r="GE150" s="783"/>
      <c r="GF150" s="783"/>
      <c r="GG150" s="783"/>
      <c r="GH150" s="783"/>
      <c r="GI150" s="783"/>
      <c r="GJ150" s="783"/>
      <c r="GK150" s="783"/>
      <c r="GL150" s="783"/>
      <c r="GM150" s="783"/>
      <c r="GN150" s="783"/>
      <c r="GO150" s="783"/>
      <c r="GP150" s="783"/>
      <c r="GQ150" s="783"/>
      <c r="GR150" s="783"/>
      <c r="GS150" s="783"/>
      <c r="GT150" s="783"/>
      <c r="GU150" s="783"/>
      <c r="GV150" s="783"/>
      <c r="GW150" s="783"/>
      <c r="GX150" s="783"/>
      <c r="GY150" s="783"/>
      <c r="GZ150" s="783"/>
      <c r="HA150" s="783"/>
      <c r="HB150" s="783"/>
      <c r="HC150" s="783"/>
      <c r="HD150" s="783"/>
      <c r="HE150" s="783"/>
      <c r="HF150" s="783"/>
      <c r="HG150" s="783"/>
      <c r="HH150" s="783"/>
      <c r="HI150" s="783"/>
      <c r="HJ150" s="783"/>
      <c r="HK150" s="783"/>
      <c r="HL150" s="783"/>
      <c r="HM150" s="783"/>
      <c r="HN150" s="783"/>
      <c r="HO150" s="783"/>
      <c r="HP150" s="783"/>
      <c r="HQ150" s="783"/>
      <c r="HR150" s="783"/>
      <c r="HS150" s="783"/>
      <c r="HT150" s="783"/>
      <c r="HU150" s="783"/>
      <c r="HV150" s="783"/>
      <c r="HW150" s="783"/>
      <c r="HX150" s="783"/>
      <c r="HY150" s="783"/>
      <c r="HZ150" s="783"/>
      <c r="IA150" s="783"/>
      <c r="IB150" s="783"/>
      <c r="IC150" s="783"/>
      <c r="ID150" s="783"/>
      <c r="IE150" s="783"/>
      <c r="IF150" s="783"/>
      <c r="IG150" s="783"/>
      <c r="IH150" s="783"/>
      <c r="II150" s="783"/>
      <c r="IJ150" s="783"/>
      <c r="IK150" s="783"/>
      <c r="IL150" s="783"/>
      <c r="IM150" s="783"/>
      <c r="IN150" s="783"/>
      <c r="IO150" s="783"/>
      <c r="IP150" s="783"/>
      <c r="IQ150" s="783"/>
      <c r="IR150" s="783"/>
      <c r="IS150" s="783"/>
      <c r="IT150" s="783"/>
      <c r="IU150" s="783"/>
      <c r="IV150" s="783"/>
    </row>
    <row r="151" spans="1:256" s="1109" customFormat="1" hidden="1">
      <c r="A151" s="783"/>
      <c r="B151" s="261"/>
      <c r="C151" s="261"/>
      <c r="D151" s="268" t="s">
        <v>489</v>
      </c>
      <c r="E151" s="261"/>
      <c r="F151" s="261"/>
      <c r="G151" s="261"/>
      <c r="H151" s="261"/>
      <c r="I151" s="783"/>
      <c r="J151" s="783"/>
      <c r="K151" s="783"/>
      <c r="L151" s="783"/>
      <c r="M151" s="783"/>
      <c r="N151" s="783"/>
      <c r="O151" s="783"/>
      <c r="P151" s="783"/>
      <c r="Q151" s="783"/>
      <c r="R151" s="783"/>
      <c r="S151" s="783"/>
      <c r="T151" s="783"/>
      <c r="U151" s="783"/>
      <c r="V151" s="783"/>
      <c r="W151" s="783"/>
      <c r="X151" s="783"/>
      <c r="Y151" s="783"/>
      <c r="Z151" s="783"/>
      <c r="AA151" s="783"/>
      <c r="AB151" s="783"/>
      <c r="AC151" s="783"/>
      <c r="AD151" s="783"/>
      <c r="AE151" s="783"/>
      <c r="AF151" s="783"/>
      <c r="AG151" s="783"/>
      <c r="AH151" s="783"/>
      <c r="AI151" s="783"/>
      <c r="AJ151" s="783"/>
      <c r="AK151" s="783"/>
      <c r="AL151" s="783"/>
      <c r="AM151" s="783"/>
      <c r="AN151" s="783"/>
      <c r="AO151" s="783"/>
      <c r="AP151" s="783"/>
      <c r="AQ151" s="783"/>
      <c r="AR151" s="783"/>
      <c r="AS151" s="783"/>
      <c r="AT151" s="783"/>
      <c r="AU151" s="783"/>
      <c r="AV151" s="783"/>
      <c r="AW151" s="783"/>
      <c r="AX151" s="783"/>
      <c r="AY151" s="783"/>
      <c r="AZ151" s="783"/>
      <c r="BA151" s="783"/>
      <c r="BB151" s="783"/>
      <c r="BC151" s="783"/>
      <c r="BD151" s="783"/>
      <c r="BE151" s="783"/>
      <c r="BF151" s="783"/>
      <c r="BG151" s="783"/>
      <c r="BH151" s="783"/>
      <c r="BI151" s="783"/>
      <c r="BJ151" s="783"/>
      <c r="BK151" s="783"/>
      <c r="BL151" s="783"/>
      <c r="BM151" s="783"/>
      <c r="BN151" s="783"/>
      <c r="BO151" s="783"/>
      <c r="BP151" s="783"/>
      <c r="BQ151" s="783"/>
      <c r="BR151" s="783"/>
      <c r="BS151" s="783"/>
      <c r="BT151" s="783"/>
      <c r="BU151" s="783"/>
      <c r="BV151" s="783"/>
      <c r="BW151" s="783"/>
      <c r="BX151" s="783"/>
      <c r="BY151" s="783"/>
      <c r="BZ151" s="783"/>
      <c r="CA151" s="783"/>
      <c r="CB151" s="783"/>
      <c r="CC151" s="783"/>
      <c r="CD151" s="783"/>
      <c r="CE151" s="783"/>
      <c r="CF151" s="783"/>
      <c r="CG151" s="783"/>
      <c r="CH151" s="783"/>
      <c r="CI151" s="783"/>
      <c r="CJ151" s="783"/>
      <c r="CK151" s="783"/>
      <c r="CL151" s="783"/>
      <c r="CM151" s="783"/>
      <c r="CN151" s="783"/>
      <c r="CO151" s="783"/>
      <c r="CP151" s="783"/>
      <c r="CQ151" s="783"/>
      <c r="CR151" s="783"/>
      <c r="CS151" s="783"/>
      <c r="CT151" s="783"/>
      <c r="CU151" s="783"/>
      <c r="CV151" s="783"/>
      <c r="CW151" s="783"/>
      <c r="CX151" s="783"/>
      <c r="CY151" s="783"/>
      <c r="CZ151" s="783"/>
      <c r="DA151" s="783"/>
      <c r="DB151" s="783"/>
      <c r="DC151" s="783"/>
      <c r="DD151" s="783"/>
      <c r="DE151" s="783"/>
      <c r="DF151" s="783"/>
      <c r="DG151" s="783"/>
      <c r="DH151" s="783"/>
      <c r="DI151" s="783"/>
      <c r="DJ151" s="783"/>
      <c r="DK151" s="783"/>
      <c r="DL151" s="783"/>
      <c r="DM151" s="783"/>
      <c r="DN151" s="783"/>
      <c r="DO151" s="783"/>
      <c r="DP151" s="783"/>
      <c r="DQ151" s="783"/>
      <c r="DR151" s="783"/>
      <c r="DS151" s="783"/>
      <c r="DT151" s="783"/>
      <c r="DU151" s="783"/>
      <c r="DV151" s="783"/>
      <c r="DW151" s="783"/>
      <c r="DX151" s="783"/>
      <c r="DY151" s="783"/>
      <c r="DZ151" s="783"/>
      <c r="EA151" s="783"/>
      <c r="EB151" s="783"/>
      <c r="EC151" s="783"/>
      <c r="ED151" s="783"/>
      <c r="EE151" s="783"/>
      <c r="EF151" s="783"/>
      <c r="EG151" s="783"/>
      <c r="EH151" s="783"/>
      <c r="EI151" s="783"/>
      <c r="EJ151" s="783"/>
      <c r="EK151" s="783"/>
      <c r="EL151" s="783"/>
      <c r="EM151" s="783"/>
      <c r="EN151" s="783"/>
      <c r="EO151" s="783"/>
      <c r="EP151" s="783"/>
      <c r="EQ151" s="783"/>
      <c r="ER151" s="783"/>
      <c r="ES151" s="783"/>
      <c r="ET151" s="783"/>
      <c r="EU151" s="783"/>
      <c r="EV151" s="783"/>
      <c r="EW151" s="783"/>
      <c r="EX151" s="783"/>
      <c r="EY151" s="783"/>
      <c r="EZ151" s="783"/>
      <c r="FA151" s="783"/>
      <c r="FB151" s="783"/>
      <c r="FC151" s="783"/>
      <c r="FD151" s="783"/>
      <c r="FE151" s="783"/>
      <c r="FF151" s="783"/>
      <c r="FG151" s="783"/>
      <c r="FH151" s="783"/>
      <c r="FI151" s="783"/>
      <c r="FJ151" s="783"/>
      <c r="FK151" s="783"/>
      <c r="FL151" s="783"/>
      <c r="FM151" s="783"/>
      <c r="FN151" s="783"/>
      <c r="FO151" s="783"/>
      <c r="FP151" s="783"/>
      <c r="FQ151" s="783"/>
      <c r="FR151" s="783"/>
      <c r="FS151" s="783"/>
      <c r="FT151" s="783"/>
      <c r="FU151" s="783"/>
      <c r="FV151" s="783"/>
      <c r="FW151" s="783"/>
      <c r="FX151" s="783"/>
      <c r="FY151" s="783"/>
      <c r="FZ151" s="783"/>
      <c r="GA151" s="783"/>
      <c r="GB151" s="783"/>
      <c r="GC151" s="783"/>
      <c r="GD151" s="783"/>
      <c r="GE151" s="783"/>
      <c r="GF151" s="783"/>
      <c r="GG151" s="783"/>
      <c r="GH151" s="783"/>
      <c r="GI151" s="783"/>
      <c r="GJ151" s="783"/>
      <c r="GK151" s="783"/>
      <c r="GL151" s="783"/>
      <c r="GM151" s="783"/>
      <c r="GN151" s="783"/>
      <c r="GO151" s="783"/>
      <c r="GP151" s="783"/>
      <c r="GQ151" s="783"/>
      <c r="GR151" s="783"/>
      <c r="GS151" s="783"/>
      <c r="GT151" s="783"/>
      <c r="GU151" s="783"/>
      <c r="GV151" s="783"/>
      <c r="GW151" s="783"/>
      <c r="GX151" s="783"/>
      <c r="GY151" s="783"/>
      <c r="GZ151" s="783"/>
      <c r="HA151" s="783"/>
      <c r="HB151" s="783"/>
      <c r="HC151" s="783"/>
      <c r="HD151" s="783"/>
      <c r="HE151" s="783"/>
      <c r="HF151" s="783"/>
      <c r="HG151" s="783"/>
      <c r="HH151" s="783"/>
      <c r="HI151" s="783"/>
      <c r="HJ151" s="783"/>
      <c r="HK151" s="783"/>
      <c r="HL151" s="783"/>
      <c r="HM151" s="783"/>
      <c r="HN151" s="783"/>
      <c r="HO151" s="783"/>
      <c r="HP151" s="783"/>
      <c r="HQ151" s="783"/>
      <c r="HR151" s="783"/>
      <c r="HS151" s="783"/>
      <c r="HT151" s="783"/>
      <c r="HU151" s="783"/>
      <c r="HV151" s="783"/>
      <c r="HW151" s="783"/>
      <c r="HX151" s="783"/>
      <c r="HY151" s="783"/>
      <c r="HZ151" s="783"/>
      <c r="IA151" s="783"/>
      <c r="IB151" s="783"/>
      <c r="IC151" s="783"/>
      <c r="ID151" s="783"/>
      <c r="IE151" s="783"/>
      <c r="IF151" s="783"/>
      <c r="IG151" s="783"/>
      <c r="IH151" s="783"/>
      <c r="II151" s="783"/>
      <c r="IJ151" s="783"/>
      <c r="IK151" s="783"/>
      <c r="IL151" s="783"/>
      <c r="IM151" s="783"/>
      <c r="IN151" s="783"/>
      <c r="IO151" s="783"/>
      <c r="IP151" s="783"/>
      <c r="IQ151" s="783"/>
      <c r="IR151" s="783"/>
      <c r="IS151" s="783"/>
      <c r="IT151" s="783"/>
      <c r="IU151" s="783"/>
      <c r="IV151" s="783"/>
    </row>
    <row r="152" spans="1:256" s="1109" customFormat="1" hidden="1">
      <c r="A152" s="783"/>
      <c r="B152" s="261"/>
      <c r="C152" s="261"/>
      <c r="D152" s="288" t="s">
        <v>509</v>
      </c>
      <c r="E152" s="261"/>
      <c r="F152" s="261"/>
      <c r="G152" s="261"/>
      <c r="H152" s="261"/>
      <c r="I152" s="783"/>
      <c r="J152" s="783"/>
      <c r="K152" s="783"/>
      <c r="L152" s="783"/>
      <c r="M152" s="783"/>
      <c r="N152" s="783"/>
      <c r="O152" s="783"/>
      <c r="P152" s="783"/>
      <c r="Q152" s="783"/>
      <c r="R152" s="783"/>
      <c r="S152" s="783"/>
      <c r="T152" s="783"/>
      <c r="U152" s="783"/>
      <c r="V152" s="783"/>
      <c r="W152" s="783"/>
      <c r="X152" s="783"/>
      <c r="Y152" s="783"/>
      <c r="Z152" s="783"/>
      <c r="AA152" s="783"/>
      <c r="AB152" s="783"/>
      <c r="AC152" s="783"/>
      <c r="AD152" s="783"/>
      <c r="AE152" s="783"/>
      <c r="AF152" s="783"/>
      <c r="AG152" s="783"/>
      <c r="AH152" s="783"/>
      <c r="AI152" s="783"/>
      <c r="AJ152" s="783"/>
      <c r="AK152" s="783"/>
      <c r="AL152" s="783"/>
      <c r="AM152" s="783"/>
      <c r="AN152" s="783"/>
      <c r="AO152" s="783"/>
      <c r="AP152" s="783"/>
      <c r="AQ152" s="783"/>
      <c r="AR152" s="783"/>
      <c r="AS152" s="783"/>
      <c r="AT152" s="783"/>
      <c r="AU152" s="783"/>
      <c r="AV152" s="783"/>
      <c r="AW152" s="783"/>
      <c r="AX152" s="783"/>
      <c r="AY152" s="783"/>
      <c r="AZ152" s="783"/>
      <c r="BA152" s="783"/>
      <c r="BB152" s="783"/>
      <c r="BC152" s="783"/>
      <c r="BD152" s="783"/>
      <c r="BE152" s="783"/>
      <c r="BF152" s="783"/>
      <c r="BG152" s="783"/>
      <c r="BH152" s="783"/>
      <c r="BI152" s="783"/>
      <c r="BJ152" s="783"/>
      <c r="BK152" s="783"/>
      <c r="BL152" s="783"/>
      <c r="BM152" s="783"/>
      <c r="BN152" s="783"/>
      <c r="BO152" s="783"/>
      <c r="BP152" s="783"/>
      <c r="BQ152" s="783"/>
      <c r="BR152" s="783"/>
      <c r="BS152" s="783"/>
      <c r="BT152" s="783"/>
      <c r="BU152" s="783"/>
      <c r="BV152" s="783"/>
      <c r="BW152" s="783"/>
      <c r="BX152" s="783"/>
      <c r="BY152" s="783"/>
      <c r="BZ152" s="783"/>
      <c r="CA152" s="783"/>
      <c r="CB152" s="783"/>
      <c r="CC152" s="783"/>
      <c r="CD152" s="783"/>
      <c r="CE152" s="783"/>
      <c r="CF152" s="783"/>
      <c r="CG152" s="783"/>
      <c r="CH152" s="783"/>
      <c r="CI152" s="783"/>
      <c r="CJ152" s="783"/>
      <c r="CK152" s="783"/>
      <c r="CL152" s="783"/>
      <c r="CM152" s="783"/>
      <c r="CN152" s="783"/>
      <c r="CO152" s="783"/>
      <c r="CP152" s="783"/>
      <c r="CQ152" s="783"/>
      <c r="CR152" s="783"/>
      <c r="CS152" s="783"/>
      <c r="CT152" s="783"/>
      <c r="CU152" s="783"/>
      <c r="CV152" s="783"/>
      <c r="CW152" s="783"/>
      <c r="CX152" s="783"/>
      <c r="CY152" s="783"/>
      <c r="CZ152" s="783"/>
      <c r="DA152" s="783"/>
      <c r="DB152" s="783"/>
      <c r="DC152" s="783"/>
      <c r="DD152" s="783"/>
      <c r="DE152" s="783"/>
      <c r="DF152" s="783"/>
      <c r="DG152" s="783"/>
      <c r="DH152" s="783"/>
      <c r="DI152" s="783"/>
      <c r="DJ152" s="783"/>
      <c r="DK152" s="783"/>
      <c r="DL152" s="783"/>
      <c r="DM152" s="783"/>
      <c r="DN152" s="783"/>
      <c r="DO152" s="783"/>
      <c r="DP152" s="783"/>
      <c r="DQ152" s="783"/>
      <c r="DR152" s="783"/>
      <c r="DS152" s="783"/>
      <c r="DT152" s="783"/>
      <c r="DU152" s="783"/>
      <c r="DV152" s="783"/>
      <c r="DW152" s="783"/>
      <c r="DX152" s="783"/>
      <c r="DY152" s="783"/>
      <c r="DZ152" s="783"/>
      <c r="EA152" s="783"/>
      <c r="EB152" s="783"/>
      <c r="EC152" s="783"/>
      <c r="ED152" s="783"/>
      <c r="EE152" s="783"/>
      <c r="EF152" s="783"/>
      <c r="EG152" s="783"/>
      <c r="EH152" s="783"/>
      <c r="EI152" s="783"/>
      <c r="EJ152" s="783"/>
      <c r="EK152" s="783"/>
      <c r="EL152" s="783"/>
      <c r="EM152" s="783"/>
      <c r="EN152" s="783"/>
      <c r="EO152" s="783"/>
      <c r="EP152" s="783"/>
      <c r="EQ152" s="783"/>
      <c r="ER152" s="783"/>
      <c r="ES152" s="783"/>
      <c r="ET152" s="783"/>
      <c r="EU152" s="783"/>
      <c r="EV152" s="783"/>
      <c r="EW152" s="783"/>
      <c r="EX152" s="783"/>
      <c r="EY152" s="783"/>
      <c r="EZ152" s="783"/>
      <c r="FA152" s="783"/>
      <c r="FB152" s="783"/>
      <c r="FC152" s="783"/>
      <c r="FD152" s="783"/>
      <c r="FE152" s="783"/>
      <c r="FF152" s="783"/>
      <c r="FG152" s="783"/>
      <c r="FH152" s="783"/>
      <c r="FI152" s="783"/>
      <c r="FJ152" s="783"/>
      <c r="FK152" s="783"/>
      <c r="FL152" s="783"/>
      <c r="FM152" s="783"/>
      <c r="FN152" s="783"/>
      <c r="FO152" s="783"/>
      <c r="FP152" s="783"/>
      <c r="FQ152" s="783"/>
      <c r="FR152" s="783"/>
      <c r="FS152" s="783"/>
      <c r="FT152" s="783"/>
      <c r="FU152" s="783"/>
      <c r="FV152" s="783"/>
      <c r="FW152" s="783"/>
      <c r="FX152" s="783"/>
      <c r="FY152" s="783"/>
      <c r="FZ152" s="783"/>
      <c r="GA152" s="783"/>
      <c r="GB152" s="783"/>
      <c r="GC152" s="783"/>
      <c r="GD152" s="783"/>
      <c r="GE152" s="783"/>
      <c r="GF152" s="783"/>
      <c r="GG152" s="783"/>
      <c r="GH152" s="783"/>
      <c r="GI152" s="783"/>
      <c r="GJ152" s="783"/>
      <c r="GK152" s="783"/>
      <c r="GL152" s="783"/>
      <c r="GM152" s="783"/>
      <c r="GN152" s="783"/>
      <c r="GO152" s="783"/>
      <c r="GP152" s="783"/>
      <c r="GQ152" s="783"/>
      <c r="GR152" s="783"/>
      <c r="GS152" s="783"/>
      <c r="GT152" s="783"/>
      <c r="GU152" s="783"/>
      <c r="GV152" s="783"/>
      <c r="GW152" s="783"/>
      <c r="GX152" s="783"/>
      <c r="GY152" s="783"/>
      <c r="GZ152" s="783"/>
      <c r="HA152" s="783"/>
      <c r="HB152" s="783"/>
      <c r="HC152" s="783"/>
      <c r="HD152" s="783"/>
      <c r="HE152" s="783"/>
      <c r="HF152" s="783"/>
      <c r="HG152" s="783"/>
      <c r="HH152" s="783"/>
      <c r="HI152" s="783"/>
      <c r="HJ152" s="783"/>
      <c r="HK152" s="783"/>
      <c r="HL152" s="783"/>
      <c r="HM152" s="783"/>
      <c r="HN152" s="783"/>
      <c r="HO152" s="783"/>
      <c r="HP152" s="783"/>
      <c r="HQ152" s="783"/>
      <c r="HR152" s="783"/>
      <c r="HS152" s="783"/>
      <c r="HT152" s="783"/>
      <c r="HU152" s="783"/>
      <c r="HV152" s="783"/>
      <c r="HW152" s="783"/>
      <c r="HX152" s="783"/>
      <c r="HY152" s="783"/>
      <c r="HZ152" s="783"/>
      <c r="IA152" s="783"/>
      <c r="IB152" s="783"/>
      <c r="IC152" s="783"/>
      <c r="ID152" s="783"/>
      <c r="IE152" s="783"/>
      <c r="IF152" s="783"/>
      <c r="IG152" s="783"/>
      <c r="IH152" s="783"/>
      <c r="II152" s="783"/>
      <c r="IJ152" s="783"/>
      <c r="IK152" s="783"/>
      <c r="IL152" s="783"/>
      <c r="IM152" s="783"/>
      <c r="IN152" s="783"/>
      <c r="IO152" s="783"/>
      <c r="IP152" s="783"/>
      <c r="IQ152" s="783"/>
      <c r="IR152" s="783"/>
      <c r="IS152" s="783"/>
      <c r="IT152" s="783"/>
      <c r="IU152" s="783"/>
      <c r="IV152" s="783"/>
    </row>
    <row r="153" spans="1:256" s="1109" customFormat="1" hidden="1">
      <c r="A153" s="783"/>
      <c r="B153" s="261">
        <v>1</v>
      </c>
      <c r="C153" s="264">
        <f>E146</f>
        <v>3.1949999999999999E-2</v>
      </c>
      <c r="D153" s="270" t="str">
        <f>D126</f>
        <v>Cost of Medium teak wood scantling of  size 2.0 to 3.0 m TBSC-D.I-02</v>
      </c>
      <c r="E153" s="271">
        <f>$E$126</f>
        <v>84724</v>
      </c>
      <c r="F153" s="261">
        <v>1</v>
      </c>
      <c r="G153" s="261" t="s">
        <v>465</v>
      </c>
      <c r="H153" s="274">
        <f>ROUND(C153*E153/F153,2)</f>
        <v>2706.93</v>
      </c>
      <c r="I153" s="783"/>
      <c r="J153" s="783"/>
      <c r="K153" s="783"/>
      <c r="L153" s="783"/>
      <c r="M153" s="783">
        <v>2578.0100000000002</v>
      </c>
      <c r="N153" s="783"/>
      <c r="O153" s="783"/>
      <c r="P153" s="783"/>
      <c r="Q153" s="783"/>
      <c r="R153" s="783"/>
      <c r="S153" s="783"/>
      <c r="T153" s="783"/>
      <c r="U153" s="783"/>
      <c r="V153" s="783"/>
      <c r="W153" s="783"/>
      <c r="X153" s="783"/>
      <c r="Y153" s="783"/>
      <c r="Z153" s="783"/>
      <c r="AA153" s="783"/>
      <c r="AB153" s="783"/>
      <c r="AC153" s="783"/>
      <c r="AD153" s="783"/>
      <c r="AE153" s="783"/>
      <c r="AF153" s="783"/>
      <c r="AG153" s="783"/>
      <c r="AH153" s="783"/>
      <c r="AI153" s="783"/>
      <c r="AJ153" s="783"/>
      <c r="AK153" s="783"/>
      <c r="AL153" s="783"/>
      <c r="AM153" s="783"/>
      <c r="AN153" s="783"/>
      <c r="AO153" s="783"/>
      <c r="AP153" s="783"/>
      <c r="AQ153" s="783"/>
      <c r="AR153" s="783"/>
      <c r="AS153" s="783"/>
      <c r="AT153" s="783"/>
      <c r="AU153" s="783"/>
      <c r="AV153" s="783"/>
      <c r="AW153" s="783"/>
      <c r="AX153" s="783"/>
      <c r="AY153" s="783"/>
      <c r="AZ153" s="783"/>
      <c r="BA153" s="783"/>
      <c r="BB153" s="783"/>
      <c r="BC153" s="783"/>
      <c r="BD153" s="783"/>
      <c r="BE153" s="783"/>
      <c r="BF153" s="783"/>
      <c r="BG153" s="783"/>
      <c r="BH153" s="783"/>
      <c r="BI153" s="783"/>
      <c r="BJ153" s="783"/>
      <c r="BK153" s="783"/>
      <c r="BL153" s="783"/>
      <c r="BM153" s="783"/>
      <c r="BN153" s="783"/>
      <c r="BO153" s="783"/>
      <c r="BP153" s="783"/>
      <c r="BQ153" s="783"/>
      <c r="BR153" s="783"/>
      <c r="BS153" s="783"/>
      <c r="BT153" s="783"/>
      <c r="BU153" s="783"/>
      <c r="BV153" s="783"/>
      <c r="BW153" s="783"/>
      <c r="BX153" s="783"/>
      <c r="BY153" s="783"/>
      <c r="BZ153" s="783"/>
      <c r="CA153" s="783"/>
      <c r="CB153" s="783"/>
      <c r="CC153" s="783"/>
      <c r="CD153" s="783"/>
      <c r="CE153" s="783"/>
      <c r="CF153" s="783"/>
      <c r="CG153" s="783"/>
      <c r="CH153" s="783"/>
      <c r="CI153" s="783"/>
      <c r="CJ153" s="783"/>
      <c r="CK153" s="783"/>
      <c r="CL153" s="783"/>
      <c r="CM153" s="783"/>
      <c r="CN153" s="783"/>
      <c r="CO153" s="783"/>
      <c r="CP153" s="783"/>
      <c r="CQ153" s="783"/>
      <c r="CR153" s="783"/>
      <c r="CS153" s="783"/>
      <c r="CT153" s="783"/>
      <c r="CU153" s="783"/>
      <c r="CV153" s="783"/>
      <c r="CW153" s="783"/>
      <c r="CX153" s="783"/>
      <c r="CY153" s="783"/>
      <c r="CZ153" s="783"/>
      <c r="DA153" s="783"/>
      <c r="DB153" s="783"/>
      <c r="DC153" s="783"/>
      <c r="DD153" s="783"/>
      <c r="DE153" s="783"/>
      <c r="DF153" s="783"/>
      <c r="DG153" s="783"/>
      <c r="DH153" s="783"/>
      <c r="DI153" s="783"/>
      <c r="DJ153" s="783"/>
      <c r="DK153" s="783"/>
      <c r="DL153" s="783"/>
      <c r="DM153" s="783"/>
      <c r="DN153" s="783"/>
      <c r="DO153" s="783"/>
      <c r="DP153" s="783"/>
      <c r="DQ153" s="783"/>
      <c r="DR153" s="783"/>
      <c r="DS153" s="783"/>
      <c r="DT153" s="783"/>
      <c r="DU153" s="783"/>
      <c r="DV153" s="783"/>
      <c r="DW153" s="783"/>
      <c r="DX153" s="783"/>
      <c r="DY153" s="783"/>
      <c r="DZ153" s="783"/>
      <c r="EA153" s="783"/>
      <c r="EB153" s="783"/>
      <c r="EC153" s="783"/>
      <c r="ED153" s="783"/>
      <c r="EE153" s="783"/>
      <c r="EF153" s="783"/>
      <c r="EG153" s="783"/>
      <c r="EH153" s="783"/>
      <c r="EI153" s="783"/>
      <c r="EJ153" s="783"/>
      <c r="EK153" s="783"/>
      <c r="EL153" s="783"/>
      <c r="EM153" s="783"/>
      <c r="EN153" s="783"/>
      <c r="EO153" s="783"/>
      <c r="EP153" s="783"/>
      <c r="EQ153" s="783"/>
      <c r="ER153" s="783"/>
      <c r="ES153" s="783"/>
      <c r="ET153" s="783"/>
      <c r="EU153" s="783"/>
      <c r="EV153" s="783"/>
      <c r="EW153" s="783"/>
      <c r="EX153" s="783"/>
      <c r="EY153" s="783"/>
      <c r="EZ153" s="783"/>
      <c r="FA153" s="783"/>
      <c r="FB153" s="783"/>
      <c r="FC153" s="783"/>
      <c r="FD153" s="783"/>
      <c r="FE153" s="783"/>
      <c r="FF153" s="783"/>
      <c r="FG153" s="783"/>
      <c r="FH153" s="783"/>
      <c r="FI153" s="783"/>
      <c r="FJ153" s="783"/>
      <c r="FK153" s="783"/>
      <c r="FL153" s="783"/>
      <c r="FM153" s="783"/>
      <c r="FN153" s="783"/>
      <c r="FO153" s="783"/>
      <c r="FP153" s="783"/>
      <c r="FQ153" s="783"/>
      <c r="FR153" s="783"/>
      <c r="FS153" s="783"/>
      <c r="FT153" s="783"/>
      <c r="FU153" s="783"/>
      <c r="FV153" s="783"/>
      <c r="FW153" s="783"/>
      <c r="FX153" s="783"/>
      <c r="FY153" s="783"/>
      <c r="FZ153" s="783"/>
      <c r="GA153" s="783"/>
      <c r="GB153" s="783"/>
      <c r="GC153" s="783"/>
      <c r="GD153" s="783"/>
      <c r="GE153" s="783"/>
      <c r="GF153" s="783"/>
      <c r="GG153" s="783"/>
      <c r="GH153" s="783"/>
      <c r="GI153" s="783"/>
      <c r="GJ153" s="783"/>
      <c r="GK153" s="783"/>
      <c r="GL153" s="783"/>
      <c r="GM153" s="783"/>
      <c r="GN153" s="783"/>
      <c r="GO153" s="783"/>
      <c r="GP153" s="783"/>
      <c r="GQ153" s="783"/>
      <c r="GR153" s="783"/>
      <c r="GS153" s="783"/>
      <c r="GT153" s="783"/>
      <c r="GU153" s="783"/>
      <c r="GV153" s="783"/>
      <c r="GW153" s="783"/>
      <c r="GX153" s="783"/>
      <c r="GY153" s="783"/>
      <c r="GZ153" s="783"/>
      <c r="HA153" s="783"/>
      <c r="HB153" s="783"/>
      <c r="HC153" s="783"/>
      <c r="HD153" s="783"/>
      <c r="HE153" s="783"/>
      <c r="HF153" s="783"/>
      <c r="HG153" s="783"/>
      <c r="HH153" s="783"/>
      <c r="HI153" s="783"/>
      <c r="HJ153" s="783"/>
      <c r="HK153" s="783"/>
      <c r="HL153" s="783"/>
      <c r="HM153" s="783"/>
      <c r="HN153" s="783"/>
      <c r="HO153" s="783"/>
      <c r="HP153" s="783"/>
      <c r="HQ153" s="783"/>
      <c r="HR153" s="783"/>
      <c r="HS153" s="783"/>
      <c r="HT153" s="783"/>
      <c r="HU153" s="783"/>
      <c r="HV153" s="783"/>
      <c r="HW153" s="783"/>
      <c r="HX153" s="783"/>
      <c r="HY153" s="783"/>
      <c r="HZ153" s="783"/>
      <c r="IA153" s="783"/>
      <c r="IB153" s="783"/>
      <c r="IC153" s="783"/>
      <c r="ID153" s="783"/>
      <c r="IE153" s="783"/>
      <c r="IF153" s="783"/>
      <c r="IG153" s="783"/>
      <c r="IH153" s="783"/>
      <c r="II153" s="783"/>
      <c r="IJ153" s="783"/>
      <c r="IK153" s="783"/>
      <c r="IL153" s="783"/>
      <c r="IM153" s="783"/>
      <c r="IN153" s="783"/>
      <c r="IO153" s="783"/>
      <c r="IP153" s="783"/>
      <c r="IQ153" s="783"/>
      <c r="IR153" s="783"/>
      <c r="IS153" s="783"/>
      <c r="IT153" s="783"/>
      <c r="IU153" s="783"/>
      <c r="IV153" s="783"/>
    </row>
    <row r="154" spans="1:256" s="1109" customFormat="1" hidden="1">
      <c r="A154" s="783"/>
      <c r="B154" s="261">
        <v>2</v>
      </c>
      <c r="C154" s="264">
        <f>E147</f>
        <v>7.8750000000000001E-3</v>
      </c>
      <c r="D154" s="270" t="str">
        <f>D127</f>
        <v>Cost of Medium teak wood scantling of  size upto 2.0m  TBSC-D.I-01</v>
      </c>
      <c r="E154" s="271">
        <f>$E$127</f>
        <v>76251</v>
      </c>
      <c r="F154" s="261">
        <v>1</v>
      </c>
      <c r="G154" s="261" t="s">
        <v>465</v>
      </c>
      <c r="H154" s="274">
        <f>ROUND(C154*E154/F154,2)</f>
        <v>600.48</v>
      </c>
      <c r="I154" s="783"/>
      <c r="J154" s="783"/>
      <c r="K154" s="783"/>
      <c r="L154" s="783"/>
      <c r="M154" s="783">
        <v>571.88</v>
      </c>
      <c r="N154" s="783"/>
      <c r="O154" s="783"/>
      <c r="P154" s="783"/>
      <c r="Q154" s="783"/>
      <c r="R154" s="783"/>
      <c r="S154" s="783"/>
      <c r="T154" s="783"/>
      <c r="U154" s="783"/>
      <c r="V154" s="783"/>
      <c r="W154" s="783"/>
      <c r="X154" s="783"/>
      <c r="Y154" s="783"/>
      <c r="Z154" s="783"/>
      <c r="AA154" s="783"/>
      <c r="AB154" s="783"/>
      <c r="AC154" s="783"/>
      <c r="AD154" s="783"/>
      <c r="AE154" s="783"/>
      <c r="AF154" s="783"/>
      <c r="AG154" s="783"/>
      <c r="AH154" s="783"/>
      <c r="AI154" s="783"/>
      <c r="AJ154" s="783"/>
      <c r="AK154" s="783"/>
      <c r="AL154" s="783"/>
      <c r="AM154" s="783"/>
      <c r="AN154" s="783"/>
      <c r="AO154" s="783"/>
      <c r="AP154" s="783"/>
      <c r="AQ154" s="783"/>
      <c r="AR154" s="783"/>
      <c r="AS154" s="783"/>
      <c r="AT154" s="783"/>
      <c r="AU154" s="783"/>
      <c r="AV154" s="783"/>
      <c r="AW154" s="783"/>
      <c r="AX154" s="783"/>
      <c r="AY154" s="783"/>
      <c r="AZ154" s="783"/>
      <c r="BA154" s="783"/>
      <c r="BB154" s="783"/>
      <c r="BC154" s="783"/>
      <c r="BD154" s="783"/>
      <c r="BE154" s="783"/>
      <c r="BF154" s="783"/>
      <c r="BG154" s="783"/>
      <c r="BH154" s="783"/>
      <c r="BI154" s="783"/>
      <c r="BJ154" s="783"/>
      <c r="BK154" s="783"/>
      <c r="BL154" s="783"/>
      <c r="BM154" s="783"/>
      <c r="BN154" s="783"/>
      <c r="BO154" s="783"/>
      <c r="BP154" s="783"/>
      <c r="BQ154" s="783"/>
      <c r="BR154" s="783"/>
      <c r="BS154" s="783"/>
      <c r="BT154" s="783"/>
      <c r="BU154" s="783"/>
      <c r="BV154" s="783"/>
      <c r="BW154" s="783"/>
      <c r="BX154" s="783"/>
      <c r="BY154" s="783"/>
      <c r="BZ154" s="783"/>
      <c r="CA154" s="783"/>
      <c r="CB154" s="783"/>
      <c r="CC154" s="783"/>
      <c r="CD154" s="783"/>
      <c r="CE154" s="783"/>
      <c r="CF154" s="783"/>
      <c r="CG154" s="783"/>
      <c r="CH154" s="783"/>
      <c r="CI154" s="783"/>
      <c r="CJ154" s="783"/>
      <c r="CK154" s="783"/>
      <c r="CL154" s="783"/>
      <c r="CM154" s="783"/>
      <c r="CN154" s="783"/>
      <c r="CO154" s="783"/>
      <c r="CP154" s="783"/>
      <c r="CQ154" s="783"/>
      <c r="CR154" s="783"/>
      <c r="CS154" s="783"/>
      <c r="CT154" s="783"/>
      <c r="CU154" s="783"/>
      <c r="CV154" s="783"/>
      <c r="CW154" s="783"/>
      <c r="CX154" s="783"/>
      <c r="CY154" s="783"/>
      <c r="CZ154" s="783"/>
      <c r="DA154" s="783"/>
      <c r="DB154" s="783"/>
      <c r="DC154" s="783"/>
      <c r="DD154" s="783"/>
      <c r="DE154" s="783"/>
      <c r="DF154" s="783"/>
      <c r="DG154" s="783"/>
      <c r="DH154" s="783"/>
      <c r="DI154" s="783"/>
      <c r="DJ154" s="783"/>
      <c r="DK154" s="783"/>
      <c r="DL154" s="783"/>
      <c r="DM154" s="783"/>
      <c r="DN154" s="783"/>
      <c r="DO154" s="783"/>
      <c r="DP154" s="783"/>
      <c r="DQ154" s="783"/>
      <c r="DR154" s="783"/>
      <c r="DS154" s="783"/>
      <c r="DT154" s="783"/>
      <c r="DU154" s="783"/>
      <c r="DV154" s="783"/>
      <c r="DW154" s="783"/>
      <c r="DX154" s="783"/>
      <c r="DY154" s="783"/>
      <c r="DZ154" s="783"/>
      <c r="EA154" s="783"/>
      <c r="EB154" s="783"/>
      <c r="EC154" s="783"/>
      <c r="ED154" s="783"/>
      <c r="EE154" s="783"/>
      <c r="EF154" s="783"/>
      <c r="EG154" s="783"/>
      <c r="EH154" s="783"/>
      <c r="EI154" s="783"/>
      <c r="EJ154" s="783"/>
      <c r="EK154" s="783"/>
      <c r="EL154" s="783"/>
      <c r="EM154" s="783"/>
      <c r="EN154" s="783"/>
      <c r="EO154" s="783"/>
      <c r="EP154" s="783"/>
      <c r="EQ154" s="783"/>
      <c r="ER154" s="783"/>
      <c r="ES154" s="783"/>
      <c r="ET154" s="783"/>
      <c r="EU154" s="783"/>
      <c r="EV154" s="783"/>
      <c r="EW154" s="783"/>
      <c r="EX154" s="783"/>
      <c r="EY154" s="783"/>
      <c r="EZ154" s="783"/>
      <c r="FA154" s="783"/>
      <c r="FB154" s="783"/>
      <c r="FC154" s="783"/>
      <c r="FD154" s="783"/>
      <c r="FE154" s="783"/>
      <c r="FF154" s="783"/>
      <c r="FG154" s="783"/>
      <c r="FH154" s="783"/>
      <c r="FI154" s="783"/>
      <c r="FJ154" s="783"/>
      <c r="FK154" s="783"/>
      <c r="FL154" s="783"/>
      <c r="FM154" s="783"/>
      <c r="FN154" s="783"/>
      <c r="FO154" s="783"/>
      <c r="FP154" s="783"/>
      <c r="FQ154" s="783"/>
      <c r="FR154" s="783"/>
      <c r="FS154" s="783"/>
      <c r="FT154" s="783"/>
      <c r="FU154" s="783"/>
      <c r="FV154" s="783"/>
      <c r="FW154" s="783"/>
      <c r="FX154" s="783"/>
      <c r="FY154" s="783"/>
      <c r="FZ154" s="783"/>
      <c r="GA154" s="783"/>
      <c r="GB154" s="783"/>
      <c r="GC154" s="783"/>
      <c r="GD154" s="783"/>
      <c r="GE154" s="783"/>
      <c r="GF154" s="783"/>
      <c r="GG154" s="783"/>
      <c r="GH154" s="783"/>
      <c r="GI154" s="783"/>
      <c r="GJ154" s="783"/>
      <c r="GK154" s="783"/>
      <c r="GL154" s="783"/>
      <c r="GM154" s="783"/>
      <c r="GN154" s="783"/>
      <c r="GO154" s="783"/>
      <c r="GP154" s="783"/>
      <c r="GQ154" s="783"/>
      <c r="GR154" s="783"/>
      <c r="GS154" s="783"/>
      <c r="GT154" s="783"/>
      <c r="GU154" s="783"/>
      <c r="GV154" s="783"/>
      <c r="GW154" s="783"/>
      <c r="GX154" s="783"/>
      <c r="GY154" s="783"/>
      <c r="GZ154" s="783"/>
      <c r="HA154" s="783"/>
      <c r="HB154" s="783"/>
      <c r="HC154" s="783"/>
      <c r="HD154" s="783"/>
      <c r="HE154" s="783"/>
      <c r="HF154" s="783"/>
      <c r="HG154" s="783"/>
      <c r="HH154" s="783"/>
      <c r="HI154" s="783"/>
      <c r="HJ154" s="783"/>
      <c r="HK154" s="783"/>
      <c r="HL154" s="783"/>
      <c r="HM154" s="783"/>
      <c r="HN154" s="783"/>
      <c r="HO154" s="783"/>
      <c r="HP154" s="783"/>
      <c r="HQ154" s="783"/>
      <c r="HR154" s="783"/>
      <c r="HS154" s="783"/>
      <c r="HT154" s="783"/>
      <c r="HU154" s="783"/>
      <c r="HV154" s="783"/>
      <c r="HW154" s="783"/>
      <c r="HX154" s="783"/>
      <c r="HY154" s="783"/>
      <c r="HZ154" s="783"/>
      <c r="IA154" s="783"/>
      <c r="IB154" s="783"/>
      <c r="IC154" s="783"/>
      <c r="ID154" s="783"/>
      <c r="IE154" s="783"/>
      <c r="IF154" s="783"/>
      <c r="IG154" s="783"/>
      <c r="IH154" s="783"/>
      <c r="II154" s="783"/>
      <c r="IJ154" s="783"/>
      <c r="IK154" s="783"/>
      <c r="IL154" s="783"/>
      <c r="IM154" s="783"/>
      <c r="IN154" s="783"/>
      <c r="IO154" s="783"/>
      <c r="IP154" s="783"/>
      <c r="IQ154" s="783"/>
      <c r="IR154" s="783"/>
      <c r="IS154" s="783"/>
      <c r="IT154" s="783"/>
      <c r="IU154" s="783"/>
      <c r="IV154" s="783"/>
    </row>
    <row r="155" spans="1:256" s="1109" customFormat="1" ht="59.25" hidden="1" customHeight="1">
      <c r="A155" s="783"/>
      <c r="B155" s="261">
        <v>3</v>
      </c>
      <c r="C155" s="261">
        <f>E150</f>
        <v>1.91</v>
      </c>
      <c r="D155" s="284" t="str">
        <f>D128</f>
        <v>Flush door shutters, solid bond wood block board type with commercial ply on both faces.: 35 mm thick conforming to IS:2202 of ANAND/ RAAVILA/ KUTTY/ STANDARD/ SHUBHDWAR/ ITP (TBSC-L.II-06)</v>
      </c>
      <c r="E155" s="271">
        <f>$E$128</f>
        <v>1417</v>
      </c>
      <c r="F155" s="261">
        <v>1</v>
      </c>
      <c r="G155" s="261" t="s">
        <v>461</v>
      </c>
      <c r="H155" s="274">
        <f>ROUND(C155*E155/F155,2)</f>
        <v>2706.47</v>
      </c>
      <c r="I155" s="783"/>
      <c r="J155" s="783"/>
      <c r="K155" s="783"/>
      <c r="L155" s="783"/>
      <c r="M155" s="783">
        <v>2576.59</v>
      </c>
      <c r="N155" s="783"/>
      <c r="O155" s="783"/>
      <c r="P155" s="783"/>
      <c r="Q155" s="783"/>
      <c r="R155" s="783"/>
      <c r="S155" s="783"/>
      <c r="T155" s="783"/>
      <c r="U155" s="783"/>
      <c r="V155" s="783"/>
      <c r="W155" s="783"/>
      <c r="X155" s="783"/>
      <c r="Y155" s="783"/>
      <c r="Z155" s="783"/>
      <c r="AA155" s="783"/>
      <c r="AB155" s="783"/>
      <c r="AC155" s="783"/>
      <c r="AD155" s="783"/>
      <c r="AE155" s="783"/>
      <c r="AF155" s="783"/>
      <c r="AG155" s="783"/>
      <c r="AH155" s="783"/>
      <c r="AI155" s="783"/>
      <c r="AJ155" s="783"/>
      <c r="AK155" s="783"/>
      <c r="AL155" s="783"/>
      <c r="AM155" s="783"/>
      <c r="AN155" s="783"/>
      <c r="AO155" s="783"/>
      <c r="AP155" s="783"/>
      <c r="AQ155" s="783"/>
      <c r="AR155" s="783"/>
      <c r="AS155" s="783"/>
      <c r="AT155" s="783"/>
      <c r="AU155" s="783"/>
      <c r="AV155" s="783"/>
      <c r="AW155" s="783"/>
      <c r="AX155" s="783"/>
      <c r="AY155" s="783"/>
      <c r="AZ155" s="783"/>
      <c r="BA155" s="783"/>
      <c r="BB155" s="783"/>
      <c r="BC155" s="783"/>
      <c r="BD155" s="783"/>
      <c r="BE155" s="783"/>
      <c r="BF155" s="783"/>
      <c r="BG155" s="783"/>
      <c r="BH155" s="783"/>
      <c r="BI155" s="783"/>
      <c r="BJ155" s="783"/>
      <c r="BK155" s="783"/>
      <c r="BL155" s="783"/>
      <c r="BM155" s="783"/>
      <c r="BN155" s="783"/>
      <c r="BO155" s="783"/>
      <c r="BP155" s="783"/>
      <c r="BQ155" s="783"/>
      <c r="BR155" s="783"/>
      <c r="BS155" s="783"/>
      <c r="BT155" s="783"/>
      <c r="BU155" s="783"/>
      <c r="BV155" s="783"/>
      <c r="BW155" s="783"/>
      <c r="BX155" s="783"/>
      <c r="BY155" s="783"/>
      <c r="BZ155" s="783"/>
      <c r="CA155" s="783"/>
      <c r="CB155" s="783"/>
      <c r="CC155" s="783"/>
      <c r="CD155" s="783"/>
      <c r="CE155" s="783"/>
      <c r="CF155" s="783"/>
      <c r="CG155" s="783"/>
      <c r="CH155" s="783"/>
      <c r="CI155" s="783"/>
      <c r="CJ155" s="783"/>
      <c r="CK155" s="783"/>
      <c r="CL155" s="783"/>
      <c r="CM155" s="783"/>
      <c r="CN155" s="783"/>
      <c r="CO155" s="783"/>
      <c r="CP155" s="783"/>
      <c r="CQ155" s="783"/>
      <c r="CR155" s="783"/>
      <c r="CS155" s="783"/>
      <c r="CT155" s="783"/>
      <c r="CU155" s="783"/>
      <c r="CV155" s="783"/>
      <c r="CW155" s="783"/>
      <c r="CX155" s="783"/>
      <c r="CY155" s="783"/>
      <c r="CZ155" s="783"/>
      <c r="DA155" s="783"/>
      <c r="DB155" s="783"/>
      <c r="DC155" s="783"/>
      <c r="DD155" s="783"/>
      <c r="DE155" s="783"/>
      <c r="DF155" s="783"/>
      <c r="DG155" s="783"/>
      <c r="DH155" s="783"/>
      <c r="DI155" s="783"/>
      <c r="DJ155" s="783"/>
      <c r="DK155" s="783"/>
      <c r="DL155" s="783"/>
      <c r="DM155" s="783"/>
      <c r="DN155" s="783"/>
      <c r="DO155" s="783"/>
      <c r="DP155" s="783"/>
      <c r="DQ155" s="783"/>
      <c r="DR155" s="783"/>
      <c r="DS155" s="783"/>
      <c r="DT155" s="783"/>
      <c r="DU155" s="783"/>
      <c r="DV155" s="783"/>
      <c r="DW155" s="783"/>
      <c r="DX155" s="783"/>
      <c r="DY155" s="783"/>
      <c r="DZ155" s="783"/>
      <c r="EA155" s="783"/>
      <c r="EB155" s="783"/>
      <c r="EC155" s="783"/>
      <c r="ED155" s="783"/>
      <c r="EE155" s="783"/>
      <c r="EF155" s="783"/>
      <c r="EG155" s="783"/>
      <c r="EH155" s="783"/>
      <c r="EI155" s="783"/>
      <c r="EJ155" s="783"/>
      <c r="EK155" s="783"/>
      <c r="EL155" s="783"/>
      <c r="EM155" s="783"/>
      <c r="EN155" s="783"/>
      <c r="EO155" s="783"/>
      <c r="EP155" s="783"/>
      <c r="EQ155" s="783"/>
      <c r="ER155" s="783"/>
      <c r="ES155" s="783"/>
      <c r="ET155" s="783"/>
      <c r="EU155" s="783"/>
      <c r="EV155" s="783"/>
      <c r="EW155" s="783"/>
      <c r="EX155" s="783"/>
      <c r="EY155" s="783"/>
      <c r="EZ155" s="783"/>
      <c r="FA155" s="783"/>
      <c r="FB155" s="783"/>
      <c r="FC155" s="783"/>
      <c r="FD155" s="783"/>
      <c r="FE155" s="783"/>
      <c r="FF155" s="783"/>
      <c r="FG155" s="783"/>
      <c r="FH155" s="783"/>
      <c r="FI155" s="783"/>
      <c r="FJ155" s="783"/>
      <c r="FK155" s="783"/>
      <c r="FL155" s="783"/>
      <c r="FM155" s="783"/>
      <c r="FN155" s="783"/>
      <c r="FO155" s="783"/>
      <c r="FP155" s="783"/>
      <c r="FQ155" s="783"/>
      <c r="FR155" s="783"/>
      <c r="FS155" s="783"/>
      <c r="FT155" s="783"/>
      <c r="FU155" s="783"/>
      <c r="FV155" s="783"/>
      <c r="FW155" s="783"/>
      <c r="FX155" s="783"/>
      <c r="FY155" s="783"/>
      <c r="FZ155" s="783"/>
      <c r="GA155" s="783"/>
      <c r="GB155" s="783"/>
      <c r="GC155" s="783"/>
      <c r="GD155" s="783"/>
      <c r="GE155" s="783"/>
      <c r="GF155" s="783"/>
      <c r="GG155" s="783"/>
      <c r="GH155" s="783"/>
      <c r="GI155" s="783"/>
      <c r="GJ155" s="783"/>
      <c r="GK155" s="783"/>
      <c r="GL155" s="783"/>
      <c r="GM155" s="783"/>
      <c r="GN155" s="783"/>
      <c r="GO155" s="783"/>
      <c r="GP155" s="783"/>
      <c r="GQ155" s="783"/>
      <c r="GR155" s="783"/>
      <c r="GS155" s="783"/>
      <c r="GT155" s="783"/>
      <c r="GU155" s="783"/>
      <c r="GV155" s="783"/>
      <c r="GW155" s="783"/>
      <c r="GX155" s="783"/>
      <c r="GY155" s="783"/>
      <c r="GZ155" s="783"/>
      <c r="HA155" s="783"/>
      <c r="HB155" s="783"/>
      <c r="HC155" s="783"/>
      <c r="HD155" s="783"/>
      <c r="HE155" s="783"/>
      <c r="HF155" s="783"/>
      <c r="HG155" s="783"/>
      <c r="HH155" s="783"/>
      <c r="HI155" s="783"/>
      <c r="HJ155" s="783"/>
      <c r="HK155" s="783"/>
      <c r="HL155" s="783"/>
      <c r="HM155" s="783"/>
      <c r="HN155" s="783"/>
      <c r="HO155" s="783"/>
      <c r="HP155" s="783"/>
      <c r="HQ155" s="783"/>
      <c r="HR155" s="783"/>
      <c r="HS155" s="783"/>
      <c r="HT155" s="783"/>
      <c r="HU155" s="783"/>
      <c r="HV155" s="783"/>
      <c r="HW155" s="783"/>
      <c r="HX155" s="783"/>
      <c r="HY155" s="783"/>
      <c r="HZ155" s="783"/>
      <c r="IA155" s="783"/>
      <c r="IB155" s="783"/>
      <c r="IC155" s="783"/>
      <c r="ID155" s="783"/>
      <c r="IE155" s="783"/>
      <c r="IF155" s="783"/>
      <c r="IG155" s="783"/>
      <c r="IH155" s="783"/>
      <c r="II155" s="783"/>
      <c r="IJ155" s="783"/>
      <c r="IK155" s="783"/>
      <c r="IL155" s="783"/>
      <c r="IM155" s="783"/>
      <c r="IN155" s="783"/>
      <c r="IO155" s="783"/>
      <c r="IP155" s="783"/>
      <c r="IQ155" s="783"/>
      <c r="IR155" s="783"/>
      <c r="IS155" s="783"/>
      <c r="IT155" s="783"/>
      <c r="IU155" s="783"/>
      <c r="IV155" s="783"/>
    </row>
    <row r="156" spans="1:256" s="1109" customFormat="1" hidden="1">
      <c r="A156" s="783"/>
      <c r="B156" s="261">
        <v>4</v>
      </c>
      <c r="C156" s="271">
        <v>6</v>
      </c>
      <c r="D156" s="270" t="str">
        <f>D129</f>
        <v>MS Hold FastsTBSC-P.IX-08</v>
      </c>
      <c r="E156" s="271">
        <f>E129</f>
        <v>34</v>
      </c>
      <c r="F156" s="261">
        <v>1</v>
      </c>
      <c r="G156" s="261" t="s">
        <v>268</v>
      </c>
      <c r="H156" s="274">
        <f>ROUND(C156*E156/F156,2)</f>
        <v>204</v>
      </c>
      <c r="I156" s="783"/>
      <c r="J156" s="783" t="s">
        <v>1026</v>
      </c>
      <c r="K156" s="783"/>
      <c r="L156" s="783"/>
      <c r="M156" s="783">
        <v>192</v>
      </c>
      <c r="N156" s="783"/>
      <c r="O156" s="783"/>
      <c r="P156" s="783"/>
      <c r="Q156" s="783"/>
      <c r="R156" s="783"/>
      <c r="S156" s="783"/>
      <c r="T156" s="783"/>
      <c r="U156" s="783"/>
      <c r="V156" s="783"/>
      <c r="W156" s="783"/>
      <c r="X156" s="783"/>
      <c r="Y156" s="783"/>
      <c r="Z156" s="783"/>
      <c r="AA156" s="783"/>
      <c r="AB156" s="783"/>
      <c r="AC156" s="783"/>
      <c r="AD156" s="783"/>
      <c r="AE156" s="783"/>
      <c r="AF156" s="783"/>
      <c r="AG156" s="783"/>
      <c r="AH156" s="783"/>
      <c r="AI156" s="783"/>
      <c r="AJ156" s="783"/>
      <c r="AK156" s="783"/>
      <c r="AL156" s="783"/>
      <c r="AM156" s="783"/>
      <c r="AN156" s="783"/>
      <c r="AO156" s="783"/>
      <c r="AP156" s="783"/>
      <c r="AQ156" s="783"/>
      <c r="AR156" s="783"/>
      <c r="AS156" s="783"/>
      <c r="AT156" s="783"/>
      <c r="AU156" s="783"/>
      <c r="AV156" s="783"/>
      <c r="AW156" s="783"/>
      <c r="AX156" s="783"/>
      <c r="AY156" s="783"/>
      <c r="AZ156" s="783"/>
      <c r="BA156" s="783"/>
      <c r="BB156" s="783"/>
      <c r="BC156" s="783"/>
      <c r="BD156" s="783"/>
      <c r="BE156" s="783"/>
      <c r="BF156" s="783"/>
      <c r="BG156" s="783"/>
      <c r="BH156" s="783"/>
      <c r="BI156" s="783"/>
      <c r="BJ156" s="783"/>
      <c r="BK156" s="783"/>
      <c r="BL156" s="783"/>
      <c r="BM156" s="783"/>
      <c r="BN156" s="783"/>
      <c r="BO156" s="783"/>
      <c r="BP156" s="783"/>
      <c r="BQ156" s="783"/>
      <c r="BR156" s="783"/>
      <c r="BS156" s="783"/>
      <c r="BT156" s="783"/>
      <c r="BU156" s="783"/>
      <c r="BV156" s="783"/>
      <c r="BW156" s="783"/>
      <c r="BX156" s="783"/>
      <c r="BY156" s="783"/>
      <c r="BZ156" s="783"/>
      <c r="CA156" s="783"/>
      <c r="CB156" s="783"/>
      <c r="CC156" s="783"/>
      <c r="CD156" s="783"/>
      <c r="CE156" s="783"/>
      <c r="CF156" s="783"/>
      <c r="CG156" s="783"/>
      <c r="CH156" s="783"/>
      <c r="CI156" s="783"/>
      <c r="CJ156" s="783"/>
      <c r="CK156" s="783"/>
      <c r="CL156" s="783"/>
      <c r="CM156" s="783"/>
      <c r="CN156" s="783"/>
      <c r="CO156" s="783"/>
      <c r="CP156" s="783"/>
      <c r="CQ156" s="783"/>
      <c r="CR156" s="783"/>
      <c r="CS156" s="783"/>
      <c r="CT156" s="783"/>
      <c r="CU156" s="783"/>
      <c r="CV156" s="783"/>
      <c r="CW156" s="783"/>
      <c r="CX156" s="783"/>
      <c r="CY156" s="783"/>
      <c r="CZ156" s="783"/>
      <c r="DA156" s="783"/>
      <c r="DB156" s="783"/>
      <c r="DC156" s="783"/>
      <c r="DD156" s="783"/>
      <c r="DE156" s="783"/>
      <c r="DF156" s="783"/>
      <c r="DG156" s="783"/>
      <c r="DH156" s="783"/>
      <c r="DI156" s="783"/>
      <c r="DJ156" s="783"/>
      <c r="DK156" s="783"/>
      <c r="DL156" s="783"/>
      <c r="DM156" s="783"/>
      <c r="DN156" s="783"/>
      <c r="DO156" s="783"/>
      <c r="DP156" s="783"/>
      <c r="DQ156" s="783"/>
      <c r="DR156" s="783"/>
      <c r="DS156" s="783"/>
      <c r="DT156" s="783"/>
      <c r="DU156" s="783"/>
      <c r="DV156" s="783"/>
      <c r="DW156" s="783"/>
      <c r="DX156" s="783"/>
      <c r="DY156" s="783"/>
      <c r="DZ156" s="783"/>
      <c r="EA156" s="783"/>
      <c r="EB156" s="783"/>
      <c r="EC156" s="783"/>
      <c r="ED156" s="783"/>
      <c r="EE156" s="783"/>
      <c r="EF156" s="783"/>
      <c r="EG156" s="783"/>
      <c r="EH156" s="783"/>
      <c r="EI156" s="783"/>
      <c r="EJ156" s="783"/>
      <c r="EK156" s="783"/>
      <c r="EL156" s="783"/>
      <c r="EM156" s="783"/>
      <c r="EN156" s="783"/>
      <c r="EO156" s="783"/>
      <c r="EP156" s="783"/>
      <c r="EQ156" s="783"/>
      <c r="ER156" s="783"/>
      <c r="ES156" s="783"/>
      <c r="ET156" s="783"/>
      <c r="EU156" s="783"/>
      <c r="EV156" s="783"/>
      <c r="EW156" s="783"/>
      <c r="EX156" s="783"/>
      <c r="EY156" s="783"/>
      <c r="EZ156" s="783"/>
      <c r="FA156" s="783"/>
      <c r="FB156" s="783"/>
      <c r="FC156" s="783"/>
      <c r="FD156" s="783"/>
      <c r="FE156" s="783"/>
      <c r="FF156" s="783"/>
      <c r="FG156" s="783"/>
      <c r="FH156" s="783"/>
      <c r="FI156" s="783"/>
      <c r="FJ156" s="783"/>
      <c r="FK156" s="783"/>
      <c r="FL156" s="783"/>
      <c r="FM156" s="783"/>
      <c r="FN156" s="783"/>
      <c r="FO156" s="783"/>
      <c r="FP156" s="783"/>
      <c r="FQ156" s="783"/>
      <c r="FR156" s="783"/>
      <c r="FS156" s="783"/>
      <c r="FT156" s="783"/>
      <c r="FU156" s="783"/>
      <c r="FV156" s="783"/>
      <c r="FW156" s="783"/>
      <c r="FX156" s="783"/>
      <c r="FY156" s="783"/>
      <c r="FZ156" s="783"/>
      <c r="GA156" s="783"/>
      <c r="GB156" s="783"/>
      <c r="GC156" s="783"/>
      <c r="GD156" s="783"/>
      <c r="GE156" s="783"/>
      <c r="GF156" s="783"/>
      <c r="GG156" s="783"/>
      <c r="GH156" s="783"/>
      <c r="GI156" s="783"/>
      <c r="GJ156" s="783"/>
      <c r="GK156" s="783"/>
      <c r="GL156" s="783"/>
      <c r="GM156" s="783"/>
      <c r="GN156" s="783"/>
      <c r="GO156" s="783"/>
      <c r="GP156" s="783"/>
      <c r="GQ156" s="783"/>
      <c r="GR156" s="783"/>
      <c r="GS156" s="783"/>
      <c r="GT156" s="783"/>
      <c r="GU156" s="783"/>
      <c r="GV156" s="783"/>
      <c r="GW156" s="783"/>
      <c r="GX156" s="783"/>
      <c r="GY156" s="783"/>
      <c r="GZ156" s="783"/>
      <c r="HA156" s="783"/>
      <c r="HB156" s="783"/>
      <c r="HC156" s="783"/>
      <c r="HD156" s="783"/>
      <c r="HE156" s="783"/>
      <c r="HF156" s="783"/>
      <c r="HG156" s="783"/>
      <c r="HH156" s="783"/>
      <c r="HI156" s="783"/>
      <c r="HJ156" s="783"/>
      <c r="HK156" s="783"/>
      <c r="HL156" s="783"/>
      <c r="HM156" s="783"/>
      <c r="HN156" s="783"/>
      <c r="HO156" s="783"/>
      <c r="HP156" s="783"/>
      <c r="HQ156" s="783"/>
      <c r="HR156" s="783"/>
      <c r="HS156" s="783"/>
      <c r="HT156" s="783"/>
      <c r="HU156" s="783"/>
      <c r="HV156" s="783"/>
      <c r="HW156" s="783"/>
      <c r="HX156" s="783"/>
      <c r="HY156" s="783"/>
      <c r="HZ156" s="783"/>
      <c r="IA156" s="783"/>
      <c r="IB156" s="783"/>
      <c r="IC156" s="783"/>
      <c r="ID156" s="783"/>
      <c r="IE156" s="783"/>
      <c r="IF156" s="783"/>
      <c r="IG156" s="783"/>
      <c r="IH156" s="783"/>
      <c r="II156" s="783"/>
      <c r="IJ156" s="783"/>
      <c r="IK156" s="783"/>
      <c r="IL156" s="783"/>
      <c r="IM156" s="783"/>
      <c r="IN156" s="783"/>
      <c r="IO156" s="783"/>
      <c r="IP156" s="783"/>
      <c r="IQ156" s="783"/>
      <c r="IR156" s="783"/>
      <c r="IS156" s="783"/>
      <c r="IT156" s="783"/>
      <c r="IU156" s="783"/>
      <c r="IV156" s="783"/>
    </row>
    <row r="157" spans="1:256" s="1109" customFormat="1" hidden="1">
      <c r="A157" s="783"/>
      <c r="B157" s="261">
        <v>5</v>
      </c>
      <c r="C157" s="271">
        <v>1</v>
      </c>
      <c r="D157" s="270" t="s">
        <v>1228</v>
      </c>
      <c r="E157" s="271">
        <f t="shared" ref="E157:E162" si="9">E130</f>
        <v>173</v>
      </c>
      <c r="F157" s="261">
        <v>1</v>
      </c>
      <c r="G157" s="261" t="s">
        <v>268</v>
      </c>
      <c r="H157" s="274">
        <f>ROUND(C157*E157/F157,2)</f>
        <v>173</v>
      </c>
      <c r="I157" s="783"/>
      <c r="J157" s="783"/>
      <c r="K157" s="783"/>
      <c r="L157" s="783"/>
      <c r="M157" s="783">
        <v>164</v>
      </c>
      <c r="N157" s="783"/>
      <c r="O157" s="783"/>
      <c r="P157" s="783"/>
      <c r="Q157" s="783"/>
      <c r="R157" s="783"/>
      <c r="S157" s="783"/>
      <c r="T157" s="783"/>
      <c r="U157" s="783"/>
      <c r="V157" s="783"/>
      <c r="W157" s="783"/>
      <c r="X157" s="783"/>
      <c r="Y157" s="783"/>
      <c r="Z157" s="783"/>
      <c r="AA157" s="783"/>
      <c r="AB157" s="783"/>
      <c r="AC157" s="783"/>
      <c r="AD157" s="783"/>
      <c r="AE157" s="783"/>
      <c r="AF157" s="783"/>
      <c r="AG157" s="783"/>
      <c r="AH157" s="783"/>
      <c r="AI157" s="783"/>
      <c r="AJ157" s="783"/>
      <c r="AK157" s="783"/>
      <c r="AL157" s="783"/>
      <c r="AM157" s="783"/>
      <c r="AN157" s="783"/>
      <c r="AO157" s="783"/>
      <c r="AP157" s="783"/>
      <c r="AQ157" s="783"/>
      <c r="AR157" s="783"/>
      <c r="AS157" s="783"/>
      <c r="AT157" s="783"/>
      <c r="AU157" s="783"/>
      <c r="AV157" s="783"/>
      <c r="AW157" s="783"/>
      <c r="AX157" s="783"/>
      <c r="AY157" s="783"/>
      <c r="AZ157" s="783"/>
      <c r="BA157" s="783"/>
      <c r="BB157" s="783"/>
      <c r="BC157" s="783"/>
      <c r="BD157" s="783"/>
      <c r="BE157" s="783"/>
      <c r="BF157" s="783"/>
      <c r="BG157" s="783"/>
      <c r="BH157" s="783"/>
      <c r="BI157" s="783"/>
      <c r="BJ157" s="783"/>
      <c r="BK157" s="783"/>
      <c r="BL157" s="783"/>
      <c r="BM157" s="783"/>
      <c r="BN157" s="783"/>
      <c r="BO157" s="783"/>
      <c r="BP157" s="783"/>
      <c r="BQ157" s="783"/>
      <c r="BR157" s="783"/>
      <c r="BS157" s="783"/>
      <c r="BT157" s="783"/>
      <c r="BU157" s="783"/>
      <c r="BV157" s="783"/>
      <c r="BW157" s="783"/>
      <c r="BX157" s="783"/>
      <c r="BY157" s="783"/>
      <c r="BZ157" s="783"/>
      <c r="CA157" s="783"/>
      <c r="CB157" s="783"/>
      <c r="CC157" s="783"/>
      <c r="CD157" s="783"/>
      <c r="CE157" s="783"/>
      <c r="CF157" s="783"/>
      <c r="CG157" s="783"/>
      <c r="CH157" s="783"/>
      <c r="CI157" s="783"/>
      <c r="CJ157" s="783"/>
      <c r="CK157" s="783"/>
      <c r="CL157" s="783"/>
      <c r="CM157" s="783"/>
      <c r="CN157" s="783"/>
      <c r="CO157" s="783"/>
      <c r="CP157" s="783"/>
      <c r="CQ157" s="783"/>
      <c r="CR157" s="783"/>
      <c r="CS157" s="783"/>
      <c r="CT157" s="783"/>
      <c r="CU157" s="783"/>
      <c r="CV157" s="783"/>
      <c r="CW157" s="783"/>
      <c r="CX157" s="783"/>
      <c r="CY157" s="783"/>
      <c r="CZ157" s="783"/>
      <c r="DA157" s="783"/>
      <c r="DB157" s="783"/>
      <c r="DC157" s="783"/>
      <c r="DD157" s="783"/>
      <c r="DE157" s="783"/>
      <c r="DF157" s="783"/>
      <c r="DG157" s="783"/>
      <c r="DH157" s="783"/>
      <c r="DI157" s="783"/>
      <c r="DJ157" s="783"/>
      <c r="DK157" s="783"/>
      <c r="DL157" s="783"/>
      <c r="DM157" s="783"/>
      <c r="DN157" s="783"/>
      <c r="DO157" s="783"/>
      <c r="DP157" s="783"/>
      <c r="DQ157" s="783"/>
      <c r="DR157" s="783"/>
      <c r="DS157" s="783"/>
      <c r="DT157" s="783"/>
      <c r="DU157" s="783"/>
      <c r="DV157" s="783"/>
      <c r="DW157" s="783"/>
      <c r="DX157" s="783"/>
      <c r="DY157" s="783"/>
      <c r="DZ157" s="783"/>
      <c r="EA157" s="783"/>
      <c r="EB157" s="783"/>
      <c r="EC157" s="783"/>
      <c r="ED157" s="783"/>
      <c r="EE157" s="783"/>
      <c r="EF157" s="783"/>
      <c r="EG157" s="783"/>
      <c r="EH157" s="783"/>
      <c r="EI157" s="783"/>
      <c r="EJ157" s="783"/>
      <c r="EK157" s="783"/>
      <c r="EL157" s="783"/>
      <c r="EM157" s="783"/>
      <c r="EN157" s="783"/>
      <c r="EO157" s="783"/>
      <c r="EP157" s="783"/>
      <c r="EQ157" s="783"/>
      <c r="ER157" s="783"/>
      <c r="ES157" s="783"/>
      <c r="ET157" s="783"/>
      <c r="EU157" s="783"/>
      <c r="EV157" s="783"/>
      <c r="EW157" s="783"/>
      <c r="EX157" s="783"/>
      <c r="EY157" s="783"/>
      <c r="EZ157" s="783"/>
      <c r="FA157" s="783"/>
      <c r="FB157" s="783"/>
      <c r="FC157" s="783"/>
      <c r="FD157" s="783"/>
      <c r="FE157" s="783"/>
      <c r="FF157" s="783"/>
      <c r="FG157" s="783"/>
      <c r="FH157" s="783"/>
      <c r="FI157" s="783"/>
      <c r="FJ157" s="783"/>
      <c r="FK157" s="783"/>
      <c r="FL157" s="783"/>
      <c r="FM157" s="783"/>
      <c r="FN157" s="783"/>
      <c r="FO157" s="783"/>
      <c r="FP157" s="783"/>
      <c r="FQ157" s="783"/>
      <c r="FR157" s="783"/>
      <c r="FS157" s="783"/>
      <c r="FT157" s="783"/>
      <c r="FU157" s="783"/>
      <c r="FV157" s="783"/>
      <c r="FW157" s="783"/>
      <c r="FX157" s="783"/>
      <c r="FY157" s="783"/>
      <c r="FZ157" s="783"/>
      <c r="GA157" s="783"/>
      <c r="GB157" s="783"/>
      <c r="GC157" s="783"/>
      <c r="GD157" s="783"/>
      <c r="GE157" s="783"/>
      <c r="GF157" s="783"/>
      <c r="GG157" s="783"/>
      <c r="GH157" s="783"/>
      <c r="GI157" s="783"/>
      <c r="GJ157" s="783"/>
      <c r="GK157" s="783"/>
      <c r="GL157" s="783"/>
      <c r="GM157" s="783"/>
      <c r="GN157" s="783"/>
      <c r="GO157" s="783"/>
      <c r="GP157" s="783"/>
      <c r="GQ157" s="783"/>
      <c r="GR157" s="783"/>
      <c r="GS157" s="783"/>
      <c r="GT157" s="783"/>
      <c r="GU157" s="783"/>
      <c r="GV157" s="783"/>
      <c r="GW157" s="783"/>
      <c r="GX157" s="783"/>
      <c r="GY157" s="783"/>
      <c r="GZ157" s="783"/>
      <c r="HA157" s="783"/>
      <c r="HB157" s="783"/>
      <c r="HC157" s="783"/>
      <c r="HD157" s="783"/>
      <c r="HE157" s="783"/>
      <c r="HF157" s="783"/>
      <c r="HG157" s="783"/>
      <c r="HH157" s="783"/>
      <c r="HI157" s="783"/>
      <c r="HJ157" s="783"/>
      <c r="HK157" s="783"/>
      <c r="HL157" s="783"/>
      <c r="HM157" s="783"/>
      <c r="HN157" s="783"/>
      <c r="HO157" s="783"/>
      <c r="HP157" s="783"/>
      <c r="HQ157" s="783"/>
      <c r="HR157" s="783"/>
      <c r="HS157" s="783"/>
      <c r="HT157" s="783"/>
      <c r="HU157" s="783"/>
      <c r="HV157" s="783"/>
      <c r="HW157" s="783"/>
      <c r="HX157" s="783"/>
      <c r="HY157" s="783"/>
      <c r="HZ157" s="783"/>
      <c r="IA157" s="783"/>
      <c r="IB157" s="783"/>
      <c r="IC157" s="783"/>
      <c r="ID157" s="783"/>
      <c r="IE157" s="783"/>
      <c r="IF157" s="783"/>
      <c r="IG157" s="783"/>
      <c r="IH157" s="783"/>
      <c r="II157" s="783"/>
      <c r="IJ157" s="783"/>
      <c r="IK157" s="783"/>
      <c r="IL157" s="783"/>
      <c r="IM157" s="783"/>
      <c r="IN157" s="783"/>
      <c r="IO157" s="783"/>
      <c r="IP157" s="783"/>
      <c r="IQ157" s="783"/>
      <c r="IR157" s="783"/>
      <c r="IS157" s="783"/>
      <c r="IT157" s="783"/>
      <c r="IU157" s="783"/>
      <c r="IV157" s="783"/>
    </row>
    <row r="158" spans="1:256" s="1109" customFormat="1" hidden="1">
      <c r="A158" s="783"/>
      <c r="B158" s="261">
        <v>6</v>
      </c>
      <c r="C158" s="271">
        <v>1</v>
      </c>
      <c r="D158" s="270" t="s">
        <v>1229</v>
      </c>
      <c r="E158" s="271">
        <f t="shared" si="9"/>
        <v>72</v>
      </c>
      <c r="F158" s="261">
        <v>1</v>
      </c>
      <c r="G158" s="261" t="s">
        <v>268</v>
      </c>
      <c r="H158" s="272">
        <f>C158*E158/F158</f>
        <v>72</v>
      </c>
      <c r="I158" s="783"/>
      <c r="J158" s="783"/>
      <c r="K158" s="783"/>
      <c r="L158" s="783"/>
      <c r="M158" s="783">
        <v>68</v>
      </c>
      <c r="N158" s="783"/>
      <c r="O158" s="783"/>
      <c r="P158" s="783"/>
      <c r="Q158" s="783"/>
      <c r="R158" s="783"/>
      <c r="S158" s="783"/>
      <c r="T158" s="783"/>
      <c r="U158" s="783"/>
      <c r="V158" s="783"/>
      <c r="W158" s="783"/>
      <c r="X158" s="783"/>
      <c r="Y158" s="783"/>
      <c r="Z158" s="783"/>
      <c r="AA158" s="783"/>
      <c r="AB158" s="783"/>
      <c r="AC158" s="783"/>
      <c r="AD158" s="783"/>
      <c r="AE158" s="783"/>
      <c r="AF158" s="783"/>
      <c r="AG158" s="783"/>
      <c r="AH158" s="783"/>
      <c r="AI158" s="783"/>
      <c r="AJ158" s="783"/>
      <c r="AK158" s="783"/>
      <c r="AL158" s="783"/>
      <c r="AM158" s="783"/>
      <c r="AN158" s="783"/>
      <c r="AO158" s="783"/>
      <c r="AP158" s="783"/>
      <c r="AQ158" s="783"/>
      <c r="AR158" s="783"/>
      <c r="AS158" s="783"/>
      <c r="AT158" s="783"/>
      <c r="AU158" s="783"/>
      <c r="AV158" s="783"/>
      <c r="AW158" s="783"/>
      <c r="AX158" s="783"/>
      <c r="AY158" s="783"/>
      <c r="AZ158" s="783"/>
      <c r="BA158" s="783"/>
      <c r="BB158" s="783"/>
      <c r="BC158" s="783"/>
      <c r="BD158" s="783"/>
      <c r="BE158" s="783"/>
      <c r="BF158" s="783"/>
      <c r="BG158" s="783"/>
      <c r="BH158" s="783"/>
      <c r="BI158" s="783"/>
      <c r="BJ158" s="783"/>
      <c r="BK158" s="783"/>
      <c r="BL158" s="783"/>
      <c r="BM158" s="783"/>
      <c r="BN158" s="783"/>
      <c r="BO158" s="783"/>
      <c r="BP158" s="783"/>
      <c r="BQ158" s="783"/>
      <c r="BR158" s="783"/>
      <c r="BS158" s="783"/>
      <c r="BT158" s="783"/>
      <c r="BU158" s="783"/>
      <c r="BV158" s="783"/>
      <c r="BW158" s="783"/>
      <c r="BX158" s="783"/>
      <c r="BY158" s="783"/>
      <c r="BZ158" s="783"/>
      <c r="CA158" s="783"/>
      <c r="CB158" s="783"/>
      <c r="CC158" s="783"/>
      <c r="CD158" s="783"/>
      <c r="CE158" s="783"/>
      <c r="CF158" s="783"/>
      <c r="CG158" s="783"/>
      <c r="CH158" s="783"/>
      <c r="CI158" s="783"/>
      <c r="CJ158" s="783"/>
      <c r="CK158" s="783"/>
      <c r="CL158" s="783"/>
      <c r="CM158" s="783"/>
      <c r="CN158" s="783"/>
      <c r="CO158" s="783"/>
      <c r="CP158" s="783"/>
      <c r="CQ158" s="783"/>
      <c r="CR158" s="783"/>
      <c r="CS158" s="783"/>
      <c r="CT158" s="783"/>
      <c r="CU158" s="783"/>
      <c r="CV158" s="783"/>
      <c r="CW158" s="783"/>
      <c r="CX158" s="783"/>
      <c r="CY158" s="783"/>
      <c r="CZ158" s="783"/>
      <c r="DA158" s="783"/>
      <c r="DB158" s="783"/>
      <c r="DC158" s="783"/>
      <c r="DD158" s="783"/>
      <c r="DE158" s="783"/>
      <c r="DF158" s="783"/>
      <c r="DG158" s="783"/>
      <c r="DH158" s="783"/>
      <c r="DI158" s="783"/>
      <c r="DJ158" s="783"/>
      <c r="DK158" s="783"/>
      <c r="DL158" s="783"/>
      <c r="DM158" s="783"/>
      <c r="DN158" s="783"/>
      <c r="DO158" s="783"/>
      <c r="DP158" s="783"/>
      <c r="DQ158" s="783"/>
      <c r="DR158" s="783"/>
      <c r="DS158" s="783"/>
      <c r="DT158" s="783"/>
      <c r="DU158" s="783"/>
      <c r="DV158" s="783"/>
      <c r="DW158" s="783"/>
      <c r="DX158" s="783"/>
      <c r="DY158" s="783"/>
      <c r="DZ158" s="783"/>
      <c r="EA158" s="783"/>
      <c r="EB158" s="783"/>
      <c r="EC158" s="783"/>
      <c r="ED158" s="783"/>
      <c r="EE158" s="783"/>
      <c r="EF158" s="783"/>
      <c r="EG158" s="783"/>
      <c r="EH158" s="783"/>
      <c r="EI158" s="783"/>
      <c r="EJ158" s="783"/>
      <c r="EK158" s="783"/>
      <c r="EL158" s="783"/>
      <c r="EM158" s="783"/>
      <c r="EN158" s="783"/>
      <c r="EO158" s="783"/>
      <c r="EP158" s="783"/>
      <c r="EQ158" s="783"/>
      <c r="ER158" s="783"/>
      <c r="ES158" s="783"/>
      <c r="ET158" s="783"/>
      <c r="EU158" s="783"/>
      <c r="EV158" s="783"/>
      <c r="EW158" s="783"/>
      <c r="EX158" s="783"/>
      <c r="EY158" s="783"/>
      <c r="EZ158" s="783"/>
      <c r="FA158" s="783"/>
      <c r="FB158" s="783"/>
      <c r="FC158" s="783"/>
      <c r="FD158" s="783"/>
      <c r="FE158" s="783"/>
      <c r="FF158" s="783"/>
      <c r="FG158" s="783"/>
      <c r="FH158" s="783"/>
      <c r="FI158" s="783"/>
      <c r="FJ158" s="783"/>
      <c r="FK158" s="783"/>
      <c r="FL158" s="783"/>
      <c r="FM158" s="783"/>
      <c r="FN158" s="783"/>
      <c r="FO158" s="783"/>
      <c r="FP158" s="783"/>
      <c r="FQ158" s="783"/>
      <c r="FR158" s="783"/>
      <c r="FS158" s="783"/>
      <c r="FT158" s="783"/>
      <c r="FU158" s="783"/>
      <c r="FV158" s="783"/>
      <c r="FW158" s="783"/>
      <c r="FX158" s="783"/>
      <c r="FY158" s="783"/>
      <c r="FZ158" s="783"/>
      <c r="GA158" s="783"/>
      <c r="GB158" s="783"/>
      <c r="GC158" s="783"/>
      <c r="GD158" s="783"/>
      <c r="GE158" s="783"/>
      <c r="GF158" s="783"/>
      <c r="GG158" s="783"/>
      <c r="GH158" s="783"/>
      <c r="GI158" s="783"/>
      <c r="GJ158" s="783"/>
      <c r="GK158" s="783"/>
      <c r="GL158" s="783"/>
      <c r="GM158" s="783"/>
      <c r="GN158" s="783"/>
      <c r="GO158" s="783"/>
      <c r="GP158" s="783"/>
      <c r="GQ158" s="783"/>
      <c r="GR158" s="783"/>
      <c r="GS158" s="783"/>
      <c r="GT158" s="783"/>
      <c r="GU158" s="783"/>
      <c r="GV158" s="783"/>
      <c r="GW158" s="783"/>
      <c r="GX158" s="783"/>
      <c r="GY158" s="783"/>
      <c r="GZ158" s="783"/>
      <c r="HA158" s="783"/>
      <c r="HB158" s="783"/>
      <c r="HC158" s="783"/>
      <c r="HD158" s="783"/>
      <c r="HE158" s="783"/>
      <c r="HF158" s="783"/>
      <c r="HG158" s="783"/>
      <c r="HH158" s="783"/>
      <c r="HI158" s="783"/>
      <c r="HJ158" s="783"/>
      <c r="HK158" s="783"/>
      <c r="HL158" s="783"/>
      <c r="HM158" s="783"/>
      <c r="HN158" s="783"/>
      <c r="HO158" s="783"/>
      <c r="HP158" s="783"/>
      <c r="HQ158" s="783"/>
      <c r="HR158" s="783"/>
      <c r="HS158" s="783"/>
      <c r="HT158" s="783"/>
      <c r="HU158" s="783"/>
      <c r="HV158" s="783"/>
      <c r="HW158" s="783"/>
      <c r="HX158" s="783"/>
      <c r="HY158" s="783"/>
      <c r="HZ158" s="783"/>
      <c r="IA158" s="783"/>
      <c r="IB158" s="783"/>
      <c r="IC158" s="783"/>
      <c r="ID158" s="783"/>
      <c r="IE158" s="783"/>
      <c r="IF158" s="783"/>
      <c r="IG158" s="783"/>
      <c r="IH158" s="783"/>
      <c r="II158" s="783"/>
      <c r="IJ158" s="783"/>
      <c r="IK158" s="783"/>
      <c r="IL158" s="783"/>
      <c r="IM158" s="783"/>
      <c r="IN158" s="783"/>
      <c r="IO158" s="783"/>
      <c r="IP158" s="783"/>
      <c r="IQ158" s="783"/>
      <c r="IR158" s="783"/>
      <c r="IS158" s="783"/>
      <c r="IT158" s="783"/>
      <c r="IU158" s="783"/>
      <c r="IV158" s="783"/>
    </row>
    <row r="159" spans="1:256" s="1109" customFormat="1" hidden="1">
      <c r="A159" s="783"/>
      <c r="B159" s="261">
        <v>7</v>
      </c>
      <c r="C159" s="271">
        <v>1</v>
      </c>
      <c r="D159" s="270" t="s">
        <v>1230</v>
      </c>
      <c r="E159" s="271">
        <f t="shared" si="9"/>
        <v>48</v>
      </c>
      <c r="F159" s="261">
        <v>1</v>
      </c>
      <c r="G159" s="261" t="s">
        <v>268</v>
      </c>
      <c r="H159" s="272">
        <f>C159*E159/F159</f>
        <v>48</v>
      </c>
      <c r="I159" s="783"/>
      <c r="J159" s="783"/>
      <c r="K159" s="783"/>
      <c r="L159" s="783"/>
      <c r="M159" s="783">
        <v>45</v>
      </c>
      <c r="N159" s="783"/>
      <c r="O159" s="783"/>
      <c r="P159" s="783"/>
      <c r="Q159" s="783"/>
      <c r="R159" s="783"/>
      <c r="S159" s="783"/>
      <c r="T159" s="783"/>
      <c r="U159" s="783"/>
      <c r="V159" s="783"/>
      <c r="W159" s="783"/>
      <c r="X159" s="783"/>
      <c r="Y159" s="783"/>
      <c r="Z159" s="783"/>
      <c r="AA159" s="783"/>
      <c r="AB159" s="783"/>
      <c r="AC159" s="783"/>
      <c r="AD159" s="783"/>
      <c r="AE159" s="783"/>
      <c r="AF159" s="783"/>
      <c r="AG159" s="783"/>
      <c r="AH159" s="783"/>
      <c r="AI159" s="783"/>
      <c r="AJ159" s="783"/>
      <c r="AK159" s="783"/>
      <c r="AL159" s="783"/>
      <c r="AM159" s="783"/>
      <c r="AN159" s="783"/>
      <c r="AO159" s="783"/>
      <c r="AP159" s="783"/>
      <c r="AQ159" s="783"/>
      <c r="AR159" s="783"/>
      <c r="AS159" s="783"/>
      <c r="AT159" s="783"/>
      <c r="AU159" s="783"/>
      <c r="AV159" s="783"/>
      <c r="AW159" s="783"/>
      <c r="AX159" s="783"/>
      <c r="AY159" s="783"/>
      <c r="AZ159" s="783"/>
      <c r="BA159" s="783"/>
      <c r="BB159" s="783"/>
      <c r="BC159" s="783"/>
      <c r="BD159" s="783"/>
      <c r="BE159" s="783"/>
      <c r="BF159" s="783"/>
      <c r="BG159" s="783"/>
      <c r="BH159" s="783"/>
      <c r="BI159" s="783"/>
      <c r="BJ159" s="783"/>
      <c r="BK159" s="783"/>
      <c r="BL159" s="783"/>
      <c r="BM159" s="783"/>
      <c r="BN159" s="783"/>
      <c r="BO159" s="783"/>
      <c r="BP159" s="783"/>
      <c r="BQ159" s="783"/>
      <c r="BR159" s="783"/>
      <c r="BS159" s="783"/>
      <c r="BT159" s="783"/>
      <c r="BU159" s="783"/>
      <c r="BV159" s="783"/>
      <c r="BW159" s="783"/>
      <c r="BX159" s="783"/>
      <c r="BY159" s="783"/>
      <c r="BZ159" s="783"/>
      <c r="CA159" s="783"/>
      <c r="CB159" s="783"/>
      <c r="CC159" s="783"/>
      <c r="CD159" s="783"/>
      <c r="CE159" s="783"/>
      <c r="CF159" s="783"/>
      <c r="CG159" s="783"/>
      <c r="CH159" s="783"/>
      <c r="CI159" s="783"/>
      <c r="CJ159" s="783"/>
      <c r="CK159" s="783"/>
      <c r="CL159" s="783"/>
      <c r="CM159" s="783"/>
      <c r="CN159" s="783"/>
      <c r="CO159" s="783"/>
      <c r="CP159" s="783"/>
      <c r="CQ159" s="783"/>
      <c r="CR159" s="783"/>
      <c r="CS159" s="783"/>
      <c r="CT159" s="783"/>
      <c r="CU159" s="783"/>
      <c r="CV159" s="783"/>
      <c r="CW159" s="783"/>
      <c r="CX159" s="783"/>
      <c r="CY159" s="783"/>
      <c r="CZ159" s="783"/>
      <c r="DA159" s="783"/>
      <c r="DB159" s="783"/>
      <c r="DC159" s="783"/>
      <c r="DD159" s="783"/>
      <c r="DE159" s="783"/>
      <c r="DF159" s="783"/>
      <c r="DG159" s="783"/>
      <c r="DH159" s="783"/>
      <c r="DI159" s="783"/>
      <c r="DJ159" s="783"/>
      <c r="DK159" s="783"/>
      <c r="DL159" s="783"/>
      <c r="DM159" s="783"/>
      <c r="DN159" s="783"/>
      <c r="DO159" s="783"/>
      <c r="DP159" s="783"/>
      <c r="DQ159" s="783"/>
      <c r="DR159" s="783"/>
      <c r="DS159" s="783"/>
      <c r="DT159" s="783"/>
      <c r="DU159" s="783"/>
      <c r="DV159" s="783"/>
      <c r="DW159" s="783"/>
      <c r="DX159" s="783"/>
      <c r="DY159" s="783"/>
      <c r="DZ159" s="783"/>
      <c r="EA159" s="783"/>
      <c r="EB159" s="783"/>
      <c r="EC159" s="783"/>
      <c r="ED159" s="783"/>
      <c r="EE159" s="783"/>
      <c r="EF159" s="783"/>
      <c r="EG159" s="783"/>
      <c r="EH159" s="783"/>
      <c r="EI159" s="783"/>
      <c r="EJ159" s="783"/>
      <c r="EK159" s="783"/>
      <c r="EL159" s="783"/>
      <c r="EM159" s="783"/>
      <c r="EN159" s="783"/>
      <c r="EO159" s="783"/>
      <c r="EP159" s="783"/>
      <c r="EQ159" s="783"/>
      <c r="ER159" s="783"/>
      <c r="ES159" s="783"/>
      <c r="ET159" s="783"/>
      <c r="EU159" s="783"/>
      <c r="EV159" s="783"/>
      <c r="EW159" s="783"/>
      <c r="EX159" s="783"/>
      <c r="EY159" s="783"/>
      <c r="EZ159" s="783"/>
      <c r="FA159" s="783"/>
      <c r="FB159" s="783"/>
      <c r="FC159" s="783"/>
      <c r="FD159" s="783"/>
      <c r="FE159" s="783"/>
      <c r="FF159" s="783"/>
      <c r="FG159" s="783"/>
      <c r="FH159" s="783"/>
      <c r="FI159" s="783"/>
      <c r="FJ159" s="783"/>
      <c r="FK159" s="783"/>
      <c r="FL159" s="783"/>
      <c r="FM159" s="783"/>
      <c r="FN159" s="783"/>
      <c r="FO159" s="783"/>
      <c r="FP159" s="783"/>
      <c r="FQ159" s="783"/>
      <c r="FR159" s="783"/>
      <c r="FS159" s="783"/>
      <c r="FT159" s="783"/>
      <c r="FU159" s="783"/>
      <c r="FV159" s="783"/>
      <c r="FW159" s="783"/>
      <c r="FX159" s="783"/>
      <c r="FY159" s="783"/>
      <c r="FZ159" s="783"/>
      <c r="GA159" s="783"/>
      <c r="GB159" s="783"/>
      <c r="GC159" s="783"/>
      <c r="GD159" s="783"/>
      <c r="GE159" s="783"/>
      <c r="GF159" s="783"/>
      <c r="GG159" s="783"/>
      <c r="GH159" s="783"/>
      <c r="GI159" s="783"/>
      <c r="GJ159" s="783"/>
      <c r="GK159" s="783"/>
      <c r="GL159" s="783"/>
      <c r="GM159" s="783"/>
      <c r="GN159" s="783"/>
      <c r="GO159" s="783"/>
      <c r="GP159" s="783"/>
      <c r="GQ159" s="783"/>
      <c r="GR159" s="783"/>
      <c r="GS159" s="783"/>
      <c r="GT159" s="783"/>
      <c r="GU159" s="783"/>
      <c r="GV159" s="783"/>
      <c r="GW159" s="783"/>
      <c r="GX159" s="783"/>
      <c r="GY159" s="783"/>
      <c r="GZ159" s="783"/>
      <c r="HA159" s="783"/>
      <c r="HB159" s="783"/>
      <c r="HC159" s="783"/>
      <c r="HD159" s="783"/>
      <c r="HE159" s="783"/>
      <c r="HF159" s="783"/>
      <c r="HG159" s="783"/>
      <c r="HH159" s="783"/>
      <c r="HI159" s="783"/>
      <c r="HJ159" s="783"/>
      <c r="HK159" s="783"/>
      <c r="HL159" s="783"/>
      <c r="HM159" s="783"/>
      <c r="HN159" s="783"/>
      <c r="HO159" s="783"/>
      <c r="HP159" s="783"/>
      <c r="HQ159" s="783"/>
      <c r="HR159" s="783"/>
      <c r="HS159" s="783"/>
      <c r="HT159" s="783"/>
      <c r="HU159" s="783"/>
      <c r="HV159" s="783"/>
      <c r="HW159" s="783"/>
      <c r="HX159" s="783"/>
      <c r="HY159" s="783"/>
      <c r="HZ159" s="783"/>
      <c r="IA159" s="783"/>
      <c r="IB159" s="783"/>
      <c r="IC159" s="783"/>
      <c r="ID159" s="783"/>
      <c r="IE159" s="783"/>
      <c r="IF159" s="783"/>
      <c r="IG159" s="783"/>
      <c r="IH159" s="783"/>
      <c r="II159" s="783"/>
      <c r="IJ159" s="783"/>
      <c r="IK159" s="783"/>
      <c r="IL159" s="783"/>
      <c r="IM159" s="783"/>
      <c r="IN159" s="783"/>
      <c r="IO159" s="783"/>
      <c r="IP159" s="783"/>
      <c r="IQ159" s="783"/>
      <c r="IR159" s="783"/>
      <c r="IS159" s="783"/>
      <c r="IT159" s="783"/>
      <c r="IU159" s="783"/>
      <c r="IV159" s="783"/>
    </row>
    <row r="160" spans="1:256" s="1109" customFormat="1" hidden="1">
      <c r="A160" s="783"/>
      <c r="B160" s="261">
        <v>8</v>
      </c>
      <c r="C160" s="271">
        <v>3</v>
      </c>
      <c r="D160" s="270" t="s">
        <v>1231</v>
      </c>
      <c r="E160" s="271">
        <f t="shared" si="9"/>
        <v>33</v>
      </c>
      <c r="F160" s="261">
        <v>1</v>
      </c>
      <c r="G160" s="261" t="s">
        <v>268</v>
      </c>
      <c r="H160" s="272">
        <f>C160*E160/F160</f>
        <v>99</v>
      </c>
      <c r="I160" s="783"/>
      <c r="J160" s="783"/>
      <c r="K160" s="783"/>
      <c r="L160" s="783"/>
      <c r="M160" s="783">
        <v>93</v>
      </c>
      <c r="N160" s="783"/>
      <c r="O160" s="783"/>
      <c r="P160" s="783"/>
      <c r="Q160" s="783"/>
      <c r="R160" s="783"/>
      <c r="S160" s="783"/>
      <c r="T160" s="783"/>
      <c r="U160" s="783"/>
      <c r="V160" s="783"/>
      <c r="W160" s="783"/>
      <c r="X160" s="783"/>
      <c r="Y160" s="783"/>
      <c r="Z160" s="783"/>
      <c r="AA160" s="783"/>
      <c r="AB160" s="783"/>
      <c r="AC160" s="783"/>
      <c r="AD160" s="783"/>
      <c r="AE160" s="783"/>
      <c r="AF160" s="783"/>
      <c r="AG160" s="783"/>
      <c r="AH160" s="783"/>
      <c r="AI160" s="783"/>
      <c r="AJ160" s="783"/>
      <c r="AK160" s="783"/>
      <c r="AL160" s="783"/>
      <c r="AM160" s="783"/>
      <c r="AN160" s="783"/>
      <c r="AO160" s="783"/>
      <c r="AP160" s="783"/>
      <c r="AQ160" s="783"/>
      <c r="AR160" s="783"/>
      <c r="AS160" s="783"/>
      <c r="AT160" s="783"/>
      <c r="AU160" s="783"/>
      <c r="AV160" s="783"/>
      <c r="AW160" s="783"/>
      <c r="AX160" s="783"/>
      <c r="AY160" s="783"/>
      <c r="AZ160" s="783"/>
      <c r="BA160" s="783"/>
      <c r="BB160" s="783"/>
      <c r="BC160" s="783"/>
      <c r="BD160" s="783"/>
      <c r="BE160" s="783"/>
      <c r="BF160" s="783"/>
      <c r="BG160" s="783"/>
      <c r="BH160" s="783"/>
      <c r="BI160" s="783"/>
      <c r="BJ160" s="783"/>
      <c r="BK160" s="783"/>
      <c r="BL160" s="783"/>
      <c r="BM160" s="783"/>
      <c r="BN160" s="783"/>
      <c r="BO160" s="783"/>
      <c r="BP160" s="783"/>
      <c r="BQ160" s="783"/>
      <c r="BR160" s="783"/>
      <c r="BS160" s="783"/>
      <c r="BT160" s="783"/>
      <c r="BU160" s="783"/>
      <c r="BV160" s="783"/>
      <c r="BW160" s="783"/>
      <c r="BX160" s="783"/>
      <c r="BY160" s="783"/>
      <c r="BZ160" s="783"/>
      <c r="CA160" s="783"/>
      <c r="CB160" s="783"/>
      <c r="CC160" s="783"/>
      <c r="CD160" s="783"/>
      <c r="CE160" s="783"/>
      <c r="CF160" s="783"/>
      <c r="CG160" s="783"/>
      <c r="CH160" s="783"/>
      <c r="CI160" s="783"/>
      <c r="CJ160" s="783"/>
      <c r="CK160" s="783"/>
      <c r="CL160" s="783"/>
      <c r="CM160" s="783"/>
      <c r="CN160" s="783"/>
      <c r="CO160" s="783"/>
      <c r="CP160" s="783"/>
      <c r="CQ160" s="783"/>
      <c r="CR160" s="783"/>
      <c r="CS160" s="783"/>
      <c r="CT160" s="783"/>
      <c r="CU160" s="783"/>
      <c r="CV160" s="783"/>
      <c r="CW160" s="783"/>
      <c r="CX160" s="783"/>
      <c r="CY160" s="783"/>
      <c r="CZ160" s="783"/>
      <c r="DA160" s="783"/>
      <c r="DB160" s="783"/>
      <c r="DC160" s="783"/>
      <c r="DD160" s="783"/>
      <c r="DE160" s="783"/>
      <c r="DF160" s="783"/>
      <c r="DG160" s="783"/>
      <c r="DH160" s="783"/>
      <c r="DI160" s="783"/>
      <c r="DJ160" s="783"/>
      <c r="DK160" s="783"/>
      <c r="DL160" s="783"/>
      <c r="DM160" s="783"/>
      <c r="DN160" s="783"/>
      <c r="DO160" s="783"/>
      <c r="DP160" s="783"/>
      <c r="DQ160" s="783"/>
      <c r="DR160" s="783"/>
      <c r="DS160" s="783"/>
      <c r="DT160" s="783"/>
      <c r="DU160" s="783"/>
      <c r="DV160" s="783"/>
      <c r="DW160" s="783"/>
      <c r="DX160" s="783"/>
      <c r="DY160" s="783"/>
      <c r="DZ160" s="783"/>
      <c r="EA160" s="783"/>
      <c r="EB160" s="783"/>
      <c r="EC160" s="783"/>
      <c r="ED160" s="783"/>
      <c r="EE160" s="783"/>
      <c r="EF160" s="783"/>
      <c r="EG160" s="783"/>
      <c r="EH160" s="783"/>
      <c r="EI160" s="783"/>
      <c r="EJ160" s="783"/>
      <c r="EK160" s="783"/>
      <c r="EL160" s="783"/>
      <c r="EM160" s="783"/>
      <c r="EN160" s="783"/>
      <c r="EO160" s="783"/>
      <c r="EP160" s="783"/>
      <c r="EQ160" s="783"/>
      <c r="ER160" s="783"/>
      <c r="ES160" s="783"/>
      <c r="ET160" s="783"/>
      <c r="EU160" s="783"/>
      <c r="EV160" s="783"/>
      <c r="EW160" s="783"/>
      <c r="EX160" s="783"/>
      <c r="EY160" s="783"/>
      <c r="EZ160" s="783"/>
      <c r="FA160" s="783"/>
      <c r="FB160" s="783"/>
      <c r="FC160" s="783"/>
      <c r="FD160" s="783"/>
      <c r="FE160" s="783"/>
      <c r="FF160" s="783"/>
      <c r="FG160" s="783"/>
      <c r="FH160" s="783"/>
      <c r="FI160" s="783"/>
      <c r="FJ160" s="783"/>
      <c r="FK160" s="783"/>
      <c r="FL160" s="783"/>
      <c r="FM160" s="783"/>
      <c r="FN160" s="783"/>
      <c r="FO160" s="783"/>
      <c r="FP160" s="783"/>
      <c r="FQ160" s="783"/>
      <c r="FR160" s="783"/>
      <c r="FS160" s="783"/>
      <c r="FT160" s="783"/>
      <c r="FU160" s="783"/>
      <c r="FV160" s="783"/>
      <c r="FW160" s="783"/>
      <c r="FX160" s="783"/>
      <c r="FY160" s="783"/>
      <c r="FZ160" s="783"/>
      <c r="GA160" s="783"/>
      <c r="GB160" s="783"/>
      <c r="GC160" s="783"/>
      <c r="GD160" s="783"/>
      <c r="GE160" s="783"/>
      <c r="GF160" s="783"/>
      <c r="GG160" s="783"/>
      <c r="GH160" s="783"/>
      <c r="GI160" s="783"/>
      <c r="GJ160" s="783"/>
      <c r="GK160" s="783"/>
      <c r="GL160" s="783"/>
      <c r="GM160" s="783"/>
      <c r="GN160" s="783"/>
      <c r="GO160" s="783"/>
      <c r="GP160" s="783"/>
      <c r="GQ160" s="783"/>
      <c r="GR160" s="783"/>
      <c r="GS160" s="783"/>
      <c r="GT160" s="783"/>
      <c r="GU160" s="783"/>
      <c r="GV160" s="783"/>
      <c r="GW160" s="783"/>
      <c r="GX160" s="783"/>
      <c r="GY160" s="783"/>
      <c r="GZ160" s="783"/>
      <c r="HA160" s="783"/>
      <c r="HB160" s="783"/>
      <c r="HC160" s="783"/>
      <c r="HD160" s="783"/>
      <c r="HE160" s="783"/>
      <c r="HF160" s="783"/>
      <c r="HG160" s="783"/>
      <c r="HH160" s="783"/>
      <c r="HI160" s="783"/>
      <c r="HJ160" s="783"/>
      <c r="HK160" s="783"/>
      <c r="HL160" s="783"/>
      <c r="HM160" s="783"/>
      <c r="HN160" s="783"/>
      <c r="HO160" s="783"/>
      <c r="HP160" s="783"/>
      <c r="HQ160" s="783"/>
      <c r="HR160" s="783"/>
      <c r="HS160" s="783"/>
      <c r="HT160" s="783"/>
      <c r="HU160" s="783"/>
      <c r="HV160" s="783"/>
      <c r="HW160" s="783"/>
      <c r="HX160" s="783"/>
      <c r="HY160" s="783"/>
      <c r="HZ160" s="783"/>
      <c r="IA160" s="783"/>
      <c r="IB160" s="783"/>
      <c r="IC160" s="783"/>
      <c r="ID160" s="783"/>
      <c r="IE160" s="783"/>
      <c r="IF160" s="783"/>
      <c r="IG160" s="783"/>
      <c r="IH160" s="783"/>
      <c r="II160" s="783"/>
      <c r="IJ160" s="783"/>
      <c r="IK160" s="783"/>
      <c r="IL160" s="783"/>
      <c r="IM160" s="783"/>
      <c r="IN160" s="783"/>
      <c r="IO160" s="783"/>
      <c r="IP160" s="783"/>
      <c r="IQ160" s="783"/>
      <c r="IR160" s="783"/>
      <c r="IS160" s="783"/>
      <c r="IT160" s="783"/>
      <c r="IU160" s="783"/>
      <c r="IV160" s="783"/>
    </row>
    <row r="161" spans="1:256" s="1109" customFormat="1" hidden="1">
      <c r="A161" s="783"/>
      <c r="B161" s="261">
        <v>9</v>
      </c>
      <c r="C161" s="271">
        <v>1</v>
      </c>
      <c r="D161" s="270" t="s">
        <v>1232</v>
      </c>
      <c r="E161" s="271">
        <f t="shared" si="9"/>
        <v>70</v>
      </c>
      <c r="F161" s="261">
        <v>1</v>
      </c>
      <c r="G161" s="261" t="s">
        <v>268</v>
      </c>
      <c r="H161" s="272">
        <f>C161*E161/F161</f>
        <v>70</v>
      </c>
      <c r="I161" s="783"/>
      <c r="J161" s="783"/>
      <c r="K161" s="783"/>
      <c r="L161" s="783"/>
      <c r="M161" s="783">
        <v>66</v>
      </c>
      <c r="N161" s="783"/>
      <c r="O161" s="783"/>
      <c r="P161" s="783"/>
      <c r="Q161" s="783"/>
      <c r="R161" s="783"/>
      <c r="S161" s="783"/>
      <c r="T161" s="783"/>
      <c r="U161" s="783"/>
      <c r="V161" s="783"/>
      <c r="W161" s="783"/>
      <c r="X161" s="783"/>
      <c r="Y161" s="783"/>
      <c r="Z161" s="783"/>
      <c r="AA161" s="783"/>
      <c r="AB161" s="783"/>
      <c r="AC161" s="783"/>
      <c r="AD161" s="783"/>
      <c r="AE161" s="783"/>
      <c r="AF161" s="783"/>
      <c r="AG161" s="783"/>
      <c r="AH161" s="783"/>
      <c r="AI161" s="783"/>
      <c r="AJ161" s="783"/>
      <c r="AK161" s="783"/>
      <c r="AL161" s="783"/>
      <c r="AM161" s="783"/>
      <c r="AN161" s="783"/>
      <c r="AO161" s="783"/>
      <c r="AP161" s="783"/>
      <c r="AQ161" s="783"/>
      <c r="AR161" s="783"/>
      <c r="AS161" s="783"/>
      <c r="AT161" s="783"/>
      <c r="AU161" s="783"/>
      <c r="AV161" s="783"/>
      <c r="AW161" s="783"/>
      <c r="AX161" s="783"/>
      <c r="AY161" s="783"/>
      <c r="AZ161" s="783"/>
      <c r="BA161" s="783"/>
      <c r="BB161" s="783"/>
      <c r="BC161" s="783"/>
      <c r="BD161" s="783"/>
      <c r="BE161" s="783"/>
      <c r="BF161" s="783"/>
      <c r="BG161" s="783"/>
      <c r="BH161" s="783"/>
      <c r="BI161" s="783"/>
      <c r="BJ161" s="783"/>
      <c r="BK161" s="783"/>
      <c r="BL161" s="783"/>
      <c r="BM161" s="783"/>
      <c r="BN161" s="783"/>
      <c r="BO161" s="783"/>
      <c r="BP161" s="783"/>
      <c r="BQ161" s="783"/>
      <c r="BR161" s="783"/>
      <c r="BS161" s="783"/>
      <c r="BT161" s="783"/>
      <c r="BU161" s="783"/>
      <c r="BV161" s="783"/>
      <c r="BW161" s="783"/>
      <c r="BX161" s="783"/>
      <c r="BY161" s="783"/>
      <c r="BZ161" s="783"/>
      <c r="CA161" s="783"/>
      <c r="CB161" s="783"/>
      <c r="CC161" s="783"/>
      <c r="CD161" s="783"/>
      <c r="CE161" s="783"/>
      <c r="CF161" s="783"/>
      <c r="CG161" s="783"/>
      <c r="CH161" s="783"/>
      <c r="CI161" s="783"/>
      <c r="CJ161" s="783"/>
      <c r="CK161" s="783"/>
      <c r="CL161" s="783"/>
      <c r="CM161" s="783"/>
      <c r="CN161" s="783"/>
      <c r="CO161" s="783"/>
      <c r="CP161" s="783"/>
      <c r="CQ161" s="783"/>
      <c r="CR161" s="783"/>
      <c r="CS161" s="783"/>
      <c r="CT161" s="783"/>
      <c r="CU161" s="783"/>
      <c r="CV161" s="783"/>
      <c r="CW161" s="783"/>
      <c r="CX161" s="783"/>
      <c r="CY161" s="783"/>
      <c r="CZ161" s="783"/>
      <c r="DA161" s="783"/>
      <c r="DB161" s="783"/>
      <c r="DC161" s="783"/>
      <c r="DD161" s="783"/>
      <c r="DE161" s="783"/>
      <c r="DF161" s="783"/>
      <c r="DG161" s="783"/>
      <c r="DH161" s="783"/>
      <c r="DI161" s="783"/>
      <c r="DJ161" s="783"/>
      <c r="DK161" s="783"/>
      <c r="DL161" s="783"/>
      <c r="DM161" s="783"/>
      <c r="DN161" s="783"/>
      <c r="DO161" s="783"/>
      <c r="DP161" s="783"/>
      <c r="DQ161" s="783"/>
      <c r="DR161" s="783"/>
      <c r="DS161" s="783"/>
      <c r="DT161" s="783"/>
      <c r="DU161" s="783"/>
      <c r="DV161" s="783"/>
      <c r="DW161" s="783"/>
      <c r="DX161" s="783"/>
      <c r="DY161" s="783"/>
      <c r="DZ161" s="783"/>
      <c r="EA161" s="783"/>
      <c r="EB161" s="783"/>
      <c r="EC161" s="783"/>
      <c r="ED161" s="783"/>
      <c r="EE161" s="783"/>
      <c r="EF161" s="783"/>
      <c r="EG161" s="783"/>
      <c r="EH161" s="783"/>
      <c r="EI161" s="783"/>
      <c r="EJ161" s="783"/>
      <c r="EK161" s="783"/>
      <c r="EL161" s="783"/>
      <c r="EM161" s="783"/>
      <c r="EN161" s="783"/>
      <c r="EO161" s="783"/>
      <c r="EP161" s="783"/>
      <c r="EQ161" s="783"/>
      <c r="ER161" s="783"/>
      <c r="ES161" s="783"/>
      <c r="ET161" s="783"/>
      <c r="EU161" s="783"/>
      <c r="EV161" s="783"/>
      <c r="EW161" s="783"/>
      <c r="EX161" s="783"/>
      <c r="EY161" s="783"/>
      <c r="EZ161" s="783"/>
      <c r="FA161" s="783"/>
      <c r="FB161" s="783"/>
      <c r="FC161" s="783"/>
      <c r="FD161" s="783"/>
      <c r="FE161" s="783"/>
      <c r="FF161" s="783"/>
      <c r="FG161" s="783"/>
      <c r="FH161" s="783"/>
      <c r="FI161" s="783"/>
      <c r="FJ161" s="783"/>
      <c r="FK161" s="783"/>
      <c r="FL161" s="783"/>
      <c r="FM161" s="783"/>
      <c r="FN161" s="783"/>
      <c r="FO161" s="783"/>
      <c r="FP161" s="783"/>
      <c r="FQ161" s="783"/>
      <c r="FR161" s="783"/>
      <c r="FS161" s="783"/>
      <c r="FT161" s="783"/>
      <c r="FU161" s="783"/>
      <c r="FV161" s="783"/>
      <c r="FW161" s="783"/>
      <c r="FX161" s="783"/>
      <c r="FY161" s="783"/>
      <c r="FZ161" s="783"/>
      <c r="GA161" s="783"/>
      <c r="GB161" s="783"/>
      <c r="GC161" s="783"/>
      <c r="GD161" s="783"/>
      <c r="GE161" s="783"/>
      <c r="GF161" s="783"/>
      <c r="GG161" s="783"/>
      <c r="GH161" s="783"/>
      <c r="GI161" s="783"/>
      <c r="GJ161" s="783"/>
      <c r="GK161" s="783"/>
      <c r="GL161" s="783"/>
      <c r="GM161" s="783"/>
      <c r="GN161" s="783"/>
      <c r="GO161" s="783"/>
      <c r="GP161" s="783"/>
      <c r="GQ161" s="783"/>
      <c r="GR161" s="783"/>
      <c r="GS161" s="783"/>
      <c r="GT161" s="783"/>
      <c r="GU161" s="783"/>
      <c r="GV161" s="783"/>
      <c r="GW161" s="783"/>
      <c r="GX161" s="783"/>
      <c r="GY161" s="783"/>
      <c r="GZ161" s="783"/>
      <c r="HA161" s="783"/>
      <c r="HB161" s="783"/>
      <c r="HC161" s="783"/>
      <c r="HD161" s="783"/>
      <c r="HE161" s="783"/>
      <c r="HF161" s="783"/>
      <c r="HG161" s="783"/>
      <c r="HH161" s="783"/>
      <c r="HI161" s="783"/>
      <c r="HJ161" s="783"/>
      <c r="HK161" s="783"/>
      <c r="HL161" s="783"/>
      <c r="HM161" s="783"/>
      <c r="HN161" s="783"/>
      <c r="HO161" s="783"/>
      <c r="HP161" s="783"/>
      <c r="HQ161" s="783"/>
      <c r="HR161" s="783"/>
      <c r="HS161" s="783"/>
      <c r="HT161" s="783"/>
      <c r="HU161" s="783"/>
      <c r="HV161" s="783"/>
      <c r="HW161" s="783"/>
      <c r="HX161" s="783"/>
      <c r="HY161" s="783"/>
      <c r="HZ161" s="783"/>
      <c r="IA161" s="783"/>
      <c r="IB161" s="783"/>
      <c r="IC161" s="783"/>
      <c r="ID161" s="783"/>
      <c r="IE161" s="783"/>
      <c r="IF161" s="783"/>
      <c r="IG161" s="783"/>
      <c r="IH161" s="783"/>
      <c r="II161" s="783"/>
      <c r="IJ161" s="783"/>
      <c r="IK161" s="783"/>
      <c r="IL161" s="783"/>
      <c r="IM161" s="783"/>
      <c r="IN161" s="783"/>
      <c r="IO161" s="783"/>
      <c r="IP161" s="783"/>
      <c r="IQ161" s="783"/>
      <c r="IR161" s="783"/>
      <c r="IS161" s="783"/>
      <c r="IT161" s="783"/>
      <c r="IU161" s="783"/>
      <c r="IV161" s="783"/>
    </row>
    <row r="162" spans="1:256" s="1109" customFormat="1" hidden="1">
      <c r="A162" s="783"/>
      <c r="B162" s="261">
        <v>10</v>
      </c>
      <c r="C162" s="271">
        <v>1</v>
      </c>
      <c r="D162" s="270" t="s">
        <v>1233</v>
      </c>
      <c r="E162" s="271">
        <f t="shared" si="9"/>
        <v>48</v>
      </c>
      <c r="F162" s="261">
        <v>1</v>
      </c>
      <c r="G162" s="261" t="s">
        <v>461</v>
      </c>
      <c r="H162" s="272">
        <f>C162*E162/F162</f>
        <v>48</v>
      </c>
      <c r="I162" s="783"/>
      <c r="J162" s="783"/>
      <c r="K162" s="783"/>
      <c r="L162" s="783"/>
      <c r="M162" s="783">
        <v>45</v>
      </c>
      <c r="N162" s="783"/>
      <c r="O162" s="783"/>
      <c r="P162" s="783"/>
      <c r="Q162" s="783"/>
      <c r="R162" s="783"/>
      <c r="S162" s="783"/>
      <c r="T162" s="783"/>
      <c r="U162" s="783"/>
      <c r="V162" s="783"/>
      <c r="W162" s="783"/>
      <c r="X162" s="783"/>
      <c r="Y162" s="783"/>
      <c r="Z162" s="783"/>
      <c r="AA162" s="783"/>
      <c r="AB162" s="783"/>
      <c r="AC162" s="783"/>
      <c r="AD162" s="783"/>
      <c r="AE162" s="783"/>
      <c r="AF162" s="783"/>
      <c r="AG162" s="783"/>
      <c r="AH162" s="783"/>
      <c r="AI162" s="783"/>
      <c r="AJ162" s="783"/>
      <c r="AK162" s="783"/>
      <c r="AL162" s="783"/>
      <c r="AM162" s="783"/>
      <c r="AN162" s="783"/>
      <c r="AO162" s="783"/>
      <c r="AP162" s="783"/>
      <c r="AQ162" s="783"/>
      <c r="AR162" s="783"/>
      <c r="AS162" s="783"/>
      <c r="AT162" s="783"/>
      <c r="AU162" s="783"/>
      <c r="AV162" s="783"/>
      <c r="AW162" s="783"/>
      <c r="AX162" s="783"/>
      <c r="AY162" s="783"/>
      <c r="AZ162" s="783"/>
      <c r="BA162" s="783"/>
      <c r="BB162" s="783"/>
      <c r="BC162" s="783"/>
      <c r="BD162" s="783"/>
      <c r="BE162" s="783"/>
      <c r="BF162" s="783"/>
      <c r="BG162" s="783"/>
      <c r="BH162" s="783"/>
      <c r="BI162" s="783"/>
      <c r="BJ162" s="783"/>
      <c r="BK162" s="783"/>
      <c r="BL162" s="783"/>
      <c r="BM162" s="783"/>
      <c r="BN162" s="783"/>
      <c r="BO162" s="783"/>
      <c r="BP162" s="783"/>
      <c r="BQ162" s="783"/>
      <c r="BR162" s="783"/>
      <c r="BS162" s="783"/>
      <c r="BT162" s="783"/>
      <c r="BU162" s="783"/>
      <c r="BV162" s="783"/>
      <c r="BW162" s="783"/>
      <c r="BX162" s="783"/>
      <c r="BY162" s="783"/>
      <c r="BZ162" s="783"/>
      <c r="CA162" s="783"/>
      <c r="CB162" s="783"/>
      <c r="CC162" s="783"/>
      <c r="CD162" s="783"/>
      <c r="CE162" s="783"/>
      <c r="CF162" s="783"/>
      <c r="CG162" s="783"/>
      <c r="CH162" s="783"/>
      <c r="CI162" s="783"/>
      <c r="CJ162" s="783"/>
      <c r="CK162" s="783"/>
      <c r="CL162" s="783"/>
      <c r="CM162" s="783"/>
      <c r="CN162" s="783"/>
      <c r="CO162" s="783"/>
      <c r="CP162" s="783"/>
      <c r="CQ162" s="783"/>
      <c r="CR162" s="783"/>
      <c r="CS162" s="783"/>
      <c r="CT162" s="783"/>
      <c r="CU162" s="783"/>
      <c r="CV162" s="783"/>
      <c r="CW162" s="783"/>
      <c r="CX162" s="783"/>
      <c r="CY162" s="783"/>
      <c r="CZ162" s="783"/>
      <c r="DA162" s="783"/>
      <c r="DB162" s="783"/>
      <c r="DC162" s="783"/>
      <c r="DD162" s="783"/>
      <c r="DE162" s="783"/>
      <c r="DF162" s="783"/>
      <c r="DG162" s="783"/>
      <c r="DH162" s="783"/>
      <c r="DI162" s="783"/>
      <c r="DJ162" s="783"/>
      <c r="DK162" s="783"/>
      <c r="DL162" s="783"/>
      <c r="DM162" s="783"/>
      <c r="DN162" s="783"/>
      <c r="DO162" s="783"/>
      <c r="DP162" s="783"/>
      <c r="DQ162" s="783"/>
      <c r="DR162" s="783"/>
      <c r="DS162" s="783"/>
      <c r="DT162" s="783"/>
      <c r="DU162" s="783"/>
      <c r="DV162" s="783"/>
      <c r="DW162" s="783"/>
      <c r="DX162" s="783"/>
      <c r="DY162" s="783"/>
      <c r="DZ162" s="783"/>
      <c r="EA162" s="783"/>
      <c r="EB162" s="783"/>
      <c r="EC162" s="783"/>
      <c r="ED162" s="783"/>
      <c r="EE162" s="783"/>
      <c r="EF162" s="783"/>
      <c r="EG162" s="783"/>
      <c r="EH162" s="783"/>
      <c r="EI162" s="783"/>
      <c r="EJ162" s="783"/>
      <c r="EK162" s="783"/>
      <c r="EL162" s="783"/>
      <c r="EM162" s="783"/>
      <c r="EN162" s="783"/>
      <c r="EO162" s="783"/>
      <c r="EP162" s="783"/>
      <c r="EQ162" s="783"/>
      <c r="ER162" s="783"/>
      <c r="ES162" s="783"/>
      <c r="ET162" s="783"/>
      <c r="EU162" s="783"/>
      <c r="EV162" s="783"/>
      <c r="EW162" s="783"/>
      <c r="EX162" s="783"/>
      <c r="EY162" s="783"/>
      <c r="EZ162" s="783"/>
      <c r="FA162" s="783"/>
      <c r="FB162" s="783"/>
      <c r="FC162" s="783"/>
      <c r="FD162" s="783"/>
      <c r="FE162" s="783"/>
      <c r="FF162" s="783"/>
      <c r="FG162" s="783"/>
      <c r="FH162" s="783"/>
      <c r="FI162" s="783"/>
      <c r="FJ162" s="783"/>
      <c r="FK162" s="783"/>
      <c r="FL162" s="783"/>
      <c r="FM162" s="783"/>
      <c r="FN162" s="783"/>
      <c r="FO162" s="783"/>
      <c r="FP162" s="783"/>
      <c r="FQ162" s="783"/>
      <c r="FR162" s="783"/>
      <c r="FS162" s="783"/>
      <c r="FT162" s="783"/>
      <c r="FU162" s="783"/>
      <c r="FV162" s="783"/>
      <c r="FW162" s="783"/>
      <c r="FX162" s="783"/>
      <c r="FY162" s="783"/>
      <c r="FZ162" s="783"/>
      <c r="GA162" s="783"/>
      <c r="GB162" s="783"/>
      <c r="GC162" s="783"/>
      <c r="GD162" s="783"/>
      <c r="GE162" s="783"/>
      <c r="GF162" s="783"/>
      <c r="GG162" s="783"/>
      <c r="GH162" s="783"/>
      <c r="GI162" s="783"/>
      <c r="GJ162" s="783"/>
      <c r="GK162" s="783"/>
      <c r="GL162" s="783"/>
      <c r="GM162" s="783"/>
      <c r="GN162" s="783"/>
      <c r="GO162" s="783"/>
      <c r="GP162" s="783"/>
      <c r="GQ162" s="783"/>
      <c r="GR162" s="783"/>
      <c r="GS162" s="783"/>
      <c r="GT162" s="783"/>
      <c r="GU162" s="783"/>
      <c r="GV162" s="783"/>
      <c r="GW162" s="783"/>
      <c r="GX162" s="783"/>
      <c r="GY162" s="783"/>
      <c r="GZ162" s="783"/>
      <c r="HA162" s="783"/>
      <c r="HB162" s="783"/>
      <c r="HC162" s="783"/>
      <c r="HD162" s="783"/>
      <c r="HE162" s="783"/>
      <c r="HF162" s="783"/>
      <c r="HG162" s="783"/>
      <c r="HH162" s="783"/>
      <c r="HI162" s="783"/>
      <c r="HJ162" s="783"/>
      <c r="HK162" s="783"/>
      <c r="HL162" s="783"/>
      <c r="HM162" s="783"/>
      <c r="HN162" s="783"/>
      <c r="HO162" s="783"/>
      <c r="HP162" s="783"/>
      <c r="HQ162" s="783"/>
      <c r="HR162" s="783"/>
      <c r="HS162" s="783"/>
      <c r="HT162" s="783"/>
      <c r="HU162" s="783"/>
      <c r="HV162" s="783"/>
      <c r="HW162" s="783"/>
      <c r="HX162" s="783"/>
      <c r="HY162" s="783"/>
      <c r="HZ162" s="783"/>
      <c r="IA162" s="783"/>
      <c r="IB162" s="783"/>
      <c r="IC162" s="783"/>
      <c r="ID162" s="783"/>
      <c r="IE162" s="783"/>
      <c r="IF162" s="783"/>
      <c r="IG162" s="783"/>
      <c r="IH162" s="783"/>
      <c r="II162" s="783"/>
      <c r="IJ162" s="783"/>
      <c r="IK162" s="783"/>
      <c r="IL162" s="783"/>
      <c r="IM162" s="783"/>
      <c r="IN162" s="783"/>
      <c r="IO162" s="783"/>
      <c r="IP162" s="783"/>
      <c r="IQ162" s="783"/>
      <c r="IR162" s="783"/>
      <c r="IS162" s="783"/>
      <c r="IT162" s="783"/>
      <c r="IU162" s="783"/>
      <c r="IV162" s="783"/>
    </row>
    <row r="163" spans="1:256" s="1109" customFormat="1" hidden="1">
      <c r="A163" s="783"/>
      <c r="B163" s="261"/>
      <c r="C163" s="271"/>
      <c r="D163" s="269" t="s">
        <v>510</v>
      </c>
      <c r="E163" s="271"/>
      <c r="F163" s="261"/>
      <c r="G163" s="261"/>
      <c r="H163" s="274"/>
      <c r="I163" s="783"/>
      <c r="J163" s="783"/>
      <c r="K163" s="783"/>
      <c r="L163" s="783"/>
      <c r="M163" s="783"/>
      <c r="N163" s="783"/>
      <c r="O163" s="783"/>
      <c r="P163" s="783"/>
      <c r="Q163" s="783"/>
      <c r="R163" s="783"/>
      <c r="S163" s="783"/>
      <c r="T163" s="783"/>
      <c r="U163" s="783"/>
      <c r="V163" s="783"/>
      <c r="W163" s="783"/>
      <c r="X163" s="783"/>
      <c r="Y163" s="783"/>
      <c r="Z163" s="783"/>
      <c r="AA163" s="783"/>
      <c r="AB163" s="783"/>
      <c r="AC163" s="783"/>
      <c r="AD163" s="783"/>
      <c r="AE163" s="783"/>
      <c r="AF163" s="783"/>
      <c r="AG163" s="783"/>
      <c r="AH163" s="783"/>
      <c r="AI163" s="783"/>
      <c r="AJ163" s="783"/>
      <c r="AK163" s="783"/>
      <c r="AL163" s="783"/>
      <c r="AM163" s="783"/>
      <c r="AN163" s="783"/>
      <c r="AO163" s="783"/>
      <c r="AP163" s="783"/>
      <c r="AQ163" s="783"/>
      <c r="AR163" s="783"/>
      <c r="AS163" s="783"/>
      <c r="AT163" s="783"/>
      <c r="AU163" s="783"/>
      <c r="AV163" s="783"/>
      <c r="AW163" s="783"/>
      <c r="AX163" s="783"/>
      <c r="AY163" s="783"/>
      <c r="AZ163" s="783"/>
      <c r="BA163" s="783"/>
      <c r="BB163" s="783"/>
      <c r="BC163" s="783"/>
      <c r="BD163" s="783"/>
      <c r="BE163" s="783"/>
      <c r="BF163" s="783"/>
      <c r="BG163" s="783"/>
      <c r="BH163" s="783"/>
      <c r="BI163" s="783"/>
      <c r="BJ163" s="783"/>
      <c r="BK163" s="783"/>
      <c r="BL163" s="783"/>
      <c r="BM163" s="783"/>
      <c r="BN163" s="783"/>
      <c r="BO163" s="783"/>
      <c r="BP163" s="783"/>
      <c r="BQ163" s="783"/>
      <c r="BR163" s="783"/>
      <c r="BS163" s="783"/>
      <c r="BT163" s="783"/>
      <c r="BU163" s="783"/>
      <c r="BV163" s="783"/>
      <c r="BW163" s="783"/>
      <c r="BX163" s="783"/>
      <c r="BY163" s="783"/>
      <c r="BZ163" s="783"/>
      <c r="CA163" s="783"/>
      <c r="CB163" s="783"/>
      <c r="CC163" s="783"/>
      <c r="CD163" s="783"/>
      <c r="CE163" s="783"/>
      <c r="CF163" s="783"/>
      <c r="CG163" s="783"/>
      <c r="CH163" s="783"/>
      <c r="CI163" s="783"/>
      <c r="CJ163" s="783"/>
      <c r="CK163" s="783"/>
      <c r="CL163" s="783"/>
      <c r="CM163" s="783"/>
      <c r="CN163" s="783"/>
      <c r="CO163" s="783"/>
      <c r="CP163" s="783"/>
      <c r="CQ163" s="783"/>
      <c r="CR163" s="783"/>
      <c r="CS163" s="783"/>
      <c r="CT163" s="783"/>
      <c r="CU163" s="783"/>
      <c r="CV163" s="783"/>
      <c r="CW163" s="783"/>
      <c r="CX163" s="783"/>
      <c r="CY163" s="783"/>
      <c r="CZ163" s="783"/>
      <c r="DA163" s="783"/>
      <c r="DB163" s="783"/>
      <c r="DC163" s="783"/>
      <c r="DD163" s="783"/>
      <c r="DE163" s="783"/>
      <c r="DF163" s="783"/>
      <c r="DG163" s="783"/>
      <c r="DH163" s="783"/>
      <c r="DI163" s="783"/>
      <c r="DJ163" s="783"/>
      <c r="DK163" s="783"/>
      <c r="DL163" s="783"/>
      <c r="DM163" s="783"/>
      <c r="DN163" s="783"/>
      <c r="DO163" s="783"/>
      <c r="DP163" s="783"/>
      <c r="DQ163" s="783"/>
      <c r="DR163" s="783"/>
      <c r="DS163" s="783"/>
      <c r="DT163" s="783"/>
      <c r="DU163" s="783"/>
      <c r="DV163" s="783"/>
      <c r="DW163" s="783"/>
      <c r="DX163" s="783"/>
      <c r="DY163" s="783"/>
      <c r="DZ163" s="783"/>
      <c r="EA163" s="783"/>
      <c r="EB163" s="783"/>
      <c r="EC163" s="783"/>
      <c r="ED163" s="783"/>
      <c r="EE163" s="783"/>
      <c r="EF163" s="783"/>
      <c r="EG163" s="783"/>
      <c r="EH163" s="783"/>
      <c r="EI163" s="783"/>
      <c r="EJ163" s="783"/>
      <c r="EK163" s="783"/>
      <c r="EL163" s="783"/>
      <c r="EM163" s="783"/>
      <c r="EN163" s="783"/>
      <c r="EO163" s="783"/>
      <c r="EP163" s="783"/>
      <c r="EQ163" s="783"/>
      <c r="ER163" s="783"/>
      <c r="ES163" s="783"/>
      <c r="ET163" s="783"/>
      <c r="EU163" s="783"/>
      <c r="EV163" s="783"/>
      <c r="EW163" s="783"/>
      <c r="EX163" s="783"/>
      <c r="EY163" s="783"/>
      <c r="EZ163" s="783"/>
      <c r="FA163" s="783"/>
      <c r="FB163" s="783"/>
      <c r="FC163" s="783"/>
      <c r="FD163" s="783"/>
      <c r="FE163" s="783"/>
      <c r="FF163" s="783"/>
      <c r="FG163" s="783"/>
      <c r="FH163" s="783"/>
      <c r="FI163" s="783"/>
      <c r="FJ163" s="783"/>
      <c r="FK163" s="783"/>
      <c r="FL163" s="783"/>
      <c r="FM163" s="783"/>
      <c r="FN163" s="783"/>
      <c r="FO163" s="783"/>
      <c r="FP163" s="783"/>
      <c r="FQ163" s="783"/>
      <c r="FR163" s="783"/>
      <c r="FS163" s="783"/>
      <c r="FT163" s="783"/>
      <c r="FU163" s="783"/>
      <c r="FV163" s="783"/>
      <c r="FW163" s="783"/>
      <c r="FX163" s="783"/>
      <c r="FY163" s="783"/>
      <c r="FZ163" s="783"/>
      <c r="GA163" s="783"/>
      <c r="GB163" s="783"/>
      <c r="GC163" s="783"/>
      <c r="GD163" s="783"/>
      <c r="GE163" s="783"/>
      <c r="GF163" s="783"/>
      <c r="GG163" s="783"/>
      <c r="GH163" s="783"/>
      <c r="GI163" s="783"/>
      <c r="GJ163" s="783"/>
      <c r="GK163" s="783"/>
      <c r="GL163" s="783"/>
      <c r="GM163" s="783"/>
      <c r="GN163" s="783"/>
      <c r="GO163" s="783"/>
      <c r="GP163" s="783"/>
      <c r="GQ163" s="783"/>
      <c r="GR163" s="783"/>
      <c r="GS163" s="783"/>
      <c r="GT163" s="783"/>
      <c r="GU163" s="783"/>
      <c r="GV163" s="783"/>
      <c r="GW163" s="783"/>
      <c r="GX163" s="783"/>
      <c r="GY163" s="783"/>
      <c r="GZ163" s="783"/>
      <c r="HA163" s="783"/>
      <c r="HB163" s="783"/>
      <c r="HC163" s="783"/>
      <c r="HD163" s="783"/>
      <c r="HE163" s="783"/>
      <c r="HF163" s="783"/>
      <c r="HG163" s="783"/>
      <c r="HH163" s="783"/>
      <c r="HI163" s="783"/>
      <c r="HJ163" s="783"/>
      <c r="HK163" s="783"/>
      <c r="HL163" s="783"/>
      <c r="HM163" s="783"/>
      <c r="HN163" s="783"/>
      <c r="HO163" s="783"/>
      <c r="HP163" s="783"/>
      <c r="HQ163" s="783"/>
      <c r="HR163" s="783"/>
      <c r="HS163" s="783"/>
      <c r="HT163" s="783"/>
      <c r="HU163" s="783"/>
      <c r="HV163" s="783"/>
      <c r="HW163" s="783"/>
      <c r="HX163" s="783"/>
      <c r="HY163" s="783"/>
      <c r="HZ163" s="783"/>
      <c r="IA163" s="783"/>
      <c r="IB163" s="783"/>
      <c r="IC163" s="783"/>
      <c r="ID163" s="783"/>
      <c r="IE163" s="783"/>
      <c r="IF163" s="783"/>
      <c r="IG163" s="783"/>
      <c r="IH163" s="783"/>
      <c r="II163" s="783"/>
      <c r="IJ163" s="783"/>
      <c r="IK163" s="783"/>
      <c r="IL163" s="783"/>
      <c r="IM163" s="783"/>
      <c r="IN163" s="783"/>
      <c r="IO163" s="783"/>
      <c r="IP163" s="783"/>
      <c r="IQ163" s="783"/>
      <c r="IR163" s="783"/>
      <c r="IS163" s="783"/>
      <c r="IT163" s="783"/>
      <c r="IU163" s="783"/>
      <c r="IV163" s="783"/>
    </row>
    <row r="164" spans="1:256" s="1109" customFormat="1" ht="58.5" hidden="1" customHeight="1">
      <c r="A164" s="783"/>
      <c r="B164" s="261">
        <v>11</v>
      </c>
      <c r="C164" s="271">
        <f>H144</f>
        <v>2.2400000000000002</v>
      </c>
      <c r="D164" s="284" t="str">
        <f>D110</f>
        <v>Labour charges  for wrought and put up including fixing in position frames of any size , shutters for doors, windows, ventilators including fixing all necesssary fixtures etc complete for  teak wood flush type door shutter  including frame.(TBSC-T.I-31)</v>
      </c>
      <c r="E164" s="274">
        <f>E26</f>
        <v>1057</v>
      </c>
      <c r="F164" s="261">
        <v>1</v>
      </c>
      <c r="G164" s="261" t="s">
        <v>461</v>
      </c>
      <c r="H164" s="274">
        <f>ROUND(C164*E164/F164,2)</f>
        <v>2367.6799999999998</v>
      </c>
      <c r="I164" s="783"/>
      <c r="J164" s="783"/>
      <c r="K164" s="783"/>
      <c r="L164" s="783"/>
      <c r="M164" s="783">
        <v>2204.16</v>
      </c>
      <c r="N164" s="783"/>
      <c r="O164" s="783"/>
      <c r="P164" s="783"/>
      <c r="Q164" s="783"/>
      <c r="R164" s="783"/>
      <c r="S164" s="783"/>
      <c r="T164" s="783"/>
      <c r="U164" s="783"/>
      <c r="V164" s="783"/>
      <c r="W164" s="783"/>
      <c r="X164" s="783"/>
      <c r="Y164" s="783"/>
      <c r="Z164" s="783"/>
      <c r="AA164" s="783"/>
      <c r="AB164" s="783"/>
      <c r="AC164" s="783"/>
      <c r="AD164" s="783"/>
      <c r="AE164" s="783"/>
      <c r="AF164" s="783"/>
      <c r="AG164" s="783"/>
      <c r="AH164" s="783"/>
      <c r="AI164" s="783"/>
      <c r="AJ164" s="783"/>
      <c r="AK164" s="783"/>
      <c r="AL164" s="783"/>
      <c r="AM164" s="783"/>
      <c r="AN164" s="783"/>
      <c r="AO164" s="783"/>
      <c r="AP164" s="783"/>
      <c r="AQ164" s="783"/>
      <c r="AR164" s="783"/>
      <c r="AS164" s="783"/>
      <c r="AT164" s="783"/>
      <c r="AU164" s="783"/>
      <c r="AV164" s="783"/>
      <c r="AW164" s="783"/>
      <c r="AX164" s="783"/>
      <c r="AY164" s="783"/>
      <c r="AZ164" s="783"/>
      <c r="BA164" s="783"/>
      <c r="BB164" s="783"/>
      <c r="BC164" s="783"/>
      <c r="BD164" s="783"/>
      <c r="BE164" s="783"/>
      <c r="BF164" s="783"/>
      <c r="BG164" s="783"/>
      <c r="BH164" s="783"/>
      <c r="BI164" s="783"/>
      <c r="BJ164" s="783"/>
      <c r="BK164" s="783"/>
      <c r="BL164" s="783"/>
      <c r="BM164" s="783"/>
      <c r="BN164" s="783"/>
      <c r="BO164" s="783"/>
      <c r="BP164" s="783"/>
      <c r="BQ164" s="783"/>
      <c r="BR164" s="783"/>
      <c r="BS164" s="783"/>
      <c r="BT164" s="783"/>
      <c r="BU164" s="783"/>
      <c r="BV164" s="783"/>
      <c r="BW164" s="783"/>
      <c r="BX164" s="783"/>
      <c r="BY164" s="783"/>
      <c r="BZ164" s="783"/>
      <c r="CA164" s="783"/>
      <c r="CB164" s="783"/>
      <c r="CC164" s="783"/>
      <c r="CD164" s="783"/>
      <c r="CE164" s="783"/>
      <c r="CF164" s="783"/>
      <c r="CG164" s="783"/>
      <c r="CH164" s="783"/>
      <c r="CI164" s="783"/>
      <c r="CJ164" s="783"/>
      <c r="CK164" s="783"/>
      <c r="CL164" s="783"/>
      <c r="CM164" s="783"/>
      <c r="CN164" s="783"/>
      <c r="CO164" s="783"/>
      <c r="CP164" s="783"/>
      <c r="CQ164" s="783"/>
      <c r="CR164" s="783"/>
      <c r="CS164" s="783"/>
      <c r="CT164" s="783"/>
      <c r="CU164" s="783"/>
      <c r="CV164" s="783"/>
      <c r="CW164" s="783"/>
      <c r="CX164" s="783"/>
      <c r="CY164" s="783"/>
      <c r="CZ164" s="783"/>
      <c r="DA164" s="783"/>
      <c r="DB164" s="783"/>
      <c r="DC164" s="783"/>
      <c r="DD164" s="783"/>
      <c r="DE164" s="783"/>
      <c r="DF164" s="783"/>
      <c r="DG164" s="783"/>
      <c r="DH164" s="783"/>
      <c r="DI164" s="783"/>
      <c r="DJ164" s="783"/>
      <c r="DK164" s="783"/>
      <c r="DL164" s="783"/>
      <c r="DM164" s="783"/>
      <c r="DN164" s="783"/>
      <c r="DO164" s="783"/>
      <c r="DP164" s="783"/>
      <c r="DQ164" s="783"/>
      <c r="DR164" s="783"/>
      <c r="DS164" s="783"/>
      <c r="DT164" s="783"/>
      <c r="DU164" s="783"/>
      <c r="DV164" s="783"/>
      <c r="DW164" s="783"/>
      <c r="DX164" s="783"/>
      <c r="DY164" s="783"/>
      <c r="DZ164" s="783"/>
      <c r="EA164" s="783"/>
      <c r="EB164" s="783"/>
      <c r="EC164" s="783"/>
      <c r="ED164" s="783"/>
      <c r="EE164" s="783"/>
      <c r="EF164" s="783"/>
      <c r="EG164" s="783"/>
      <c r="EH164" s="783"/>
      <c r="EI164" s="783"/>
      <c r="EJ164" s="783"/>
      <c r="EK164" s="783"/>
      <c r="EL164" s="783"/>
      <c r="EM164" s="783"/>
      <c r="EN164" s="783"/>
      <c r="EO164" s="783"/>
      <c r="EP164" s="783"/>
      <c r="EQ164" s="783"/>
      <c r="ER164" s="783"/>
      <c r="ES164" s="783"/>
      <c r="ET164" s="783"/>
      <c r="EU164" s="783"/>
      <c r="EV164" s="783"/>
      <c r="EW164" s="783"/>
      <c r="EX164" s="783"/>
      <c r="EY164" s="783"/>
      <c r="EZ164" s="783"/>
      <c r="FA164" s="783"/>
      <c r="FB164" s="783"/>
      <c r="FC164" s="783"/>
      <c r="FD164" s="783"/>
      <c r="FE164" s="783"/>
      <c r="FF164" s="783"/>
      <c r="FG164" s="783"/>
      <c r="FH164" s="783"/>
      <c r="FI164" s="783"/>
      <c r="FJ164" s="783"/>
      <c r="FK164" s="783"/>
      <c r="FL164" s="783"/>
      <c r="FM164" s="783"/>
      <c r="FN164" s="783"/>
      <c r="FO164" s="783"/>
      <c r="FP164" s="783"/>
      <c r="FQ164" s="783"/>
      <c r="FR164" s="783"/>
      <c r="FS164" s="783"/>
      <c r="FT164" s="783"/>
      <c r="FU164" s="783"/>
      <c r="FV164" s="783"/>
      <c r="FW164" s="783"/>
      <c r="FX164" s="783"/>
      <c r="FY164" s="783"/>
      <c r="FZ164" s="783"/>
      <c r="GA164" s="783"/>
      <c r="GB164" s="783"/>
      <c r="GC164" s="783"/>
      <c r="GD164" s="783"/>
      <c r="GE164" s="783"/>
      <c r="GF164" s="783"/>
      <c r="GG164" s="783"/>
      <c r="GH164" s="783"/>
      <c r="GI164" s="783"/>
      <c r="GJ164" s="783"/>
      <c r="GK164" s="783"/>
      <c r="GL164" s="783"/>
      <c r="GM164" s="783"/>
      <c r="GN164" s="783"/>
      <c r="GO164" s="783"/>
      <c r="GP164" s="783"/>
      <c r="GQ164" s="783"/>
      <c r="GR164" s="783"/>
      <c r="GS164" s="783"/>
      <c r="GT164" s="783"/>
      <c r="GU164" s="783"/>
      <c r="GV164" s="783"/>
      <c r="GW164" s="783"/>
      <c r="GX164" s="783"/>
      <c r="GY164" s="783"/>
      <c r="GZ164" s="783"/>
      <c r="HA164" s="783"/>
      <c r="HB164" s="783"/>
      <c r="HC164" s="783"/>
      <c r="HD164" s="783"/>
      <c r="HE164" s="783"/>
      <c r="HF164" s="783"/>
      <c r="HG164" s="783"/>
      <c r="HH164" s="783"/>
      <c r="HI164" s="783"/>
      <c r="HJ164" s="783"/>
      <c r="HK164" s="783"/>
      <c r="HL164" s="783"/>
      <c r="HM164" s="783"/>
      <c r="HN164" s="783"/>
      <c r="HO164" s="783"/>
      <c r="HP164" s="783"/>
      <c r="HQ164" s="783"/>
      <c r="HR164" s="783"/>
      <c r="HS164" s="783"/>
      <c r="HT164" s="783"/>
      <c r="HU164" s="783"/>
      <c r="HV164" s="783"/>
      <c r="HW164" s="783"/>
      <c r="HX164" s="783"/>
      <c r="HY164" s="783"/>
      <c r="HZ164" s="783"/>
      <c r="IA164" s="783"/>
      <c r="IB164" s="783"/>
      <c r="IC164" s="783"/>
      <c r="ID164" s="783"/>
      <c r="IE164" s="783"/>
      <c r="IF164" s="783"/>
      <c r="IG164" s="783"/>
      <c r="IH164" s="783"/>
      <c r="II164" s="783"/>
      <c r="IJ164" s="783"/>
      <c r="IK164" s="783"/>
      <c r="IL164" s="783"/>
      <c r="IM164" s="783"/>
      <c r="IN164" s="783"/>
      <c r="IO164" s="783"/>
      <c r="IP164" s="783"/>
      <c r="IQ164" s="783"/>
      <c r="IR164" s="783"/>
      <c r="IS164" s="783"/>
      <c r="IT164" s="783"/>
      <c r="IU164" s="783"/>
      <c r="IV164" s="783"/>
    </row>
    <row r="165" spans="1:256" s="1109" customFormat="1" hidden="1">
      <c r="A165" s="783"/>
      <c r="B165" s="261"/>
      <c r="C165" s="271">
        <f>'C-data'!$E$5</f>
        <v>0</v>
      </c>
      <c r="D165" s="275" t="s">
        <v>2194</v>
      </c>
      <c r="E165" s="276">
        <f>H164</f>
        <v>2367.6799999999998</v>
      </c>
      <c r="F165" s="277">
        <v>1</v>
      </c>
      <c r="G165" s="277"/>
      <c r="H165" s="278">
        <f>ROUND(C165*E165/F165,2)</f>
        <v>0</v>
      </c>
      <c r="I165" s="783"/>
      <c r="J165" s="783"/>
      <c r="K165" s="783"/>
      <c r="L165" s="783"/>
      <c r="M165" s="783">
        <v>440.83</v>
      </c>
      <c r="N165" s="783"/>
      <c r="O165" s="783"/>
      <c r="P165" s="783"/>
      <c r="Q165" s="783"/>
      <c r="R165" s="783"/>
      <c r="S165" s="783"/>
      <c r="T165" s="783"/>
      <c r="U165" s="783"/>
      <c r="V165" s="783"/>
      <c r="W165" s="783"/>
      <c r="X165" s="783"/>
      <c r="Y165" s="783"/>
      <c r="Z165" s="783"/>
      <c r="AA165" s="783"/>
      <c r="AB165" s="783"/>
      <c r="AC165" s="783"/>
      <c r="AD165" s="783"/>
      <c r="AE165" s="783"/>
      <c r="AF165" s="783"/>
      <c r="AG165" s="783"/>
      <c r="AH165" s="783"/>
      <c r="AI165" s="783"/>
      <c r="AJ165" s="783"/>
      <c r="AK165" s="783"/>
      <c r="AL165" s="783"/>
      <c r="AM165" s="783"/>
      <c r="AN165" s="783"/>
      <c r="AO165" s="783"/>
      <c r="AP165" s="783"/>
      <c r="AQ165" s="783"/>
      <c r="AR165" s="783"/>
      <c r="AS165" s="783"/>
      <c r="AT165" s="783"/>
      <c r="AU165" s="783"/>
      <c r="AV165" s="783"/>
      <c r="AW165" s="783"/>
      <c r="AX165" s="783"/>
      <c r="AY165" s="783"/>
      <c r="AZ165" s="783"/>
      <c r="BA165" s="783"/>
      <c r="BB165" s="783"/>
      <c r="BC165" s="783"/>
      <c r="BD165" s="783"/>
      <c r="BE165" s="783"/>
      <c r="BF165" s="783"/>
      <c r="BG165" s="783"/>
      <c r="BH165" s="783"/>
      <c r="BI165" s="783"/>
      <c r="BJ165" s="783"/>
      <c r="BK165" s="783"/>
      <c r="BL165" s="783"/>
      <c r="BM165" s="783"/>
      <c r="BN165" s="783"/>
      <c r="BO165" s="783"/>
      <c r="BP165" s="783"/>
      <c r="BQ165" s="783"/>
      <c r="BR165" s="783"/>
      <c r="BS165" s="783"/>
      <c r="BT165" s="783"/>
      <c r="BU165" s="783"/>
      <c r="BV165" s="783"/>
      <c r="BW165" s="783"/>
      <c r="BX165" s="783"/>
      <c r="BY165" s="783"/>
      <c r="BZ165" s="783"/>
      <c r="CA165" s="783"/>
      <c r="CB165" s="783"/>
      <c r="CC165" s="783"/>
      <c r="CD165" s="783"/>
      <c r="CE165" s="783"/>
      <c r="CF165" s="783"/>
      <c r="CG165" s="783"/>
      <c r="CH165" s="783"/>
      <c r="CI165" s="783"/>
      <c r="CJ165" s="783"/>
      <c r="CK165" s="783"/>
      <c r="CL165" s="783"/>
      <c r="CM165" s="783"/>
      <c r="CN165" s="783"/>
      <c r="CO165" s="783"/>
      <c r="CP165" s="783"/>
      <c r="CQ165" s="783"/>
      <c r="CR165" s="783"/>
      <c r="CS165" s="783"/>
      <c r="CT165" s="783"/>
      <c r="CU165" s="783"/>
      <c r="CV165" s="783"/>
      <c r="CW165" s="783"/>
      <c r="CX165" s="783"/>
      <c r="CY165" s="783"/>
      <c r="CZ165" s="783"/>
      <c r="DA165" s="783"/>
      <c r="DB165" s="783"/>
      <c r="DC165" s="783"/>
      <c r="DD165" s="783"/>
      <c r="DE165" s="783"/>
      <c r="DF165" s="783"/>
      <c r="DG165" s="783"/>
      <c r="DH165" s="783"/>
      <c r="DI165" s="783"/>
      <c r="DJ165" s="783"/>
      <c r="DK165" s="783"/>
      <c r="DL165" s="783"/>
      <c r="DM165" s="783"/>
      <c r="DN165" s="783"/>
      <c r="DO165" s="783"/>
      <c r="DP165" s="783"/>
      <c r="DQ165" s="783"/>
      <c r="DR165" s="783"/>
      <c r="DS165" s="783"/>
      <c r="DT165" s="783"/>
      <c r="DU165" s="783"/>
      <c r="DV165" s="783"/>
      <c r="DW165" s="783"/>
      <c r="DX165" s="783"/>
      <c r="DY165" s="783"/>
      <c r="DZ165" s="783"/>
      <c r="EA165" s="783"/>
      <c r="EB165" s="783"/>
      <c r="EC165" s="783"/>
      <c r="ED165" s="783"/>
      <c r="EE165" s="783"/>
      <c r="EF165" s="783"/>
      <c r="EG165" s="783"/>
      <c r="EH165" s="783"/>
      <c r="EI165" s="783"/>
      <c r="EJ165" s="783"/>
      <c r="EK165" s="783"/>
      <c r="EL165" s="783"/>
      <c r="EM165" s="783"/>
      <c r="EN165" s="783"/>
      <c r="EO165" s="783"/>
      <c r="EP165" s="783"/>
      <c r="EQ165" s="783"/>
      <c r="ER165" s="783"/>
      <c r="ES165" s="783"/>
      <c r="ET165" s="783"/>
      <c r="EU165" s="783"/>
      <c r="EV165" s="783"/>
      <c r="EW165" s="783"/>
      <c r="EX165" s="783"/>
      <c r="EY165" s="783"/>
      <c r="EZ165" s="783"/>
      <c r="FA165" s="783"/>
      <c r="FB165" s="783"/>
      <c r="FC165" s="783"/>
      <c r="FD165" s="783"/>
      <c r="FE165" s="783"/>
      <c r="FF165" s="783"/>
      <c r="FG165" s="783"/>
      <c r="FH165" s="783"/>
      <c r="FI165" s="783"/>
      <c r="FJ165" s="783"/>
      <c r="FK165" s="783"/>
      <c r="FL165" s="783"/>
      <c r="FM165" s="783"/>
      <c r="FN165" s="783"/>
      <c r="FO165" s="783"/>
      <c r="FP165" s="783"/>
      <c r="FQ165" s="783"/>
      <c r="FR165" s="783"/>
      <c r="FS165" s="783"/>
      <c r="FT165" s="783"/>
      <c r="FU165" s="783"/>
      <c r="FV165" s="783"/>
      <c r="FW165" s="783"/>
      <c r="FX165" s="783"/>
      <c r="FY165" s="783"/>
      <c r="FZ165" s="783"/>
      <c r="GA165" s="783"/>
      <c r="GB165" s="783"/>
      <c r="GC165" s="783"/>
      <c r="GD165" s="783"/>
      <c r="GE165" s="783"/>
      <c r="GF165" s="783"/>
      <c r="GG165" s="783"/>
      <c r="GH165" s="783"/>
      <c r="GI165" s="783"/>
      <c r="GJ165" s="783"/>
      <c r="GK165" s="783"/>
      <c r="GL165" s="783"/>
      <c r="GM165" s="783"/>
      <c r="GN165" s="783"/>
      <c r="GO165" s="783"/>
      <c r="GP165" s="783"/>
      <c r="GQ165" s="783"/>
      <c r="GR165" s="783"/>
      <c r="GS165" s="783"/>
      <c r="GT165" s="783"/>
      <c r="GU165" s="783"/>
      <c r="GV165" s="783"/>
      <c r="GW165" s="783"/>
      <c r="GX165" s="783"/>
      <c r="GY165" s="783"/>
      <c r="GZ165" s="783"/>
      <c r="HA165" s="783"/>
      <c r="HB165" s="783"/>
      <c r="HC165" s="783"/>
      <c r="HD165" s="783"/>
      <c r="HE165" s="783"/>
      <c r="HF165" s="783"/>
      <c r="HG165" s="783"/>
      <c r="HH165" s="783"/>
      <c r="HI165" s="783"/>
      <c r="HJ165" s="783"/>
      <c r="HK165" s="783"/>
      <c r="HL165" s="783"/>
      <c r="HM165" s="783"/>
      <c r="HN165" s="783"/>
      <c r="HO165" s="783"/>
      <c r="HP165" s="783"/>
      <c r="HQ165" s="783"/>
      <c r="HR165" s="783"/>
      <c r="HS165" s="783"/>
      <c r="HT165" s="783"/>
      <c r="HU165" s="783"/>
      <c r="HV165" s="783"/>
      <c r="HW165" s="783"/>
      <c r="HX165" s="783"/>
      <c r="HY165" s="783"/>
      <c r="HZ165" s="783"/>
      <c r="IA165" s="783"/>
      <c r="IB165" s="783"/>
      <c r="IC165" s="783"/>
      <c r="ID165" s="783"/>
      <c r="IE165" s="783"/>
      <c r="IF165" s="783"/>
      <c r="IG165" s="783"/>
      <c r="IH165" s="783"/>
      <c r="II165" s="783"/>
      <c r="IJ165" s="783"/>
      <c r="IK165" s="783"/>
      <c r="IL165" s="783"/>
      <c r="IM165" s="783"/>
      <c r="IN165" s="783"/>
      <c r="IO165" s="783"/>
      <c r="IP165" s="783"/>
      <c r="IQ165" s="783"/>
      <c r="IR165" s="783"/>
      <c r="IS165" s="783"/>
      <c r="IT165" s="783"/>
      <c r="IU165" s="783"/>
      <c r="IV165" s="783"/>
    </row>
    <row r="166" spans="1:256" s="1109" customFormat="1" hidden="1">
      <c r="A166" s="783"/>
      <c r="B166" s="261"/>
      <c r="C166" s="271"/>
      <c r="D166" s="263"/>
      <c r="E166" s="271"/>
      <c r="F166" s="261"/>
      <c r="G166" s="261"/>
      <c r="H166" s="274">
        <f>SUM(H153:H165)</f>
        <v>9095.56</v>
      </c>
      <c r="I166" s="783"/>
      <c r="J166" s="783"/>
      <c r="K166" s="783"/>
      <c r="L166" s="783"/>
      <c r="M166" s="783"/>
      <c r="N166" s="783"/>
      <c r="O166" s="783"/>
      <c r="P166" s="783"/>
      <c r="Q166" s="783"/>
      <c r="R166" s="783"/>
      <c r="S166" s="783"/>
      <c r="T166" s="783"/>
      <c r="U166" s="783"/>
      <c r="V166" s="783"/>
      <c r="W166" s="783"/>
      <c r="X166" s="783"/>
      <c r="Y166" s="783"/>
      <c r="Z166" s="783"/>
      <c r="AA166" s="783"/>
      <c r="AB166" s="783"/>
      <c r="AC166" s="783"/>
      <c r="AD166" s="783"/>
      <c r="AE166" s="783"/>
      <c r="AF166" s="783"/>
      <c r="AG166" s="783"/>
      <c r="AH166" s="783"/>
      <c r="AI166" s="783"/>
      <c r="AJ166" s="783"/>
      <c r="AK166" s="783"/>
      <c r="AL166" s="783"/>
      <c r="AM166" s="783"/>
      <c r="AN166" s="783"/>
      <c r="AO166" s="783"/>
      <c r="AP166" s="783"/>
      <c r="AQ166" s="783"/>
      <c r="AR166" s="783"/>
      <c r="AS166" s="783"/>
      <c r="AT166" s="783"/>
      <c r="AU166" s="783"/>
      <c r="AV166" s="783"/>
      <c r="AW166" s="783"/>
      <c r="AX166" s="783"/>
      <c r="AY166" s="783"/>
      <c r="AZ166" s="783"/>
      <c r="BA166" s="783"/>
      <c r="BB166" s="783"/>
      <c r="BC166" s="783"/>
      <c r="BD166" s="783"/>
      <c r="BE166" s="783"/>
      <c r="BF166" s="783"/>
      <c r="BG166" s="783"/>
      <c r="BH166" s="783"/>
      <c r="BI166" s="783"/>
      <c r="BJ166" s="783"/>
      <c r="BK166" s="783"/>
      <c r="BL166" s="783"/>
      <c r="BM166" s="783"/>
      <c r="BN166" s="783"/>
      <c r="BO166" s="783"/>
      <c r="BP166" s="783"/>
      <c r="BQ166" s="783"/>
      <c r="BR166" s="783"/>
      <c r="BS166" s="783"/>
      <c r="BT166" s="783"/>
      <c r="BU166" s="783"/>
      <c r="BV166" s="783"/>
      <c r="BW166" s="783"/>
      <c r="BX166" s="783"/>
      <c r="BY166" s="783"/>
      <c r="BZ166" s="783"/>
      <c r="CA166" s="783"/>
      <c r="CB166" s="783"/>
      <c r="CC166" s="783"/>
      <c r="CD166" s="783"/>
      <c r="CE166" s="783"/>
      <c r="CF166" s="783"/>
      <c r="CG166" s="783"/>
      <c r="CH166" s="783"/>
      <c r="CI166" s="783"/>
      <c r="CJ166" s="783"/>
      <c r="CK166" s="783"/>
      <c r="CL166" s="783"/>
      <c r="CM166" s="783"/>
      <c r="CN166" s="783"/>
      <c r="CO166" s="783"/>
      <c r="CP166" s="783"/>
      <c r="CQ166" s="783"/>
      <c r="CR166" s="783"/>
      <c r="CS166" s="783"/>
      <c r="CT166" s="783"/>
      <c r="CU166" s="783"/>
      <c r="CV166" s="783"/>
      <c r="CW166" s="783"/>
      <c r="CX166" s="783"/>
      <c r="CY166" s="783"/>
      <c r="CZ166" s="783"/>
      <c r="DA166" s="783"/>
      <c r="DB166" s="783"/>
      <c r="DC166" s="783"/>
      <c r="DD166" s="783"/>
      <c r="DE166" s="783"/>
      <c r="DF166" s="783"/>
      <c r="DG166" s="783"/>
      <c r="DH166" s="783"/>
      <c r="DI166" s="783"/>
      <c r="DJ166" s="783"/>
      <c r="DK166" s="783"/>
      <c r="DL166" s="783"/>
      <c r="DM166" s="783"/>
      <c r="DN166" s="783"/>
      <c r="DO166" s="783"/>
      <c r="DP166" s="783"/>
      <c r="DQ166" s="783"/>
      <c r="DR166" s="783"/>
      <c r="DS166" s="783"/>
      <c r="DT166" s="783"/>
      <c r="DU166" s="783"/>
      <c r="DV166" s="783"/>
      <c r="DW166" s="783"/>
      <c r="DX166" s="783"/>
      <c r="DY166" s="783"/>
      <c r="DZ166" s="783"/>
      <c r="EA166" s="783"/>
      <c r="EB166" s="783"/>
      <c r="EC166" s="783"/>
      <c r="ED166" s="783"/>
      <c r="EE166" s="783"/>
      <c r="EF166" s="783"/>
      <c r="EG166" s="783"/>
      <c r="EH166" s="783"/>
      <c r="EI166" s="783"/>
      <c r="EJ166" s="783"/>
      <c r="EK166" s="783"/>
      <c r="EL166" s="783"/>
      <c r="EM166" s="783"/>
      <c r="EN166" s="783"/>
      <c r="EO166" s="783"/>
      <c r="EP166" s="783"/>
      <c r="EQ166" s="783"/>
      <c r="ER166" s="783"/>
      <c r="ES166" s="783"/>
      <c r="ET166" s="783"/>
      <c r="EU166" s="783"/>
      <c r="EV166" s="783"/>
      <c r="EW166" s="783"/>
      <c r="EX166" s="783"/>
      <c r="EY166" s="783"/>
      <c r="EZ166" s="783"/>
      <c r="FA166" s="783"/>
      <c r="FB166" s="783"/>
      <c r="FC166" s="783"/>
      <c r="FD166" s="783"/>
      <c r="FE166" s="783"/>
      <c r="FF166" s="783"/>
      <c r="FG166" s="783"/>
      <c r="FH166" s="783"/>
      <c r="FI166" s="783"/>
      <c r="FJ166" s="783"/>
      <c r="FK166" s="783"/>
      <c r="FL166" s="783"/>
      <c r="FM166" s="783"/>
      <c r="FN166" s="783"/>
      <c r="FO166" s="783"/>
      <c r="FP166" s="783"/>
      <c r="FQ166" s="783"/>
      <c r="FR166" s="783"/>
      <c r="FS166" s="783"/>
      <c r="FT166" s="783"/>
      <c r="FU166" s="783"/>
      <c r="FV166" s="783"/>
      <c r="FW166" s="783"/>
      <c r="FX166" s="783"/>
      <c r="FY166" s="783"/>
      <c r="FZ166" s="783"/>
      <c r="GA166" s="783"/>
      <c r="GB166" s="783"/>
      <c r="GC166" s="783"/>
      <c r="GD166" s="783"/>
      <c r="GE166" s="783"/>
      <c r="GF166" s="783"/>
      <c r="GG166" s="783"/>
      <c r="GH166" s="783"/>
      <c r="GI166" s="783"/>
      <c r="GJ166" s="783"/>
      <c r="GK166" s="783"/>
      <c r="GL166" s="783"/>
      <c r="GM166" s="783"/>
      <c r="GN166" s="783"/>
      <c r="GO166" s="783"/>
      <c r="GP166" s="783"/>
      <c r="GQ166" s="783"/>
      <c r="GR166" s="783"/>
      <c r="GS166" s="783"/>
      <c r="GT166" s="783"/>
      <c r="GU166" s="783"/>
      <c r="GV166" s="783"/>
      <c r="GW166" s="783"/>
      <c r="GX166" s="783"/>
      <c r="GY166" s="783"/>
      <c r="GZ166" s="783"/>
      <c r="HA166" s="783"/>
      <c r="HB166" s="783"/>
      <c r="HC166" s="783"/>
      <c r="HD166" s="783"/>
      <c r="HE166" s="783"/>
      <c r="HF166" s="783"/>
      <c r="HG166" s="783"/>
      <c r="HH166" s="783"/>
      <c r="HI166" s="783"/>
      <c r="HJ166" s="783"/>
      <c r="HK166" s="783"/>
      <c r="HL166" s="783"/>
      <c r="HM166" s="783"/>
      <c r="HN166" s="783"/>
      <c r="HO166" s="783"/>
      <c r="HP166" s="783"/>
      <c r="HQ166" s="783"/>
      <c r="HR166" s="783"/>
      <c r="HS166" s="783"/>
      <c r="HT166" s="783"/>
      <c r="HU166" s="783"/>
      <c r="HV166" s="783"/>
      <c r="HW166" s="783"/>
      <c r="HX166" s="783"/>
      <c r="HY166" s="783"/>
      <c r="HZ166" s="783"/>
      <c r="IA166" s="783"/>
      <c r="IB166" s="783"/>
      <c r="IC166" s="783"/>
      <c r="ID166" s="783"/>
      <c r="IE166" s="783"/>
      <c r="IF166" s="783"/>
      <c r="IG166" s="783"/>
      <c r="IH166" s="783"/>
      <c r="II166" s="783"/>
      <c r="IJ166" s="783"/>
      <c r="IK166" s="783"/>
      <c r="IL166" s="783"/>
      <c r="IM166" s="783"/>
      <c r="IN166" s="783"/>
      <c r="IO166" s="783"/>
      <c r="IP166" s="783"/>
      <c r="IQ166" s="783"/>
      <c r="IR166" s="783"/>
      <c r="IS166" s="783"/>
      <c r="IT166" s="783"/>
      <c r="IU166" s="783"/>
      <c r="IV166" s="783"/>
    </row>
    <row r="167" spans="1:256" s="1109" customFormat="1" hidden="1">
      <c r="A167" s="783"/>
      <c r="B167" s="261"/>
      <c r="C167" s="271"/>
      <c r="D167" s="279" t="s">
        <v>511</v>
      </c>
      <c r="E167" s="280">
        <v>0.13614999999999999</v>
      </c>
      <c r="F167" s="261"/>
      <c r="G167" s="261"/>
      <c r="H167" s="274">
        <v>0</v>
      </c>
      <c r="I167" s="783"/>
      <c r="J167" s="783"/>
      <c r="K167" s="783"/>
      <c r="L167" s="783"/>
      <c r="M167" s="783"/>
      <c r="N167" s="783"/>
      <c r="O167" s="783"/>
      <c r="P167" s="783"/>
      <c r="Q167" s="783"/>
      <c r="R167" s="783"/>
      <c r="S167" s="783"/>
      <c r="T167" s="783"/>
      <c r="U167" s="783"/>
      <c r="V167" s="783"/>
      <c r="W167" s="783"/>
      <c r="X167" s="783"/>
      <c r="Y167" s="783"/>
      <c r="Z167" s="783"/>
      <c r="AA167" s="783"/>
      <c r="AB167" s="783"/>
      <c r="AC167" s="783"/>
      <c r="AD167" s="783"/>
      <c r="AE167" s="783"/>
      <c r="AF167" s="783"/>
      <c r="AG167" s="783"/>
      <c r="AH167" s="783"/>
      <c r="AI167" s="783"/>
      <c r="AJ167" s="783"/>
      <c r="AK167" s="783"/>
      <c r="AL167" s="783"/>
      <c r="AM167" s="783"/>
      <c r="AN167" s="783"/>
      <c r="AO167" s="783"/>
      <c r="AP167" s="783"/>
      <c r="AQ167" s="783"/>
      <c r="AR167" s="783"/>
      <c r="AS167" s="783"/>
      <c r="AT167" s="783"/>
      <c r="AU167" s="783"/>
      <c r="AV167" s="783"/>
      <c r="AW167" s="783"/>
      <c r="AX167" s="783"/>
      <c r="AY167" s="783"/>
      <c r="AZ167" s="783"/>
      <c r="BA167" s="783"/>
      <c r="BB167" s="783"/>
      <c r="BC167" s="783"/>
      <c r="BD167" s="783"/>
      <c r="BE167" s="783"/>
      <c r="BF167" s="783"/>
      <c r="BG167" s="783"/>
      <c r="BH167" s="783"/>
      <c r="BI167" s="783"/>
      <c r="BJ167" s="783"/>
      <c r="BK167" s="783"/>
      <c r="BL167" s="783"/>
      <c r="BM167" s="783"/>
      <c r="BN167" s="783"/>
      <c r="BO167" s="783"/>
      <c r="BP167" s="783"/>
      <c r="BQ167" s="783"/>
      <c r="BR167" s="783"/>
      <c r="BS167" s="783"/>
      <c r="BT167" s="783"/>
      <c r="BU167" s="783"/>
      <c r="BV167" s="783"/>
      <c r="BW167" s="783"/>
      <c r="BX167" s="783"/>
      <c r="BY167" s="783"/>
      <c r="BZ167" s="783"/>
      <c r="CA167" s="783"/>
      <c r="CB167" s="783"/>
      <c r="CC167" s="783"/>
      <c r="CD167" s="783"/>
      <c r="CE167" s="783"/>
      <c r="CF167" s="783"/>
      <c r="CG167" s="783"/>
      <c r="CH167" s="783"/>
      <c r="CI167" s="783"/>
      <c r="CJ167" s="783"/>
      <c r="CK167" s="783"/>
      <c r="CL167" s="783"/>
      <c r="CM167" s="783"/>
      <c r="CN167" s="783"/>
      <c r="CO167" s="783"/>
      <c r="CP167" s="783"/>
      <c r="CQ167" s="783"/>
      <c r="CR167" s="783"/>
      <c r="CS167" s="783"/>
      <c r="CT167" s="783"/>
      <c r="CU167" s="783"/>
      <c r="CV167" s="783"/>
      <c r="CW167" s="783"/>
      <c r="CX167" s="783"/>
      <c r="CY167" s="783"/>
      <c r="CZ167" s="783"/>
      <c r="DA167" s="783"/>
      <c r="DB167" s="783"/>
      <c r="DC167" s="783"/>
      <c r="DD167" s="783"/>
      <c r="DE167" s="783"/>
      <c r="DF167" s="783"/>
      <c r="DG167" s="783"/>
      <c r="DH167" s="783"/>
      <c r="DI167" s="783"/>
      <c r="DJ167" s="783"/>
      <c r="DK167" s="783"/>
      <c r="DL167" s="783"/>
      <c r="DM167" s="783"/>
      <c r="DN167" s="783"/>
      <c r="DO167" s="783"/>
      <c r="DP167" s="783"/>
      <c r="DQ167" s="783"/>
      <c r="DR167" s="783"/>
      <c r="DS167" s="783"/>
      <c r="DT167" s="783"/>
      <c r="DU167" s="783"/>
      <c r="DV167" s="783"/>
      <c r="DW167" s="783"/>
      <c r="DX167" s="783"/>
      <c r="DY167" s="783"/>
      <c r="DZ167" s="783"/>
      <c r="EA167" s="783"/>
      <c r="EB167" s="783"/>
      <c r="EC167" s="783"/>
      <c r="ED167" s="783"/>
      <c r="EE167" s="783"/>
      <c r="EF167" s="783"/>
      <c r="EG167" s="783"/>
      <c r="EH167" s="783"/>
      <c r="EI167" s="783"/>
      <c r="EJ167" s="783"/>
      <c r="EK167" s="783"/>
      <c r="EL167" s="783"/>
      <c r="EM167" s="783"/>
      <c r="EN167" s="783"/>
      <c r="EO167" s="783"/>
      <c r="EP167" s="783"/>
      <c r="EQ167" s="783"/>
      <c r="ER167" s="783"/>
      <c r="ES167" s="783"/>
      <c r="ET167" s="783"/>
      <c r="EU167" s="783"/>
      <c r="EV167" s="783"/>
      <c r="EW167" s="783"/>
      <c r="EX167" s="783"/>
      <c r="EY167" s="783"/>
      <c r="EZ167" s="783"/>
      <c r="FA167" s="783"/>
      <c r="FB167" s="783"/>
      <c r="FC167" s="783"/>
      <c r="FD167" s="783"/>
      <c r="FE167" s="783"/>
      <c r="FF167" s="783"/>
      <c r="FG167" s="783"/>
      <c r="FH167" s="783"/>
      <c r="FI167" s="783"/>
      <c r="FJ167" s="783"/>
      <c r="FK167" s="783"/>
      <c r="FL167" s="783"/>
      <c r="FM167" s="783"/>
      <c r="FN167" s="783"/>
      <c r="FO167" s="783"/>
      <c r="FP167" s="783"/>
      <c r="FQ167" s="783"/>
      <c r="FR167" s="783"/>
      <c r="FS167" s="783"/>
      <c r="FT167" s="783"/>
      <c r="FU167" s="783"/>
      <c r="FV167" s="783"/>
      <c r="FW167" s="783"/>
      <c r="FX167" s="783"/>
      <c r="FY167" s="783"/>
      <c r="FZ167" s="783"/>
      <c r="GA167" s="783"/>
      <c r="GB167" s="783"/>
      <c r="GC167" s="783"/>
      <c r="GD167" s="783"/>
      <c r="GE167" s="783"/>
      <c r="GF167" s="783"/>
      <c r="GG167" s="783"/>
      <c r="GH167" s="783"/>
      <c r="GI167" s="783"/>
      <c r="GJ167" s="783"/>
      <c r="GK167" s="783"/>
      <c r="GL167" s="783"/>
      <c r="GM167" s="783"/>
      <c r="GN167" s="783"/>
      <c r="GO167" s="783"/>
      <c r="GP167" s="783"/>
      <c r="GQ167" s="783"/>
      <c r="GR167" s="783"/>
      <c r="GS167" s="783"/>
      <c r="GT167" s="783"/>
      <c r="GU167" s="783"/>
      <c r="GV167" s="783"/>
      <c r="GW167" s="783"/>
      <c r="GX167" s="783"/>
      <c r="GY167" s="783"/>
      <c r="GZ167" s="783"/>
      <c r="HA167" s="783"/>
      <c r="HB167" s="783"/>
      <c r="HC167" s="783"/>
      <c r="HD167" s="783"/>
      <c r="HE167" s="783"/>
      <c r="HF167" s="783"/>
      <c r="HG167" s="783"/>
      <c r="HH167" s="783"/>
      <c r="HI167" s="783"/>
      <c r="HJ167" s="783"/>
      <c r="HK167" s="783"/>
      <c r="HL167" s="783"/>
      <c r="HM167" s="783"/>
      <c r="HN167" s="783"/>
      <c r="HO167" s="783"/>
      <c r="HP167" s="783"/>
      <c r="HQ167" s="783"/>
      <c r="HR167" s="783"/>
      <c r="HS167" s="783"/>
      <c r="HT167" s="783"/>
      <c r="HU167" s="783"/>
      <c r="HV167" s="783"/>
      <c r="HW167" s="783"/>
      <c r="HX167" s="783"/>
      <c r="HY167" s="783"/>
      <c r="HZ167" s="783"/>
      <c r="IA167" s="783"/>
      <c r="IB167" s="783"/>
      <c r="IC167" s="783"/>
      <c r="ID167" s="783"/>
      <c r="IE167" s="783"/>
      <c r="IF167" s="783"/>
      <c r="IG167" s="783"/>
      <c r="IH167" s="783"/>
      <c r="II167" s="783"/>
      <c r="IJ167" s="783"/>
      <c r="IK167" s="783"/>
      <c r="IL167" s="783"/>
      <c r="IM167" s="783"/>
      <c r="IN167" s="783"/>
      <c r="IO167" s="783"/>
      <c r="IP167" s="783"/>
      <c r="IQ167" s="783"/>
      <c r="IR167" s="783"/>
      <c r="IS167" s="783"/>
      <c r="IT167" s="783"/>
      <c r="IU167" s="783"/>
      <c r="IV167" s="783"/>
    </row>
    <row r="168" spans="1:256" s="1109" customFormat="1" hidden="1">
      <c r="A168" s="783"/>
      <c r="B168" s="261"/>
      <c r="C168" s="261"/>
      <c r="D168" s="263" t="s">
        <v>490</v>
      </c>
      <c r="E168" s="261"/>
      <c r="F168" s="261"/>
      <c r="G168" s="261"/>
      <c r="H168" s="281">
        <f>CEILING(SUM(H166:H167),1)</f>
        <v>9096</v>
      </c>
      <c r="I168" s="783"/>
      <c r="J168" s="783"/>
      <c r="K168" s="783"/>
      <c r="L168" s="783"/>
      <c r="M168" s="783"/>
      <c r="N168" s="783"/>
      <c r="O168" s="783"/>
      <c r="P168" s="783"/>
      <c r="Q168" s="783"/>
      <c r="R168" s="783"/>
      <c r="S168" s="783"/>
      <c r="T168" s="783"/>
      <c r="U168" s="783"/>
      <c r="V168" s="783"/>
      <c r="W168" s="783"/>
      <c r="X168" s="783"/>
      <c r="Y168" s="783"/>
      <c r="Z168" s="783"/>
      <c r="AA168" s="783"/>
      <c r="AB168" s="783"/>
      <c r="AC168" s="783"/>
      <c r="AD168" s="783"/>
      <c r="AE168" s="783"/>
      <c r="AF168" s="783"/>
      <c r="AG168" s="783"/>
      <c r="AH168" s="783"/>
      <c r="AI168" s="783"/>
      <c r="AJ168" s="783"/>
      <c r="AK168" s="783"/>
      <c r="AL168" s="783"/>
      <c r="AM168" s="783"/>
      <c r="AN168" s="783"/>
      <c r="AO168" s="783"/>
      <c r="AP168" s="783"/>
      <c r="AQ168" s="783"/>
      <c r="AR168" s="783"/>
      <c r="AS168" s="783"/>
      <c r="AT168" s="783"/>
      <c r="AU168" s="783"/>
      <c r="AV168" s="783"/>
      <c r="AW168" s="783"/>
      <c r="AX168" s="783"/>
      <c r="AY168" s="783"/>
      <c r="AZ168" s="783"/>
      <c r="BA168" s="783"/>
      <c r="BB168" s="783"/>
      <c r="BC168" s="783"/>
      <c r="BD168" s="783"/>
      <c r="BE168" s="783"/>
      <c r="BF168" s="783"/>
      <c r="BG168" s="783"/>
      <c r="BH168" s="783"/>
      <c r="BI168" s="783"/>
      <c r="BJ168" s="783"/>
      <c r="BK168" s="783"/>
      <c r="BL168" s="783"/>
      <c r="BM168" s="783"/>
      <c r="BN168" s="783"/>
      <c r="BO168" s="783"/>
      <c r="BP168" s="783"/>
      <c r="BQ168" s="783"/>
      <c r="BR168" s="783"/>
      <c r="BS168" s="783"/>
      <c r="BT168" s="783"/>
      <c r="BU168" s="783"/>
      <c r="BV168" s="783"/>
      <c r="BW168" s="783"/>
      <c r="BX168" s="783"/>
      <c r="BY168" s="783"/>
      <c r="BZ168" s="783"/>
      <c r="CA168" s="783"/>
      <c r="CB168" s="783"/>
      <c r="CC168" s="783"/>
      <c r="CD168" s="783"/>
      <c r="CE168" s="783"/>
      <c r="CF168" s="783"/>
      <c r="CG168" s="783"/>
      <c r="CH168" s="783"/>
      <c r="CI168" s="783"/>
      <c r="CJ168" s="783"/>
      <c r="CK168" s="783"/>
      <c r="CL168" s="783"/>
      <c r="CM168" s="783"/>
      <c r="CN168" s="783"/>
      <c r="CO168" s="783"/>
      <c r="CP168" s="783"/>
      <c r="CQ168" s="783"/>
      <c r="CR168" s="783"/>
      <c r="CS168" s="783"/>
      <c r="CT168" s="783"/>
      <c r="CU168" s="783"/>
      <c r="CV168" s="783"/>
      <c r="CW168" s="783"/>
      <c r="CX168" s="783"/>
      <c r="CY168" s="783"/>
      <c r="CZ168" s="783"/>
      <c r="DA168" s="783"/>
      <c r="DB168" s="783"/>
      <c r="DC168" s="783"/>
      <c r="DD168" s="783"/>
      <c r="DE168" s="783"/>
      <c r="DF168" s="783"/>
      <c r="DG168" s="783"/>
      <c r="DH168" s="783"/>
      <c r="DI168" s="783"/>
      <c r="DJ168" s="783"/>
      <c r="DK168" s="783"/>
      <c r="DL168" s="783"/>
      <c r="DM168" s="783"/>
      <c r="DN168" s="783"/>
      <c r="DO168" s="783"/>
      <c r="DP168" s="783"/>
      <c r="DQ168" s="783"/>
      <c r="DR168" s="783"/>
      <c r="DS168" s="783"/>
      <c r="DT168" s="783"/>
      <c r="DU168" s="783"/>
      <c r="DV168" s="783"/>
      <c r="DW168" s="783"/>
      <c r="DX168" s="783"/>
      <c r="DY168" s="783"/>
      <c r="DZ168" s="783"/>
      <c r="EA168" s="783"/>
      <c r="EB168" s="783"/>
      <c r="EC168" s="783"/>
      <c r="ED168" s="783"/>
      <c r="EE168" s="783"/>
      <c r="EF168" s="783"/>
      <c r="EG168" s="783"/>
      <c r="EH168" s="783"/>
      <c r="EI168" s="783"/>
      <c r="EJ168" s="783"/>
      <c r="EK168" s="783"/>
      <c r="EL168" s="783"/>
      <c r="EM168" s="783"/>
      <c r="EN168" s="783"/>
      <c r="EO168" s="783"/>
      <c r="EP168" s="783"/>
      <c r="EQ168" s="783"/>
      <c r="ER168" s="783"/>
      <c r="ES168" s="783"/>
      <c r="ET168" s="783"/>
      <c r="EU168" s="783"/>
      <c r="EV168" s="783"/>
      <c r="EW168" s="783"/>
      <c r="EX168" s="783"/>
      <c r="EY168" s="783"/>
      <c r="EZ168" s="783"/>
      <c r="FA168" s="783"/>
      <c r="FB168" s="783"/>
      <c r="FC168" s="783"/>
      <c r="FD168" s="783"/>
      <c r="FE168" s="783"/>
      <c r="FF168" s="783"/>
      <c r="FG168" s="783"/>
      <c r="FH168" s="783"/>
      <c r="FI168" s="783"/>
      <c r="FJ168" s="783"/>
      <c r="FK168" s="783"/>
      <c r="FL168" s="783"/>
      <c r="FM168" s="783"/>
      <c r="FN168" s="783"/>
      <c r="FO168" s="783"/>
      <c r="FP168" s="783"/>
      <c r="FQ168" s="783"/>
      <c r="FR168" s="783"/>
      <c r="FS168" s="783"/>
      <c r="FT168" s="783"/>
      <c r="FU168" s="783"/>
      <c r="FV168" s="783"/>
      <c r="FW168" s="783"/>
      <c r="FX168" s="783"/>
      <c r="FY168" s="783"/>
      <c r="FZ168" s="783"/>
      <c r="GA168" s="783"/>
      <c r="GB168" s="783"/>
      <c r="GC168" s="783"/>
      <c r="GD168" s="783"/>
      <c r="GE168" s="783"/>
      <c r="GF168" s="783"/>
      <c r="GG168" s="783"/>
      <c r="GH168" s="783"/>
      <c r="GI168" s="783"/>
      <c r="GJ168" s="783"/>
      <c r="GK168" s="783"/>
      <c r="GL168" s="783"/>
      <c r="GM168" s="783"/>
      <c r="GN168" s="783"/>
      <c r="GO168" s="783"/>
      <c r="GP168" s="783"/>
      <c r="GQ168" s="783"/>
      <c r="GR168" s="783"/>
      <c r="GS168" s="783"/>
      <c r="GT168" s="783"/>
      <c r="GU168" s="783"/>
      <c r="GV168" s="783"/>
      <c r="GW168" s="783"/>
      <c r="GX168" s="783"/>
      <c r="GY168" s="783"/>
      <c r="GZ168" s="783"/>
      <c r="HA168" s="783"/>
      <c r="HB168" s="783"/>
      <c r="HC168" s="783"/>
      <c r="HD168" s="783"/>
      <c r="HE168" s="783"/>
      <c r="HF168" s="783"/>
      <c r="HG168" s="783"/>
      <c r="HH168" s="783"/>
      <c r="HI168" s="783"/>
      <c r="HJ168" s="783"/>
      <c r="HK168" s="783"/>
      <c r="HL168" s="783"/>
      <c r="HM168" s="783"/>
      <c r="HN168" s="783"/>
      <c r="HO168" s="783"/>
      <c r="HP168" s="783"/>
      <c r="HQ168" s="783"/>
      <c r="HR168" s="783"/>
      <c r="HS168" s="783"/>
      <c r="HT168" s="783"/>
      <c r="HU168" s="783"/>
      <c r="HV168" s="783"/>
      <c r="HW168" s="783"/>
      <c r="HX168" s="783"/>
      <c r="HY168" s="783"/>
      <c r="HZ168" s="783"/>
      <c r="IA168" s="783"/>
      <c r="IB168" s="783"/>
      <c r="IC168" s="783"/>
      <c r="ID168" s="783"/>
      <c r="IE168" s="783"/>
      <c r="IF168" s="783"/>
      <c r="IG168" s="783"/>
      <c r="IH168" s="783"/>
      <c r="II168" s="783"/>
      <c r="IJ168" s="783"/>
      <c r="IK168" s="783"/>
      <c r="IL168" s="783"/>
      <c r="IM168" s="783"/>
      <c r="IN168" s="783"/>
      <c r="IO168" s="783"/>
      <c r="IP168" s="783"/>
      <c r="IQ168" s="783"/>
      <c r="IR168" s="783"/>
      <c r="IS168" s="783"/>
      <c r="IT168" s="783"/>
      <c r="IU168" s="783"/>
      <c r="IV168" s="783"/>
    </row>
    <row r="169" spans="1:256" ht="137.25" hidden="1" customHeight="1">
      <c r="B169" s="261">
        <f>+B116+1</f>
        <v>3</v>
      </c>
      <c r="C169" s="261"/>
      <c r="D169" s="1517" t="s">
        <v>1306</v>
      </c>
      <c r="E169" s="1518"/>
      <c r="F169" s="1518"/>
      <c r="G169" s="1518"/>
      <c r="H169" s="1519"/>
    </row>
    <row r="170" spans="1:256" ht="16.5" hidden="1" customHeight="1">
      <c r="B170" s="261"/>
      <c r="C170" s="261"/>
      <c r="D170" s="262" t="s">
        <v>443</v>
      </c>
      <c r="E170" s="261">
        <v>0.9</v>
      </c>
      <c r="F170" s="261" t="s">
        <v>533</v>
      </c>
      <c r="G170" s="261">
        <v>2.13</v>
      </c>
      <c r="H170" s="261">
        <f>ROUND(E170*G170,2)</f>
        <v>1.92</v>
      </c>
    </row>
    <row r="171" spans="1:256" ht="16.5" hidden="1" customHeight="1">
      <c r="B171" s="261"/>
      <c r="C171" s="261"/>
      <c r="D171" s="263" t="str">
        <f>D118</f>
        <v>Medium teak Wood for Frame</v>
      </c>
      <c r="E171" s="261"/>
      <c r="F171" s="261"/>
      <c r="G171" s="261"/>
      <c r="H171" s="261"/>
    </row>
    <row r="172" spans="1:256" ht="16.5" hidden="1" customHeight="1">
      <c r="B172" s="261"/>
      <c r="C172" s="261"/>
      <c r="D172" s="263" t="s">
        <v>441</v>
      </c>
      <c r="E172" s="264">
        <f>2*2.13*0.075*0.1</f>
        <v>3.1949999999999999E-2</v>
      </c>
      <c r="F172" s="261" t="s">
        <v>644</v>
      </c>
      <c r="G172" s="261"/>
      <c r="H172" s="261"/>
    </row>
    <row r="173" spans="1:256" ht="16.5" hidden="1" customHeight="1">
      <c r="B173" s="261"/>
      <c r="C173" s="261"/>
      <c r="D173" s="263" t="s">
        <v>444</v>
      </c>
      <c r="E173" s="264">
        <f>0.9*0.075*0.1</f>
        <v>6.7500000000000008E-3</v>
      </c>
      <c r="F173" s="261" t="s">
        <v>644</v>
      </c>
      <c r="G173" s="261"/>
      <c r="H173" s="261"/>
    </row>
    <row r="174" spans="1:256" ht="16.5" hidden="1" customHeight="1">
      <c r="B174" s="261"/>
      <c r="C174" s="261"/>
      <c r="D174" s="265" t="s">
        <v>305</v>
      </c>
      <c r="E174" s="264">
        <f>SUM(E172:E173)</f>
        <v>3.8699999999999998E-2</v>
      </c>
      <c r="F174" s="261" t="s">
        <v>644</v>
      </c>
      <c r="G174" s="261"/>
      <c r="H174" s="261"/>
    </row>
    <row r="175" spans="1:256" ht="27" hidden="1" customHeight="1">
      <c r="B175" s="261"/>
      <c r="C175" s="261"/>
      <c r="D175" s="266" t="s">
        <v>41</v>
      </c>
      <c r="E175" s="261"/>
      <c r="F175" s="261"/>
      <c r="G175" s="261"/>
      <c r="H175" s="261"/>
    </row>
    <row r="176" spans="1:256" ht="16.5" hidden="1" customHeight="1">
      <c r="B176" s="261"/>
      <c r="C176" s="261"/>
      <c r="D176" s="263" t="s">
        <v>445</v>
      </c>
      <c r="E176" s="267">
        <f>ROUND(0.78*2.05,2)</f>
        <v>1.6</v>
      </c>
      <c r="F176" s="267" t="s">
        <v>547</v>
      </c>
      <c r="G176" s="261"/>
      <c r="H176" s="261"/>
    </row>
    <row r="177" spans="2:8" ht="16.5" hidden="1" customHeight="1">
      <c r="B177" s="261"/>
      <c r="C177" s="261"/>
      <c r="D177" s="268" t="s">
        <v>489</v>
      </c>
      <c r="E177" s="261"/>
      <c r="F177" s="261"/>
      <c r="G177" s="261"/>
      <c r="H177" s="261"/>
    </row>
    <row r="178" spans="2:8" ht="16.5" hidden="1" customHeight="1">
      <c r="B178" s="261"/>
      <c r="C178" s="261"/>
      <c r="D178" s="269" t="s">
        <v>509</v>
      </c>
      <c r="E178" s="261"/>
      <c r="F178" s="261"/>
      <c r="G178" s="261"/>
      <c r="H178" s="261"/>
    </row>
    <row r="179" spans="2:8" ht="16.5" hidden="1" customHeight="1">
      <c r="B179" s="261">
        <v>1</v>
      </c>
      <c r="C179" s="264">
        <f>E172</f>
        <v>3.1949999999999999E-2</v>
      </c>
      <c r="D179" s="270" t="str">
        <f>D126</f>
        <v>Cost of Medium teak wood scantling of  size 2.0 to 3.0 m TBSC-D.I-02</v>
      </c>
      <c r="E179" s="271">
        <f>$E$14</f>
        <v>84724</v>
      </c>
      <c r="F179" s="261">
        <v>1</v>
      </c>
      <c r="G179" s="261" t="s">
        <v>465</v>
      </c>
      <c r="H179" s="274">
        <f>ROUND(C179*E179/F179,2)</f>
        <v>2706.93</v>
      </c>
    </row>
    <row r="180" spans="2:8" ht="16.5" hidden="1" customHeight="1">
      <c r="B180" s="261">
        <v>2</v>
      </c>
      <c r="C180" s="264">
        <f>E173</f>
        <v>6.7500000000000008E-3</v>
      </c>
      <c r="D180" s="270" t="str">
        <f>D127</f>
        <v>Cost of Medium teak wood scantling of  size upto 2.0m  TBSC-D.I-01</v>
      </c>
      <c r="E180" s="271">
        <f>E127</f>
        <v>76251</v>
      </c>
      <c r="F180" s="261">
        <v>1</v>
      </c>
      <c r="G180" s="261" t="s">
        <v>465</v>
      </c>
      <c r="H180" s="274">
        <f t="shared" ref="H180:H188" si="10">ROUND(C180*E180/F180,2)</f>
        <v>514.69000000000005</v>
      </c>
    </row>
    <row r="181" spans="2:8" ht="40.5" hidden="1" customHeight="1">
      <c r="B181" s="261">
        <v>3</v>
      </c>
      <c r="C181" s="261">
        <f>E176</f>
        <v>1.6</v>
      </c>
      <c r="D181" s="284" t="str">
        <f>D128</f>
        <v>Flush door shutters, solid bond wood block board type with commercial ply on both faces.: 35 mm thick conforming to IS:2202 of ANAND/ RAAVILA/ KUTTY/ STANDARD/ SHUBHDWAR/ ITP (TBSC-L.II-06)</v>
      </c>
      <c r="E181" s="271">
        <f>$E$128</f>
        <v>1417</v>
      </c>
      <c r="F181" s="261">
        <v>1</v>
      </c>
      <c r="G181" s="261" t="s">
        <v>461</v>
      </c>
      <c r="H181" s="274">
        <f t="shared" si="10"/>
        <v>2267.1999999999998</v>
      </c>
    </row>
    <row r="182" spans="2:8" ht="16.5" hidden="1" customHeight="1">
      <c r="B182" s="261">
        <v>4</v>
      </c>
      <c r="C182" s="271">
        <v>6</v>
      </c>
      <c r="D182" s="270" t="str">
        <f>D129</f>
        <v>MS Hold FastsTBSC-P.IX-08</v>
      </c>
      <c r="E182" s="271">
        <f>E156</f>
        <v>34</v>
      </c>
      <c r="F182" s="261">
        <v>1</v>
      </c>
      <c r="G182" s="261" t="s">
        <v>268</v>
      </c>
      <c r="H182" s="274">
        <f t="shared" si="10"/>
        <v>204</v>
      </c>
    </row>
    <row r="183" spans="2:8" ht="16.5" hidden="1" customHeight="1">
      <c r="B183" s="261">
        <v>5</v>
      </c>
      <c r="C183" s="271">
        <v>1</v>
      </c>
      <c r="D183" s="270" t="s">
        <v>1228</v>
      </c>
      <c r="E183" s="271">
        <f t="shared" ref="E183:E188" si="11">E157</f>
        <v>173</v>
      </c>
      <c r="F183" s="261">
        <v>1</v>
      </c>
      <c r="G183" s="261" t="s">
        <v>268</v>
      </c>
      <c r="H183" s="274">
        <f t="shared" si="10"/>
        <v>173</v>
      </c>
    </row>
    <row r="184" spans="2:8" ht="16.5" hidden="1" customHeight="1">
      <c r="B184" s="261">
        <v>6</v>
      </c>
      <c r="C184" s="271">
        <v>1</v>
      </c>
      <c r="D184" s="270" t="s">
        <v>1229</v>
      </c>
      <c r="E184" s="271">
        <f t="shared" si="11"/>
        <v>72</v>
      </c>
      <c r="F184" s="261">
        <v>1</v>
      </c>
      <c r="G184" s="261" t="s">
        <v>268</v>
      </c>
      <c r="H184" s="274">
        <f t="shared" si="10"/>
        <v>72</v>
      </c>
    </row>
    <row r="185" spans="2:8" ht="16.5" hidden="1" customHeight="1">
      <c r="B185" s="261">
        <v>7</v>
      </c>
      <c r="C185" s="271">
        <v>1</v>
      </c>
      <c r="D185" s="270" t="s">
        <v>1230</v>
      </c>
      <c r="E185" s="271">
        <f t="shared" si="11"/>
        <v>48</v>
      </c>
      <c r="F185" s="261">
        <v>1</v>
      </c>
      <c r="G185" s="261" t="s">
        <v>268</v>
      </c>
      <c r="H185" s="274">
        <f t="shared" si="10"/>
        <v>48</v>
      </c>
    </row>
    <row r="186" spans="2:8" ht="16.5" hidden="1" customHeight="1">
      <c r="B186" s="261">
        <v>8</v>
      </c>
      <c r="C186" s="271">
        <v>3</v>
      </c>
      <c r="D186" s="270" t="s">
        <v>1231</v>
      </c>
      <c r="E186" s="271">
        <f t="shared" si="11"/>
        <v>33</v>
      </c>
      <c r="F186" s="261">
        <v>1</v>
      </c>
      <c r="G186" s="261" t="s">
        <v>268</v>
      </c>
      <c r="H186" s="274">
        <f t="shared" si="10"/>
        <v>99</v>
      </c>
    </row>
    <row r="187" spans="2:8" ht="16.5" hidden="1" customHeight="1">
      <c r="B187" s="261">
        <v>9</v>
      </c>
      <c r="C187" s="271">
        <v>1</v>
      </c>
      <c r="D187" s="270" t="s">
        <v>1232</v>
      </c>
      <c r="E187" s="271">
        <f t="shared" si="11"/>
        <v>70</v>
      </c>
      <c r="F187" s="261">
        <v>1</v>
      </c>
      <c r="G187" s="261" t="s">
        <v>268</v>
      </c>
      <c r="H187" s="274">
        <f t="shared" si="10"/>
        <v>70</v>
      </c>
    </row>
    <row r="188" spans="2:8" ht="16.5" hidden="1" customHeight="1">
      <c r="B188" s="261">
        <v>10</v>
      </c>
      <c r="C188" s="271">
        <v>1</v>
      </c>
      <c r="D188" s="270" t="s">
        <v>1233</v>
      </c>
      <c r="E188" s="271">
        <f t="shared" si="11"/>
        <v>48</v>
      </c>
      <c r="F188" s="261">
        <v>1</v>
      </c>
      <c r="G188" s="261" t="s">
        <v>268</v>
      </c>
      <c r="H188" s="274">
        <f t="shared" si="10"/>
        <v>48</v>
      </c>
    </row>
    <row r="189" spans="2:8" ht="16.5" hidden="1" customHeight="1">
      <c r="B189" s="261"/>
      <c r="C189" s="271"/>
      <c r="D189" s="269" t="s">
        <v>510</v>
      </c>
      <c r="E189" s="271"/>
      <c r="F189" s="261"/>
      <c r="G189" s="261"/>
      <c r="H189" s="274"/>
    </row>
    <row r="190" spans="2:8" ht="69" hidden="1" customHeight="1">
      <c r="B190" s="261">
        <v>11</v>
      </c>
      <c r="C190" s="271">
        <f>H170</f>
        <v>1.92</v>
      </c>
      <c r="D190" s="266" t="str">
        <f>D137</f>
        <v>Labour charges  for wrought and put up including fixing in position frames of any size , shutters for doors, windows, ventilators including fixing all necesssary fixtures etc complete for   teak wood flush type door shutter  including frame.(TBSC-T.I-31)</v>
      </c>
      <c r="E190" s="389">
        <f>E26</f>
        <v>1057</v>
      </c>
      <c r="F190" s="261">
        <v>1</v>
      </c>
      <c r="G190" s="261" t="s">
        <v>461</v>
      </c>
      <c r="H190" s="274">
        <f>ROUND(C190*E190/F190,2)</f>
        <v>2029.44</v>
      </c>
    </row>
    <row r="191" spans="2:8" hidden="1">
      <c r="B191" s="261"/>
      <c r="C191" s="271">
        <f>'C-data'!$E$5</f>
        <v>0</v>
      </c>
      <c r="D191" s="275" t="s">
        <v>2194</v>
      </c>
      <c r="E191" s="276">
        <f>H190</f>
        <v>2029.44</v>
      </c>
      <c r="F191" s="277">
        <v>1</v>
      </c>
      <c r="G191" s="277"/>
      <c r="H191" s="278">
        <f>ROUND(C191*E191/F191,2)</f>
        <v>0</v>
      </c>
    </row>
    <row r="192" spans="2:8" ht="16.5" hidden="1" customHeight="1">
      <c r="B192" s="261"/>
      <c r="C192" s="271"/>
      <c r="D192" s="263"/>
      <c r="E192" s="271"/>
      <c r="F192" s="261"/>
      <c r="G192" s="261"/>
      <c r="H192" s="274">
        <f>SUM(H179:H191)</f>
        <v>8232.26</v>
      </c>
    </row>
    <row r="193" spans="2:8" ht="16.5" hidden="1" customHeight="1">
      <c r="B193" s="261">
        <v>12</v>
      </c>
      <c r="C193" s="271"/>
      <c r="D193" s="279" t="s">
        <v>511</v>
      </c>
      <c r="E193" s="280">
        <v>0.13614999999999999</v>
      </c>
      <c r="F193" s="261"/>
      <c r="G193" s="261"/>
      <c r="H193" s="274">
        <v>0</v>
      </c>
    </row>
    <row r="194" spans="2:8" ht="16.5" hidden="1" customHeight="1">
      <c r="B194" s="261"/>
      <c r="C194" s="261"/>
      <c r="D194" s="263" t="s">
        <v>490</v>
      </c>
      <c r="E194" s="261"/>
      <c r="F194" s="261"/>
      <c r="G194" s="261"/>
      <c r="H194" s="281">
        <f>CEILING(H192+H193,0.05)</f>
        <v>8232.3000000000011</v>
      </c>
    </row>
    <row r="195" spans="2:8" hidden="1">
      <c r="B195" s="261"/>
      <c r="C195" s="261"/>
      <c r="D195" s="263"/>
      <c r="E195" s="261"/>
      <c r="F195" s="261"/>
      <c r="G195" s="267" t="s">
        <v>744</v>
      </c>
      <c r="H195" s="267">
        <f>CEILING(H194,1)</f>
        <v>8233</v>
      </c>
    </row>
    <row r="196" spans="2:8" ht="138" hidden="1" customHeight="1">
      <c r="B196" s="261">
        <f>+B169+1</f>
        <v>4</v>
      </c>
      <c r="C196" s="261"/>
      <c r="D196" s="1517" t="s">
        <v>1311</v>
      </c>
      <c r="E196" s="1518"/>
      <c r="F196" s="1518"/>
      <c r="G196" s="1518"/>
      <c r="H196" s="1519"/>
    </row>
    <row r="197" spans="2:8" ht="16.5" hidden="1" customHeight="1">
      <c r="B197" s="261"/>
      <c r="C197" s="261"/>
      <c r="D197" s="262" t="s">
        <v>1046</v>
      </c>
      <c r="E197" s="261">
        <v>0.75</v>
      </c>
      <c r="F197" s="261" t="s">
        <v>533</v>
      </c>
      <c r="G197" s="261">
        <v>2.13</v>
      </c>
      <c r="H197" s="261">
        <f>ROUND(E197*G197,2)</f>
        <v>1.6</v>
      </c>
    </row>
    <row r="198" spans="2:8" ht="16.5" hidden="1" customHeight="1">
      <c r="B198" s="261"/>
      <c r="C198" s="261"/>
      <c r="D198" s="263" t="str">
        <f>D171</f>
        <v>Medium teak Wood for Frame</v>
      </c>
      <c r="E198" s="261"/>
      <c r="F198" s="261"/>
      <c r="G198" s="261"/>
      <c r="H198" s="261"/>
    </row>
    <row r="199" spans="2:8" ht="16.5" hidden="1" customHeight="1">
      <c r="B199" s="261"/>
      <c r="C199" s="261"/>
      <c r="D199" s="263" t="s">
        <v>441</v>
      </c>
      <c r="E199" s="264">
        <f>2*2.13*0.075*0.1</f>
        <v>3.1949999999999999E-2</v>
      </c>
      <c r="F199" s="261" t="s">
        <v>644</v>
      </c>
      <c r="G199" s="261"/>
      <c r="H199" s="261"/>
    </row>
    <row r="200" spans="2:8" ht="16.5" hidden="1" customHeight="1">
      <c r="B200" s="261"/>
      <c r="C200" s="261"/>
      <c r="D200" s="263" t="s">
        <v>1047</v>
      </c>
      <c r="E200" s="264">
        <f>0.75*0.075*0.1</f>
        <v>5.6249999999999998E-3</v>
      </c>
      <c r="F200" s="261" t="s">
        <v>644</v>
      </c>
      <c r="G200" s="261"/>
      <c r="H200" s="261"/>
    </row>
    <row r="201" spans="2:8" ht="16.5" hidden="1" customHeight="1">
      <c r="B201" s="261"/>
      <c r="C201" s="261"/>
      <c r="D201" s="265" t="s">
        <v>305</v>
      </c>
      <c r="E201" s="264">
        <f>SUM(E199:E200)</f>
        <v>3.7574999999999997E-2</v>
      </c>
      <c r="F201" s="261" t="s">
        <v>644</v>
      </c>
      <c r="G201" s="261"/>
      <c r="H201" s="261"/>
    </row>
    <row r="202" spans="2:8" ht="27" hidden="1" customHeight="1">
      <c r="B202" s="261"/>
      <c r="C202" s="261"/>
      <c r="D202" s="266" t="s">
        <v>41</v>
      </c>
      <c r="E202" s="261"/>
      <c r="F202" s="261"/>
      <c r="G202" s="261"/>
      <c r="H202" s="261"/>
    </row>
    <row r="203" spans="2:8" ht="16.5" hidden="1" customHeight="1">
      <c r="B203" s="261"/>
      <c r="C203" s="261"/>
      <c r="D203" s="263" t="s">
        <v>1243</v>
      </c>
      <c r="E203" s="267">
        <f>ROUND(0.63*2.05,2)</f>
        <v>1.29</v>
      </c>
      <c r="F203" s="267" t="s">
        <v>547</v>
      </c>
      <c r="G203" s="261"/>
      <c r="H203" s="261"/>
    </row>
    <row r="204" spans="2:8" ht="16.5" hidden="1" customHeight="1">
      <c r="B204" s="261"/>
      <c r="C204" s="261"/>
      <c r="D204" s="268" t="s">
        <v>489</v>
      </c>
      <c r="E204" s="261"/>
      <c r="F204" s="261"/>
      <c r="G204" s="261"/>
      <c r="H204" s="261"/>
    </row>
    <row r="205" spans="2:8" ht="16.5" hidden="1" customHeight="1">
      <c r="B205" s="261"/>
      <c r="C205" s="261"/>
      <c r="D205" s="269" t="s">
        <v>509</v>
      </c>
      <c r="E205" s="261"/>
      <c r="F205" s="261"/>
      <c r="G205" s="261"/>
      <c r="H205" s="261"/>
    </row>
    <row r="206" spans="2:8" ht="16.5" hidden="1" customHeight="1">
      <c r="B206" s="261">
        <v>1</v>
      </c>
      <c r="C206" s="264">
        <f>E199</f>
        <v>3.1949999999999999E-2</v>
      </c>
      <c r="D206" s="270" t="str">
        <f t="shared" ref="D206:E215" si="12">D179</f>
        <v>Cost of Medium teak wood scantling of  size 2.0 to 3.0 m TBSC-D.I-02</v>
      </c>
      <c r="E206" s="271">
        <f>$E$14</f>
        <v>84724</v>
      </c>
      <c r="F206" s="261">
        <v>1</v>
      </c>
      <c r="G206" s="261" t="s">
        <v>465</v>
      </c>
      <c r="H206" s="274">
        <f>ROUND(C206*E206/F206,2)</f>
        <v>2706.93</v>
      </c>
    </row>
    <row r="207" spans="2:8" ht="16.5" hidden="1" customHeight="1">
      <c r="B207" s="261">
        <v>2</v>
      </c>
      <c r="C207" s="264">
        <f>E200</f>
        <v>5.6249999999999998E-3</v>
      </c>
      <c r="D207" s="270" t="str">
        <f t="shared" si="12"/>
        <v>Cost of Medium teak wood scantling of  size upto 2.0m  TBSC-D.I-01</v>
      </c>
      <c r="E207" s="271">
        <f>E180</f>
        <v>76251</v>
      </c>
      <c r="F207" s="261">
        <v>1</v>
      </c>
      <c r="G207" s="261" t="s">
        <v>465</v>
      </c>
      <c r="H207" s="274">
        <f t="shared" ref="H207:H215" si="13">ROUND(C207*E207/F207,2)</f>
        <v>428.91</v>
      </c>
    </row>
    <row r="208" spans="2:8" ht="46.5" hidden="1" customHeight="1">
      <c r="B208" s="261">
        <v>3</v>
      </c>
      <c r="C208" s="261">
        <f>E203</f>
        <v>1.29</v>
      </c>
      <c r="D208" s="284" t="str">
        <f t="shared" si="12"/>
        <v>Flush door shutters, solid bond wood block board type with commercial ply on both faces.: 35 mm thick conforming to IS:2202 of ANAND/ RAAVILA/ KUTTY/ STANDARD/ SHUBHDWAR/ ITP (TBSC-L.II-06)</v>
      </c>
      <c r="E208" s="271">
        <f>$E$128</f>
        <v>1417</v>
      </c>
      <c r="F208" s="261">
        <v>1</v>
      </c>
      <c r="G208" s="261" t="s">
        <v>461</v>
      </c>
      <c r="H208" s="274">
        <f t="shared" si="13"/>
        <v>1827.93</v>
      </c>
    </row>
    <row r="209" spans="2:8" ht="16.5" hidden="1" customHeight="1">
      <c r="B209" s="261">
        <v>4</v>
      </c>
      <c r="C209" s="271">
        <v>6</v>
      </c>
      <c r="D209" s="270" t="str">
        <f t="shared" si="12"/>
        <v>MS Hold FastsTBSC-P.IX-08</v>
      </c>
      <c r="E209" s="271">
        <f>E182</f>
        <v>34</v>
      </c>
      <c r="F209" s="261">
        <v>1</v>
      </c>
      <c r="G209" s="261" t="s">
        <v>268</v>
      </c>
      <c r="H209" s="274">
        <f t="shared" si="13"/>
        <v>204</v>
      </c>
    </row>
    <row r="210" spans="2:8" ht="16.5" hidden="1" customHeight="1">
      <c r="B210" s="261">
        <v>5</v>
      </c>
      <c r="C210" s="271">
        <v>1</v>
      </c>
      <c r="D210" s="270" t="str">
        <f t="shared" si="12"/>
        <v>Cost of 300mm Long MS Powder coated Aldrops(TBSC-P.IV-09)</v>
      </c>
      <c r="E210" s="271">
        <f t="shared" si="12"/>
        <v>173</v>
      </c>
      <c r="F210" s="261">
        <v>1</v>
      </c>
      <c r="G210" s="261" t="s">
        <v>268</v>
      </c>
      <c r="H210" s="274">
        <f t="shared" si="13"/>
        <v>173</v>
      </c>
    </row>
    <row r="211" spans="2:8" ht="16.5" hidden="1" customHeight="1">
      <c r="B211" s="261">
        <v>6</v>
      </c>
      <c r="C211" s="271">
        <v>1</v>
      </c>
      <c r="D211" s="270" t="str">
        <f t="shared" si="12"/>
        <v>Cost of 250 long MS Powder coated Towerbolts (TBSC-P.I-17)</v>
      </c>
      <c r="E211" s="271">
        <f t="shared" si="12"/>
        <v>72</v>
      </c>
      <c r="F211" s="261">
        <v>1</v>
      </c>
      <c r="G211" s="261" t="s">
        <v>268</v>
      </c>
      <c r="H211" s="274">
        <f t="shared" si="13"/>
        <v>72</v>
      </c>
    </row>
    <row r="212" spans="2:8" ht="16.5" hidden="1" customHeight="1">
      <c r="B212" s="261">
        <v>7</v>
      </c>
      <c r="C212" s="271">
        <v>1</v>
      </c>
      <c r="D212" s="270" t="str">
        <f t="shared" si="12"/>
        <v>Cost of 150mm Long MS Powder coated Handles (TBSC-P.III-06)</v>
      </c>
      <c r="E212" s="271">
        <f t="shared" si="12"/>
        <v>48</v>
      </c>
      <c r="F212" s="261">
        <v>1</v>
      </c>
      <c r="G212" s="261" t="s">
        <v>268</v>
      </c>
      <c r="H212" s="274">
        <f t="shared" si="13"/>
        <v>48</v>
      </c>
    </row>
    <row r="213" spans="2:8" ht="16.5" hidden="1" customHeight="1">
      <c r="B213" s="261">
        <v>8</v>
      </c>
      <c r="C213" s="271">
        <v>3</v>
      </c>
      <c r="D213" s="270" t="str">
        <f t="shared" si="12"/>
        <v>Cost of 125mm long MS Powder coated but hinges (TBSC-P.II-11)</v>
      </c>
      <c r="E213" s="271">
        <f t="shared" si="12"/>
        <v>33</v>
      </c>
      <c r="F213" s="261">
        <v>1</v>
      </c>
      <c r="G213" s="261" t="s">
        <v>268</v>
      </c>
      <c r="H213" s="274">
        <f t="shared" si="13"/>
        <v>99</v>
      </c>
    </row>
    <row r="214" spans="2:8" ht="16.5" hidden="1" customHeight="1">
      <c r="B214" s="261">
        <v>9</v>
      </c>
      <c r="C214" s="271">
        <v>1</v>
      </c>
      <c r="D214" s="270" t="str">
        <f t="shared" si="12"/>
        <v>Cost of 300lon MS Powder coated Flat latch (TBSC-P.V-08)</v>
      </c>
      <c r="E214" s="271">
        <f t="shared" si="12"/>
        <v>70</v>
      </c>
      <c r="F214" s="261">
        <v>1</v>
      </c>
      <c r="G214" s="261" t="s">
        <v>268</v>
      </c>
      <c r="H214" s="274">
        <f t="shared" si="13"/>
        <v>70</v>
      </c>
    </row>
    <row r="215" spans="2:8" ht="16.5" hidden="1" customHeight="1">
      <c r="B215" s="261">
        <v>10</v>
      </c>
      <c r="C215" s="271">
        <v>1</v>
      </c>
      <c r="D215" s="270" t="str">
        <f t="shared" si="12"/>
        <v>Cost of Heavy duty  MS Powder coated Door Stoper  (TBSC-P.IX-02)</v>
      </c>
      <c r="E215" s="271">
        <f t="shared" si="12"/>
        <v>48</v>
      </c>
      <c r="F215" s="261">
        <v>1</v>
      </c>
      <c r="G215" s="261" t="s">
        <v>268</v>
      </c>
      <c r="H215" s="274">
        <f t="shared" si="13"/>
        <v>48</v>
      </c>
    </row>
    <row r="216" spans="2:8" ht="16.5" hidden="1" customHeight="1">
      <c r="B216" s="261"/>
      <c r="C216" s="271"/>
      <c r="D216" s="269" t="s">
        <v>510</v>
      </c>
      <c r="E216" s="271"/>
      <c r="F216" s="261"/>
      <c r="G216" s="261"/>
      <c r="H216" s="274"/>
    </row>
    <row r="217" spans="2:8" ht="62.25" hidden="1" customHeight="1">
      <c r="B217" s="261">
        <v>11</v>
      </c>
      <c r="C217" s="271">
        <f>H197</f>
        <v>1.6</v>
      </c>
      <c r="D217" s="266" t="str">
        <f>D190</f>
        <v>Labour charges  for wrought and put up including fixing in position frames of any size , shutters for doors, windows, ventilators including fixing all necesssary fixtures etc complete for   teak wood flush type door shutter  including frame.(TBSC-T.I-31)</v>
      </c>
      <c r="E217" s="389">
        <f>E190</f>
        <v>1057</v>
      </c>
      <c r="F217" s="261">
        <v>1</v>
      </c>
      <c r="G217" s="261" t="s">
        <v>461</v>
      </c>
      <c r="H217" s="274">
        <f>ROUND(C217*E217/F217,2)</f>
        <v>1691.2</v>
      </c>
    </row>
    <row r="218" spans="2:8" hidden="1">
      <c r="B218" s="261"/>
      <c r="C218" s="271">
        <f>'C-data'!$E$5</f>
        <v>0</v>
      </c>
      <c r="D218" s="275" t="s">
        <v>2194</v>
      </c>
      <c r="E218" s="276">
        <f>H217</f>
        <v>1691.2</v>
      </c>
      <c r="F218" s="277">
        <v>1</v>
      </c>
      <c r="G218" s="277"/>
      <c r="H218" s="278">
        <f>ROUND(C218*E218/F218,2)</f>
        <v>0</v>
      </c>
    </row>
    <row r="219" spans="2:8" ht="16.5" hidden="1" customHeight="1">
      <c r="B219" s="261"/>
      <c r="C219" s="271"/>
      <c r="D219" s="263"/>
      <c r="E219" s="271"/>
      <c r="F219" s="261"/>
      <c r="G219" s="261"/>
      <c r="H219" s="274">
        <f>SUM(H206:H218)</f>
        <v>7368.9699999999993</v>
      </c>
    </row>
    <row r="220" spans="2:8" ht="16.5" hidden="1" customHeight="1">
      <c r="B220" s="261">
        <v>12</v>
      </c>
      <c r="C220" s="271"/>
      <c r="D220" s="279" t="s">
        <v>511</v>
      </c>
      <c r="E220" s="280">
        <v>0.13614999999999999</v>
      </c>
      <c r="F220" s="261"/>
      <c r="G220" s="261"/>
      <c r="H220" s="274">
        <v>0</v>
      </c>
    </row>
    <row r="221" spans="2:8" ht="16.5" hidden="1" customHeight="1">
      <c r="B221" s="261"/>
      <c r="C221" s="261"/>
      <c r="D221" s="263" t="s">
        <v>490</v>
      </c>
      <c r="E221" s="261"/>
      <c r="F221" s="261"/>
      <c r="G221" s="261"/>
      <c r="H221" s="281">
        <f>CEILING(H219+H220,0.05)</f>
        <v>7369</v>
      </c>
    </row>
    <row r="222" spans="2:8" hidden="1">
      <c r="B222" s="261"/>
      <c r="C222" s="261"/>
      <c r="D222" s="263"/>
      <c r="E222" s="261"/>
      <c r="F222" s="261"/>
      <c r="G222" s="267" t="s">
        <v>744</v>
      </c>
      <c r="H222" s="267">
        <f>CEILING(H221,1)</f>
        <v>7369</v>
      </c>
    </row>
    <row r="223" spans="2:8" ht="134.25" hidden="1" customHeight="1">
      <c r="B223" s="261">
        <f>+B196+1</f>
        <v>5</v>
      </c>
      <c r="C223" s="261"/>
      <c r="D223" s="1523" t="s">
        <v>1312</v>
      </c>
      <c r="E223" s="1524"/>
      <c r="F223" s="1524"/>
      <c r="G223" s="1524"/>
      <c r="H223" s="1525"/>
    </row>
    <row r="224" spans="2:8" hidden="1">
      <c r="B224" s="261"/>
      <c r="C224" s="261"/>
      <c r="D224" s="262" t="s">
        <v>1244</v>
      </c>
      <c r="E224" s="271">
        <v>1</v>
      </c>
      <c r="F224" s="261" t="s">
        <v>533</v>
      </c>
      <c r="G224" s="261">
        <v>2.13</v>
      </c>
      <c r="H224" s="261">
        <f>ROUND(E224*G224,2)</f>
        <v>2.13</v>
      </c>
    </row>
    <row r="225" spans="2:13" hidden="1">
      <c r="B225" s="261">
        <v>1</v>
      </c>
      <c r="C225" s="261"/>
      <c r="D225" s="263" t="str">
        <f>D171</f>
        <v>Medium teak Wood for Frame</v>
      </c>
      <c r="E225" s="261"/>
      <c r="F225" s="261"/>
      <c r="G225" s="261"/>
      <c r="H225" s="261"/>
    </row>
    <row r="226" spans="2:13" hidden="1">
      <c r="B226" s="261"/>
      <c r="C226" s="261"/>
      <c r="D226" s="263" t="s">
        <v>446</v>
      </c>
      <c r="E226" s="264">
        <f>2*2.13*0.075*0.1</f>
        <v>3.1949999999999999E-2</v>
      </c>
      <c r="F226" s="261" t="s">
        <v>644</v>
      </c>
      <c r="G226" s="261"/>
      <c r="H226" s="261"/>
    </row>
    <row r="227" spans="2:13" hidden="1">
      <c r="B227" s="261"/>
      <c r="C227" s="261"/>
      <c r="D227" s="263" t="s">
        <v>1245</v>
      </c>
      <c r="E227" s="264">
        <f>1*0.075*0.1</f>
        <v>7.4999999999999997E-3</v>
      </c>
      <c r="F227" s="261" t="s">
        <v>644</v>
      </c>
      <c r="G227" s="261"/>
      <c r="H227" s="261"/>
    </row>
    <row r="228" spans="2:13" hidden="1">
      <c r="B228" s="261"/>
      <c r="C228" s="261"/>
      <c r="D228" s="265" t="s">
        <v>447</v>
      </c>
      <c r="E228" s="264">
        <f>SUM(E226:E227)</f>
        <v>3.9449999999999999E-2</v>
      </c>
      <c r="F228" s="261" t="s">
        <v>644</v>
      </c>
      <c r="G228" s="261"/>
      <c r="H228" s="261"/>
    </row>
    <row r="229" spans="2:13" ht="27.6" hidden="1">
      <c r="B229" s="261"/>
      <c r="C229" s="261"/>
      <c r="D229" s="266" t="s">
        <v>41</v>
      </c>
      <c r="E229" s="261"/>
      <c r="F229" s="261"/>
      <c r="G229" s="261"/>
      <c r="H229" s="261"/>
    </row>
    <row r="230" spans="2:13" hidden="1">
      <c r="B230" s="261"/>
      <c r="C230" s="261"/>
      <c r="D230" s="263" t="s">
        <v>1289</v>
      </c>
      <c r="E230" s="267">
        <f>ROUND(0.88*2.05,2)</f>
        <v>1.8</v>
      </c>
      <c r="F230" s="267" t="s">
        <v>547</v>
      </c>
      <c r="G230" s="261"/>
      <c r="H230" s="261"/>
    </row>
    <row r="231" spans="2:13" hidden="1">
      <c r="B231" s="261"/>
      <c r="C231" s="261"/>
      <c r="D231" s="268" t="s">
        <v>489</v>
      </c>
      <c r="E231" s="261"/>
      <c r="F231" s="261"/>
      <c r="G231" s="261"/>
      <c r="H231" s="261"/>
    </row>
    <row r="232" spans="2:13" hidden="1">
      <c r="B232" s="261"/>
      <c r="C232" s="261"/>
      <c r="D232" s="288" t="s">
        <v>509</v>
      </c>
      <c r="E232" s="261"/>
      <c r="F232" s="261"/>
      <c r="G232" s="261"/>
      <c r="H232" s="261"/>
    </row>
    <row r="233" spans="2:13" hidden="1">
      <c r="B233" s="261">
        <v>1</v>
      </c>
      <c r="C233" s="264">
        <f>E226</f>
        <v>3.1949999999999999E-2</v>
      </c>
      <c r="D233" s="270" t="str">
        <f>D179</f>
        <v>Cost of Medium teak wood scantling of  size 2.0 to 3.0 m TBSC-D.I-02</v>
      </c>
      <c r="E233" s="271">
        <f>$E$126</f>
        <v>84724</v>
      </c>
      <c r="F233" s="261">
        <v>1</v>
      </c>
      <c r="G233" s="261" t="s">
        <v>465</v>
      </c>
      <c r="H233" s="274">
        <f>ROUND(C233*E233/F233,2)</f>
        <v>2706.93</v>
      </c>
      <c r="M233" s="783">
        <v>2578.0100000000002</v>
      </c>
    </row>
    <row r="234" spans="2:13" hidden="1">
      <c r="B234" s="261">
        <v>2</v>
      </c>
      <c r="C234" s="264">
        <f>E227</f>
        <v>7.4999999999999997E-3</v>
      </c>
      <c r="D234" s="270" t="str">
        <f>D180</f>
        <v>Cost of Medium teak wood scantling of  size upto 2.0m  TBSC-D.I-01</v>
      </c>
      <c r="E234" s="271">
        <f>$E$127</f>
        <v>76251</v>
      </c>
      <c r="F234" s="261">
        <v>1</v>
      </c>
      <c r="G234" s="261" t="s">
        <v>465</v>
      </c>
      <c r="H234" s="274">
        <f>ROUND(C234*E234/F234,2)</f>
        <v>571.88</v>
      </c>
      <c r="M234" s="783">
        <v>571.88</v>
      </c>
    </row>
    <row r="235" spans="2:13" ht="59.25" hidden="1" customHeight="1">
      <c r="B235" s="261">
        <v>3</v>
      </c>
      <c r="C235" s="261">
        <f>E230</f>
        <v>1.8</v>
      </c>
      <c r="D235" s="284" t="str">
        <f>D181</f>
        <v>Flush door shutters, solid bond wood block board type with commercial ply on both faces.: 35 mm thick conforming to IS:2202 of ANAND/ RAAVILA/ KUTTY/ STANDARD/ SHUBHDWAR/ ITP (TBSC-L.II-06)</v>
      </c>
      <c r="E235" s="271">
        <f>E128</f>
        <v>1417</v>
      </c>
      <c r="F235" s="261">
        <v>1</v>
      </c>
      <c r="G235" s="261" t="s">
        <v>461</v>
      </c>
      <c r="H235" s="274">
        <f>ROUND(C235*E235/F235,2)</f>
        <v>2550.6</v>
      </c>
      <c r="M235" s="783">
        <v>2576.59</v>
      </c>
    </row>
    <row r="236" spans="2:13" hidden="1">
      <c r="B236" s="261">
        <v>4</v>
      </c>
      <c r="C236" s="271">
        <v>6</v>
      </c>
      <c r="D236" s="270" t="str">
        <f>D182</f>
        <v>MS Hold FastsTBSC-P.IX-08</v>
      </c>
      <c r="E236" s="271">
        <f>E209</f>
        <v>34</v>
      </c>
      <c r="F236" s="261">
        <v>1</v>
      </c>
      <c r="G236" s="261" t="s">
        <v>268</v>
      </c>
      <c r="H236" s="274">
        <f>ROUND(C236*E236/F236,2)</f>
        <v>204</v>
      </c>
      <c r="J236" s="783" t="s">
        <v>1026</v>
      </c>
      <c r="M236" s="783">
        <v>192</v>
      </c>
    </row>
    <row r="237" spans="2:13" hidden="1">
      <c r="B237" s="261">
        <v>5</v>
      </c>
      <c r="C237" s="271">
        <v>1</v>
      </c>
      <c r="D237" s="270" t="s">
        <v>1228</v>
      </c>
      <c r="E237" s="271">
        <f t="shared" ref="E237:E242" si="14">E210</f>
        <v>173</v>
      </c>
      <c r="F237" s="261">
        <v>1</v>
      </c>
      <c r="G237" s="261" t="s">
        <v>268</v>
      </c>
      <c r="H237" s="274">
        <f>ROUND(C237*E237/F237,2)</f>
        <v>173</v>
      </c>
      <c r="M237" s="783">
        <v>164</v>
      </c>
    </row>
    <row r="238" spans="2:13" hidden="1">
      <c r="B238" s="261">
        <v>6</v>
      </c>
      <c r="C238" s="271">
        <v>1</v>
      </c>
      <c r="D238" s="270" t="s">
        <v>1229</v>
      </c>
      <c r="E238" s="271">
        <f t="shared" si="14"/>
        <v>72</v>
      </c>
      <c r="F238" s="261">
        <v>1</v>
      </c>
      <c r="G238" s="261" t="s">
        <v>268</v>
      </c>
      <c r="H238" s="272">
        <f>C238*E238/F238</f>
        <v>72</v>
      </c>
      <c r="M238" s="783">
        <v>68</v>
      </c>
    </row>
    <row r="239" spans="2:13" hidden="1">
      <c r="B239" s="261">
        <v>7</v>
      </c>
      <c r="C239" s="271">
        <v>1</v>
      </c>
      <c r="D239" s="270" t="s">
        <v>1230</v>
      </c>
      <c r="E239" s="271">
        <f t="shared" si="14"/>
        <v>48</v>
      </c>
      <c r="F239" s="261">
        <v>1</v>
      </c>
      <c r="G239" s="261" t="s">
        <v>268</v>
      </c>
      <c r="H239" s="272">
        <f>C239*E239/F239</f>
        <v>48</v>
      </c>
      <c r="M239" s="783">
        <v>45</v>
      </c>
    </row>
    <row r="240" spans="2:13" hidden="1">
      <c r="B240" s="261">
        <v>8</v>
      </c>
      <c r="C240" s="271">
        <v>3</v>
      </c>
      <c r="D240" s="270" t="s">
        <v>1231</v>
      </c>
      <c r="E240" s="271">
        <f t="shared" si="14"/>
        <v>33</v>
      </c>
      <c r="F240" s="261">
        <v>1</v>
      </c>
      <c r="G240" s="261" t="s">
        <v>268</v>
      </c>
      <c r="H240" s="272">
        <f>C240*E240/F240</f>
        <v>99</v>
      </c>
      <c r="M240" s="783">
        <v>93</v>
      </c>
    </row>
    <row r="241" spans="2:13" hidden="1">
      <c r="B241" s="261">
        <v>9</v>
      </c>
      <c r="C241" s="271">
        <v>1</v>
      </c>
      <c r="D241" s="270" t="s">
        <v>1232</v>
      </c>
      <c r="E241" s="271">
        <f t="shared" si="14"/>
        <v>70</v>
      </c>
      <c r="F241" s="261">
        <v>1</v>
      </c>
      <c r="G241" s="261" t="s">
        <v>268</v>
      </c>
      <c r="H241" s="272">
        <f>C241*E241/F241</f>
        <v>70</v>
      </c>
      <c r="M241" s="783">
        <v>66</v>
      </c>
    </row>
    <row r="242" spans="2:13" hidden="1">
      <c r="B242" s="261">
        <v>10</v>
      </c>
      <c r="C242" s="271">
        <v>1</v>
      </c>
      <c r="D242" s="270" t="s">
        <v>1233</v>
      </c>
      <c r="E242" s="271">
        <f t="shared" si="14"/>
        <v>48</v>
      </c>
      <c r="F242" s="261">
        <v>1</v>
      </c>
      <c r="G242" s="261" t="s">
        <v>461</v>
      </c>
      <c r="H242" s="272">
        <f>C242*E242/F242</f>
        <v>48</v>
      </c>
      <c r="M242" s="783">
        <v>45</v>
      </c>
    </row>
    <row r="243" spans="2:13" hidden="1">
      <c r="B243" s="261"/>
      <c r="C243" s="271"/>
      <c r="D243" s="269" t="s">
        <v>510</v>
      </c>
      <c r="E243" s="271"/>
      <c r="F243" s="261"/>
      <c r="G243" s="261"/>
      <c r="H243" s="274"/>
    </row>
    <row r="244" spans="2:13" ht="58.5" hidden="1" customHeight="1">
      <c r="B244" s="261">
        <v>11</v>
      </c>
      <c r="C244" s="271">
        <f>H224</f>
        <v>2.13</v>
      </c>
      <c r="D244" s="284" t="str">
        <f>D190</f>
        <v>Labour charges  for wrought and put up including fixing in position frames of any size , shutters for doors, windows, ventilators including fixing all necesssary fixtures etc complete for   teak wood flush type door shutter  including frame.(TBSC-T.I-31)</v>
      </c>
      <c r="E244" s="263">
        <f>E190</f>
        <v>1057</v>
      </c>
      <c r="F244" s="261">
        <v>1</v>
      </c>
      <c r="G244" s="261" t="s">
        <v>461</v>
      </c>
      <c r="H244" s="274">
        <f>ROUND(C244*E244/F244,2)</f>
        <v>2251.41</v>
      </c>
      <c r="M244" s="783">
        <v>2204.16</v>
      </c>
    </row>
    <row r="245" spans="2:13" hidden="1">
      <c r="B245" s="261"/>
      <c r="C245" s="271">
        <f>'C-data'!$E$5</f>
        <v>0</v>
      </c>
      <c r="D245" s="275" t="s">
        <v>2194</v>
      </c>
      <c r="E245" s="276">
        <f>H244</f>
        <v>2251.41</v>
      </c>
      <c r="F245" s="277">
        <v>1</v>
      </c>
      <c r="G245" s="277"/>
      <c r="H245" s="278">
        <f>ROUND(C245*E245/F245,2)</f>
        <v>0</v>
      </c>
      <c r="M245" s="783">
        <v>440.83</v>
      </c>
    </row>
    <row r="246" spans="2:13" hidden="1">
      <c r="B246" s="261"/>
      <c r="C246" s="271"/>
      <c r="D246" s="263"/>
      <c r="E246" s="271"/>
      <c r="F246" s="261"/>
      <c r="G246" s="261"/>
      <c r="H246" s="274">
        <f>SUM(H233:H245)</f>
        <v>8794.82</v>
      </c>
    </row>
    <row r="247" spans="2:13" hidden="1">
      <c r="B247" s="261"/>
      <c r="C247" s="271"/>
      <c r="D247" s="279" t="s">
        <v>511</v>
      </c>
      <c r="E247" s="280">
        <v>0.13614999999999999</v>
      </c>
      <c r="F247" s="261"/>
      <c r="G247" s="261"/>
      <c r="H247" s="274">
        <v>0</v>
      </c>
    </row>
    <row r="248" spans="2:13" hidden="1">
      <c r="B248" s="261"/>
      <c r="C248" s="261"/>
      <c r="D248" s="263" t="s">
        <v>490</v>
      </c>
      <c r="E248" s="261"/>
      <c r="F248" s="261"/>
      <c r="G248" s="261"/>
      <c r="H248" s="281">
        <f>CEILING(SUM(H246:H247),1)</f>
        <v>8795</v>
      </c>
    </row>
    <row r="249" spans="2:13" ht="133.5" hidden="1" customHeight="1">
      <c r="B249" s="267">
        <v>4</v>
      </c>
      <c r="C249" s="261"/>
      <c r="D249" s="1517" t="s">
        <v>1246</v>
      </c>
      <c r="E249" s="1518"/>
      <c r="F249" s="1518"/>
      <c r="G249" s="1518"/>
      <c r="H249" s="1519"/>
    </row>
    <row r="250" spans="2:13" hidden="1">
      <c r="B250" s="267"/>
      <c r="C250" s="261" t="s">
        <v>54</v>
      </c>
      <c r="D250" s="263" t="s">
        <v>979</v>
      </c>
      <c r="E250" s="271">
        <v>315</v>
      </c>
      <c r="F250" s="261">
        <v>1</v>
      </c>
      <c r="G250" s="261" t="s">
        <v>222</v>
      </c>
      <c r="H250" s="272">
        <f>E250</f>
        <v>315</v>
      </c>
    </row>
    <row r="251" spans="2:13" hidden="1">
      <c r="B251" s="267"/>
      <c r="C251" s="261"/>
      <c r="D251" s="279" t="s">
        <v>511</v>
      </c>
      <c r="E251" s="280">
        <v>0.13614999999999999</v>
      </c>
      <c r="F251" s="261"/>
      <c r="G251" s="261"/>
      <c r="H251" s="274">
        <v>0</v>
      </c>
    </row>
    <row r="252" spans="2:13" hidden="1">
      <c r="B252" s="267"/>
      <c r="C252" s="261"/>
      <c r="D252" s="263" t="s">
        <v>707</v>
      </c>
      <c r="E252" s="261"/>
      <c r="F252" s="261"/>
      <c r="G252" s="261"/>
      <c r="H252" s="281">
        <f>CEILING(H250+H251,0.05)</f>
        <v>315</v>
      </c>
    </row>
    <row r="253" spans="2:13" ht="187.5" hidden="1" customHeight="1">
      <c r="B253" s="267">
        <f>+B249+1</f>
        <v>5</v>
      </c>
      <c r="C253" s="261"/>
      <c r="D253" s="1517" t="s">
        <v>1247</v>
      </c>
      <c r="E253" s="1518"/>
      <c r="F253" s="1518"/>
      <c r="G253" s="1518"/>
      <c r="H253" s="1519"/>
    </row>
    <row r="254" spans="2:13" hidden="1">
      <c r="B254" s="261"/>
      <c r="C254" s="261"/>
      <c r="D254" s="263"/>
      <c r="E254" s="261"/>
      <c r="F254" s="261"/>
      <c r="G254" s="261"/>
      <c r="H254" s="261"/>
    </row>
    <row r="255" spans="2:13" hidden="1">
      <c r="B255" s="261"/>
      <c r="C255" s="261">
        <v>1</v>
      </c>
      <c r="D255" s="263" t="s">
        <v>1248</v>
      </c>
      <c r="E255" s="271">
        <v>2292</v>
      </c>
      <c r="F255" s="261">
        <v>1</v>
      </c>
      <c r="G255" s="261" t="s">
        <v>547</v>
      </c>
      <c r="H255" s="272">
        <f>C255*E255/F255</f>
        <v>2292</v>
      </c>
    </row>
    <row r="256" spans="2:13" hidden="1">
      <c r="B256" s="261"/>
      <c r="C256" s="261"/>
      <c r="D256" s="279" t="s">
        <v>511</v>
      </c>
      <c r="E256" s="280">
        <v>0.13614999999999999</v>
      </c>
      <c r="F256" s="261"/>
      <c r="G256" s="261"/>
      <c r="H256" s="274">
        <v>0</v>
      </c>
    </row>
    <row r="257" spans="2:8" hidden="1">
      <c r="B257" s="261"/>
      <c r="C257" s="261"/>
      <c r="D257" s="263" t="s">
        <v>515</v>
      </c>
      <c r="E257" s="261"/>
      <c r="F257" s="261"/>
      <c r="G257" s="261"/>
      <c r="H257" s="281">
        <f>CEILING(H255+H256,0.05)</f>
        <v>2292</v>
      </c>
    </row>
    <row r="258" spans="2:8" ht="21.75" hidden="1" customHeight="1">
      <c r="B258" s="267"/>
      <c r="C258" s="261"/>
      <c r="D258" s="289" t="s">
        <v>721</v>
      </c>
      <c r="E258" s="261"/>
      <c r="F258" s="261"/>
      <c r="G258" s="261"/>
      <c r="H258" s="261"/>
    </row>
    <row r="259" spans="2:8" ht="159.75" hidden="1" customHeight="1">
      <c r="B259" s="261">
        <f>+B253+1</f>
        <v>6</v>
      </c>
      <c r="C259" s="261"/>
      <c r="D259" s="1517" t="s">
        <v>1346</v>
      </c>
      <c r="E259" s="1518"/>
      <c r="F259" s="1518"/>
      <c r="G259" s="1518"/>
      <c r="H259" s="1519"/>
    </row>
    <row r="260" spans="2:8" hidden="1">
      <c r="B260" s="261"/>
      <c r="C260" s="261"/>
      <c r="D260" s="263" t="s">
        <v>1249</v>
      </c>
      <c r="E260" s="261">
        <v>5491</v>
      </c>
      <c r="F260" s="261">
        <v>1</v>
      </c>
      <c r="G260" s="261" t="s">
        <v>55</v>
      </c>
      <c r="H260" s="274">
        <f>E260</f>
        <v>5491</v>
      </c>
    </row>
    <row r="261" spans="2:8" hidden="1">
      <c r="B261" s="261"/>
      <c r="C261" s="261"/>
      <c r="D261" s="263" t="s">
        <v>1250</v>
      </c>
      <c r="E261" s="261"/>
      <c r="F261" s="261"/>
      <c r="G261" s="261"/>
      <c r="H261" s="274">
        <v>-533</v>
      </c>
    </row>
    <row r="262" spans="2:8" hidden="1">
      <c r="B262" s="261"/>
      <c r="C262" s="261"/>
      <c r="D262" s="263" t="s">
        <v>1251</v>
      </c>
      <c r="E262" s="261"/>
      <c r="F262" s="261"/>
      <c r="G262" s="261"/>
      <c r="H262" s="274">
        <v>407</v>
      </c>
    </row>
    <row r="263" spans="2:8" hidden="1">
      <c r="B263" s="261"/>
      <c r="C263" s="261"/>
      <c r="D263" s="263"/>
      <c r="E263" s="261" t="s">
        <v>466</v>
      </c>
      <c r="F263" s="261"/>
      <c r="G263" s="261"/>
      <c r="H263" s="274">
        <f>SUM(H260:H262)</f>
        <v>5365</v>
      </c>
    </row>
    <row r="264" spans="2:8" hidden="1">
      <c r="B264" s="261"/>
      <c r="C264" s="261"/>
      <c r="D264" s="263" t="s">
        <v>1027</v>
      </c>
      <c r="E264" s="280">
        <v>0.13614999999999999</v>
      </c>
      <c r="F264" s="261"/>
      <c r="G264" s="261"/>
      <c r="H264" s="272">
        <f>ROUND(E264*H263,2)</f>
        <v>730.44</v>
      </c>
    </row>
    <row r="265" spans="2:8" hidden="1">
      <c r="B265" s="261"/>
      <c r="C265" s="261"/>
      <c r="D265" s="262" t="s">
        <v>56</v>
      </c>
      <c r="E265" s="267"/>
      <c r="F265" s="267"/>
      <c r="G265" s="267"/>
      <c r="H265" s="290">
        <f>CEILING(H263+H264,0.05)</f>
        <v>6095.4500000000007</v>
      </c>
    </row>
    <row r="266" spans="2:8" ht="12" hidden="1" customHeight="1">
      <c r="B266" s="261"/>
      <c r="C266" s="261"/>
      <c r="D266" s="263"/>
      <c r="E266" s="261"/>
      <c r="F266" s="261"/>
      <c r="G266" s="261"/>
      <c r="H266" s="261"/>
    </row>
    <row r="267" spans="2:8" hidden="1">
      <c r="B267" s="261"/>
      <c r="C267" s="261"/>
      <c r="D267" s="263"/>
      <c r="E267" s="261"/>
      <c r="F267" s="261"/>
      <c r="G267" s="261"/>
      <c r="H267" s="261"/>
    </row>
    <row r="268" spans="2:8" ht="134.25" hidden="1" customHeight="1">
      <c r="B268" s="261">
        <f>+B259+1</f>
        <v>7</v>
      </c>
      <c r="C268" s="267" t="s">
        <v>1</v>
      </c>
      <c r="D268" s="1517" t="s">
        <v>1304</v>
      </c>
      <c r="E268" s="1518"/>
      <c r="F268" s="1518"/>
      <c r="G268" s="1518"/>
      <c r="H268" s="1519"/>
    </row>
    <row r="269" spans="2:8" hidden="1">
      <c r="B269" s="261"/>
      <c r="C269" s="261"/>
      <c r="D269" s="263" t="s">
        <v>1252</v>
      </c>
      <c r="E269" s="261"/>
      <c r="F269" s="261"/>
      <c r="G269" s="261"/>
      <c r="H269" s="272">
        <v>6232</v>
      </c>
    </row>
    <row r="270" spans="2:8" hidden="1">
      <c r="B270" s="261"/>
      <c r="C270" s="261"/>
      <c r="D270" s="263" t="str">
        <f>D261</f>
        <v>Deduct 5 mm plain glass (TBSC-F.I-02)</v>
      </c>
      <c r="E270" s="261"/>
      <c r="F270" s="261"/>
      <c r="G270" s="261"/>
      <c r="H270" s="272">
        <f>H261</f>
        <v>-533</v>
      </c>
    </row>
    <row r="271" spans="2:8" hidden="1">
      <c r="B271" s="261"/>
      <c r="C271" s="261"/>
      <c r="D271" s="263" t="str">
        <f>D262</f>
        <v>Add 0.5 mm thick Galvalume corrugated sheet (TBSC-D.VI-05)</v>
      </c>
      <c r="E271" s="261"/>
      <c r="F271" s="261"/>
      <c r="G271" s="261"/>
      <c r="H271" s="272">
        <f>H262</f>
        <v>407</v>
      </c>
    </row>
    <row r="272" spans="2:8" hidden="1">
      <c r="B272" s="261"/>
      <c r="C272" s="261"/>
      <c r="D272" s="263"/>
      <c r="E272" s="261" t="s">
        <v>466</v>
      </c>
      <c r="F272" s="261"/>
      <c r="G272" s="261"/>
      <c r="H272" s="272">
        <f>SUM(H269:H271)</f>
        <v>6106</v>
      </c>
    </row>
    <row r="273" spans="2:8" hidden="1">
      <c r="B273" s="261"/>
      <c r="C273" s="261"/>
      <c r="D273" s="263" t="s">
        <v>1027</v>
      </c>
      <c r="E273" s="280">
        <v>0</v>
      </c>
      <c r="F273" s="261"/>
      <c r="G273" s="261"/>
      <c r="H273" s="272">
        <f>ROUND(E273*H272,2)</f>
        <v>0</v>
      </c>
    </row>
    <row r="274" spans="2:8" hidden="1">
      <c r="B274" s="261"/>
      <c r="C274" s="261"/>
      <c r="D274" s="262" t="s">
        <v>56</v>
      </c>
      <c r="E274" s="267"/>
      <c r="F274" s="267"/>
      <c r="G274" s="267"/>
      <c r="H274" s="281">
        <f>CEILING(H272+H273,0.05)</f>
        <v>6106</v>
      </c>
    </row>
    <row r="275" spans="2:8" hidden="1">
      <c r="B275" s="261"/>
      <c r="C275" s="261"/>
      <c r="D275" s="263"/>
      <c r="E275" s="261"/>
      <c r="F275" s="261"/>
      <c r="G275" s="261"/>
      <c r="H275" s="261"/>
    </row>
    <row r="276" spans="2:8" hidden="1">
      <c r="B276" s="261"/>
      <c r="C276" s="261"/>
      <c r="D276" s="263"/>
      <c r="E276" s="261"/>
      <c r="F276" s="261"/>
      <c r="G276" s="261"/>
      <c r="H276" s="261"/>
    </row>
    <row r="277" spans="2:8" ht="186" hidden="1" customHeight="1">
      <c r="B277" s="261">
        <f>+B268+1</f>
        <v>8</v>
      </c>
      <c r="C277" s="261" t="s">
        <v>642</v>
      </c>
      <c r="D277" s="1517" t="s">
        <v>1303</v>
      </c>
      <c r="E277" s="1518"/>
      <c r="F277" s="1518"/>
      <c r="G277" s="1518"/>
      <c r="H277" s="1519"/>
    </row>
    <row r="278" spans="2:8" hidden="1">
      <c r="B278" s="261"/>
      <c r="C278" s="261"/>
      <c r="D278" s="291" t="s">
        <v>1253</v>
      </c>
      <c r="E278" s="277">
        <v>7405</v>
      </c>
      <c r="F278" s="277">
        <v>1</v>
      </c>
      <c r="G278" s="277" t="s">
        <v>55</v>
      </c>
      <c r="H278" s="278">
        <f>E278</f>
        <v>7405</v>
      </c>
    </row>
    <row r="279" spans="2:8" hidden="1">
      <c r="B279" s="261"/>
      <c r="C279" s="261"/>
      <c r="D279" s="263" t="s">
        <v>1250</v>
      </c>
      <c r="E279" s="277"/>
      <c r="F279" s="277"/>
      <c r="G279" s="277"/>
      <c r="H279" s="272">
        <f>H270</f>
        <v>-533</v>
      </c>
    </row>
    <row r="280" spans="2:8" hidden="1">
      <c r="B280" s="261"/>
      <c r="C280" s="261"/>
      <c r="D280" s="263" t="s">
        <v>1251</v>
      </c>
      <c r="E280" s="277"/>
      <c r="F280" s="277"/>
      <c r="G280" s="277"/>
      <c r="H280" s="272">
        <f>H271</f>
        <v>407</v>
      </c>
    </row>
    <row r="281" spans="2:8" hidden="1">
      <c r="B281" s="261"/>
      <c r="C281" s="261"/>
      <c r="D281" s="291"/>
      <c r="E281" s="277" t="s">
        <v>466</v>
      </c>
      <c r="F281" s="277"/>
      <c r="G281" s="277"/>
      <c r="H281" s="278">
        <f>SUM(H278:H280)</f>
        <v>7279</v>
      </c>
    </row>
    <row r="282" spans="2:8" hidden="1">
      <c r="B282" s="261"/>
      <c r="C282" s="261"/>
      <c r="D282" s="263" t="s">
        <v>1027</v>
      </c>
      <c r="E282" s="280">
        <v>0.13614999999999999</v>
      </c>
      <c r="F282" s="277"/>
      <c r="G282" s="277"/>
      <c r="H282" s="292">
        <f>H281*E282</f>
        <v>991.03584999999998</v>
      </c>
    </row>
    <row r="283" spans="2:8" hidden="1">
      <c r="B283" s="261"/>
      <c r="C283" s="261"/>
      <c r="D283" s="293" t="s">
        <v>56</v>
      </c>
      <c r="E283" s="294"/>
      <c r="F283" s="294"/>
      <c r="G283" s="294"/>
      <c r="H283" s="295">
        <f>CEILING(H281+H282,1)</f>
        <v>8271</v>
      </c>
    </row>
    <row r="284" spans="2:8" hidden="1">
      <c r="B284" s="261"/>
      <c r="C284" s="261"/>
      <c r="D284" s="293"/>
      <c r="E284" s="294"/>
      <c r="F284" s="294"/>
      <c r="G284" s="294"/>
      <c r="H284" s="295"/>
    </row>
    <row r="285" spans="2:8" ht="156" hidden="1" customHeight="1">
      <c r="B285" s="261">
        <v>6</v>
      </c>
      <c r="C285" s="267"/>
      <c r="D285" s="1517" t="s">
        <v>2413</v>
      </c>
      <c r="E285" s="1518"/>
      <c r="F285" s="1518"/>
      <c r="G285" s="1518"/>
      <c r="H285" s="1519"/>
    </row>
    <row r="286" spans="2:8" hidden="1">
      <c r="B286" s="261"/>
      <c r="C286" s="261"/>
      <c r="D286" s="291" t="s">
        <v>2414</v>
      </c>
      <c r="E286" s="277">
        <v>8552</v>
      </c>
      <c r="F286" s="277">
        <v>1</v>
      </c>
      <c r="G286" s="277" t="s">
        <v>55</v>
      </c>
      <c r="H286" s="278">
        <f>E286</f>
        <v>8552</v>
      </c>
    </row>
    <row r="287" spans="2:8" hidden="1">
      <c r="B287" s="261"/>
      <c r="C287" s="261"/>
      <c r="D287" s="263" t="s">
        <v>1250</v>
      </c>
      <c r="E287" s="277"/>
      <c r="F287" s="277"/>
      <c r="G287" s="277"/>
      <c r="H287" s="272">
        <f>H279</f>
        <v>-533</v>
      </c>
    </row>
    <row r="288" spans="2:8" hidden="1">
      <c r="B288" s="261"/>
      <c r="C288" s="261"/>
      <c r="D288" s="263" t="s">
        <v>1251</v>
      </c>
      <c r="E288" s="277"/>
      <c r="F288" s="277"/>
      <c r="G288" s="277"/>
      <c r="H288" s="272">
        <f>H280</f>
        <v>407</v>
      </c>
    </row>
    <row r="289" spans="2:8" hidden="1">
      <c r="B289" s="261"/>
      <c r="C289" s="261"/>
      <c r="D289" s="291"/>
      <c r="E289" s="277" t="s">
        <v>466</v>
      </c>
      <c r="F289" s="277"/>
      <c r="G289" s="277"/>
      <c r="H289" s="278">
        <f>SUM(H286:H288)</f>
        <v>8426</v>
      </c>
    </row>
    <row r="290" spans="2:8" hidden="1">
      <c r="B290" s="261"/>
      <c r="C290" s="261"/>
      <c r="D290" s="263" t="s">
        <v>1027</v>
      </c>
      <c r="E290" s="280">
        <v>0</v>
      </c>
      <c r="F290" s="277"/>
      <c r="G290" s="277"/>
      <c r="H290" s="292">
        <f>H289*E290</f>
        <v>0</v>
      </c>
    </row>
    <row r="291" spans="2:8" hidden="1">
      <c r="B291" s="261"/>
      <c r="C291" s="261"/>
      <c r="D291" s="293" t="s">
        <v>56</v>
      </c>
      <c r="E291" s="294"/>
      <c r="F291" s="294"/>
      <c r="G291" s="294"/>
      <c r="H291" s="295">
        <f>CEILING(H289+H290,1)</f>
        <v>8426</v>
      </c>
    </row>
    <row r="292" spans="2:8" hidden="1">
      <c r="B292" s="261"/>
      <c r="C292" s="261"/>
      <c r="D292" s="293"/>
      <c r="E292" s="294"/>
      <c r="F292" s="294"/>
      <c r="G292" s="294"/>
      <c r="H292" s="295"/>
    </row>
    <row r="293" spans="2:8" ht="121.5" hidden="1" customHeight="1">
      <c r="B293" s="261">
        <v>7</v>
      </c>
      <c r="C293" s="267"/>
      <c r="D293" s="1517" t="s">
        <v>1254</v>
      </c>
      <c r="E293" s="1518"/>
      <c r="F293" s="1518"/>
      <c r="G293" s="1518"/>
      <c r="H293" s="1519"/>
    </row>
    <row r="294" spans="2:8" hidden="1">
      <c r="B294" s="261"/>
      <c r="C294" s="261"/>
      <c r="D294" s="291" t="s">
        <v>1255</v>
      </c>
      <c r="E294" s="277">
        <v>4246</v>
      </c>
      <c r="F294" s="277">
        <v>1</v>
      </c>
      <c r="G294" s="277" t="s">
        <v>55</v>
      </c>
      <c r="H294" s="278">
        <f>E294</f>
        <v>4246</v>
      </c>
    </row>
    <row r="295" spans="2:8" hidden="1">
      <c r="B295" s="261"/>
      <c r="C295" s="261"/>
      <c r="D295" s="291"/>
      <c r="E295" s="277" t="s">
        <v>466</v>
      </c>
      <c r="F295" s="277"/>
      <c r="G295" s="277"/>
      <c r="H295" s="278">
        <f>SUM(H294:H294)</f>
        <v>4246</v>
      </c>
    </row>
    <row r="296" spans="2:8" hidden="1">
      <c r="B296" s="261"/>
      <c r="C296" s="261"/>
      <c r="D296" s="263" t="s">
        <v>1027</v>
      </c>
      <c r="E296" s="280">
        <v>0.13614999999999999</v>
      </c>
      <c r="F296" s="277"/>
      <c r="G296" s="277"/>
      <c r="H296" s="292">
        <v>0</v>
      </c>
    </row>
    <row r="297" spans="2:8" hidden="1">
      <c r="B297" s="261"/>
      <c r="C297" s="261"/>
      <c r="D297" s="293" t="s">
        <v>56</v>
      </c>
      <c r="E297" s="294"/>
      <c r="F297" s="294"/>
      <c r="G297" s="294"/>
      <c r="H297" s="295">
        <f>CEILING(H295+H296,1)</f>
        <v>4246</v>
      </c>
    </row>
    <row r="298" spans="2:8" hidden="1">
      <c r="D298" s="296"/>
      <c r="E298" s="297"/>
      <c r="F298" s="297"/>
      <c r="G298" s="297"/>
      <c r="H298" s="525"/>
    </row>
    <row r="299" spans="2:8" hidden="1">
      <c r="D299" s="296"/>
      <c r="E299" s="297"/>
      <c r="F299" s="297"/>
      <c r="G299" s="297"/>
      <c r="H299" s="525"/>
    </row>
    <row r="300" spans="2:8" ht="138" hidden="1" customHeight="1">
      <c r="C300" s="1521" t="s">
        <v>2434</v>
      </c>
      <c r="D300" s="1522"/>
      <c r="E300" s="1522"/>
      <c r="F300" s="1522"/>
      <c r="G300" s="1522"/>
      <c r="H300" s="1522"/>
    </row>
    <row r="301" spans="2:8" hidden="1">
      <c r="C301" s="1285"/>
      <c r="D301" s="1286" t="s">
        <v>2493</v>
      </c>
      <c r="E301" s="1287">
        <v>0.9</v>
      </c>
      <c r="F301" s="1285" t="s">
        <v>533</v>
      </c>
      <c r="G301" s="1285">
        <v>2.13</v>
      </c>
      <c r="H301" s="1287">
        <f>G301*E301</f>
        <v>1.917</v>
      </c>
    </row>
    <row r="302" spans="2:8" hidden="1">
      <c r="B302" s="1226"/>
      <c r="C302" s="1285"/>
      <c r="D302" s="1288" t="s">
        <v>2488</v>
      </c>
      <c r="E302" s="1285"/>
      <c r="F302" s="1285"/>
      <c r="G302" s="1285"/>
      <c r="H302" s="1285"/>
    </row>
    <row r="303" spans="2:8" hidden="1">
      <c r="B303" s="1226"/>
      <c r="C303" s="1285"/>
      <c r="D303" s="1288" t="s">
        <v>2494</v>
      </c>
      <c r="E303" s="1289">
        <f>3*2.13*0.075*0.1</f>
        <v>4.7924999999999995E-2</v>
      </c>
      <c r="F303" s="1285" t="s">
        <v>644</v>
      </c>
      <c r="G303" s="1285"/>
      <c r="H303" s="1285"/>
    </row>
    <row r="304" spans="2:8" hidden="1">
      <c r="B304" s="1226"/>
      <c r="C304" s="1285"/>
      <c r="D304" s="1288" t="s">
        <v>2495</v>
      </c>
      <c r="E304" s="1289">
        <f>2*0.9*0.075*0.1</f>
        <v>1.3500000000000002E-2</v>
      </c>
      <c r="F304" s="1285" t="s">
        <v>644</v>
      </c>
      <c r="G304" s="1285"/>
      <c r="H304" s="1285"/>
    </row>
    <row r="305" spans="2:8" hidden="1">
      <c r="B305" s="1226"/>
      <c r="C305" s="1285"/>
      <c r="D305" s="1288"/>
      <c r="E305" s="1290">
        <f>SUM(E303:E304)</f>
        <v>6.1424999999999993E-2</v>
      </c>
      <c r="F305" s="1285"/>
      <c r="G305" s="1285"/>
      <c r="H305" s="1285"/>
    </row>
    <row r="306" spans="2:8" ht="27.9" hidden="1">
      <c r="B306" s="1226"/>
      <c r="C306" s="1285"/>
      <c r="D306" s="1291" t="s">
        <v>2489</v>
      </c>
      <c r="E306" s="1285"/>
      <c r="F306" s="1285"/>
      <c r="G306" s="1285"/>
      <c r="H306" s="1285"/>
    </row>
    <row r="307" spans="2:8" hidden="1">
      <c r="B307" s="1226"/>
      <c r="C307" s="1285"/>
      <c r="D307" s="1288" t="s">
        <v>2490</v>
      </c>
      <c r="E307" s="1292">
        <f>1*1.095*2.0665</f>
        <v>2.2628175000000001</v>
      </c>
      <c r="F307" s="1293" t="s">
        <v>547</v>
      </c>
      <c r="G307" s="1285"/>
      <c r="H307" s="1285"/>
    </row>
    <row r="308" spans="2:8" hidden="1">
      <c r="B308" s="1226"/>
      <c r="C308" s="1285"/>
      <c r="D308" s="1288" t="s">
        <v>2491</v>
      </c>
      <c r="E308" s="1293"/>
      <c r="F308" s="1293"/>
      <c r="G308" s="1285"/>
      <c r="H308" s="1285"/>
    </row>
    <row r="309" spans="2:8" hidden="1">
      <c r="B309" s="1226"/>
      <c r="C309" s="1285"/>
      <c r="D309" s="1288" t="s">
        <v>2492</v>
      </c>
      <c r="E309" s="1292">
        <v>8.1</v>
      </c>
      <c r="F309" s="1293" t="s">
        <v>462</v>
      </c>
      <c r="G309" s="1285"/>
      <c r="H309" s="1285"/>
    </row>
    <row r="310" spans="2:8" hidden="1">
      <c r="B310" s="1226"/>
      <c r="C310" s="1285"/>
      <c r="D310" s="1294" t="s">
        <v>489</v>
      </c>
      <c r="E310" s="1285"/>
      <c r="F310" s="1285"/>
      <c r="G310" s="1285"/>
      <c r="H310" s="1285"/>
    </row>
    <row r="311" spans="2:8" hidden="1">
      <c r="B311" s="1226"/>
      <c r="C311" s="1273"/>
      <c r="D311" s="1274" t="s">
        <v>509</v>
      </c>
      <c r="E311" s="1273"/>
      <c r="F311" s="1273"/>
      <c r="G311" s="1273"/>
      <c r="H311" s="1273"/>
    </row>
    <row r="312" spans="2:8" hidden="1">
      <c r="B312" s="261">
        <v>1</v>
      </c>
      <c r="C312" s="264">
        <f>+E305</f>
        <v>6.1424999999999993E-2</v>
      </c>
      <c r="D312" s="284" t="s">
        <v>1044</v>
      </c>
      <c r="E312" s="271">
        <f>E233</f>
        <v>84724</v>
      </c>
      <c r="F312" s="261">
        <v>1</v>
      </c>
      <c r="G312" s="261" t="s">
        <v>465</v>
      </c>
      <c r="H312" s="272">
        <f>ROUND(C312*E312/F312,2)</f>
        <v>5204.17</v>
      </c>
    </row>
    <row r="313" spans="2:8" ht="41.4" hidden="1">
      <c r="B313" s="1226"/>
      <c r="C313" s="271">
        <f>E307</f>
        <v>2.2628175000000001</v>
      </c>
      <c r="D313" s="273" t="s">
        <v>2574</v>
      </c>
      <c r="E313" s="271">
        <f t="shared" ref="E313:E321" si="15">E234</f>
        <v>76251</v>
      </c>
      <c r="F313" s="261">
        <v>1</v>
      </c>
      <c r="G313" s="261" t="s">
        <v>461</v>
      </c>
      <c r="H313" s="1317">
        <f>ROUND(C313*E313/F313,2)</f>
        <v>172542.1</v>
      </c>
    </row>
    <row r="314" spans="2:8" hidden="1">
      <c r="B314" s="1226"/>
      <c r="C314" s="1275">
        <f>+E309</f>
        <v>8.1</v>
      </c>
      <c r="D314" s="1276" t="s">
        <v>2492</v>
      </c>
      <c r="E314" s="271">
        <f t="shared" si="15"/>
        <v>1417</v>
      </c>
      <c r="F314" s="261">
        <v>1</v>
      </c>
      <c r="G314" s="261" t="s">
        <v>461</v>
      </c>
      <c r="H314" s="272">
        <f t="shared" ref="H314" si="16">ROUND(C314*E314/F314,2)</f>
        <v>11477.7</v>
      </c>
    </row>
    <row r="315" spans="2:8" hidden="1">
      <c r="B315" s="1226"/>
      <c r="C315" s="271">
        <v>6</v>
      </c>
      <c r="D315" s="263" t="s">
        <v>1026</v>
      </c>
      <c r="E315" s="271">
        <f t="shared" si="15"/>
        <v>34</v>
      </c>
      <c r="F315" s="261">
        <v>1</v>
      </c>
      <c r="G315" s="261" t="s">
        <v>268</v>
      </c>
      <c r="H315" s="272">
        <f t="shared" ref="H315:H321" si="17">ROUND(C315*E315/F315,2)</f>
        <v>204</v>
      </c>
    </row>
    <row r="316" spans="2:8" hidden="1">
      <c r="B316" s="1226"/>
      <c r="C316" s="271">
        <v>1</v>
      </c>
      <c r="D316" s="270" t="s">
        <v>1228</v>
      </c>
      <c r="E316" s="271">
        <f t="shared" si="15"/>
        <v>173</v>
      </c>
      <c r="F316" s="261">
        <v>1</v>
      </c>
      <c r="G316" s="261" t="s">
        <v>268</v>
      </c>
      <c r="H316" s="272">
        <f t="shared" si="17"/>
        <v>173</v>
      </c>
    </row>
    <row r="317" spans="2:8" hidden="1">
      <c r="B317" s="1226"/>
      <c r="C317" s="271">
        <v>2</v>
      </c>
      <c r="D317" s="270" t="s">
        <v>1229</v>
      </c>
      <c r="E317" s="271">
        <f t="shared" si="15"/>
        <v>72</v>
      </c>
      <c r="F317" s="261">
        <v>1</v>
      </c>
      <c r="G317" s="261" t="s">
        <v>268</v>
      </c>
      <c r="H317" s="272">
        <f t="shared" si="17"/>
        <v>144</v>
      </c>
    </row>
    <row r="318" spans="2:8" hidden="1">
      <c r="B318" s="1226"/>
      <c r="C318" s="271">
        <v>2</v>
      </c>
      <c r="D318" s="270" t="s">
        <v>1230</v>
      </c>
      <c r="E318" s="271">
        <f t="shared" si="15"/>
        <v>48</v>
      </c>
      <c r="F318" s="261">
        <v>1</v>
      </c>
      <c r="G318" s="261" t="s">
        <v>268</v>
      </c>
      <c r="H318" s="272">
        <f t="shared" si="17"/>
        <v>96</v>
      </c>
    </row>
    <row r="319" spans="2:8" hidden="1">
      <c r="B319" s="1226"/>
      <c r="C319" s="271">
        <v>6</v>
      </c>
      <c r="D319" s="270" t="s">
        <v>1231</v>
      </c>
      <c r="E319" s="271">
        <f t="shared" si="15"/>
        <v>33</v>
      </c>
      <c r="F319" s="261">
        <v>1</v>
      </c>
      <c r="G319" s="261" t="s">
        <v>268</v>
      </c>
      <c r="H319" s="272">
        <f t="shared" si="17"/>
        <v>198</v>
      </c>
    </row>
    <row r="320" spans="2:8" hidden="1">
      <c r="B320" s="1226"/>
      <c r="C320" s="271">
        <v>1</v>
      </c>
      <c r="D320" s="270" t="s">
        <v>2573</v>
      </c>
      <c r="E320" s="271">
        <f t="shared" si="15"/>
        <v>70</v>
      </c>
      <c r="F320" s="261">
        <v>1</v>
      </c>
      <c r="G320" s="261" t="s">
        <v>268</v>
      </c>
      <c r="H320" s="272">
        <f t="shared" si="17"/>
        <v>70</v>
      </c>
    </row>
    <row r="321" spans="2:8" hidden="1">
      <c r="B321" s="1226"/>
      <c r="C321" s="271">
        <v>2</v>
      </c>
      <c r="D321" s="270" t="s">
        <v>1233</v>
      </c>
      <c r="E321" s="271">
        <f t="shared" si="15"/>
        <v>48</v>
      </c>
      <c r="F321" s="261">
        <v>1</v>
      </c>
      <c r="G321" s="261" t="s">
        <v>268</v>
      </c>
      <c r="H321" s="272">
        <f t="shared" si="17"/>
        <v>96</v>
      </c>
    </row>
    <row r="322" spans="2:8" hidden="1">
      <c r="B322" s="1226"/>
      <c r="C322" s="271"/>
      <c r="D322" s="269" t="s">
        <v>510</v>
      </c>
      <c r="E322" s="271"/>
      <c r="F322" s="261"/>
      <c r="G322" s="261"/>
      <c r="H322" s="272"/>
    </row>
    <row r="323" spans="2:8" hidden="1">
      <c r="B323" s="1226"/>
      <c r="C323" s="271"/>
      <c r="D323" s="269"/>
      <c r="E323" s="271"/>
      <c r="F323" s="261"/>
      <c r="G323" s="261"/>
      <c r="H323" s="272"/>
    </row>
    <row r="324" spans="2:8" ht="55.8" hidden="1">
      <c r="B324" s="1226"/>
      <c r="C324" s="271">
        <f>H301</f>
        <v>1.917</v>
      </c>
      <c r="D324" s="273" t="s">
        <v>1345</v>
      </c>
      <c r="E324" s="271">
        <v>1028</v>
      </c>
      <c r="F324" s="261">
        <v>1</v>
      </c>
      <c r="G324" s="261" t="s">
        <v>461</v>
      </c>
      <c r="H324" s="274">
        <f>ROUND(C324*E324/F324,2)</f>
        <v>1970.68</v>
      </c>
    </row>
    <row r="325" spans="2:8" hidden="1">
      <c r="B325" s="1226"/>
      <c r="C325" s="271">
        <f>'C-data'!$E$5</f>
        <v>0</v>
      </c>
      <c r="D325" s="275" t="s">
        <v>2194</v>
      </c>
      <c r="E325" s="276">
        <f>+H324</f>
        <v>1970.68</v>
      </c>
      <c r="F325" s="277">
        <v>1</v>
      </c>
      <c r="G325" s="277"/>
      <c r="H325" s="278">
        <f>ROUND(C325*E325/F325,2)</f>
        <v>0</v>
      </c>
    </row>
    <row r="326" spans="2:8" hidden="1">
      <c r="B326" s="1226"/>
      <c r="C326" s="271"/>
      <c r="D326" s="263"/>
      <c r="E326" s="271"/>
      <c r="F326" s="261"/>
      <c r="G326" s="261"/>
      <c r="H326" s="1317">
        <f>SUM(H312:H325)</f>
        <v>192175.65000000002</v>
      </c>
    </row>
    <row r="327" spans="2:8" hidden="1">
      <c r="B327" s="1226"/>
      <c r="C327" s="261"/>
      <c r="D327" s="279" t="s">
        <v>511</v>
      </c>
      <c r="E327" s="280">
        <v>0</v>
      </c>
      <c r="F327" s="261"/>
      <c r="G327" s="261"/>
      <c r="H327" s="272">
        <f>ROUND(E327*H326,2)</f>
        <v>0</v>
      </c>
    </row>
    <row r="328" spans="2:8" hidden="1">
      <c r="B328" s="1226"/>
      <c r="C328" s="261"/>
      <c r="D328" s="263" t="s">
        <v>490</v>
      </c>
      <c r="E328" s="261"/>
      <c r="F328" s="261"/>
      <c r="G328" s="261"/>
      <c r="H328" s="1318">
        <f>SUM(H326:H327)</f>
        <v>192175.65000000002</v>
      </c>
    </row>
    <row r="329" spans="2:8" hidden="1">
      <c r="B329" s="1226"/>
      <c r="C329" s="261"/>
      <c r="D329" s="263"/>
      <c r="E329" s="261"/>
      <c r="F329" s="261"/>
      <c r="G329" s="261" t="s">
        <v>744</v>
      </c>
      <c r="H329" s="1318">
        <f>CEILING(H328,1)</f>
        <v>192176</v>
      </c>
    </row>
    <row r="330" spans="2:8">
      <c r="B330" s="1226"/>
      <c r="C330" s="1226"/>
      <c r="D330" s="296"/>
      <c r="E330" s="297"/>
      <c r="F330" s="297"/>
      <c r="G330" s="297"/>
      <c r="H330" s="525"/>
    </row>
    <row r="331" spans="2:8">
      <c r="B331" s="1226"/>
      <c r="C331" s="1226"/>
      <c r="D331" s="296"/>
      <c r="E331" s="297"/>
      <c r="F331" s="297"/>
      <c r="G331" s="297"/>
      <c r="H331" s="525"/>
    </row>
    <row r="332" spans="2:8">
      <c r="B332" s="1226"/>
      <c r="C332" s="1226"/>
      <c r="D332" s="296"/>
      <c r="E332" s="297"/>
      <c r="F332" s="297"/>
      <c r="G332" s="297"/>
      <c r="H332" s="525"/>
    </row>
    <row r="333" spans="2:8">
      <c r="D333" s="1130" t="s">
        <v>1183</v>
      </c>
      <c r="E333" s="1520" t="s">
        <v>716</v>
      </c>
      <c r="F333" s="1520"/>
      <c r="G333" s="1520"/>
      <c r="H333" s="1520"/>
    </row>
    <row r="334" spans="2:8">
      <c r="D334" s="1130" t="str">
        <f>+LEAD!B42</f>
        <v>PR  MP Utkoor</v>
      </c>
      <c r="E334" s="1520" t="str">
        <f>+LEAD!D42</f>
        <v>PR SD Makthal</v>
      </c>
      <c r="F334" s="1520"/>
      <c r="G334" s="1520"/>
      <c r="H334" s="1520"/>
    </row>
    <row r="335" spans="2:8">
      <c r="D335" s="296"/>
      <c r="E335" s="297"/>
      <c r="F335" s="297"/>
      <c r="G335" s="297"/>
      <c r="H335" s="525"/>
    </row>
    <row r="339" spans="4:8">
      <c r="D339" s="298" t="s">
        <v>717</v>
      </c>
      <c r="E339" s="1515">
        <v>0</v>
      </c>
      <c r="F339" s="1515"/>
      <c r="G339" s="1515"/>
      <c r="H339" s="1515"/>
    </row>
    <row r="340" spans="4:8">
      <c r="D340" s="298">
        <f>+LEAD!J42</f>
        <v>0</v>
      </c>
      <c r="E340" s="1515">
        <v>0</v>
      </c>
      <c r="F340" s="1515"/>
      <c r="G340" s="1515"/>
      <c r="H340" s="1515"/>
    </row>
    <row r="457" spans="1:8">
      <c r="D457" s="683"/>
      <c r="E457" s="297"/>
      <c r="F457" s="297"/>
      <c r="G457" s="297"/>
      <c r="H457" s="525"/>
    </row>
    <row r="458" spans="1:8">
      <c r="D458" s="683"/>
      <c r="E458" s="297"/>
      <c r="F458" s="297"/>
      <c r="G458" s="297"/>
      <c r="H458" s="525"/>
    </row>
    <row r="459" spans="1:8">
      <c r="D459" s="683"/>
      <c r="E459" s="297"/>
      <c r="F459" s="297"/>
      <c r="G459" s="297"/>
      <c r="H459" s="525"/>
    </row>
    <row r="460" spans="1:8">
      <c r="D460" s="683"/>
      <c r="E460" s="297"/>
      <c r="F460" s="297"/>
      <c r="G460" s="297"/>
      <c r="H460" s="525"/>
    </row>
    <row r="461" spans="1:8">
      <c r="D461" s="683"/>
      <c r="E461" s="297"/>
      <c r="F461" s="297"/>
      <c r="G461" s="297"/>
      <c r="H461" s="525"/>
    </row>
    <row r="462" spans="1:8">
      <c r="D462" s="683"/>
      <c r="E462" s="297"/>
      <c r="F462" s="297"/>
      <c r="G462" s="297"/>
      <c r="H462" s="525"/>
    </row>
    <row r="464" spans="1:8" ht="16.5" customHeight="1">
      <c r="A464" s="1516" t="s">
        <v>1320</v>
      </c>
      <c r="B464" s="1516"/>
      <c r="C464" s="1516"/>
      <c r="D464" s="1131">
        <v>0</v>
      </c>
      <c r="E464" s="1516">
        <v>0</v>
      </c>
      <c r="F464" s="1516"/>
      <c r="G464" s="1516"/>
    </row>
    <row r="465" spans="1:10" ht="15" customHeight="1">
      <c r="A465" s="1515" t="s">
        <v>1187</v>
      </c>
      <c r="B465" s="1515"/>
      <c r="C465" s="1515"/>
      <c r="D465" s="1131" t="s">
        <v>1186</v>
      </c>
      <c r="E465" s="1516" t="s">
        <v>1185</v>
      </c>
      <c r="F465" s="1516"/>
      <c r="G465" s="1516"/>
    </row>
    <row r="466" spans="1:10" ht="15" customHeight="1">
      <c r="A466" s="1130"/>
      <c r="D466" s="1131"/>
      <c r="E466" s="1131"/>
      <c r="F466" s="1131"/>
      <c r="G466" s="1131"/>
    </row>
    <row r="467" spans="1:10" ht="15" customHeight="1">
      <c r="B467" s="286"/>
      <c r="C467" s="286"/>
      <c r="E467" s="1120"/>
      <c r="F467" s="778"/>
      <c r="G467" s="299"/>
      <c r="H467" s="300"/>
      <c r="I467" s="300"/>
      <c r="J467" s="300"/>
    </row>
    <row r="468" spans="1:10" ht="15.75" customHeight="1">
      <c r="D468" s="296">
        <v>0</v>
      </c>
      <c r="E468" s="300"/>
      <c r="F468" s="300"/>
      <c r="G468" s="300"/>
      <c r="H468" s="300"/>
      <c r="I468" s="300"/>
      <c r="J468" s="300"/>
    </row>
    <row r="469" spans="1:10" ht="12" customHeight="1">
      <c r="D469" s="296" t="s">
        <v>1128</v>
      </c>
    </row>
    <row r="471" spans="1:10">
      <c r="D471" s="1130"/>
      <c r="E471" s="783"/>
      <c r="F471" s="783"/>
      <c r="G471" s="783"/>
    </row>
    <row r="472" spans="1:10">
      <c r="D472" s="1130"/>
      <c r="E472" s="783"/>
      <c r="F472" s="783"/>
      <c r="G472" s="783"/>
      <c r="H472" s="783"/>
    </row>
  </sheetData>
  <mergeCells count="27">
    <mergeCell ref="D259:H259"/>
    <mergeCell ref="D277:H277"/>
    <mergeCell ref="D253:H253"/>
    <mergeCell ref="D249:H249"/>
    <mergeCell ref="D268:H268"/>
    <mergeCell ref="B1:H1"/>
    <mergeCell ref="B2:H2"/>
    <mergeCell ref="D4:H4"/>
    <mergeCell ref="D32:H32"/>
    <mergeCell ref="D88:H88"/>
    <mergeCell ref="D169:H169"/>
    <mergeCell ref="D196:H196"/>
    <mergeCell ref="D223:H223"/>
    <mergeCell ref="D143:H143"/>
    <mergeCell ref="D60:H60"/>
    <mergeCell ref="D116:G116"/>
    <mergeCell ref="E339:H339"/>
    <mergeCell ref="D293:H293"/>
    <mergeCell ref="E333:H333"/>
    <mergeCell ref="E334:H334"/>
    <mergeCell ref="D285:H285"/>
    <mergeCell ref="C300:H300"/>
    <mergeCell ref="E340:H340"/>
    <mergeCell ref="A464:C464"/>
    <mergeCell ref="E464:G464"/>
    <mergeCell ref="A465:C465"/>
    <mergeCell ref="E465:G465"/>
  </mergeCells>
  <printOptions horizontalCentered="1" gridLines="1"/>
  <pageMargins left="0.35433070866141703" right="0.21" top="0.51" bottom="0.43" header="0.25" footer="0.196850393700787"/>
  <pageSetup paperSize="9" scale="83" orientation="portrait" r:id="rId1"/>
  <headerFooter alignWithMargins="0">
    <oddFooter>&amp;L&amp;"Times New Roman,Italic"&amp;A&amp;RPage &amp;P of &amp;N</oddFooter>
  </headerFooter>
  <colBreaks count="1" manualBreakCount="1">
    <brk id="8"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B0F0"/>
  </sheetPr>
  <dimension ref="A2:IV736"/>
  <sheetViews>
    <sheetView topLeftCell="A158" workbookViewId="0">
      <selection activeCell="I18" sqref="I18"/>
    </sheetView>
  </sheetViews>
  <sheetFormatPr defaultColWidth="9" defaultRowHeight="14.1"/>
  <cols>
    <col min="1" max="1" width="0.26171875" style="303" customWidth="1"/>
    <col min="2" max="2" width="5.41796875" style="303" customWidth="1"/>
    <col min="3" max="3" width="10.15625" style="303" customWidth="1"/>
    <col min="4" max="8" width="9" style="303"/>
    <col min="9" max="9" width="10.578125" style="303" customWidth="1"/>
    <col min="10" max="10" width="9" style="303"/>
    <col min="11" max="11" width="12.15625" style="303" customWidth="1"/>
    <col min="12" max="256" width="10" style="303" customWidth="1"/>
    <col min="257" max="16384" width="9" style="303"/>
  </cols>
  <sheetData>
    <row r="2" spans="1:256" ht="15">
      <c r="A2" s="301"/>
      <c r="B2" s="302"/>
      <c r="C2" s="1541" t="s">
        <v>1357</v>
      </c>
      <c r="D2" s="1542"/>
      <c r="E2" s="1542"/>
      <c r="F2" s="1542"/>
      <c r="G2" s="1542"/>
      <c r="H2" s="1542"/>
      <c r="I2" s="1542"/>
      <c r="J2" s="1542"/>
      <c r="K2" s="1542"/>
      <c r="L2" s="301"/>
      <c r="M2" s="301"/>
      <c r="N2" s="301"/>
      <c r="O2" s="301"/>
      <c r="P2" s="301"/>
      <c r="Q2" s="301"/>
      <c r="R2" s="301"/>
      <c r="S2" s="301"/>
      <c r="T2" s="301"/>
      <c r="U2" s="301"/>
      <c r="V2" s="301"/>
      <c r="W2" s="301"/>
      <c r="X2" s="301"/>
      <c r="Y2" s="301"/>
      <c r="Z2" s="301"/>
      <c r="AA2" s="301"/>
      <c r="AB2" s="301"/>
      <c r="AC2" s="301"/>
      <c r="AD2" s="301"/>
      <c r="AE2" s="301"/>
      <c r="AF2" s="301"/>
      <c r="AG2" s="301"/>
      <c r="AH2" s="301"/>
      <c r="AI2" s="301"/>
      <c r="AJ2" s="301"/>
      <c r="AK2" s="301"/>
      <c r="AL2" s="301"/>
      <c r="AM2" s="301"/>
      <c r="AN2" s="301"/>
      <c r="AO2" s="301"/>
      <c r="AP2" s="301"/>
      <c r="AQ2" s="301"/>
      <c r="AR2" s="301"/>
      <c r="AS2" s="301"/>
      <c r="AT2" s="301"/>
      <c r="AU2" s="301"/>
      <c r="AV2" s="301"/>
      <c r="AW2" s="301"/>
      <c r="AX2" s="301"/>
      <c r="AY2" s="301"/>
      <c r="AZ2" s="301"/>
      <c r="BA2" s="301"/>
      <c r="BB2" s="301"/>
      <c r="BC2" s="301"/>
      <c r="BD2" s="301"/>
      <c r="BE2" s="301"/>
      <c r="BF2" s="301"/>
      <c r="BG2" s="301"/>
      <c r="BH2" s="301"/>
      <c r="BI2" s="301"/>
      <c r="BJ2" s="301"/>
      <c r="BK2" s="301"/>
      <c r="BL2" s="301"/>
      <c r="BM2" s="301"/>
      <c r="BN2" s="301"/>
      <c r="BO2" s="301"/>
      <c r="BP2" s="301"/>
      <c r="BQ2" s="301"/>
      <c r="BR2" s="301"/>
      <c r="BS2" s="301"/>
      <c r="BT2" s="301"/>
      <c r="BU2" s="301"/>
      <c r="BV2" s="301"/>
      <c r="BW2" s="301"/>
      <c r="BX2" s="301"/>
      <c r="BY2" s="301"/>
      <c r="BZ2" s="301"/>
      <c r="CA2" s="301"/>
      <c r="CB2" s="301"/>
      <c r="CC2" s="301"/>
      <c r="CD2" s="301"/>
      <c r="CE2" s="301"/>
      <c r="CF2" s="301"/>
      <c r="CG2" s="301"/>
      <c r="CH2" s="301"/>
      <c r="CI2" s="301"/>
      <c r="CJ2" s="301"/>
      <c r="CK2" s="301"/>
      <c r="CL2" s="301"/>
      <c r="CM2" s="301"/>
      <c r="CN2" s="301"/>
      <c r="CO2" s="301"/>
      <c r="CP2" s="301"/>
      <c r="CQ2" s="301"/>
      <c r="CR2" s="301"/>
      <c r="CS2" s="301"/>
      <c r="CT2" s="301"/>
      <c r="CU2" s="301"/>
      <c r="CV2" s="301"/>
      <c r="CW2" s="301"/>
      <c r="CX2" s="301"/>
      <c r="CY2" s="301"/>
      <c r="CZ2" s="301"/>
      <c r="DA2" s="301"/>
      <c r="DB2" s="301"/>
      <c r="DC2" s="301"/>
      <c r="DD2" s="301"/>
      <c r="DE2" s="301"/>
      <c r="DF2" s="301"/>
      <c r="DG2" s="301"/>
      <c r="DH2" s="301"/>
      <c r="DI2" s="301"/>
      <c r="DJ2" s="301"/>
      <c r="DK2" s="301"/>
      <c r="DL2" s="301"/>
      <c r="DM2" s="301"/>
      <c r="DN2" s="301"/>
      <c r="DO2" s="301"/>
      <c r="DP2" s="301"/>
      <c r="DQ2" s="301"/>
      <c r="DR2" s="301"/>
      <c r="DS2" s="301"/>
      <c r="DT2" s="301"/>
      <c r="DU2" s="301"/>
      <c r="DV2" s="301"/>
      <c r="DW2" s="301"/>
      <c r="DX2" s="301"/>
      <c r="DY2" s="301"/>
      <c r="DZ2" s="301"/>
      <c r="EA2" s="301"/>
      <c r="EB2" s="301"/>
      <c r="EC2" s="301"/>
      <c r="ED2" s="301"/>
      <c r="EE2" s="301"/>
      <c r="EF2" s="301"/>
      <c r="EG2" s="301"/>
      <c r="EH2" s="301"/>
      <c r="EI2" s="301"/>
      <c r="EJ2" s="301"/>
      <c r="EK2" s="301"/>
      <c r="EL2" s="301"/>
      <c r="EM2" s="301"/>
      <c r="EN2" s="301"/>
      <c r="EO2" s="301"/>
      <c r="EP2" s="301"/>
      <c r="EQ2" s="301"/>
      <c r="ER2" s="301"/>
      <c r="ES2" s="301"/>
      <c r="ET2" s="301"/>
      <c r="EU2" s="301"/>
      <c r="EV2" s="301"/>
      <c r="EW2" s="301"/>
      <c r="EX2" s="301"/>
      <c r="EY2" s="301"/>
      <c r="EZ2" s="301"/>
      <c r="FA2" s="301"/>
      <c r="FB2" s="301"/>
      <c r="FC2" s="301"/>
      <c r="FD2" s="301"/>
      <c r="FE2" s="301"/>
      <c r="FF2" s="301"/>
      <c r="FG2" s="301"/>
      <c r="FH2" s="301"/>
      <c r="FI2" s="301"/>
      <c r="FJ2" s="301"/>
      <c r="FK2" s="301"/>
      <c r="FL2" s="301"/>
      <c r="FM2" s="301"/>
      <c r="FN2" s="301"/>
      <c r="FO2" s="301"/>
      <c r="FP2" s="301"/>
      <c r="FQ2" s="301"/>
      <c r="FR2" s="301"/>
      <c r="FS2" s="301"/>
      <c r="FT2" s="301"/>
      <c r="FU2" s="301"/>
      <c r="FV2" s="301"/>
      <c r="FW2" s="301"/>
      <c r="FX2" s="301"/>
      <c r="FY2" s="301"/>
      <c r="FZ2" s="301"/>
      <c r="GA2" s="301"/>
      <c r="GB2" s="301"/>
      <c r="GC2" s="301"/>
      <c r="GD2" s="301"/>
      <c r="GE2" s="301"/>
      <c r="GF2" s="301"/>
      <c r="GG2" s="301"/>
      <c r="GH2" s="301"/>
      <c r="GI2" s="301"/>
      <c r="GJ2" s="301"/>
      <c r="GK2" s="301"/>
      <c r="GL2" s="301"/>
      <c r="GM2" s="301"/>
      <c r="GN2" s="301"/>
      <c r="GO2" s="301"/>
      <c r="GP2" s="301"/>
      <c r="GQ2" s="301"/>
      <c r="GR2" s="301"/>
      <c r="GS2" s="301"/>
      <c r="GT2" s="301"/>
      <c r="GU2" s="301"/>
      <c r="GV2" s="301"/>
      <c r="GW2" s="301"/>
      <c r="GX2" s="301"/>
      <c r="GY2" s="301"/>
      <c r="GZ2" s="301"/>
      <c r="HA2" s="301"/>
      <c r="HB2" s="301"/>
      <c r="HC2" s="301"/>
      <c r="HD2" s="301"/>
      <c r="HE2" s="301"/>
      <c r="HF2" s="301"/>
      <c r="HG2" s="301"/>
      <c r="HH2" s="301"/>
      <c r="HI2" s="301"/>
      <c r="HJ2" s="301"/>
      <c r="HK2" s="301"/>
      <c r="HL2" s="301"/>
      <c r="HM2" s="301"/>
      <c r="HN2" s="301"/>
      <c r="HO2" s="301"/>
      <c r="HP2" s="301"/>
      <c r="HQ2" s="301"/>
      <c r="HR2" s="301"/>
      <c r="HS2" s="301"/>
      <c r="HT2" s="301"/>
      <c r="HU2" s="301"/>
      <c r="HV2" s="301"/>
      <c r="HW2" s="301"/>
      <c r="HX2" s="301"/>
      <c r="HY2" s="301"/>
      <c r="HZ2" s="301"/>
      <c r="IA2" s="301"/>
      <c r="IB2" s="301"/>
      <c r="IC2" s="301"/>
      <c r="ID2" s="301"/>
      <c r="IE2" s="301"/>
      <c r="IF2" s="301"/>
      <c r="IG2" s="301"/>
      <c r="IH2" s="301"/>
      <c r="II2" s="301"/>
      <c r="IJ2" s="301"/>
      <c r="IK2" s="301"/>
      <c r="IL2" s="301"/>
      <c r="IM2" s="301"/>
      <c r="IN2" s="301"/>
      <c r="IO2" s="301"/>
      <c r="IP2" s="301"/>
      <c r="IQ2" s="301"/>
      <c r="IR2" s="301"/>
      <c r="IS2" s="301"/>
      <c r="IT2" s="301"/>
      <c r="IU2" s="301"/>
      <c r="IV2" s="301"/>
    </row>
    <row r="3" spans="1:256" ht="15">
      <c r="A3" s="301"/>
      <c r="B3" s="302"/>
      <c r="C3" s="304"/>
      <c r="D3" s="304"/>
      <c r="E3" s="304"/>
      <c r="F3" s="304"/>
      <c r="G3" s="304"/>
      <c r="H3" s="304"/>
      <c r="I3" s="304"/>
      <c r="J3" s="304"/>
      <c r="K3" s="304"/>
      <c r="L3" s="301"/>
      <c r="M3" s="301"/>
      <c r="N3" s="301"/>
      <c r="O3" s="301"/>
      <c r="P3" s="301"/>
      <c r="Q3" s="301"/>
      <c r="R3" s="301"/>
      <c r="S3" s="301"/>
      <c r="T3" s="301"/>
      <c r="U3" s="301"/>
      <c r="V3" s="301"/>
      <c r="W3" s="301"/>
      <c r="X3" s="301"/>
      <c r="Y3" s="301"/>
      <c r="Z3" s="301"/>
      <c r="AA3" s="301"/>
      <c r="AB3" s="301"/>
      <c r="AC3" s="301"/>
      <c r="AD3" s="301"/>
      <c r="AE3" s="301"/>
      <c r="AF3" s="301"/>
      <c r="AG3" s="301"/>
      <c r="AH3" s="301"/>
      <c r="AI3" s="301"/>
      <c r="AJ3" s="301"/>
      <c r="AK3" s="301"/>
      <c r="AL3" s="301"/>
      <c r="AM3" s="301"/>
      <c r="AN3" s="301"/>
      <c r="AO3" s="301"/>
      <c r="AP3" s="301"/>
      <c r="AQ3" s="301"/>
      <c r="AR3" s="301"/>
      <c r="AS3" s="301"/>
      <c r="AT3" s="301"/>
      <c r="AU3" s="301"/>
      <c r="AV3" s="301"/>
      <c r="AW3" s="301"/>
      <c r="AX3" s="301"/>
      <c r="AY3" s="301"/>
      <c r="AZ3" s="301"/>
      <c r="BA3" s="301"/>
      <c r="BB3" s="301"/>
      <c r="BC3" s="301"/>
      <c r="BD3" s="301"/>
      <c r="BE3" s="301"/>
      <c r="BF3" s="301"/>
      <c r="BG3" s="301"/>
      <c r="BH3" s="301"/>
      <c r="BI3" s="301"/>
      <c r="BJ3" s="301"/>
      <c r="BK3" s="301"/>
      <c r="BL3" s="301"/>
      <c r="BM3" s="301"/>
      <c r="BN3" s="301"/>
      <c r="BO3" s="301"/>
      <c r="BP3" s="301"/>
      <c r="BQ3" s="301"/>
      <c r="BR3" s="301"/>
      <c r="BS3" s="301"/>
      <c r="BT3" s="301"/>
      <c r="BU3" s="301"/>
      <c r="BV3" s="301"/>
      <c r="BW3" s="301"/>
      <c r="BX3" s="301"/>
      <c r="BY3" s="301"/>
      <c r="BZ3" s="301"/>
      <c r="CA3" s="301"/>
      <c r="CB3" s="301"/>
      <c r="CC3" s="301"/>
      <c r="CD3" s="301"/>
      <c r="CE3" s="301"/>
      <c r="CF3" s="301"/>
      <c r="CG3" s="301"/>
      <c r="CH3" s="301"/>
      <c r="CI3" s="301"/>
      <c r="CJ3" s="301"/>
      <c r="CK3" s="301"/>
      <c r="CL3" s="301"/>
      <c r="CM3" s="301"/>
      <c r="CN3" s="301"/>
      <c r="CO3" s="301"/>
      <c r="CP3" s="301"/>
      <c r="CQ3" s="301"/>
      <c r="CR3" s="301"/>
      <c r="CS3" s="301"/>
      <c r="CT3" s="301"/>
      <c r="CU3" s="301"/>
      <c r="CV3" s="301"/>
      <c r="CW3" s="301"/>
      <c r="CX3" s="301"/>
      <c r="CY3" s="301"/>
      <c r="CZ3" s="301"/>
      <c r="DA3" s="301"/>
      <c r="DB3" s="301"/>
      <c r="DC3" s="301"/>
      <c r="DD3" s="301"/>
      <c r="DE3" s="301"/>
      <c r="DF3" s="301"/>
      <c r="DG3" s="301"/>
      <c r="DH3" s="301"/>
      <c r="DI3" s="301"/>
      <c r="DJ3" s="301"/>
      <c r="DK3" s="301"/>
      <c r="DL3" s="301"/>
      <c r="DM3" s="301"/>
      <c r="DN3" s="301"/>
      <c r="DO3" s="301"/>
      <c r="DP3" s="301"/>
      <c r="DQ3" s="301"/>
      <c r="DR3" s="301"/>
      <c r="DS3" s="301"/>
      <c r="DT3" s="301"/>
      <c r="DU3" s="301"/>
      <c r="DV3" s="301"/>
      <c r="DW3" s="301"/>
      <c r="DX3" s="301"/>
      <c r="DY3" s="301"/>
      <c r="DZ3" s="301"/>
      <c r="EA3" s="301"/>
      <c r="EB3" s="301"/>
      <c r="EC3" s="301"/>
      <c r="ED3" s="301"/>
      <c r="EE3" s="301"/>
      <c r="EF3" s="301"/>
      <c r="EG3" s="301"/>
      <c r="EH3" s="301"/>
      <c r="EI3" s="301"/>
      <c r="EJ3" s="301"/>
      <c r="EK3" s="301"/>
      <c r="EL3" s="301"/>
      <c r="EM3" s="301"/>
      <c r="EN3" s="301"/>
      <c r="EO3" s="301"/>
      <c r="EP3" s="301"/>
      <c r="EQ3" s="301"/>
      <c r="ER3" s="301"/>
      <c r="ES3" s="301"/>
      <c r="ET3" s="301"/>
      <c r="EU3" s="301"/>
      <c r="EV3" s="301"/>
      <c r="EW3" s="301"/>
      <c r="EX3" s="301"/>
      <c r="EY3" s="301"/>
      <c r="EZ3" s="301"/>
      <c r="FA3" s="301"/>
      <c r="FB3" s="301"/>
      <c r="FC3" s="301"/>
      <c r="FD3" s="301"/>
      <c r="FE3" s="301"/>
      <c r="FF3" s="301"/>
      <c r="FG3" s="301"/>
      <c r="FH3" s="301"/>
      <c r="FI3" s="301"/>
      <c r="FJ3" s="301"/>
      <c r="FK3" s="301"/>
      <c r="FL3" s="301"/>
      <c r="FM3" s="301"/>
      <c r="FN3" s="301"/>
      <c r="FO3" s="301"/>
      <c r="FP3" s="301"/>
      <c r="FQ3" s="301"/>
      <c r="FR3" s="301"/>
      <c r="FS3" s="301"/>
      <c r="FT3" s="301"/>
      <c r="FU3" s="301"/>
      <c r="FV3" s="301"/>
      <c r="FW3" s="301"/>
      <c r="FX3" s="301"/>
      <c r="FY3" s="301"/>
      <c r="FZ3" s="301"/>
      <c r="GA3" s="301"/>
      <c r="GB3" s="301"/>
      <c r="GC3" s="301"/>
      <c r="GD3" s="301"/>
      <c r="GE3" s="301"/>
      <c r="GF3" s="301"/>
      <c r="GG3" s="301"/>
      <c r="GH3" s="301"/>
      <c r="GI3" s="301"/>
      <c r="GJ3" s="301"/>
      <c r="GK3" s="301"/>
      <c r="GL3" s="301"/>
      <c r="GM3" s="301"/>
      <c r="GN3" s="301"/>
      <c r="GO3" s="301"/>
      <c r="GP3" s="301"/>
      <c r="GQ3" s="301"/>
      <c r="GR3" s="301"/>
      <c r="GS3" s="301"/>
      <c r="GT3" s="301"/>
      <c r="GU3" s="301"/>
      <c r="GV3" s="301"/>
      <c r="GW3" s="301"/>
      <c r="GX3" s="301"/>
      <c r="GY3" s="301"/>
      <c r="GZ3" s="301"/>
      <c r="HA3" s="301"/>
      <c r="HB3" s="301"/>
      <c r="HC3" s="301"/>
      <c r="HD3" s="301"/>
      <c r="HE3" s="301"/>
      <c r="HF3" s="301"/>
      <c r="HG3" s="301"/>
      <c r="HH3" s="301"/>
      <c r="HI3" s="301"/>
      <c r="HJ3" s="301"/>
      <c r="HK3" s="301"/>
      <c r="HL3" s="301"/>
      <c r="HM3" s="301"/>
      <c r="HN3" s="301"/>
      <c r="HO3" s="301"/>
      <c r="HP3" s="301"/>
      <c r="HQ3" s="301"/>
      <c r="HR3" s="301"/>
      <c r="HS3" s="301"/>
      <c r="HT3" s="301"/>
      <c r="HU3" s="301"/>
      <c r="HV3" s="301"/>
      <c r="HW3" s="301"/>
      <c r="HX3" s="301"/>
      <c r="HY3" s="301"/>
      <c r="HZ3" s="301"/>
      <c r="IA3" s="301"/>
      <c r="IB3" s="301"/>
      <c r="IC3" s="301"/>
      <c r="ID3" s="301"/>
      <c r="IE3" s="301"/>
      <c r="IF3" s="301"/>
      <c r="IG3" s="301"/>
      <c r="IH3" s="301"/>
      <c r="II3" s="301"/>
      <c r="IJ3" s="301"/>
      <c r="IK3" s="301"/>
      <c r="IL3" s="301"/>
      <c r="IM3" s="301"/>
      <c r="IN3" s="301"/>
      <c r="IO3" s="301"/>
      <c r="IP3" s="301"/>
      <c r="IQ3" s="301"/>
      <c r="IR3" s="301"/>
      <c r="IS3" s="301"/>
      <c r="IT3" s="301"/>
      <c r="IU3" s="301"/>
      <c r="IV3" s="301"/>
    </row>
    <row r="4" spans="1:256" ht="15">
      <c r="A4" s="301"/>
      <c r="B4" s="302"/>
      <c r="C4" s="305" t="s">
        <v>807</v>
      </c>
      <c r="D4" s="306"/>
      <c r="E4" s="1543" t="str">
        <f>+LEAD!A2</f>
        <v>Construction of Kitchen shed at ZPHS  Bijwar(V) of Utkoor(M)</v>
      </c>
      <c r="F4" s="1544"/>
      <c r="G4" s="1544"/>
      <c r="H4" s="1544"/>
      <c r="I4" s="1544"/>
      <c r="J4" s="1544"/>
      <c r="K4" s="1544"/>
      <c r="L4" s="301"/>
      <c r="M4" s="301"/>
      <c r="N4" s="301"/>
      <c r="O4" s="301"/>
      <c r="P4" s="301"/>
      <c r="Q4" s="301"/>
      <c r="R4" s="301"/>
      <c r="S4" s="301"/>
      <c r="T4" s="301"/>
      <c r="U4" s="301"/>
      <c r="V4" s="301"/>
      <c r="W4" s="301"/>
      <c r="X4" s="301"/>
      <c r="Y4" s="301"/>
      <c r="Z4" s="301"/>
      <c r="AA4" s="301"/>
      <c r="AB4" s="301"/>
      <c r="AC4" s="301"/>
      <c r="AD4" s="301"/>
      <c r="AE4" s="301"/>
      <c r="AF4" s="301"/>
      <c r="AG4" s="301"/>
      <c r="AH4" s="301"/>
      <c r="AI4" s="301"/>
      <c r="AJ4" s="301"/>
      <c r="AK4" s="301"/>
      <c r="AL4" s="301"/>
      <c r="AM4" s="301"/>
      <c r="AN4" s="301"/>
      <c r="AO4" s="301"/>
      <c r="AP4" s="301"/>
      <c r="AQ4" s="301"/>
      <c r="AR4" s="301"/>
      <c r="AS4" s="301"/>
      <c r="AT4" s="301"/>
      <c r="AU4" s="301"/>
      <c r="AV4" s="301"/>
      <c r="AW4" s="301"/>
      <c r="AX4" s="301"/>
      <c r="AY4" s="301"/>
      <c r="AZ4" s="301"/>
      <c r="BA4" s="301"/>
      <c r="BB4" s="301"/>
      <c r="BC4" s="301"/>
      <c r="BD4" s="301"/>
      <c r="BE4" s="301"/>
      <c r="BF4" s="301"/>
      <c r="BG4" s="301"/>
      <c r="BH4" s="301"/>
      <c r="BI4" s="301"/>
      <c r="BJ4" s="301"/>
      <c r="BK4" s="301"/>
      <c r="BL4" s="301"/>
      <c r="BM4" s="301"/>
      <c r="BN4" s="301"/>
      <c r="BO4" s="301"/>
      <c r="BP4" s="301"/>
      <c r="BQ4" s="301"/>
      <c r="BR4" s="301"/>
      <c r="BS4" s="301"/>
      <c r="BT4" s="301"/>
      <c r="BU4" s="301"/>
      <c r="BV4" s="301"/>
      <c r="BW4" s="301"/>
      <c r="BX4" s="301"/>
      <c r="BY4" s="301"/>
      <c r="BZ4" s="301"/>
      <c r="CA4" s="301"/>
      <c r="CB4" s="301"/>
      <c r="CC4" s="301"/>
      <c r="CD4" s="301"/>
      <c r="CE4" s="301"/>
      <c r="CF4" s="301"/>
      <c r="CG4" s="301"/>
      <c r="CH4" s="301"/>
      <c r="CI4" s="301"/>
      <c r="CJ4" s="301"/>
      <c r="CK4" s="301"/>
      <c r="CL4" s="301"/>
      <c r="CM4" s="301"/>
      <c r="CN4" s="301"/>
      <c r="CO4" s="301"/>
      <c r="CP4" s="301"/>
      <c r="CQ4" s="301"/>
      <c r="CR4" s="301"/>
      <c r="CS4" s="301"/>
      <c r="CT4" s="301"/>
      <c r="CU4" s="301"/>
      <c r="CV4" s="301"/>
      <c r="CW4" s="301"/>
      <c r="CX4" s="301"/>
      <c r="CY4" s="301"/>
      <c r="CZ4" s="301"/>
      <c r="DA4" s="301"/>
      <c r="DB4" s="301"/>
      <c r="DC4" s="301"/>
      <c r="DD4" s="301"/>
      <c r="DE4" s="301"/>
      <c r="DF4" s="301"/>
      <c r="DG4" s="301"/>
      <c r="DH4" s="301"/>
      <c r="DI4" s="301"/>
      <c r="DJ4" s="301"/>
      <c r="DK4" s="301"/>
      <c r="DL4" s="301"/>
      <c r="DM4" s="301"/>
      <c r="DN4" s="301"/>
      <c r="DO4" s="301"/>
      <c r="DP4" s="301"/>
      <c r="DQ4" s="301"/>
      <c r="DR4" s="301"/>
      <c r="DS4" s="301"/>
      <c r="DT4" s="301"/>
      <c r="DU4" s="301"/>
      <c r="DV4" s="301"/>
      <c r="DW4" s="301"/>
      <c r="DX4" s="301"/>
      <c r="DY4" s="301"/>
      <c r="DZ4" s="301"/>
      <c r="EA4" s="301"/>
      <c r="EB4" s="301"/>
      <c r="EC4" s="301"/>
      <c r="ED4" s="301"/>
      <c r="EE4" s="301"/>
      <c r="EF4" s="301"/>
      <c r="EG4" s="301"/>
      <c r="EH4" s="301"/>
      <c r="EI4" s="301"/>
      <c r="EJ4" s="301"/>
      <c r="EK4" s="301"/>
      <c r="EL4" s="301"/>
      <c r="EM4" s="301"/>
      <c r="EN4" s="301"/>
      <c r="EO4" s="301"/>
      <c r="EP4" s="301"/>
      <c r="EQ4" s="301"/>
      <c r="ER4" s="301"/>
      <c r="ES4" s="301"/>
      <c r="ET4" s="301"/>
      <c r="EU4" s="301"/>
      <c r="EV4" s="301"/>
      <c r="EW4" s="301"/>
      <c r="EX4" s="301"/>
      <c r="EY4" s="301"/>
      <c r="EZ4" s="301"/>
      <c r="FA4" s="301"/>
      <c r="FB4" s="301"/>
      <c r="FC4" s="301"/>
      <c r="FD4" s="301"/>
      <c r="FE4" s="301"/>
      <c r="FF4" s="301"/>
      <c r="FG4" s="301"/>
      <c r="FH4" s="301"/>
      <c r="FI4" s="301"/>
      <c r="FJ4" s="301"/>
      <c r="FK4" s="301"/>
      <c r="FL4" s="301"/>
      <c r="FM4" s="301"/>
      <c r="FN4" s="301"/>
      <c r="FO4" s="301"/>
      <c r="FP4" s="301"/>
      <c r="FQ4" s="301"/>
      <c r="FR4" s="301"/>
      <c r="FS4" s="301"/>
      <c r="FT4" s="301"/>
      <c r="FU4" s="301"/>
      <c r="FV4" s="301"/>
      <c r="FW4" s="301"/>
      <c r="FX4" s="301"/>
      <c r="FY4" s="301"/>
      <c r="FZ4" s="301"/>
      <c r="GA4" s="301"/>
      <c r="GB4" s="301"/>
      <c r="GC4" s="301"/>
      <c r="GD4" s="301"/>
      <c r="GE4" s="301"/>
      <c r="GF4" s="301"/>
      <c r="GG4" s="301"/>
      <c r="GH4" s="301"/>
      <c r="GI4" s="301"/>
      <c r="GJ4" s="301"/>
      <c r="GK4" s="301"/>
      <c r="GL4" s="301"/>
      <c r="GM4" s="301"/>
      <c r="GN4" s="301"/>
      <c r="GO4" s="301"/>
      <c r="GP4" s="301"/>
      <c r="GQ4" s="301"/>
      <c r="GR4" s="301"/>
      <c r="GS4" s="301"/>
      <c r="GT4" s="301"/>
      <c r="GU4" s="301"/>
      <c r="GV4" s="301"/>
      <c r="GW4" s="301"/>
      <c r="GX4" s="301"/>
      <c r="GY4" s="301"/>
      <c r="GZ4" s="301"/>
      <c r="HA4" s="301"/>
      <c r="HB4" s="301"/>
      <c r="HC4" s="301"/>
      <c r="HD4" s="301"/>
      <c r="HE4" s="301"/>
      <c r="HF4" s="301"/>
      <c r="HG4" s="301"/>
      <c r="HH4" s="301"/>
      <c r="HI4" s="301"/>
      <c r="HJ4" s="301"/>
      <c r="HK4" s="301"/>
      <c r="HL4" s="301"/>
      <c r="HM4" s="301"/>
      <c r="HN4" s="301"/>
      <c r="HO4" s="301"/>
      <c r="HP4" s="301"/>
      <c r="HQ4" s="301"/>
      <c r="HR4" s="301"/>
      <c r="HS4" s="301"/>
      <c r="HT4" s="301"/>
      <c r="HU4" s="301"/>
      <c r="HV4" s="301"/>
      <c r="HW4" s="301"/>
      <c r="HX4" s="301"/>
      <c r="HY4" s="301"/>
      <c r="HZ4" s="301"/>
      <c r="IA4" s="301"/>
      <c r="IB4" s="301"/>
      <c r="IC4" s="301"/>
      <c r="ID4" s="301"/>
      <c r="IE4" s="301"/>
      <c r="IF4" s="301"/>
      <c r="IG4" s="301"/>
      <c r="IH4" s="301"/>
      <c r="II4" s="301"/>
      <c r="IJ4" s="301"/>
      <c r="IK4" s="301"/>
      <c r="IL4" s="301"/>
      <c r="IM4" s="301"/>
      <c r="IN4" s="301"/>
      <c r="IO4" s="301"/>
      <c r="IP4" s="301"/>
      <c r="IQ4" s="301"/>
      <c r="IR4" s="301"/>
      <c r="IS4" s="301"/>
      <c r="IT4" s="301"/>
      <c r="IU4" s="301"/>
      <c r="IV4" s="301"/>
    </row>
    <row r="5" spans="1:256" ht="15">
      <c r="A5" s="301"/>
      <c r="B5" s="302"/>
      <c r="C5" s="307"/>
      <c r="D5" s="306"/>
      <c r="E5" s="1544"/>
      <c r="F5" s="1544"/>
      <c r="G5" s="1544"/>
      <c r="H5" s="1544"/>
      <c r="I5" s="1544"/>
      <c r="J5" s="1544"/>
      <c r="K5" s="1544"/>
      <c r="L5" s="301"/>
      <c r="M5" s="301"/>
      <c r="N5" s="301"/>
      <c r="O5" s="301"/>
      <c r="P5" s="301"/>
      <c r="Q5" s="301"/>
      <c r="R5" s="301"/>
      <c r="S5" s="301"/>
      <c r="T5" s="301"/>
      <c r="U5" s="301"/>
      <c r="V5" s="301"/>
      <c r="W5" s="301"/>
      <c r="X5" s="301"/>
      <c r="Y5" s="301"/>
      <c r="Z5" s="301"/>
      <c r="AA5" s="301"/>
      <c r="AB5" s="301"/>
      <c r="AC5" s="301"/>
      <c r="AD5" s="301"/>
      <c r="AE5" s="301"/>
      <c r="AF5" s="301"/>
      <c r="AG5" s="301"/>
      <c r="AH5" s="301"/>
      <c r="AI5" s="301"/>
      <c r="AJ5" s="301"/>
      <c r="AK5" s="301"/>
      <c r="AL5" s="301"/>
      <c r="AM5" s="301"/>
      <c r="AN5" s="301"/>
      <c r="AO5" s="301"/>
      <c r="AP5" s="301"/>
      <c r="AQ5" s="301"/>
      <c r="AR5" s="301"/>
      <c r="AS5" s="301"/>
      <c r="AT5" s="301"/>
      <c r="AU5" s="301"/>
      <c r="AV5" s="301"/>
      <c r="AW5" s="301"/>
      <c r="AX5" s="301"/>
      <c r="AY5" s="301"/>
      <c r="AZ5" s="301"/>
      <c r="BA5" s="301"/>
      <c r="BB5" s="301"/>
      <c r="BC5" s="301"/>
      <c r="BD5" s="301"/>
      <c r="BE5" s="301"/>
      <c r="BF5" s="301"/>
      <c r="BG5" s="301"/>
      <c r="BH5" s="301"/>
      <c r="BI5" s="301"/>
      <c r="BJ5" s="301"/>
      <c r="BK5" s="301"/>
      <c r="BL5" s="301"/>
      <c r="BM5" s="301"/>
      <c r="BN5" s="301"/>
      <c r="BO5" s="301"/>
      <c r="BP5" s="301"/>
      <c r="BQ5" s="301"/>
      <c r="BR5" s="301"/>
      <c r="BS5" s="301"/>
      <c r="BT5" s="301"/>
      <c r="BU5" s="301"/>
      <c r="BV5" s="301"/>
      <c r="BW5" s="301"/>
      <c r="BX5" s="301"/>
      <c r="BY5" s="301"/>
      <c r="BZ5" s="301"/>
      <c r="CA5" s="301"/>
      <c r="CB5" s="301"/>
      <c r="CC5" s="301"/>
      <c r="CD5" s="301"/>
      <c r="CE5" s="301"/>
      <c r="CF5" s="301"/>
      <c r="CG5" s="301"/>
      <c r="CH5" s="301"/>
      <c r="CI5" s="301"/>
      <c r="CJ5" s="301"/>
      <c r="CK5" s="301"/>
      <c r="CL5" s="301"/>
      <c r="CM5" s="301"/>
      <c r="CN5" s="301"/>
      <c r="CO5" s="301"/>
      <c r="CP5" s="301"/>
      <c r="CQ5" s="301"/>
      <c r="CR5" s="301"/>
      <c r="CS5" s="301"/>
      <c r="CT5" s="301"/>
      <c r="CU5" s="301"/>
      <c r="CV5" s="301"/>
      <c r="CW5" s="301"/>
      <c r="CX5" s="301"/>
      <c r="CY5" s="301"/>
      <c r="CZ5" s="301"/>
      <c r="DA5" s="301"/>
      <c r="DB5" s="301"/>
      <c r="DC5" s="301"/>
      <c r="DD5" s="301"/>
      <c r="DE5" s="301"/>
      <c r="DF5" s="301"/>
      <c r="DG5" s="301"/>
      <c r="DH5" s="301"/>
      <c r="DI5" s="301"/>
      <c r="DJ5" s="301"/>
      <c r="DK5" s="301"/>
      <c r="DL5" s="301"/>
      <c r="DM5" s="301"/>
      <c r="DN5" s="301"/>
      <c r="DO5" s="301"/>
      <c r="DP5" s="301"/>
      <c r="DQ5" s="301"/>
      <c r="DR5" s="301"/>
      <c r="DS5" s="301"/>
      <c r="DT5" s="301"/>
      <c r="DU5" s="301"/>
      <c r="DV5" s="301"/>
      <c r="DW5" s="301"/>
      <c r="DX5" s="301"/>
      <c r="DY5" s="301"/>
      <c r="DZ5" s="301"/>
      <c r="EA5" s="301"/>
      <c r="EB5" s="301"/>
      <c r="EC5" s="301"/>
      <c r="ED5" s="301"/>
      <c r="EE5" s="301"/>
      <c r="EF5" s="301"/>
      <c r="EG5" s="301"/>
      <c r="EH5" s="301"/>
      <c r="EI5" s="301"/>
      <c r="EJ5" s="301"/>
      <c r="EK5" s="301"/>
      <c r="EL5" s="301"/>
      <c r="EM5" s="301"/>
      <c r="EN5" s="301"/>
      <c r="EO5" s="301"/>
      <c r="EP5" s="301"/>
      <c r="EQ5" s="301"/>
      <c r="ER5" s="301"/>
      <c r="ES5" s="301"/>
      <c r="ET5" s="301"/>
      <c r="EU5" s="301"/>
      <c r="EV5" s="301"/>
      <c r="EW5" s="301"/>
      <c r="EX5" s="301"/>
      <c r="EY5" s="301"/>
      <c r="EZ5" s="301"/>
      <c r="FA5" s="301"/>
      <c r="FB5" s="301"/>
      <c r="FC5" s="301"/>
      <c r="FD5" s="301"/>
      <c r="FE5" s="301"/>
      <c r="FF5" s="301"/>
      <c r="FG5" s="301"/>
      <c r="FH5" s="301"/>
      <c r="FI5" s="301"/>
      <c r="FJ5" s="301"/>
      <c r="FK5" s="301"/>
      <c r="FL5" s="301"/>
      <c r="FM5" s="301"/>
      <c r="FN5" s="301"/>
      <c r="FO5" s="301"/>
      <c r="FP5" s="301"/>
      <c r="FQ5" s="301"/>
      <c r="FR5" s="301"/>
      <c r="FS5" s="301"/>
      <c r="FT5" s="301"/>
      <c r="FU5" s="301"/>
      <c r="FV5" s="301"/>
      <c r="FW5" s="301"/>
      <c r="FX5" s="301"/>
      <c r="FY5" s="301"/>
      <c r="FZ5" s="301"/>
      <c r="GA5" s="301"/>
      <c r="GB5" s="301"/>
      <c r="GC5" s="301"/>
      <c r="GD5" s="301"/>
      <c r="GE5" s="301"/>
      <c r="GF5" s="301"/>
      <c r="GG5" s="301"/>
      <c r="GH5" s="301"/>
      <c r="GI5" s="301"/>
      <c r="GJ5" s="301"/>
      <c r="GK5" s="301"/>
      <c r="GL5" s="301"/>
      <c r="GM5" s="301"/>
      <c r="GN5" s="301"/>
      <c r="GO5" s="301"/>
      <c r="GP5" s="301"/>
      <c r="GQ5" s="301"/>
      <c r="GR5" s="301"/>
      <c r="GS5" s="301"/>
      <c r="GT5" s="301"/>
      <c r="GU5" s="301"/>
      <c r="GV5" s="301"/>
      <c r="GW5" s="301"/>
      <c r="GX5" s="301"/>
      <c r="GY5" s="301"/>
      <c r="GZ5" s="301"/>
      <c r="HA5" s="301"/>
      <c r="HB5" s="301"/>
      <c r="HC5" s="301"/>
      <c r="HD5" s="301"/>
      <c r="HE5" s="301"/>
      <c r="HF5" s="301"/>
      <c r="HG5" s="301"/>
      <c r="HH5" s="301"/>
      <c r="HI5" s="301"/>
      <c r="HJ5" s="301"/>
      <c r="HK5" s="301"/>
      <c r="HL5" s="301"/>
      <c r="HM5" s="301"/>
      <c r="HN5" s="301"/>
      <c r="HO5" s="301"/>
      <c r="HP5" s="301"/>
      <c r="HQ5" s="301"/>
      <c r="HR5" s="301"/>
      <c r="HS5" s="301"/>
      <c r="HT5" s="301"/>
      <c r="HU5" s="301"/>
      <c r="HV5" s="301"/>
      <c r="HW5" s="301"/>
      <c r="HX5" s="301"/>
      <c r="HY5" s="301"/>
      <c r="HZ5" s="301"/>
      <c r="IA5" s="301"/>
      <c r="IB5" s="301"/>
      <c r="IC5" s="301"/>
      <c r="ID5" s="301"/>
      <c r="IE5" s="301"/>
      <c r="IF5" s="301"/>
      <c r="IG5" s="301"/>
      <c r="IH5" s="301"/>
      <c r="II5" s="301"/>
      <c r="IJ5" s="301"/>
      <c r="IK5" s="301"/>
      <c r="IL5" s="301"/>
      <c r="IM5" s="301"/>
      <c r="IN5" s="301"/>
      <c r="IO5" s="301"/>
      <c r="IP5" s="301"/>
      <c r="IQ5" s="301"/>
      <c r="IR5" s="301"/>
      <c r="IS5" s="301"/>
      <c r="IT5" s="301"/>
      <c r="IU5" s="301"/>
      <c r="IV5" s="301"/>
    </row>
    <row r="6" spans="1:256" ht="15">
      <c r="A6" s="301"/>
      <c r="B6" s="302"/>
      <c r="C6" s="307"/>
      <c r="D6" s="306"/>
      <c r="E6" s="1544"/>
      <c r="F6" s="1544"/>
      <c r="G6" s="1544"/>
      <c r="H6" s="1544"/>
      <c r="I6" s="1544"/>
      <c r="J6" s="1544"/>
      <c r="K6" s="1544"/>
      <c r="L6" s="301"/>
      <c r="M6" s="301"/>
      <c r="N6" s="301"/>
      <c r="O6" s="301"/>
      <c r="P6" s="301"/>
      <c r="Q6" s="301"/>
      <c r="R6" s="301"/>
      <c r="S6" s="301"/>
      <c r="T6" s="301"/>
      <c r="U6" s="301"/>
      <c r="V6" s="301"/>
      <c r="W6" s="301"/>
      <c r="X6" s="301"/>
      <c r="Y6" s="301"/>
      <c r="Z6" s="301"/>
      <c r="AA6" s="301"/>
      <c r="AB6" s="301"/>
      <c r="AC6" s="301"/>
      <c r="AD6" s="301"/>
      <c r="AE6" s="301"/>
      <c r="AF6" s="301"/>
      <c r="AG6" s="301"/>
      <c r="AH6" s="301"/>
      <c r="AI6" s="301"/>
      <c r="AJ6" s="301"/>
      <c r="AK6" s="301"/>
      <c r="AL6" s="301"/>
      <c r="AM6" s="301"/>
      <c r="AN6" s="301"/>
      <c r="AO6" s="301"/>
      <c r="AP6" s="301"/>
      <c r="AQ6" s="301"/>
      <c r="AR6" s="301"/>
      <c r="AS6" s="301"/>
      <c r="AT6" s="301"/>
      <c r="AU6" s="301"/>
      <c r="AV6" s="301"/>
      <c r="AW6" s="301"/>
      <c r="AX6" s="301"/>
      <c r="AY6" s="301"/>
      <c r="AZ6" s="301"/>
      <c r="BA6" s="301"/>
      <c r="BB6" s="301"/>
      <c r="BC6" s="301"/>
      <c r="BD6" s="301"/>
      <c r="BE6" s="301"/>
      <c r="BF6" s="301"/>
      <c r="BG6" s="301"/>
      <c r="BH6" s="301"/>
      <c r="BI6" s="301"/>
      <c r="BJ6" s="301"/>
      <c r="BK6" s="301"/>
      <c r="BL6" s="301"/>
      <c r="BM6" s="301"/>
      <c r="BN6" s="301"/>
      <c r="BO6" s="301"/>
      <c r="BP6" s="301"/>
      <c r="BQ6" s="301"/>
      <c r="BR6" s="301"/>
      <c r="BS6" s="301"/>
      <c r="BT6" s="301"/>
      <c r="BU6" s="301"/>
      <c r="BV6" s="301"/>
      <c r="BW6" s="301"/>
      <c r="BX6" s="301"/>
      <c r="BY6" s="301"/>
      <c r="BZ6" s="301"/>
      <c r="CA6" s="301"/>
      <c r="CB6" s="301"/>
      <c r="CC6" s="301"/>
      <c r="CD6" s="301"/>
      <c r="CE6" s="301"/>
      <c r="CF6" s="301"/>
      <c r="CG6" s="301"/>
      <c r="CH6" s="301"/>
      <c r="CI6" s="301"/>
      <c r="CJ6" s="301"/>
      <c r="CK6" s="301"/>
      <c r="CL6" s="301"/>
      <c r="CM6" s="301"/>
      <c r="CN6" s="301"/>
      <c r="CO6" s="301"/>
      <c r="CP6" s="301"/>
      <c r="CQ6" s="301"/>
      <c r="CR6" s="301"/>
      <c r="CS6" s="301"/>
      <c r="CT6" s="301"/>
      <c r="CU6" s="301"/>
      <c r="CV6" s="301"/>
      <c r="CW6" s="301"/>
      <c r="CX6" s="301"/>
      <c r="CY6" s="301"/>
      <c r="CZ6" s="301"/>
      <c r="DA6" s="301"/>
      <c r="DB6" s="301"/>
      <c r="DC6" s="301"/>
      <c r="DD6" s="301"/>
      <c r="DE6" s="301"/>
      <c r="DF6" s="301"/>
      <c r="DG6" s="301"/>
      <c r="DH6" s="301"/>
      <c r="DI6" s="301"/>
      <c r="DJ6" s="301"/>
      <c r="DK6" s="301"/>
      <c r="DL6" s="301"/>
      <c r="DM6" s="301"/>
      <c r="DN6" s="301"/>
      <c r="DO6" s="301"/>
      <c r="DP6" s="301"/>
      <c r="DQ6" s="301"/>
      <c r="DR6" s="301"/>
      <c r="DS6" s="301"/>
      <c r="DT6" s="301"/>
      <c r="DU6" s="301"/>
      <c r="DV6" s="301"/>
      <c r="DW6" s="301"/>
      <c r="DX6" s="301"/>
      <c r="DY6" s="301"/>
      <c r="DZ6" s="301"/>
      <c r="EA6" s="301"/>
      <c r="EB6" s="301"/>
      <c r="EC6" s="301"/>
      <c r="ED6" s="301"/>
      <c r="EE6" s="301"/>
      <c r="EF6" s="301"/>
      <c r="EG6" s="301"/>
      <c r="EH6" s="301"/>
      <c r="EI6" s="301"/>
      <c r="EJ6" s="301"/>
      <c r="EK6" s="301"/>
      <c r="EL6" s="301"/>
      <c r="EM6" s="301"/>
      <c r="EN6" s="301"/>
      <c r="EO6" s="301"/>
      <c r="EP6" s="301"/>
      <c r="EQ6" s="301"/>
      <c r="ER6" s="301"/>
      <c r="ES6" s="301"/>
      <c r="ET6" s="301"/>
      <c r="EU6" s="301"/>
      <c r="EV6" s="301"/>
      <c r="EW6" s="301"/>
      <c r="EX6" s="301"/>
      <c r="EY6" s="301"/>
      <c r="EZ6" s="301"/>
      <c r="FA6" s="301"/>
      <c r="FB6" s="301"/>
      <c r="FC6" s="301"/>
      <c r="FD6" s="301"/>
      <c r="FE6" s="301"/>
      <c r="FF6" s="301"/>
      <c r="FG6" s="301"/>
      <c r="FH6" s="301"/>
      <c r="FI6" s="301"/>
      <c r="FJ6" s="301"/>
      <c r="FK6" s="301"/>
      <c r="FL6" s="301"/>
      <c r="FM6" s="301"/>
      <c r="FN6" s="301"/>
      <c r="FO6" s="301"/>
      <c r="FP6" s="301"/>
      <c r="FQ6" s="301"/>
      <c r="FR6" s="301"/>
      <c r="FS6" s="301"/>
      <c r="FT6" s="301"/>
      <c r="FU6" s="301"/>
      <c r="FV6" s="301"/>
      <c r="FW6" s="301"/>
      <c r="FX6" s="301"/>
      <c r="FY6" s="301"/>
      <c r="FZ6" s="301"/>
      <c r="GA6" s="301"/>
      <c r="GB6" s="301"/>
      <c r="GC6" s="301"/>
      <c r="GD6" s="301"/>
      <c r="GE6" s="301"/>
      <c r="GF6" s="301"/>
      <c r="GG6" s="301"/>
      <c r="GH6" s="301"/>
      <c r="GI6" s="301"/>
      <c r="GJ6" s="301"/>
      <c r="GK6" s="301"/>
      <c r="GL6" s="301"/>
      <c r="GM6" s="301"/>
      <c r="GN6" s="301"/>
      <c r="GO6" s="301"/>
      <c r="GP6" s="301"/>
      <c r="GQ6" s="301"/>
      <c r="GR6" s="301"/>
      <c r="GS6" s="301"/>
      <c r="GT6" s="301"/>
      <c r="GU6" s="301"/>
      <c r="GV6" s="301"/>
      <c r="GW6" s="301"/>
      <c r="GX6" s="301"/>
      <c r="GY6" s="301"/>
      <c r="GZ6" s="301"/>
      <c r="HA6" s="301"/>
      <c r="HB6" s="301"/>
      <c r="HC6" s="301"/>
      <c r="HD6" s="301"/>
      <c r="HE6" s="301"/>
      <c r="HF6" s="301"/>
      <c r="HG6" s="301"/>
      <c r="HH6" s="301"/>
      <c r="HI6" s="301"/>
      <c r="HJ6" s="301"/>
      <c r="HK6" s="301"/>
      <c r="HL6" s="301"/>
      <c r="HM6" s="301"/>
      <c r="HN6" s="301"/>
      <c r="HO6" s="301"/>
      <c r="HP6" s="301"/>
      <c r="HQ6" s="301"/>
      <c r="HR6" s="301"/>
      <c r="HS6" s="301"/>
      <c r="HT6" s="301"/>
      <c r="HU6" s="301"/>
      <c r="HV6" s="301"/>
      <c r="HW6" s="301"/>
      <c r="HX6" s="301"/>
      <c r="HY6" s="301"/>
      <c r="HZ6" s="301"/>
      <c r="IA6" s="301"/>
      <c r="IB6" s="301"/>
      <c r="IC6" s="301"/>
      <c r="ID6" s="301"/>
      <c r="IE6" s="301"/>
      <c r="IF6" s="301"/>
      <c r="IG6" s="301"/>
      <c r="IH6" s="301"/>
      <c r="II6" s="301"/>
      <c r="IJ6" s="301"/>
      <c r="IK6" s="301"/>
      <c r="IL6" s="301"/>
      <c r="IM6" s="301"/>
      <c r="IN6" s="301"/>
      <c r="IO6" s="301"/>
      <c r="IP6" s="301"/>
      <c r="IQ6" s="301"/>
      <c r="IR6" s="301"/>
      <c r="IS6" s="301"/>
      <c r="IT6" s="301"/>
      <c r="IU6" s="301"/>
      <c r="IV6" s="301"/>
    </row>
    <row r="7" spans="1:256" ht="15">
      <c r="A7" s="301"/>
      <c r="B7" s="302"/>
      <c r="C7" s="1545" t="s">
        <v>464</v>
      </c>
      <c r="D7" s="1546"/>
      <c r="E7" s="1547" t="s">
        <v>90</v>
      </c>
      <c r="F7" s="1547"/>
      <c r="G7" s="1547"/>
      <c r="H7" s="1547"/>
      <c r="I7" s="308" t="s">
        <v>92</v>
      </c>
      <c r="J7" s="308" t="s">
        <v>808</v>
      </c>
      <c r="K7" s="309" t="s">
        <v>151</v>
      </c>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1"/>
      <c r="AL7" s="301"/>
      <c r="AM7" s="301"/>
      <c r="AN7" s="301"/>
      <c r="AO7" s="301"/>
      <c r="AP7" s="301"/>
      <c r="AQ7" s="301"/>
      <c r="AR7" s="301"/>
      <c r="AS7" s="301"/>
      <c r="AT7" s="301"/>
      <c r="AU7" s="301"/>
      <c r="AV7" s="301"/>
      <c r="AW7" s="301"/>
      <c r="AX7" s="301"/>
      <c r="AY7" s="301"/>
      <c r="AZ7" s="301"/>
      <c r="BA7" s="301"/>
      <c r="BB7" s="301"/>
      <c r="BC7" s="301"/>
      <c r="BD7" s="301"/>
      <c r="BE7" s="301"/>
      <c r="BF7" s="301"/>
      <c r="BG7" s="301"/>
      <c r="BH7" s="301"/>
      <c r="BI7" s="301"/>
      <c r="BJ7" s="301"/>
      <c r="BK7" s="301"/>
      <c r="BL7" s="301"/>
      <c r="BM7" s="301"/>
      <c r="BN7" s="301"/>
      <c r="BO7" s="301"/>
      <c r="BP7" s="301"/>
      <c r="BQ7" s="301"/>
      <c r="BR7" s="301"/>
      <c r="BS7" s="301"/>
      <c r="BT7" s="301"/>
      <c r="BU7" s="301"/>
      <c r="BV7" s="301"/>
      <c r="BW7" s="301"/>
      <c r="BX7" s="301"/>
      <c r="BY7" s="301"/>
      <c r="BZ7" s="301"/>
      <c r="CA7" s="301"/>
      <c r="CB7" s="301"/>
      <c r="CC7" s="301"/>
      <c r="CD7" s="301"/>
      <c r="CE7" s="301"/>
      <c r="CF7" s="301"/>
      <c r="CG7" s="301"/>
      <c r="CH7" s="301"/>
      <c r="CI7" s="301"/>
      <c r="CJ7" s="301"/>
      <c r="CK7" s="301"/>
      <c r="CL7" s="301"/>
      <c r="CM7" s="301"/>
      <c r="CN7" s="301"/>
      <c r="CO7" s="301"/>
      <c r="CP7" s="301"/>
      <c r="CQ7" s="301"/>
      <c r="CR7" s="301"/>
      <c r="CS7" s="301"/>
      <c r="CT7" s="301"/>
      <c r="CU7" s="301"/>
      <c r="CV7" s="301"/>
      <c r="CW7" s="301"/>
      <c r="CX7" s="301"/>
      <c r="CY7" s="301"/>
      <c r="CZ7" s="301"/>
      <c r="DA7" s="301"/>
      <c r="DB7" s="301"/>
      <c r="DC7" s="301"/>
      <c r="DD7" s="301"/>
      <c r="DE7" s="301"/>
      <c r="DF7" s="301"/>
      <c r="DG7" s="301"/>
      <c r="DH7" s="301"/>
      <c r="DI7" s="301"/>
      <c r="DJ7" s="301"/>
      <c r="DK7" s="301"/>
      <c r="DL7" s="301"/>
      <c r="DM7" s="301"/>
      <c r="DN7" s="301"/>
      <c r="DO7" s="301"/>
      <c r="DP7" s="301"/>
      <c r="DQ7" s="301"/>
      <c r="DR7" s="301"/>
      <c r="DS7" s="301"/>
      <c r="DT7" s="301"/>
      <c r="DU7" s="301"/>
      <c r="DV7" s="301"/>
      <c r="DW7" s="301"/>
      <c r="DX7" s="301"/>
      <c r="DY7" s="301"/>
      <c r="DZ7" s="301"/>
      <c r="EA7" s="301"/>
      <c r="EB7" s="301"/>
      <c r="EC7" s="301"/>
      <c r="ED7" s="301"/>
      <c r="EE7" s="301"/>
      <c r="EF7" s="301"/>
      <c r="EG7" s="301"/>
      <c r="EH7" s="301"/>
      <c r="EI7" s="301"/>
      <c r="EJ7" s="301"/>
      <c r="EK7" s="301"/>
      <c r="EL7" s="301"/>
      <c r="EM7" s="301"/>
      <c r="EN7" s="301"/>
      <c r="EO7" s="301"/>
      <c r="EP7" s="301"/>
      <c r="EQ7" s="301"/>
      <c r="ER7" s="301"/>
      <c r="ES7" s="301"/>
      <c r="ET7" s="301"/>
      <c r="EU7" s="301"/>
      <c r="EV7" s="301"/>
      <c r="EW7" s="301"/>
      <c r="EX7" s="301"/>
      <c r="EY7" s="301"/>
      <c r="EZ7" s="301"/>
      <c r="FA7" s="301"/>
      <c r="FB7" s="301"/>
      <c r="FC7" s="301"/>
      <c r="FD7" s="301"/>
      <c r="FE7" s="301"/>
      <c r="FF7" s="301"/>
      <c r="FG7" s="301"/>
      <c r="FH7" s="301"/>
      <c r="FI7" s="301"/>
      <c r="FJ7" s="301"/>
      <c r="FK7" s="301"/>
      <c r="FL7" s="301"/>
      <c r="FM7" s="301"/>
      <c r="FN7" s="301"/>
      <c r="FO7" s="301"/>
      <c r="FP7" s="301"/>
      <c r="FQ7" s="301"/>
      <c r="FR7" s="301"/>
      <c r="FS7" s="301"/>
      <c r="FT7" s="301"/>
      <c r="FU7" s="301"/>
      <c r="FV7" s="301"/>
      <c r="FW7" s="301"/>
      <c r="FX7" s="301"/>
      <c r="FY7" s="301"/>
      <c r="FZ7" s="301"/>
      <c r="GA7" s="301"/>
      <c r="GB7" s="301"/>
      <c r="GC7" s="301"/>
      <c r="GD7" s="301"/>
      <c r="GE7" s="301"/>
      <c r="GF7" s="301"/>
      <c r="GG7" s="301"/>
      <c r="GH7" s="301"/>
      <c r="GI7" s="301"/>
      <c r="GJ7" s="301"/>
      <c r="GK7" s="301"/>
      <c r="GL7" s="301"/>
      <c r="GM7" s="301"/>
      <c r="GN7" s="301"/>
      <c r="GO7" s="301"/>
      <c r="GP7" s="301"/>
      <c r="GQ7" s="301"/>
      <c r="GR7" s="301"/>
      <c r="GS7" s="301"/>
      <c r="GT7" s="301"/>
      <c r="GU7" s="301"/>
      <c r="GV7" s="301"/>
      <c r="GW7" s="301"/>
      <c r="GX7" s="301"/>
      <c r="GY7" s="301"/>
      <c r="GZ7" s="301"/>
      <c r="HA7" s="301"/>
      <c r="HB7" s="301"/>
      <c r="HC7" s="301"/>
      <c r="HD7" s="301"/>
      <c r="HE7" s="301"/>
      <c r="HF7" s="301"/>
      <c r="HG7" s="301"/>
      <c r="HH7" s="301"/>
      <c r="HI7" s="301"/>
      <c r="HJ7" s="301"/>
      <c r="HK7" s="301"/>
      <c r="HL7" s="301"/>
      <c r="HM7" s="301"/>
      <c r="HN7" s="301"/>
      <c r="HO7" s="301"/>
      <c r="HP7" s="301"/>
      <c r="HQ7" s="301"/>
      <c r="HR7" s="301"/>
      <c r="HS7" s="301"/>
      <c r="HT7" s="301"/>
      <c r="HU7" s="301"/>
      <c r="HV7" s="301"/>
      <c r="HW7" s="301"/>
      <c r="HX7" s="301"/>
      <c r="HY7" s="301"/>
      <c r="HZ7" s="301"/>
      <c r="IA7" s="301"/>
      <c r="IB7" s="301"/>
      <c r="IC7" s="301"/>
      <c r="ID7" s="301"/>
      <c r="IE7" s="301"/>
      <c r="IF7" s="301"/>
      <c r="IG7" s="301"/>
      <c r="IH7" s="301"/>
      <c r="II7" s="301"/>
      <c r="IJ7" s="301"/>
      <c r="IK7" s="301"/>
      <c r="IL7" s="301"/>
      <c r="IM7" s="301"/>
      <c r="IN7" s="301"/>
      <c r="IO7" s="301"/>
      <c r="IP7" s="301"/>
      <c r="IQ7" s="301"/>
      <c r="IR7" s="301"/>
      <c r="IS7" s="301"/>
      <c r="IT7" s="301"/>
      <c r="IU7" s="301"/>
      <c r="IV7" s="301"/>
    </row>
    <row r="8" spans="1:256" ht="15">
      <c r="A8" s="301"/>
      <c r="B8" s="302">
        <v>1</v>
      </c>
      <c r="C8" s="1540" t="s">
        <v>809</v>
      </c>
      <c r="D8" s="1534"/>
      <c r="E8" s="1534"/>
      <c r="F8" s="1534"/>
      <c r="G8" s="1534"/>
      <c r="H8" s="1534"/>
      <c r="I8" s="1534"/>
      <c r="J8" s="1534"/>
      <c r="K8" s="1534"/>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1"/>
      <c r="AM8" s="301"/>
      <c r="AN8" s="301"/>
      <c r="AO8" s="301"/>
      <c r="AP8" s="301"/>
      <c r="AQ8" s="301"/>
      <c r="AR8" s="301"/>
      <c r="AS8" s="301"/>
      <c r="AT8" s="301"/>
      <c r="AU8" s="301"/>
      <c r="AV8" s="301"/>
      <c r="AW8" s="301"/>
      <c r="AX8" s="301"/>
      <c r="AY8" s="301"/>
      <c r="AZ8" s="301"/>
      <c r="BA8" s="301"/>
      <c r="BB8" s="301"/>
      <c r="BC8" s="301"/>
      <c r="BD8" s="301"/>
      <c r="BE8" s="301"/>
      <c r="BF8" s="301"/>
      <c r="BG8" s="301"/>
      <c r="BH8" s="301"/>
      <c r="BI8" s="301"/>
      <c r="BJ8" s="301"/>
      <c r="BK8" s="301"/>
      <c r="BL8" s="301"/>
      <c r="BM8" s="301"/>
      <c r="BN8" s="301"/>
      <c r="BO8" s="301"/>
      <c r="BP8" s="301"/>
      <c r="BQ8" s="301"/>
      <c r="BR8" s="301"/>
      <c r="BS8" s="301"/>
      <c r="BT8" s="301"/>
      <c r="BU8" s="301"/>
      <c r="BV8" s="301"/>
      <c r="BW8" s="301"/>
      <c r="BX8" s="301"/>
      <c r="BY8" s="301"/>
      <c r="BZ8" s="301"/>
      <c r="CA8" s="301"/>
      <c r="CB8" s="301"/>
      <c r="CC8" s="301"/>
      <c r="CD8" s="301"/>
      <c r="CE8" s="301"/>
      <c r="CF8" s="301"/>
      <c r="CG8" s="301"/>
      <c r="CH8" s="301"/>
      <c r="CI8" s="301"/>
      <c r="CJ8" s="301"/>
      <c r="CK8" s="301"/>
      <c r="CL8" s="301"/>
      <c r="CM8" s="301"/>
      <c r="CN8" s="301"/>
      <c r="CO8" s="301"/>
      <c r="CP8" s="301"/>
      <c r="CQ8" s="301"/>
      <c r="CR8" s="301"/>
      <c r="CS8" s="301"/>
      <c r="CT8" s="301"/>
      <c r="CU8" s="301"/>
      <c r="CV8" s="301"/>
      <c r="CW8" s="301"/>
      <c r="CX8" s="301"/>
      <c r="CY8" s="301"/>
      <c r="CZ8" s="301"/>
      <c r="DA8" s="301"/>
      <c r="DB8" s="301"/>
      <c r="DC8" s="301"/>
      <c r="DD8" s="301"/>
      <c r="DE8" s="301"/>
      <c r="DF8" s="301"/>
      <c r="DG8" s="301"/>
      <c r="DH8" s="301"/>
      <c r="DI8" s="301"/>
      <c r="DJ8" s="301"/>
      <c r="DK8" s="301"/>
      <c r="DL8" s="301"/>
      <c r="DM8" s="301"/>
      <c r="DN8" s="301"/>
      <c r="DO8" s="301"/>
      <c r="DP8" s="301"/>
      <c r="DQ8" s="301"/>
      <c r="DR8" s="301"/>
      <c r="DS8" s="301"/>
      <c r="DT8" s="301"/>
      <c r="DU8" s="301"/>
      <c r="DV8" s="301"/>
      <c r="DW8" s="301"/>
      <c r="DX8" s="301"/>
      <c r="DY8" s="301"/>
      <c r="DZ8" s="301"/>
      <c r="EA8" s="301"/>
      <c r="EB8" s="301"/>
      <c r="EC8" s="301"/>
      <c r="ED8" s="301"/>
      <c r="EE8" s="301"/>
      <c r="EF8" s="301"/>
      <c r="EG8" s="301"/>
      <c r="EH8" s="301"/>
      <c r="EI8" s="301"/>
      <c r="EJ8" s="301"/>
      <c r="EK8" s="301"/>
      <c r="EL8" s="301"/>
      <c r="EM8" s="301"/>
      <c r="EN8" s="301"/>
      <c r="EO8" s="301"/>
      <c r="EP8" s="301"/>
      <c r="EQ8" s="301"/>
      <c r="ER8" s="301"/>
      <c r="ES8" s="301"/>
      <c r="ET8" s="301"/>
      <c r="EU8" s="301"/>
      <c r="EV8" s="301"/>
      <c r="EW8" s="301"/>
      <c r="EX8" s="301"/>
      <c r="EY8" s="301"/>
      <c r="EZ8" s="301"/>
      <c r="FA8" s="301"/>
      <c r="FB8" s="301"/>
      <c r="FC8" s="301"/>
      <c r="FD8" s="301"/>
      <c r="FE8" s="301"/>
      <c r="FF8" s="301"/>
      <c r="FG8" s="301"/>
      <c r="FH8" s="301"/>
      <c r="FI8" s="301"/>
      <c r="FJ8" s="301"/>
      <c r="FK8" s="301"/>
      <c r="FL8" s="301"/>
      <c r="FM8" s="301"/>
      <c r="FN8" s="301"/>
      <c r="FO8" s="301"/>
      <c r="FP8" s="301"/>
      <c r="FQ8" s="301"/>
      <c r="FR8" s="301"/>
      <c r="FS8" s="301"/>
      <c r="FT8" s="301"/>
      <c r="FU8" s="301"/>
      <c r="FV8" s="301"/>
      <c r="FW8" s="301"/>
      <c r="FX8" s="301"/>
      <c r="FY8" s="301"/>
      <c r="FZ8" s="301"/>
      <c r="GA8" s="301"/>
      <c r="GB8" s="301"/>
      <c r="GC8" s="301"/>
      <c r="GD8" s="301"/>
      <c r="GE8" s="301"/>
      <c r="GF8" s="301"/>
      <c r="GG8" s="301"/>
      <c r="GH8" s="301"/>
      <c r="GI8" s="301"/>
      <c r="GJ8" s="301"/>
      <c r="GK8" s="301"/>
      <c r="GL8" s="301"/>
      <c r="GM8" s="301"/>
      <c r="GN8" s="301"/>
      <c r="GO8" s="301"/>
      <c r="GP8" s="301"/>
      <c r="GQ8" s="301"/>
      <c r="GR8" s="301"/>
      <c r="GS8" s="301"/>
      <c r="GT8" s="301"/>
      <c r="GU8" s="301"/>
      <c r="GV8" s="301"/>
      <c r="GW8" s="301"/>
      <c r="GX8" s="301"/>
      <c r="GY8" s="301"/>
      <c r="GZ8" s="301"/>
      <c r="HA8" s="301"/>
      <c r="HB8" s="301"/>
      <c r="HC8" s="301"/>
      <c r="HD8" s="301"/>
      <c r="HE8" s="301"/>
      <c r="HF8" s="301"/>
      <c r="HG8" s="301"/>
      <c r="HH8" s="301"/>
      <c r="HI8" s="301"/>
      <c r="HJ8" s="301"/>
      <c r="HK8" s="301"/>
      <c r="HL8" s="301"/>
      <c r="HM8" s="301"/>
      <c r="HN8" s="301"/>
      <c r="HO8" s="301"/>
      <c r="HP8" s="301"/>
      <c r="HQ8" s="301"/>
      <c r="HR8" s="301"/>
      <c r="HS8" s="301"/>
      <c r="HT8" s="301"/>
      <c r="HU8" s="301"/>
      <c r="HV8" s="301"/>
      <c r="HW8" s="301"/>
      <c r="HX8" s="301"/>
      <c r="HY8" s="301"/>
      <c r="HZ8" s="301"/>
      <c r="IA8" s="301"/>
      <c r="IB8" s="301"/>
      <c r="IC8" s="301"/>
      <c r="ID8" s="301"/>
      <c r="IE8" s="301"/>
      <c r="IF8" s="301"/>
      <c r="IG8" s="301"/>
      <c r="IH8" s="301"/>
      <c r="II8" s="301"/>
      <c r="IJ8" s="301"/>
      <c r="IK8" s="301"/>
      <c r="IL8" s="301"/>
      <c r="IM8" s="301"/>
      <c r="IN8" s="301"/>
      <c r="IO8" s="301"/>
      <c r="IP8" s="301"/>
      <c r="IQ8" s="301"/>
      <c r="IR8" s="301"/>
      <c r="IS8" s="301"/>
      <c r="IT8" s="301"/>
      <c r="IU8" s="301"/>
      <c r="IV8" s="301"/>
    </row>
    <row r="9" spans="1:256" ht="15">
      <c r="A9" s="301"/>
      <c r="B9" s="302"/>
      <c r="C9" s="1534"/>
      <c r="D9" s="1534"/>
      <c r="E9" s="1534"/>
      <c r="F9" s="1534"/>
      <c r="G9" s="1534"/>
      <c r="H9" s="1534"/>
      <c r="I9" s="1534"/>
      <c r="J9" s="1534"/>
      <c r="K9" s="1534"/>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1"/>
      <c r="AM9" s="301"/>
      <c r="AN9" s="301"/>
      <c r="AO9" s="301"/>
      <c r="AP9" s="301"/>
      <c r="AQ9" s="301"/>
      <c r="AR9" s="301"/>
      <c r="AS9" s="301"/>
      <c r="AT9" s="301"/>
      <c r="AU9" s="301"/>
      <c r="AV9" s="301"/>
      <c r="AW9" s="301"/>
      <c r="AX9" s="301"/>
      <c r="AY9" s="301"/>
      <c r="AZ9" s="301"/>
      <c r="BA9" s="301"/>
      <c r="BB9" s="301"/>
      <c r="BC9" s="301"/>
      <c r="BD9" s="301"/>
      <c r="BE9" s="301"/>
      <c r="BF9" s="301"/>
      <c r="BG9" s="301"/>
      <c r="BH9" s="301"/>
      <c r="BI9" s="301"/>
      <c r="BJ9" s="301"/>
      <c r="BK9" s="301"/>
      <c r="BL9" s="301"/>
      <c r="BM9" s="301"/>
      <c r="BN9" s="301"/>
      <c r="BO9" s="301"/>
      <c r="BP9" s="301"/>
      <c r="BQ9" s="301"/>
      <c r="BR9" s="301"/>
      <c r="BS9" s="301"/>
      <c r="BT9" s="301"/>
      <c r="BU9" s="301"/>
      <c r="BV9" s="301"/>
      <c r="BW9" s="301"/>
      <c r="BX9" s="301"/>
      <c r="BY9" s="301"/>
      <c r="BZ9" s="301"/>
      <c r="CA9" s="301"/>
      <c r="CB9" s="301"/>
      <c r="CC9" s="301"/>
      <c r="CD9" s="301"/>
      <c r="CE9" s="301"/>
      <c r="CF9" s="301"/>
      <c r="CG9" s="301"/>
      <c r="CH9" s="301"/>
      <c r="CI9" s="301"/>
      <c r="CJ9" s="301"/>
      <c r="CK9" s="301"/>
      <c r="CL9" s="301"/>
      <c r="CM9" s="301"/>
      <c r="CN9" s="301"/>
      <c r="CO9" s="301"/>
      <c r="CP9" s="301"/>
      <c r="CQ9" s="301"/>
      <c r="CR9" s="301"/>
      <c r="CS9" s="301"/>
      <c r="CT9" s="301"/>
      <c r="CU9" s="301"/>
      <c r="CV9" s="301"/>
      <c r="CW9" s="301"/>
      <c r="CX9" s="301"/>
      <c r="CY9" s="301"/>
      <c r="CZ9" s="301"/>
      <c r="DA9" s="301"/>
      <c r="DB9" s="301"/>
      <c r="DC9" s="301"/>
      <c r="DD9" s="301"/>
      <c r="DE9" s="301"/>
      <c r="DF9" s="301"/>
      <c r="DG9" s="301"/>
      <c r="DH9" s="301"/>
      <c r="DI9" s="301"/>
      <c r="DJ9" s="301"/>
      <c r="DK9" s="301"/>
      <c r="DL9" s="301"/>
      <c r="DM9" s="301"/>
      <c r="DN9" s="301"/>
      <c r="DO9" s="301"/>
      <c r="DP9" s="301"/>
      <c r="DQ9" s="301"/>
      <c r="DR9" s="301"/>
      <c r="DS9" s="301"/>
      <c r="DT9" s="301"/>
      <c r="DU9" s="301"/>
      <c r="DV9" s="301"/>
      <c r="DW9" s="301"/>
      <c r="DX9" s="301"/>
      <c r="DY9" s="301"/>
      <c r="DZ9" s="301"/>
      <c r="EA9" s="301"/>
      <c r="EB9" s="301"/>
      <c r="EC9" s="301"/>
      <c r="ED9" s="301"/>
      <c r="EE9" s="301"/>
      <c r="EF9" s="301"/>
      <c r="EG9" s="301"/>
      <c r="EH9" s="301"/>
      <c r="EI9" s="301"/>
      <c r="EJ9" s="301"/>
      <c r="EK9" s="301"/>
      <c r="EL9" s="301"/>
      <c r="EM9" s="301"/>
      <c r="EN9" s="301"/>
      <c r="EO9" s="301"/>
      <c r="EP9" s="301"/>
      <c r="EQ9" s="301"/>
      <c r="ER9" s="301"/>
      <c r="ES9" s="301"/>
      <c r="ET9" s="301"/>
      <c r="EU9" s="301"/>
      <c r="EV9" s="301"/>
      <c r="EW9" s="301"/>
      <c r="EX9" s="301"/>
      <c r="EY9" s="301"/>
      <c r="EZ9" s="301"/>
      <c r="FA9" s="301"/>
      <c r="FB9" s="301"/>
      <c r="FC9" s="301"/>
      <c r="FD9" s="301"/>
      <c r="FE9" s="301"/>
      <c r="FF9" s="301"/>
      <c r="FG9" s="301"/>
      <c r="FH9" s="301"/>
      <c r="FI9" s="301"/>
      <c r="FJ9" s="301"/>
      <c r="FK9" s="301"/>
      <c r="FL9" s="301"/>
      <c r="FM9" s="301"/>
      <c r="FN9" s="301"/>
      <c r="FO9" s="301"/>
      <c r="FP9" s="301"/>
      <c r="FQ9" s="301"/>
      <c r="FR9" s="301"/>
      <c r="FS9" s="301"/>
      <c r="FT9" s="301"/>
      <c r="FU9" s="301"/>
      <c r="FV9" s="301"/>
      <c r="FW9" s="301"/>
      <c r="FX9" s="301"/>
      <c r="FY9" s="301"/>
      <c r="FZ9" s="301"/>
      <c r="GA9" s="301"/>
      <c r="GB9" s="301"/>
      <c r="GC9" s="301"/>
      <c r="GD9" s="301"/>
      <c r="GE9" s="301"/>
      <c r="GF9" s="301"/>
      <c r="GG9" s="301"/>
      <c r="GH9" s="301"/>
      <c r="GI9" s="301"/>
      <c r="GJ9" s="301"/>
      <c r="GK9" s="301"/>
      <c r="GL9" s="301"/>
      <c r="GM9" s="301"/>
      <c r="GN9" s="301"/>
      <c r="GO9" s="301"/>
      <c r="GP9" s="301"/>
      <c r="GQ9" s="301"/>
      <c r="GR9" s="301"/>
      <c r="GS9" s="301"/>
      <c r="GT9" s="301"/>
      <c r="GU9" s="301"/>
      <c r="GV9" s="301"/>
      <c r="GW9" s="301"/>
      <c r="GX9" s="301"/>
      <c r="GY9" s="301"/>
      <c r="GZ9" s="301"/>
      <c r="HA9" s="301"/>
      <c r="HB9" s="301"/>
      <c r="HC9" s="301"/>
      <c r="HD9" s="301"/>
      <c r="HE9" s="301"/>
      <c r="HF9" s="301"/>
      <c r="HG9" s="301"/>
      <c r="HH9" s="301"/>
      <c r="HI9" s="301"/>
      <c r="HJ9" s="301"/>
      <c r="HK9" s="301"/>
      <c r="HL9" s="301"/>
      <c r="HM9" s="301"/>
      <c r="HN9" s="301"/>
      <c r="HO9" s="301"/>
      <c r="HP9" s="301"/>
      <c r="HQ9" s="301"/>
      <c r="HR9" s="301"/>
      <c r="HS9" s="301"/>
      <c r="HT9" s="301"/>
      <c r="HU9" s="301"/>
      <c r="HV9" s="301"/>
      <c r="HW9" s="301"/>
      <c r="HX9" s="301"/>
      <c r="HY9" s="301"/>
      <c r="HZ9" s="301"/>
      <c r="IA9" s="301"/>
      <c r="IB9" s="301"/>
      <c r="IC9" s="301"/>
      <c r="ID9" s="301"/>
      <c r="IE9" s="301"/>
      <c r="IF9" s="301"/>
      <c r="IG9" s="301"/>
      <c r="IH9" s="301"/>
      <c r="II9" s="301"/>
      <c r="IJ9" s="301"/>
      <c r="IK9" s="301"/>
      <c r="IL9" s="301"/>
      <c r="IM9" s="301"/>
      <c r="IN9" s="301"/>
      <c r="IO9" s="301"/>
      <c r="IP9" s="301"/>
      <c r="IQ9" s="301"/>
      <c r="IR9" s="301"/>
      <c r="IS9" s="301"/>
      <c r="IT9" s="301"/>
      <c r="IU9" s="301"/>
      <c r="IV9" s="301"/>
    </row>
    <row r="10" spans="1:256" ht="15">
      <c r="A10" s="301"/>
      <c r="B10" s="302"/>
      <c r="C10" s="1534"/>
      <c r="D10" s="1534"/>
      <c r="E10" s="1534"/>
      <c r="F10" s="1534"/>
      <c r="G10" s="1534"/>
      <c r="H10" s="1534"/>
      <c r="I10" s="1534"/>
      <c r="J10" s="1534"/>
      <c r="K10" s="1534"/>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1"/>
      <c r="BS10" s="301"/>
      <c r="BT10" s="301"/>
      <c r="BU10" s="301"/>
      <c r="BV10" s="301"/>
      <c r="BW10" s="301"/>
      <c r="BX10" s="301"/>
      <c r="BY10" s="301"/>
      <c r="BZ10" s="301"/>
      <c r="CA10" s="301"/>
      <c r="CB10" s="301"/>
      <c r="CC10" s="301"/>
      <c r="CD10" s="301"/>
      <c r="CE10" s="301"/>
      <c r="CF10" s="301"/>
      <c r="CG10" s="301"/>
      <c r="CH10" s="301"/>
      <c r="CI10" s="301"/>
      <c r="CJ10" s="301"/>
      <c r="CK10" s="301"/>
      <c r="CL10" s="301"/>
      <c r="CM10" s="301"/>
      <c r="CN10" s="301"/>
      <c r="CO10" s="301"/>
      <c r="CP10" s="301"/>
      <c r="CQ10" s="301"/>
      <c r="CR10" s="301"/>
      <c r="CS10" s="301"/>
      <c r="CT10" s="301"/>
      <c r="CU10" s="301"/>
      <c r="CV10" s="301"/>
      <c r="CW10" s="301"/>
      <c r="CX10" s="301"/>
      <c r="CY10" s="301"/>
      <c r="CZ10" s="301"/>
      <c r="DA10" s="301"/>
      <c r="DB10" s="301"/>
      <c r="DC10" s="301"/>
      <c r="DD10" s="301"/>
      <c r="DE10" s="301"/>
      <c r="DF10" s="301"/>
      <c r="DG10" s="301"/>
      <c r="DH10" s="301"/>
      <c r="DI10" s="301"/>
      <c r="DJ10" s="301"/>
      <c r="DK10" s="301"/>
      <c r="DL10" s="301"/>
      <c r="DM10" s="301"/>
      <c r="DN10" s="301"/>
      <c r="DO10" s="301"/>
      <c r="DP10" s="301"/>
      <c r="DQ10" s="301"/>
      <c r="DR10" s="301"/>
      <c r="DS10" s="301"/>
      <c r="DT10" s="301"/>
      <c r="DU10" s="301"/>
      <c r="DV10" s="301"/>
      <c r="DW10" s="301"/>
      <c r="DX10" s="301"/>
      <c r="DY10" s="301"/>
      <c r="DZ10" s="301"/>
      <c r="EA10" s="301"/>
      <c r="EB10" s="301"/>
      <c r="EC10" s="301"/>
      <c r="ED10" s="301"/>
      <c r="EE10" s="301"/>
      <c r="EF10" s="301"/>
      <c r="EG10" s="301"/>
      <c r="EH10" s="301"/>
      <c r="EI10" s="301"/>
      <c r="EJ10" s="301"/>
      <c r="EK10" s="301"/>
      <c r="EL10" s="301"/>
      <c r="EM10" s="301"/>
      <c r="EN10" s="301"/>
      <c r="EO10" s="301"/>
      <c r="EP10" s="301"/>
      <c r="EQ10" s="301"/>
      <c r="ER10" s="301"/>
      <c r="ES10" s="301"/>
      <c r="ET10" s="301"/>
      <c r="EU10" s="301"/>
      <c r="EV10" s="301"/>
      <c r="EW10" s="301"/>
      <c r="EX10" s="301"/>
      <c r="EY10" s="301"/>
      <c r="EZ10" s="301"/>
      <c r="FA10" s="301"/>
      <c r="FB10" s="301"/>
      <c r="FC10" s="301"/>
      <c r="FD10" s="301"/>
      <c r="FE10" s="301"/>
      <c r="FF10" s="301"/>
      <c r="FG10" s="301"/>
      <c r="FH10" s="301"/>
      <c r="FI10" s="301"/>
      <c r="FJ10" s="301"/>
      <c r="FK10" s="301"/>
      <c r="FL10" s="301"/>
      <c r="FM10" s="301"/>
      <c r="FN10" s="301"/>
      <c r="FO10" s="301"/>
      <c r="FP10" s="301"/>
      <c r="FQ10" s="301"/>
      <c r="FR10" s="301"/>
      <c r="FS10" s="301"/>
      <c r="FT10" s="301"/>
      <c r="FU10" s="301"/>
      <c r="FV10" s="301"/>
      <c r="FW10" s="301"/>
      <c r="FX10" s="301"/>
      <c r="FY10" s="301"/>
      <c r="FZ10" s="301"/>
      <c r="GA10" s="301"/>
      <c r="GB10" s="301"/>
      <c r="GC10" s="301"/>
      <c r="GD10" s="301"/>
      <c r="GE10" s="301"/>
      <c r="GF10" s="301"/>
      <c r="GG10" s="301"/>
      <c r="GH10" s="301"/>
      <c r="GI10" s="301"/>
      <c r="GJ10" s="301"/>
      <c r="GK10" s="301"/>
      <c r="GL10" s="301"/>
      <c r="GM10" s="301"/>
      <c r="GN10" s="301"/>
      <c r="GO10" s="301"/>
      <c r="GP10" s="301"/>
      <c r="GQ10" s="301"/>
      <c r="GR10" s="301"/>
      <c r="GS10" s="301"/>
      <c r="GT10" s="301"/>
      <c r="GU10" s="301"/>
      <c r="GV10" s="301"/>
      <c r="GW10" s="301"/>
      <c r="GX10" s="301"/>
      <c r="GY10" s="301"/>
      <c r="GZ10" s="301"/>
      <c r="HA10" s="301"/>
      <c r="HB10" s="301"/>
      <c r="HC10" s="301"/>
      <c r="HD10" s="301"/>
      <c r="HE10" s="301"/>
      <c r="HF10" s="301"/>
      <c r="HG10" s="301"/>
      <c r="HH10" s="301"/>
      <c r="HI10" s="301"/>
      <c r="HJ10" s="301"/>
      <c r="HK10" s="301"/>
      <c r="HL10" s="301"/>
      <c r="HM10" s="301"/>
      <c r="HN10" s="301"/>
      <c r="HO10" s="301"/>
      <c r="HP10" s="301"/>
      <c r="HQ10" s="301"/>
      <c r="HR10" s="301"/>
      <c r="HS10" s="301"/>
      <c r="HT10" s="301"/>
      <c r="HU10" s="301"/>
      <c r="HV10" s="301"/>
      <c r="HW10" s="301"/>
      <c r="HX10" s="301"/>
      <c r="HY10" s="301"/>
      <c r="HZ10" s="301"/>
      <c r="IA10" s="301"/>
      <c r="IB10" s="301"/>
      <c r="IC10" s="301"/>
      <c r="ID10" s="301"/>
      <c r="IE10" s="301"/>
      <c r="IF10" s="301"/>
      <c r="IG10" s="301"/>
      <c r="IH10" s="301"/>
      <c r="II10" s="301"/>
      <c r="IJ10" s="301"/>
      <c r="IK10" s="301"/>
      <c r="IL10" s="301"/>
      <c r="IM10" s="301"/>
      <c r="IN10" s="301"/>
      <c r="IO10" s="301"/>
      <c r="IP10" s="301"/>
      <c r="IQ10" s="301"/>
      <c r="IR10" s="301"/>
      <c r="IS10" s="301"/>
      <c r="IT10" s="301"/>
      <c r="IU10" s="301"/>
      <c r="IV10" s="301"/>
    </row>
    <row r="11" spans="1:256" ht="15">
      <c r="A11" s="301"/>
      <c r="B11" s="302"/>
      <c r="C11" s="1534"/>
      <c r="D11" s="1534"/>
      <c r="E11" s="1534"/>
      <c r="F11" s="1534"/>
      <c r="G11" s="1534"/>
      <c r="H11" s="1534"/>
      <c r="I11" s="1534"/>
      <c r="J11" s="1534"/>
      <c r="K11" s="1534"/>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301"/>
      <c r="BE11" s="301"/>
      <c r="BF11" s="301"/>
      <c r="BG11" s="301"/>
      <c r="BH11" s="301"/>
      <c r="BI11" s="301"/>
      <c r="BJ11" s="301"/>
      <c r="BK11" s="301"/>
      <c r="BL11" s="301"/>
      <c r="BM11" s="301"/>
      <c r="BN11" s="301"/>
      <c r="BO11" s="301"/>
      <c r="BP11" s="301"/>
      <c r="BQ11" s="301"/>
      <c r="BR11" s="301"/>
      <c r="BS11" s="301"/>
      <c r="BT11" s="301"/>
      <c r="BU11" s="301"/>
      <c r="BV11" s="301"/>
      <c r="BW11" s="301"/>
      <c r="BX11" s="301"/>
      <c r="BY11" s="301"/>
      <c r="BZ11" s="301"/>
      <c r="CA11" s="301"/>
      <c r="CB11" s="301"/>
      <c r="CC11" s="301"/>
      <c r="CD11" s="301"/>
      <c r="CE11" s="301"/>
      <c r="CF11" s="301"/>
      <c r="CG11" s="301"/>
      <c r="CH11" s="301"/>
      <c r="CI11" s="301"/>
      <c r="CJ11" s="301"/>
      <c r="CK11" s="301"/>
      <c r="CL11" s="301"/>
      <c r="CM11" s="301"/>
      <c r="CN11" s="301"/>
      <c r="CO11" s="301"/>
      <c r="CP11" s="301"/>
      <c r="CQ11" s="301"/>
      <c r="CR11" s="301"/>
      <c r="CS11" s="301"/>
      <c r="CT11" s="301"/>
      <c r="CU11" s="301"/>
      <c r="CV11" s="301"/>
      <c r="CW11" s="301"/>
      <c r="CX11" s="301"/>
      <c r="CY11" s="301"/>
      <c r="CZ11" s="301"/>
      <c r="DA11" s="301"/>
      <c r="DB11" s="301"/>
      <c r="DC11" s="301"/>
      <c r="DD11" s="301"/>
      <c r="DE11" s="301"/>
      <c r="DF11" s="301"/>
      <c r="DG11" s="301"/>
      <c r="DH11" s="301"/>
      <c r="DI11" s="301"/>
      <c r="DJ11" s="301"/>
      <c r="DK11" s="301"/>
      <c r="DL11" s="301"/>
      <c r="DM11" s="301"/>
      <c r="DN11" s="301"/>
      <c r="DO11" s="301"/>
      <c r="DP11" s="301"/>
      <c r="DQ11" s="301"/>
      <c r="DR11" s="301"/>
      <c r="DS11" s="301"/>
      <c r="DT11" s="301"/>
      <c r="DU11" s="301"/>
      <c r="DV11" s="301"/>
      <c r="DW11" s="301"/>
      <c r="DX11" s="301"/>
      <c r="DY11" s="301"/>
      <c r="DZ11" s="301"/>
      <c r="EA11" s="301"/>
      <c r="EB11" s="301"/>
      <c r="EC11" s="301"/>
      <c r="ED11" s="301"/>
      <c r="EE11" s="301"/>
      <c r="EF11" s="301"/>
      <c r="EG11" s="301"/>
      <c r="EH11" s="301"/>
      <c r="EI11" s="301"/>
      <c r="EJ11" s="301"/>
      <c r="EK11" s="301"/>
      <c r="EL11" s="301"/>
      <c r="EM11" s="301"/>
      <c r="EN11" s="301"/>
      <c r="EO11" s="301"/>
      <c r="EP11" s="301"/>
      <c r="EQ11" s="301"/>
      <c r="ER11" s="301"/>
      <c r="ES11" s="301"/>
      <c r="ET11" s="301"/>
      <c r="EU11" s="301"/>
      <c r="EV11" s="301"/>
      <c r="EW11" s="301"/>
      <c r="EX11" s="301"/>
      <c r="EY11" s="301"/>
      <c r="EZ11" s="301"/>
      <c r="FA11" s="301"/>
      <c r="FB11" s="301"/>
      <c r="FC11" s="301"/>
      <c r="FD11" s="301"/>
      <c r="FE11" s="301"/>
      <c r="FF11" s="301"/>
      <c r="FG11" s="301"/>
      <c r="FH11" s="301"/>
      <c r="FI11" s="301"/>
      <c r="FJ11" s="301"/>
      <c r="FK11" s="301"/>
      <c r="FL11" s="301"/>
      <c r="FM11" s="301"/>
      <c r="FN11" s="301"/>
      <c r="FO11" s="301"/>
      <c r="FP11" s="301"/>
      <c r="FQ11" s="301"/>
      <c r="FR11" s="301"/>
      <c r="FS11" s="301"/>
      <c r="FT11" s="301"/>
      <c r="FU11" s="301"/>
      <c r="FV11" s="301"/>
      <c r="FW11" s="301"/>
      <c r="FX11" s="301"/>
      <c r="FY11" s="301"/>
      <c r="FZ11" s="301"/>
      <c r="GA11" s="301"/>
      <c r="GB11" s="301"/>
      <c r="GC11" s="301"/>
      <c r="GD11" s="301"/>
      <c r="GE11" s="301"/>
      <c r="GF11" s="301"/>
      <c r="GG11" s="301"/>
      <c r="GH11" s="301"/>
      <c r="GI11" s="301"/>
      <c r="GJ11" s="301"/>
      <c r="GK11" s="301"/>
      <c r="GL11" s="301"/>
      <c r="GM11" s="301"/>
      <c r="GN11" s="301"/>
      <c r="GO11" s="301"/>
      <c r="GP11" s="301"/>
      <c r="GQ11" s="301"/>
      <c r="GR11" s="301"/>
      <c r="GS11" s="301"/>
      <c r="GT11" s="301"/>
      <c r="GU11" s="301"/>
      <c r="GV11" s="301"/>
      <c r="GW11" s="301"/>
      <c r="GX11" s="301"/>
      <c r="GY11" s="301"/>
      <c r="GZ11" s="301"/>
      <c r="HA11" s="301"/>
      <c r="HB11" s="301"/>
      <c r="HC11" s="301"/>
      <c r="HD11" s="301"/>
      <c r="HE11" s="301"/>
      <c r="HF11" s="301"/>
      <c r="HG11" s="301"/>
      <c r="HH11" s="301"/>
      <c r="HI11" s="301"/>
      <c r="HJ11" s="301"/>
      <c r="HK11" s="301"/>
      <c r="HL11" s="301"/>
      <c r="HM11" s="301"/>
      <c r="HN11" s="301"/>
      <c r="HO11" s="301"/>
      <c r="HP11" s="301"/>
      <c r="HQ11" s="301"/>
      <c r="HR11" s="301"/>
      <c r="HS11" s="301"/>
      <c r="HT11" s="301"/>
      <c r="HU11" s="301"/>
      <c r="HV11" s="301"/>
      <c r="HW11" s="301"/>
      <c r="HX11" s="301"/>
      <c r="HY11" s="301"/>
      <c r="HZ11" s="301"/>
      <c r="IA11" s="301"/>
      <c r="IB11" s="301"/>
      <c r="IC11" s="301"/>
      <c r="ID11" s="301"/>
      <c r="IE11" s="301"/>
      <c r="IF11" s="301"/>
      <c r="IG11" s="301"/>
      <c r="IH11" s="301"/>
      <c r="II11" s="301"/>
      <c r="IJ11" s="301"/>
      <c r="IK11" s="301"/>
      <c r="IL11" s="301"/>
      <c r="IM11" s="301"/>
      <c r="IN11" s="301"/>
      <c r="IO11" s="301"/>
      <c r="IP11" s="301"/>
      <c r="IQ11" s="301"/>
      <c r="IR11" s="301"/>
      <c r="IS11" s="301"/>
      <c r="IT11" s="301"/>
      <c r="IU11" s="301"/>
      <c r="IV11" s="301"/>
    </row>
    <row r="12" spans="1:256" ht="15">
      <c r="A12" s="301"/>
      <c r="B12" s="302"/>
      <c r="C12" s="1534"/>
      <c r="D12" s="1534"/>
      <c r="E12" s="1534"/>
      <c r="F12" s="1534"/>
      <c r="G12" s="1534"/>
      <c r="H12" s="1534"/>
      <c r="I12" s="1534"/>
      <c r="J12" s="1534"/>
      <c r="K12" s="1534"/>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301"/>
      <c r="BE12" s="301"/>
      <c r="BF12" s="301"/>
      <c r="BG12" s="301"/>
      <c r="BH12" s="301"/>
      <c r="BI12" s="301"/>
      <c r="BJ12" s="301"/>
      <c r="BK12" s="301"/>
      <c r="BL12" s="301"/>
      <c r="BM12" s="301"/>
      <c r="BN12" s="301"/>
      <c r="BO12" s="301"/>
      <c r="BP12" s="301"/>
      <c r="BQ12" s="301"/>
      <c r="BR12" s="301"/>
      <c r="BS12" s="301"/>
      <c r="BT12" s="301"/>
      <c r="BU12" s="301"/>
      <c r="BV12" s="301"/>
      <c r="BW12" s="301"/>
      <c r="BX12" s="301"/>
      <c r="BY12" s="301"/>
      <c r="BZ12" s="301"/>
      <c r="CA12" s="301"/>
      <c r="CB12" s="301"/>
      <c r="CC12" s="301"/>
      <c r="CD12" s="301"/>
      <c r="CE12" s="301"/>
      <c r="CF12" s="301"/>
      <c r="CG12" s="301"/>
      <c r="CH12" s="301"/>
      <c r="CI12" s="301"/>
      <c r="CJ12" s="301"/>
      <c r="CK12" s="301"/>
      <c r="CL12" s="301"/>
      <c r="CM12" s="301"/>
      <c r="CN12" s="301"/>
      <c r="CO12" s="301"/>
      <c r="CP12" s="301"/>
      <c r="CQ12" s="301"/>
      <c r="CR12" s="301"/>
      <c r="CS12" s="301"/>
      <c r="CT12" s="301"/>
      <c r="CU12" s="301"/>
      <c r="CV12" s="301"/>
      <c r="CW12" s="301"/>
      <c r="CX12" s="301"/>
      <c r="CY12" s="301"/>
      <c r="CZ12" s="301"/>
      <c r="DA12" s="301"/>
      <c r="DB12" s="301"/>
      <c r="DC12" s="301"/>
      <c r="DD12" s="301"/>
      <c r="DE12" s="301"/>
      <c r="DF12" s="301"/>
      <c r="DG12" s="301"/>
      <c r="DH12" s="301"/>
      <c r="DI12" s="301"/>
      <c r="DJ12" s="301"/>
      <c r="DK12" s="301"/>
      <c r="DL12" s="301"/>
      <c r="DM12" s="301"/>
      <c r="DN12" s="301"/>
      <c r="DO12" s="301"/>
      <c r="DP12" s="301"/>
      <c r="DQ12" s="301"/>
      <c r="DR12" s="301"/>
      <c r="DS12" s="301"/>
      <c r="DT12" s="301"/>
      <c r="DU12" s="301"/>
      <c r="DV12" s="301"/>
      <c r="DW12" s="301"/>
      <c r="DX12" s="301"/>
      <c r="DY12" s="301"/>
      <c r="DZ12" s="301"/>
      <c r="EA12" s="301"/>
      <c r="EB12" s="301"/>
      <c r="EC12" s="301"/>
      <c r="ED12" s="301"/>
      <c r="EE12" s="301"/>
      <c r="EF12" s="301"/>
      <c r="EG12" s="301"/>
      <c r="EH12" s="301"/>
      <c r="EI12" s="301"/>
      <c r="EJ12" s="301"/>
      <c r="EK12" s="301"/>
      <c r="EL12" s="301"/>
      <c r="EM12" s="301"/>
      <c r="EN12" s="301"/>
      <c r="EO12" s="301"/>
      <c r="EP12" s="301"/>
      <c r="EQ12" s="301"/>
      <c r="ER12" s="301"/>
      <c r="ES12" s="301"/>
      <c r="ET12" s="301"/>
      <c r="EU12" s="301"/>
      <c r="EV12" s="301"/>
      <c r="EW12" s="301"/>
      <c r="EX12" s="301"/>
      <c r="EY12" s="301"/>
      <c r="EZ12" s="301"/>
      <c r="FA12" s="301"/>
      <c r="FB12" s="301"/>
      <c r="FC12" s="301"/>
      <c r="FD12" s="301"/>
      <c r="FE12" s="301"/>
      <c r="FF12" s="301"/>
      <c r="FG12" s="301"/>
      <c r="FH12" s="301"/>
      <c r="FI12" s="301"/>
      <c r="FJ12" s="301"/>
      <c r="FK12" s="301"/>
      <c r="FL12" s="301"/>
      <c r="FM12" s="301"/>
      <c r="FN12" s="301"/>
      <c r="FO12" s="301"/>
      <c r="FP12" s="301"/>
      <c r="FQ12" s="301"/>
      <c r="FR12" s="301"/>
      <c r="FS12" s="301"/>
      <c r="FT12" s="301"/>
      <c r="FU12" s="301"/>
      <c r="FV12" s="301"/>
      <c r="FW12" s="301"/>
      <c r="FX12" s="301"/>
      <c r="FY12" s="301"/>
      <c r="FZ12" s="301"/>
      <c r="GA12" s="301"/>
      <c r="GB12" s="301"/>
      <c r="GC12" s="301"/>
      <c r="GD12" s="301"/>
      <c r="GE12" s="301"/>
      <c r="GF12" s="301"/>
      <c r="GG12" s="301"/>
      <c r="GH12" s="301"/>
      <c r="GI12" s="301"/>
      <c r="GJ12" s="301"/>
      <c r="GK12" s="301"/>
      <c r="GL12" s="301"/>
      <c r="GM12" s="301"/>
      <c r="GN12" s="301"/>
      <c r="GO12" s="301"/>
      <c r="GP12" s="301"/>
      <c r="GQ12" s="301"/>
      <c r="GR12" s="301"/>
      <c r="GS12" s="301"/>
      <c r="GT12" s="301"/>
      <c r="GU12" s="301"/>
      <c r="GV12" s="301"/>
      <c r="GW12" s="301"/>
      <c r="GX12" s="301"/>
      <c r="GY12" s="301"/>
      <c r="GZ12" s="301"/>
      <c r="HA12" s="301"/>
      <c r="HB12" s="301"/>
      <c r="HC12" s="301"/>
      <c r="HD12" s="301"/>
      <c r="HE12" s="301"/>
      <c r="HF12" s="301"/>
      <c r="HG12" s="301"/>
      <c r="HH12" s="301"/>
      <c r="HI12" s="301"/>
      <c r="HJ12" s="301"/>
      <c r="HK12" s="301"/>
      <c r="HL12" s="301"/>
      <c r="HM12" s="301"/>
      <c r="HN12" s="301"/>
      <c r="HO12" s="301"/>
      <c r="HP12" s="301"/>
      <c r="HQ12" s="301"/>
      <c r="HR12" s="301"/>
      <c r="HS12" s="301"/>
      <c r="HT12" s="301"/>
      <c r="HU12" s="301"/>
      <c r="HV12" s="301"/>
      <c r="HW12" s="301"/>
      <c r="HX12" s="301"/>
      <c r="HY12" s="301"/>
      <c r="HZ12" s="301"/>
      <c r="IA12" s="301"/>
      <c r="IB12" s="301"/>
      <c r="IC12" s="301"/>
      <c r="ID12" s="301"/>
      <c r="IE12" s="301"/>
      <c r="IF12" s="301"/>
      <c r="IG12" s="301"/>
      <c r="IH12" s="301"/>
      <c r="II12" s="301"/>
      <c r="IJ12" s="301"/>
      <c r="IK12" s="301"/>
      <c r="IL12" s="301"/>
      <c r="IM12" s="301"/>
      <c r="IN12" s="301"/>
      <c r="IO12" s="301"/>
      <c r="IP12" s="301"/>
      <c r="IQ12" s="301"/>
      <c r="IR12" s="301"/>
      <c r="IS12" s="301"/>
      <c r="IT12" s="301"/>
      <c r="IU12" s="301"/>
      <c r="IV12" s="301"/>
    </row>
    <row r="13" spans="1:256" ht="52.5" customHeight="1">
      <c r="A13" s="301"/>
      <c r="B13" s="302"/>
      <c r="C13" s="1534"/>
      <c r="D13" s="1534"/>
      <c r="E13" s="1534"/>
      <c r="F13" s="1534"/>
      <c r="G13" s="1534"/>
      <c r="H13" s="1534"/>
      <c r="I13" s="1534"/>
      <c r="J13" s="1534"/>
      <c r="K13" s="1534"/>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301"/>
      <c r="BE13" s="301"/>
      <c r="BF13" s="301"/>
      <c r="BG13" s="301"/>
      <c r="BH13" s="301"/>
      <c r="BI13" s="301"/>
      <c r="BJ13" s="301"/>
      <c r="BK13" s="301"/>
      <c r="BL13" s="301"/>
      <c r="BM13" s="301"/>
      <c r="BN13" s="301"/>
      <c r="BO13" s="301"/>
      <c r="BP13" s="301"/>
      <c r="BQ13" s="301"/>
      <c r="BR13" s="301"/>
      <c r="BS13" s="301"/>
      <c r="BT13" s="301"/>
      <c r="BU13" s="301"/>
      <c r="BV13" s="301"/>
      <c r="BW13" s="301"/>
      <c r="BX13" s="301"/>
      <c r="BY13" s="301"/>
      <c r="BZ13" s="301"/>
      <c r="CA13" s="301"/>
      <c r="CB13" s="301"/>
      <c r="CC13" s="301"/>
      <c r="CD13" s="301"/>
      <c r="CE13" s="301"/>
      <c r="CF13" s="301"/>
      <c r="CG13" s="301"/>
      <c r="CH13" s="301"/>
      <c r="CI13" s="301"/>
      <c r="CJ13" s="301"/>
      <c r="CK13" s="301"/>
      <c r="CL13" s="301"/>
      <c r="CM13" s="301"/>
      <c r="CN13" s="301"/>
      <c r="CO13" s="301"/>
      <c r="CP13" s="301"/>
      <c r="CQ13" s="301"/>
      <c r="CR13" s="301"/>
      <c r="CS13" s="301"/>
      <c r="CT13" s="301"/>
      <c r="CU13" s="301"/>
      <c r="CV13" s="301"/>
      <c r="CW13" s="301"/>
      <c r="CX13" s="301"/>
      <c r="CY13" s="301"/>
      <c r="CZ13" s="301"/>
      <c r="DA13" s="301"/>
      <c r="DB13" s="301"/>
      <c r="DC13" s="301"/>
      <c r="DD13" s="301"/>
      <c r="DE13" s="301"/>
      <c r="DF13" s="301"/>
      <c r="DG13" s="301"/>
      <c r="DH13" s="301"/>
      <c r="DI13" s="301"/>
      <c r="DJ13" s="301"/>
      <c r="DK13" s="301"/>
      <c r="DL13" s="301"/>
      <c r="DM13" s="301"/>
      <c r="DN13" s="301"/>
      <c r="DO13" s="301"/>
      <c r="DP13" s="301"/>
      <c r="DQ13" s="301"/>
      <c r="DR13" s="301"/>
      <c r="DS13" s="301"/>
      <c r="DT13" s="301"/>
      <c r="DU13" s="301"/>
      <c r="DV13" s="301"/>
      <c r="DW13" s="301"/>
      <c r="DX13" s="301"/>
      <c r="DY13" s="301"/>
      <c r="DZ13" s="301"/>
      <c r="EA13" s="301"/>
      <c r="EB13" s="301"/>
      <c r="EC13" s="301"/>
      <c r="ED13" s="301"/>
      <c r="EE13" s="301"/>
      <c r="EF13" s="301"/>
      <c r="EG13" s="301"/>
      <c r="EH13" s="301"/>
      <c r="EI13" s="301"/>
      <c r="EJ13" s="301"/>
      <c r="EK13" s="301"/>
      <c r="EL13" s="301"/>
      <c r="EM13" s="301"/>
      <c r="EN13" s="301"/>
      <c r="EO13" s="301"/>
      <c r="EP13" s="301"/>
      <c r="EQ13" s="301"/>
      <c r="ER13" s="301"/>
      <c r="ES13" s="301"/>
      <c r="ET13" s="301"/>
      <c r="EU13" s="301"/>
      <c r="EV13" s="301"/>
      <c r="EW13" s="301"/>
      <c r="EX13" s="301"/>
      <c r="EY13" s="301"/>
      <c r="EZ13" s="301"/>
      <c r="FA13" s="301"/>
      <c r="FB13" s="301"/>
      <c r="FC13" s="301"/>
      <c r="FD13" s="301"/>
      <c r="FE13" s="301"/>
      <c r="FF13" s="301"/>
      <c r="FG13" s="301"/>
      <c r="FH13" s="301"/>
      <c r="FI13" s="301"/>
      <c r="FJ13" s="301"/>
      <c r="FK13" s="301"/>
      <c r="FL13" s="301"/>
      <c r="FM13" s="301"/>
      <c r="FN13" s="301"/>
      <c r="FO13" s="301"/>
      <c r="FP13" s="301"/>
      <c r="FQ13" s="301"/>
      <c r="FR13" s="301"/>
      <c r="FS13" s="301"/>
      <c r="FT13" s="301"/>
      <c r="FU13" s="301"/>
      <c r="FV13" s="301"/>
      <c r="FW13" s="301"/>
      <c r="FX13" s="301"/>
      <c r="FY13" s="301"/>
      <c r="FZ13" s="301"/>
      <c r="GA13" s="301"/>
      <c r="GB13" s="301"/>
      <c r="GC13" s="301"/>
      <c r="GD13" s="301"/>
      <c r="GE13" s="301"/>
      <c r="GF13" s="301"/>
      <c r="GG13" s="301"/>
      <c r="GH13" s="301"/>
      <c r="GI13" s="301"/>
      <c r="GJ13" s="301"/>
      <c r="GK13" s="301"/>
      <c r="GL13" s="301"/>
      <c r="GM13" s="301"/>
      <c r="GN13" s="301"/>
      <c r="GO13" s="301"/>
      <c r="GP13" s="301"/>
      <c r="GQ13" s="301"/>
      <c r="GR13" s="301"/>
      <c r="GS13" s="301"/>
      <c r="GT13" s="301"/>
      <c r="GU13" s="301"/>
      <c r="GV13" s="301"/>
      <c r="GW13" s="301"/>
      <c r="GX13" s="301"/>
      <c r="GY13" s="301"/>
      <c r="GZ13" s="301"/>
      <c r="HA13" s="301"/>
      <c r="HB13" s="301"/>
      <c r="HC13" s="301"/>
      <c r="HD13" s="301"/>
      <c r="HE13" s="301"/>
      <c r="HF13" s="301"/>
      <c r="HG13" s="301"/>
      <c r="HH13" s="301"/>
      <c r="HI13" s="301"/>
      <c r="HJ13" s="301"/>
      <c r="HK13" s="301"/>
      <c r="HL13" s="301"/>
      <c r="HM13" s="301"/>
      <c r="HN13" s="301"/>
      <c r="HO13" s="301"/>
      <c r="HP13" s="301"/>
      <c r="HQ13" s="301"/>
      <c r="HR13" s="301"/>
      <c r="HS13" s="301"/>
      <c r="HT13" s="301"/>
      <c r="HU13" s="301"/>
      <c r="HV13" s="301"/>
      <c r="HW13" s="301"/>
      <c r="HX13" s="301"/>
      <c r="HY13" s="301"/>
      <c r="HZ13" s="301"/>
      <c r="IA13" s="301"/>
      <c r="IB13" s="301"/>
      <c r="IC13" s="301"/>
      <c r="ID13" s="301"/>
      <c r="IE13" s="301"/>
      <c r="IF13" s="301"/>
      <c r="IG13" s="301"/>
      <c r="IH13" s="301"/>
      <c r="II13" s="301"/>
      <c r="IJ13" s="301"/>
      <c r="IK13" s="301"/>
      <c r="IL13" s="301"/>
      <c r="IM13" s="301"/>
      <c r="IN13" s="301"/>
      <c r="IO13" s="301"/>
      <c r="IP13" s="301"/>
      <c r="IQ13" s="301"/>
      <c r="IR13" s="301"/>
      <c r="IS13" s="301"/>
      <c r="IT13" s="301"/>
      <c r="IU13" s="301"/>
      <c r="IV13" s="301"/>
    </row>
    <row r="14" spans="1:256" ht="15">
      <c r="A14" s="301"/>
      <c r="B14" s="302"/>
      <c r="C14" s="1532" t="s">
        <v>810</v>
      </c>
      <c r="D14" s="1532"/>
      <c r="E14" s="310"/>
      <c r="F14" s="310"/>
      <c r="G14" s="310"/>
      <c r="H14" s="310"/>
      <c r="I14" s="311"/>
      <c r="J14" s="311"/>
      <c r="K14" s="31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01"/>
      <c r="AW14" s="301"/>
      <c r="AX14" s="301"/>
      <c r="AY14" s="301"/>
      <c r="AZ14" s="301"/>
      <c r="BA14" s="301"/>
      <c r="BB14" s="301"/>
      <c r="BC14" s="301"/>
      <c r="BD14" s="301"/>
      <c r="BE14" s="301"/>
      <c r="BF14" s="301"/>
      <c r="BG14" s="301"/>
      <c r="BH14" s="301"/>
      <c r="BI14" s="301"/>
      <c r="BJ14" s="301"/>
      <c r="BK14" s="301"/>
      <c r="BL14" s="301"/>
      <c r="BM14" s="301"/>
      <c r="BN14" s="301"/>
      <c r="BO14" s="301"/>
      <c r="BP14" s="301"/>
      <c r="BQ14" s="301"/>
      <c r="BR14" s="301"/>
      <c r="BS14" s="301"/>
      <c r="BT14" s="301"/>
      <c r="BU14" s="301"/>
      <c r="BV14" s="301"/>
      <c r="BW14" s="301"/>
      <c r="BX14" s="301"/>
      <c r="BY14" s="301"/>
      <c r="BZ14" s="301"/>
      <c r="CA14" s="301"/>
      <c r="CB14" s="301"/>
      <c r="CC14" s="301"/>
      <c r="CD14" s="301"/>
      <c r="CE14" s="301"/>
      <c r="CF14" s="301"/>
      <c r="CG14" s="301"/>
      <c r="CH14" s="301"/>
      <c r="CI14" s="301"/>
      <c r="CJ14" s="301"/>
      <c r="CK14" s="301"/>
      <c r="CL14" s="301"/>
      <c r="CM14" s="301"/>
      <c r="CN14" s="301"/>
      <c r="CO14" s="301"/>
      <c r="CP14" s="301"/>
      <c r="CQ14" s="301"/>
      <c r="CR14" s="301"/>
      <c r="CS14" s="301"/>
      <c r="CT14" s="301"/>
      <c r="CU14" s="301"/>
      <c r="CV14" s="301"/>
      <c r="CW14" s="301"/>
      <c r="CX14" s="301"/>
      <c r="CY14" s="301"/>
      <c r="CZ14" s="301"/>
      <c r="DA14" s="301"/>
      <c r="DB14" s="301"/>
      <c r="DC14" s="301"/>
      <c r="DD14" s="301"/>
      <c r="DE14" s="301"/>
      <c r="DF14" s="301"/>
      <c r="DG14" s="301"/>
      <c r="DH14" s="301"/>
      <c r="DI14" s="301"/>
      <c r="DJ14" s="301"/>
      <c r="DK14" s="301"/>
      <c r="DL14" s="301"/>
      <c r="DM14" s="301"/>
      <c r="DN14" s="301"/>
      <c r="DO14" s="301"/>
      <c r="DP14" s="301"/>
      <c r="DQ14" s="301"/>
      <c r="DR14" s="301"/>
      <c r="DS14" s="301"/>
      <c r="DT14" s="301"/>
      <c r="DU14" s="301"/>
      <c r="DV14" s="301"/>
      <c r="DW14" s="301"/>
      <c r="DX14" s="301"/>
      <c r="DY14" s="301"/>
      <c r="DZ14" s="301"/>
      <c r="EA14" s="301"/>
      <c r="EB14" s="301"/>
      <c r="EC14" s="301"/>
      <c r="ED14" s="301"/>
      <c r="EE14" s="301"/>
      <c r="EF14" s="301"/>
      <c r="EG14" s="301"/>
      <c r="EH14" s="301"/>
      <c r="EI14" s="301"/>
      <c r="EJ14" s="301"/>
      <c r="EK14" s="301"/>
      <c r="EL14" s="301"/>
      <c r="EM14" s="301"/>
      <c r="EN14" s="301"/>
      <c r="EO14" s="301"/>
      <c r="EP14" s="301"/>
      <c r="EQ14" s="301"/>
      <c r="ER14" s="301"/>
      <c r="ES14" s="301"/>
      <c r="ET14" s="301"/>
      <c r="EU14" s="301"/>
      <c r="EV14" s="301"/>
      <c r="EW14" s="301"/>
      <c r="EX14" s="301"/>
      <c r="EY14" s="301"/>
      <c r="EZ14" s="301"/>
      <c r="FA14" s="301"/>
      <c r="FB14" s="301"/>
      <c r="FC14" s="301"/>
      <c r="FD14" s="301"/>
      <c r="FE14" s="301"/>
      <c r="FF14" s="301"/>
      <c r="FG14" s="301"/>
      <c r="FH14" s="301"/>
      <c r="FI14" s="301"/>
      <c r="FJ14" s="301"/>
      <c r="FK14" s="301"/>
      <c r="FL14" s="301"/>
      <c r="FM14" s="301"/>
      <c r="FN14" s="301"/>
      <c r="FO14" s="301"/>
      <c r="FP14" s="301"/>
      <c r="FQ14" s="301"/>
      <c r="FR14" s="301"/>
      <c r="FS14" s="301"/>
      <c r="FT14" s="301"/>
      <c r="FU14" s="301"/>
      <c r="FV14" s="301"/>
      <c r="FW14" s="301"/>
      <c r="FX14" s="301"/>
      <c r="FY14" s="301"/>
      <c r="FZ14" s="301"/>
      <c r="GA14" s="301"/>
      <c r="GB14" s="301"/>
      <c r="GC14" s="301"/>
      <c r="GD14" s="301"/>
      <c r="GE14" s="301"/>
      <c r="GF14" s="301"/>
      <c r="GG14" s="301"/>
      <c r="GH14" s="301"/>
      <c r="GI14" s="301"/>
      <c r="GJ14" s="301"/>
      <c r="GK14" s="301"/>
      <c r="GL14" s="301"/>
      <c r="GM14" s="301"/>
      <c r="GN14" s="301"/>
      <c r="GO14" s="301"/>
      <c r="GP14" s="301"/>
      <c r="GQ14" s="301"/>
      <c r="GR14" s="301"/>
      <c r="GS14" s="301"/>
      <c r="GT14" s="301"/>
      <c r="GU14" s="301"/>
      <c r="GV14" s="301"/>
      <c r="GW14" s="301"/>
      <c r="GX14" s="301"/>
      <c r="GY14" s="301"/>
      <c r="GZ14" s="301"/>
      <c r="HA14" s="301"/>
      <c r="HB14" s="301"/>
      <c r="HC14" s="301"/>
      <c r="HD14" s="301"/>
      <c r="HE14" s="301"/>
      <c r="HF14" s="301"/>
      <c r="HG14" s="301"/>
      <c r="HH14" s="301"/>
      <c r="HI14" s="301"/>
      <c r="HJ14" s="301"/>
      <c r="HK14" s="301"/>
      <c r="HL14" s="301"/>
      <c r="HM14" s="301"/>
      <c r="HN14" s="301"/>
      <c r="HO14" s="301"/>
      <c r="HP14" s="301"/>
      <c r="HQ14" s="301"/>
      <c r="HR14" s="301"/>
      <c r="HS14" s="301"/>
      <c r="HT14" s="301"/>
      <c r="HU14" s="301"/>
      <c r="HV14" s="301"/>
      <c r="HW14" s="301"/>
      <c r="HX14" s="301"/>
      <c r="HY14" s="301"/>
      <c r="HZ14" s="301"/>
      <c r="IA14" s="301"/>
      <c r="IB14" s="301"/>
      <c r="IC14" s="301"/>
      <c r="ID14" s="301"/>
      <c r="IE14" s="301"/>
      <c r="IF14" s="301"/>
      <c r="IG14" s="301"/>
      <c r="IH14" s="301"/>
      <c r="II14" s="301"/>
      <c r="IJ14" s="301"/>
      <c r="IK14" s="301"/>
      <c r="IL14" s="301"/>
      <c r="IM14" s="301"/>
      <c r="IN14" s="301"/>
      <c r="IO14" s="301"/>
      <c r="IP14" s="301"/>
      <c r="IQ14" s="301"/>
      <c r="IR14" s="301"/>
      <c r="IS14" s="301"/>
      <c r="IT14" s="301"/>
      <c r="IU14" s="301"/>
      <c r="IV14" s="301"/>
    </row>
    <row r="15" spans="1:256" ht="15">
      <c r="A15" s="301"/>
      <c r="B15" s="302"/>
      <c r="C15" s="1532" t="s">
        <v>811</v>
      </c>
      <c r="D15" s="1532"/>
      <c r="E15" s="1532"/>
      <c r="F15" s="1532"/>
      <c r="G15" s="1548" t="s">
        <v>812</v>
      </c>
      <c r="H15" s="1548"/>
      <c r="I15" s="1548"/>
      <c r="J15" s="311"/>
      <c r="K15" s="31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01"/>
      <c r="AW15" s="301"/>
      <c r="AX15" s="301"/>
      <c r="AY15" s="301"/>
      <c r="AZ15" s="301"/>
      <c r="BA15" s="301"/>
      <c r="BB15" s="301"/>
      <c r="BC15" s="301"/>
      <c r="BD15" s="301"/>
      <c r="BE15" s="301"/>
      <c r="BF15" s="301"/>
      <c r="BG15" s="301"/>
      <c r="BH15" s="301"/>
      <c r="BI15" s="301"/>
      <c r="BJ15" s="301"/>
      <c r="BK15" s="301"/>
      <c r="BL15" s="301"/>
      <c r="BM15" s="301"/>
      <c r="BN15" s="301"/>
      <c r="BO15" s="301"/>
      <c r="BP15" s="301"/>
      <c r="BQ15" s="301"/>
      <c r="BR15" s="301"/>
      <c r="BS15" s="301"/>
      <c r="BT15" s="301"/>
      <c r="BU15" s="301"/>
      <c r="BV15" s="301"/>
      <c r="BW15" s="301"/>
      <c r="BX15" s="301"/>
      <c r="BY15" s="301"/>
      <c r="BZ15" s="301"/>
      <c r="CA15" s="301"/>
      <c r="CB15" s="301"/>
      <c r="CC15" s="301"/>
      <c r="CD15" s="301"/>
      <c r="CE15" s="301"/>
      <c r="CF15" s="301"/>
      <c r="CG15" s="301"/>
      <c r="CH15" s="301"/>
      <c r="CI15" s="301"/>
      <c r="CJ15" s="301"/>
      <c r="CK15" s="301"/>
      <c r="CL15" s="301"/>
      <c r="CM15" s="301"/>
      <c r="CN15" s="301"/>
      <c r="CO15" s="301"/>
      <c r="CP15" s="301"/>
      <c r="CQ15" s="301"/>
      <c r="CR15" s="301"/>
      <c r="CS15" s="301"/>
      <c r="CT15" s="301"/>
      <c r="CU15" s="301"/>
      <c r="CV15" s="301"/>
      <c r="CW15" s="301"/>
      <c r="CX15" s="301"/>
      <c r="CY15" s="301"/>
      <c r="CZ15" s="301"/>
      <c r="DA15" s="301"/>
      <c r="DB15" s="301"/>
      <c r="DC15" s="301"/>
      <c r="DD15" s="301"/>
      <c r="DE15" s="301"/>
      <c r="DF15" s="301"/>
      <c r="DG15" s="301"/>
      <c r="DH15" s="301"/>
      <c r="DI15" s="301"/>
      <c r="DJ15" s="301"/>
      <c r="DK15" s="301"/>
      <c r="DL15" s="301"/>
      <c r="DM15" s="301"/>
      <c r="DN15" s="301"/>
      <c r="DO15" s="301"/>
      <c r="DP15" s="301"/>
      <c r="DQ15" s="301"/>
      <c r="DR15" s="301"/>
      <c r="DS15" s="301"/>
      <c r="DT15" s="301"/>
      <c r="DU15" s="301"/>
      <c r="DV15" s="301"/>
      <c r="DW15" s="301"/>
      <c r="DX15" s="301"/>
      <c r="DY15" s="301"/>
      <c r="DZ15" s="301"/>
      <c r="EA15" s="301"/>
      <c r="EB15" s="301"/>
      <c r="EC15" s="301"/>
      <c r="ED15" s="301"/>
      <c r="EE15" s="301"/>
      <c r="EF15" s="301"/>
      <c r="EG15" s="301"/>
      <c r="EH15" s="301"/>
      <c r="EI15" s="301"/>
      <c r="EJ15" s="301"/>
      <c r="EK15" s="301"/>
      <c r="EL15" s="301"/>
      <c r="EM15" s="301"/>
      <c r="EN15" s="301"/>
      <c r="EO15" s="301"/>
      <c r="EP15" s="301"/>
      <c r="EQ15" s="301"/>
      <c r="ER15" s="301"/>
      <c r="ES15" s="301"/>
      <c r="ET15" s="301"/>
      <c r="EU15" s="301"/>
      <c r="EV15" s="301"/>
      <c r="EW15" s="301"/>
      <c r="EX15" s="301"/>
      <c r="EY15" s="301"/>
      <c r="EZ15" s="301"/>
      <c r="FA15" s="301"/>
      <c r="FB15" s="301"/>
      <c r="FC15" s="301"/>
      <c r="FD15" s="301"/>
      <c r="FE15" s="301"/>
      <c r="FF15" s="301"/>
      <c r="FG15" s="301"/>
      <c r="FH15" s="301"/>
      <c r="FI15" s="301"/>
      <c r="FJ15" s="301"/>
      <c r="FK15" s="301"/>
      <c r="FL15" s="301"/>
      <c r="FM15" s="301"/>
      <c r="FN15" s="301"/>
      <c r="FO15" s="301"/>
      <c r="FP15" s="301"/>
      <c r="FQ15" s="301"/>
      <c r="FR15" s="301"/>
      <c r="FS15" s="301"/>
      <c r="FT15" s="301"/>
      <c r="FU15" s="301"/>
      <c r="FV15" s="301"/>
      <c r="FW15" s="301"/>
      <c r="FX15" s="301"/>
      <c r="FY15" s="301"/>
      <c r="FZ15" s="301"/>
      <c r="GA15" s="301"/>
      <c r="GB15" s="301"/>
      <c r="GC15" s="301"/>
      <c r="GD15" s="301"/>
      <c r="GE15" s="301"/>
      <c r="GF15" s="301"/>
      <c r="GG15" s="301"/>
      <c r="GH15" s="301"/>
      <c r="GI15" s="301"/>
      <c r="GJ15" s="301"/>
      <c r="GK15" s="301"/>
      <c r="GL15" s="301"/>
      <c r="GM15" s="301"/>
      <c r="GN15" s="301"/>
      <c r="GO15" s="301"/>
      <c r="GP15" s="301"/>
      <c r="GQ15" s="301"/>
      <c r="GR15" s="301"/>
      <c r="GS15" s="301"/>
      <c r="GT15" s="301"/>
      <c r="GU15" s="301"/>
      <c r="GV15" s="301"/>
      <c r="GW15" s="301"/>
      <c r="GX15" s="301"/>
      <c r="GY15" s="301"/>
      <c r="GZ15" s="301"/>
      <c r="HA15" s="301"/>
      <c r="HB15" s="301"/>
      <c r="HC15" s="301"/>
      <c r="HD15" s="301"/>
      <c r="HE15" s="301"/>
      <c r="HF15" s="301"/>
      <c r="HG15" s="301"/>
      <c r="HH15" s="301"/>
      <c r="HI15" s="301"/>
      <c r="HJ15" s="301"/>
      <c r="HK15" s="301"/>
      <c r="HL15" s="301"/>
      <c r="HM15" s="301"/>
      <c r="HN15" s="301"/>
      <c r="HO15" s="301"/>
      <c r="HP15" s="301"/>
      <c r="HQ15" s="301"/>
      <c r="HR15" s="301"/>
      <c r="HS15" s="301"/>
      <c r="HT15" s="301"/>
      <c r="HU15" s="301"/>
      <c r="HV15" s="301"/>
      <c r="HW15" s="301"/>
      <c r="HX15" s="301"/>
      <c r="HY15" s="301"/>
      <c r="HZ15" s="301"/>
      <c r="IA15" s="301"/>
      <c r="IB15" s="301"/>
      <c r="IC15" s="301"/>
      <c r="ID15" s="301"/>
      <c r="IE15" s="301"/>
      <c r="IF15" s="301"/>
      <c r="IG15" s="301"/>
      <c r="IH15" s="301"/>
      <c r="II15" s="301"/>
      <c r="IJ15" s="301"/>
      <c r="IK15" s="301"/>
      <c r="IL15" s="301"/>
      <c r="IM15" s="301"/>
      <c r="IN15" s="301"/>
      <c r="IO15" s="301"/>
      <c r="IP15" s="301"/>
      <c r="IQ15" s="301"/>
      <c r="IR15" s="301"/>
      <c r="IS15" s="301"/>
      <c r="IT15" s="301"/>
      <c r="IU15" s="301"/>
      <c r="IV15" s="301"/>
    </row>
    <row r="16" spans="1:256" ht="15">
      <c r="A16" s="301"/>
      <c r="B16" s="302"/>
      <c r="C16" s="312" t="s">
        <v>813</v>
      </c>
      <c r="D16" s="313" t="s">
        <v>690</v>
      </c>
      <c r="E16" s="310"/>
      <c r="F16" s="310"/>
      <c r="G16" s="310"/>
      <c r="H16" s="310"/>
      <c r="I16" s="311"/>
      <c r="J16" s="311"/>
      <c r="K16" s="31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301"/>
      <c r="AW16" s="301"/>
      <c r="AX16" s="301"/>
      <c r="AY16" s="301"/>
      <c r="AZ16" s="301"/>
      <c r="BA16" s="301"/>
      <c r="BB16" s="301"/>
      <c r="BC16" s="301"/>
      <c r="BD16" s="301"/>
      <c r="BE16" s="301"/>
      <c r="BF16" s="301"/>
      <c r="BG16" s="301"/>
      <c r="BH16" s="301"/>
      <c r="BI16" s="301"/>
      <c r="BJ16" s="301"/>
      <c r="BK16" s="301"/>
      <c r="BL16" s="301"/>
      <c r="BM16" s="301"/>
      <c r="BN16" s="301"/>
      <c r="BO16" s="301"/>
      <c r="BP16" s="301"/>
      <c r="BQ16" s="301"/>
      <c r="BR16" s="301"/>
      <c r="BS16" s="301"/>
      <c r="BT16" s="301"/>
      <c r="BU16" s="301"/>
      <c r="BV16" s="301"/>
      <c r="BW16" s="301"/>
      <c r="BX16" s="301"/>
      <c r="BY16" s="301"/>
      <c r="BZ16" s="301"/>
      <c r="CA16" s="301"/>
      <c r="CB16" s="301"/>
      <c r="CC16" s="301"/>
      <c r="CD16" s="301"/>
      <c r="CE16" s="301"/>
      <c r="CF16" s="301"/>
      <c r="CG16" s="301"/>
      <c r="CH16" s="301"/>
      <c r="CI16" s="301"/>
      <c r="CJ16" s="301"/>
      <c r="CK16" s="301"/>
      <c r="CL16" s="301"/>
      <c r="CM16" s="301"/>
      <c r="CN16" s="301"/>
      <c r="CO16" s="301"/>
      <c r="CP16" s="301"/>
      <c r="CQ16" s="301"/>
      <c r="CR16" s="301"/>
      <c r="CS16" s="301"/>
      <c r="CT16" s="301"/>
      <c r="CU16" s="301"/>
      <c r="CV16" s="301"/>
      <c r="CW16" s="301"/>
      <c r="CX16" s="301"/>
      <c r="CY16" s="301"/>
      <c r="CZ16" s="301"/>
      <c r="DA16" s="301"/>
      <c r="DB16" s="301"/>
      <c r="DC16" s="301"/>
      <c r="DD16" s="301"/>
      <c r="DE16" s="301"/>
      <c r="DF16" s="301"/>
      <c r="DG16" s="301"/>
      <c r="DH16" s="301"/>
      <c r="DI16" s="301"/>
      <c r="DJ16" s="301"/>
      <c r="DK16" s="301"/>
      <c r="DL16" s="301"/>
      <c r="DM16" s="301"/>
      <c r="DN16" s="301"/>
      <c r="DO16" s="301"/>
      <c r="DP16" s="301"/>
      <c r="DQ16" s="301"/>
      <c r="DR16" s="301"/>
      <c r="DS16" s="301"/>
      <c r="DT16" s="301"/>
      <c r="DU16" s="301"/>
      <c r="DV16" s="301"/>
      <c r="DW16" s="301"/>
      <c r="DX16" s="301"/>
      <c r="DY16" s="301"/>
      <c r="DZ16" s="301"/>
      <c r="EA16" s="301"/>
      <c r="EB16" s="301"/>
      <c r="EC16" s="301"/>
      <c r="ED16" s="301"/>
      <c r="EE16" s="301"/>
      <c r="EF16" s="301"/>
      <c r="EG16" s="301"/>
      <c r="EH16" s="301"/>
      <c r="EI16" s="301"/>
      <c r="EJ16" s="301"/>
      <c r="EK16" s="301"/>
      <c r="EL16" s="301"/>
      <c r="EM16" s="301"/>
      <c r="EN16" s="301"/>
      <c r="EO16" s="301"/>
      <c r="EP16" s="301"/>
      <c r="EQ16" s="301"/>
      <c r="ER16" s="301"/>
      <c r="ES16" s="301"/>
      <c r="ET16" s="301"/>
      <c r="EU16" s="301"/>
      <c r="EV16" s="301"/>
      <c r="EW16" s="301"/>
      <c r="EX16" s="301"/>
      <c r="EY16" s="301"/>
      <c r="EZ16" s="301"/>
      <c r="FA16" s="301"/>
      <c r="FB16" s="301"/>
      <c r="FC16" s="301"/>
      <c r="FD16" s="301"/>
      <c r="FE16" s="301"/>
      <c r="FF16" s="301"/>
      <c r="FG16" s="301"/>
      <c r="FH16" s="301"/>
      <c r="FI16" s="301"/>
      <c r="FJ16" s="301"/>
      <c r="FK16" s="301"/>
      <c r="FL16" s="301"/>
      <c r="FM16" s="301"/>
      <c r="FN16" s="301"/>
      <c r="FO16" s="301"/>
      <c r="FP16" s="301"/>
      <c r="FQ16" s="301"/>
      <c r="FR16" s="301"/>
      <c r="FS16" s="301"/>
      <c r="FT16" s="301"/>
      <c r="FU16" s="301"/>
      <c r="FV16" s="301"/>
      <c r="FW16" s="301"/>
      <c r="FX16" s="301"/>
      <c r="FY16" s="301"/>
      <c r="FZ16" s="301"/>
      <c r="GA16" s="301"/>
      <c r="GB16" s="301"/>
      <c r="GC16" s="301"/>
      <c r="GD16" s="301"/>
      <c r="GE16" s="301"/>
      <c r="GF16" s="301"/>
      <c r="GG16" s="301"/>
      <c r="GH16" s="301"/>
      <c r="GI16" s="301"/>
      <c r="GJ16" s="301"/>
      <c r="GK16" s="301"/>
      <c r="GL16" s="301"/>
      <c r="GM16" s="301"/>
      <c r="GN16" s="301"/>
      <c r="GO16" s="301"/>
      <c r="GP16" s="301"/>
      <c r="GQ16" s="301"/>
      <c r="GR16" s="301"/>
      <c r="GS16" s="301"/>
      <c r="GT16" s="301"/>
      <c r="GU16" s="301"/>
      <c r="GV16" s="301"/>
      <c r="GW16" s="301"/>
      <c r="GX16" s="301"/>
      <c r="GY16" s="301"/>
      <c r="GZ16" s="301"/>
      <c r="HA16" s="301"/>
      <c r="HB16" s="301"/>
      <c r="HC16" s="301"/>
      <c r="HD16" s="301"/>
      <c r="HE16" s="301"/>
      <c r="HF16" s="301"/>
      <c r="HG16" s="301"/>
      <c r="HH16" s="301"/>
      <c r="HI16" s="301"/>
      <c r="HJ16" s="301"/>
      <c r="HK16" s="301"/>
      <c r="HL16" s="301"/>
      <c r="HM16" s="301"/>
      <c r="HN16" s="301"/>
      <c r="HO16" s="301"/>
      <c r="HP16" s="301"/>
      <c r="HQ16" s="301"/>
      <c r="HR16" s="301"/>
      <c r="HS16" s="301"/>
      <c r="HT16" s="301"/>
      <c r="HU16" s="301"/>
      <c r="HV16" s="301"/>
      <c r="HW16" s="301"/>
      <c r="HX16" s="301"/>
      <c r="HY16" s="301"/>
      <c r="HZ16" s="301"/>
      <c r="IA16" s="301"/>
      <c r="IB16" s="301"/>
      <c r="IC16" s="301"/>
      <c r="ID16" s="301"/>
      <c r="IE16" s="301"/>
      <c r="IF16" s="301"/>
      <c r="IG16" s="301"/>
      <c r="IH16" s="301"/>
      <c r="II16" s="301"/>
      <c r="IJ16" s="301"/>
      <c r="IK16" s="301"/>
      <c r="IL16" s="301"/>
      <c r="IM16" s="301"/>
      <c r="IN16" s="301"/>
      <c r="IO16" s="301"/>
      <c r="IP16" s="301"/>
      <c r="IQ16" s="301"/>
      <c r="IR16" s="301"/>
      <c r="IS16" s="301"/>
      <c r="IT16" s="301"/>
      <c r="IU16" s="301"/>
      <c r="IV16" s="301"/>
    </row>
    <row r="17" spans="1:256" ht="15">
      <c r="A17" s="301"/>
      <c r="B17" s="302"/>
      <c r="C17" s="314">
        <v>0.02</v>
      </c>
      <c r="D17" s="315" t="s">
        <v>594</v>
      </c>
      <c r="E17" s="316" t="s">
        <v>814</v>
      </c>
      <c r="F17" s="304"/>
      <c r="G17" s="316"/>
      <c r="H17" s="317"/>
      <c r="I17" s="318">
        <f>'C-data'!F17</f>
        <v>515</v>
      </c>
      <c r="J17" s="319" t="s">
        <v>594</v>
      </c>
      <c r="K17" s="320">
        <f>ROUND(C17*I17,2)</f>
        <v>10.3</v>
      </c>
      <c r="L17" s="301"/>
      <c r="M17" s="301"/>
      <c r="N17" s="301"/>
      <c r="O17" s="301"/>
      <c r="P17" s="301"/>
      <c r="Q17" s="301"/>
      <c r="R17" s="301"/>
      <c r="S17" s="301"/>
      <c r="T17" s="301"/>
      <c r="U17" s="301"/>
      <c r="V17" s="301"/>
      <c r="W17" s="301"/>
      <c r="X17" s="301"/>
      <c r="Y17" s="301"/>
      <c r="Z17" s="301"/>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301"/>
      <c r="AW17" s="301"/>
      <c r="AX17" s="301"/>
      <c r="AY17" s="301"/>
      <c r="AZ17" s="301"/>
      <c r="BA17" s="301"/>
      <c r="BB17" s="301"/>
      <c r="BC17" s="301"/>
      <c r="BD17" s="301"/>
      <c r="BE17" s="301"/>
      <c r="BF17" s="301"/>
      <c r="BG17" s="301"/>
      <c r="BH17" s="301"/>
      <c r="BI17" s="301"/>
      <c r="BJ17" s="301"/>
      <c r="BK17" s="301"/>
      <c r="BL17" s="301"/>
      <c r="BM17" s="301"/>
      <c r="BN17" s="301"/>
      <c r="BO17" s="301"/>
      <c r="BP17" s="301"/>
      <c r="BQ17" s="301"/>
      <c r="BR17" s="301"/>
      <c r="BS17" s="301"/>
      <c r="BT17" s="301"/>
      <c r="BU17" s="301"/>
      <c r="BV17" s="301"/>
      <c r="BW17" s="301"/>
      <c r="BX17" s="301"/>
      <c r="BY17" s="301"/>
      <c r="BZ17" s="301"/>
      <c r="CA17" s="301"/>
      <c r="CB17" s="301"/>
      <c r="CC17" s="301"/>
      <c r="CD17" s="301"/>
      <c r="CE17" s="301"/>
      <c r="CF17" s="301"/>
      <c r="CG17" s="301"/>
      <c r="CH17" s="301"/>
      <c r="CI17" s="301"/>
      <c r="CJ17" s="301"/>
      <c r="CK17" s="301"/>
      <c r="CL17" s="301"/>
      <c r="CM17" s="301"/>
      <c r="CN17" s="301"/>
      <c r="CO17" s="301"/>
      <c r="CP17" s="301"/>
      <c r="CQ17" s="301"/>
      <c r="CR17" s="301"/>
      <c r="CS17" s="301"/>
      <c r="CT17" s="301"/>
      <c r="CU17" s="301"/>
      <c r="CV17" s="301"/>
      <c r="CW17" s="301"/>
      <c r="CX17" s="301"/>
      <c r="CY17" s="301"/>
      <c r="CZ17" s="301"/>
      <c r="DA17" s="301"/>
      <c r="DB17" s="301"/>
      <c r="DC17" s="301"/>
      <c r="DD17" s="301"/>
      <c r="DE17" s="301"/>
      <c r="DF17" s="301"/>
      <c r="DG17" s="301"/>
      <c r="DH17" s="301"/>
      <c r="DI17" s="301"/>
      <c r="DJ17" s="301"/>
      <c r="DK17" s="301"/>
      <c r="DL17" s="301"/>
      <c r="DM17" s="301"/>
      <c r="DN17" s="301"/>
      <c r="DO17" s="301"/>
      <c r="DP17" s="301"/>
      <c r="DQ17" s="301"/>
      <c r="DR17" s="301"/>
      <c r="DS17" s="301"/>
      <c r="DT17" s="301"/>
      <c r="DU17" s="301"/>
      <c r="DV17" s="301"/>
      <c r="DW17" s="301"/>
      <c r="DX17" s="301"/>
      <c r="DY17" s="301"/>
      <c r="DZ17" s="301"/>
      <c r="EA17" s="301"/>
      <c r="EB17" s="301"/>
      <c r="EC17" s="301"/>
      <c r="ED17" s="301"/>
      <c r="EE17" s="301"/>
      <c r="EF17" s="301"/>
      <c r="EG17" s="301"/>
      <c r="EH17" s="301"/>
      <c r="EI17" s="301"/>
      <c r="EJ17" s="301"/>
      <c r="EK17" s="301"/>
      <c r="EL17" s="301"/>
      <c r="EM17" s="301"/>
      <c r="EN17" s="301"/>
      <c r="EO17" s="301"/>
      <c r="EP17" s="301"/>
      <c r="EQ17" s="301"/>
      <c r="ER17" s="301"/>
      <c r="ES17" s="301"/>
      <c r="ET17" s="301"/>
      <c r="EU17" s="301"/>
      <c r="EV17" s="301"/>
      <c r="EW17" s="301"/>
      <c r="EX17" s="301"/>
      <c r="EY17" s="301"/>
      <c r="EZ17" s="301"/>
      <c r="FA17" s="301"/>
      <c r="FB17" s="301"/>
      <c r="FC17" s="301"/>
      <c r="FD17" s="301"/>
      <c r="FE17" s="301"/>
      <c r="FF17" s="301"/>
      <c r="FG17" s="301"/>
      <c r="FH17" s="301"/>
      <c r="FI17" s="301"/>
      <c r="FJ17" s="301"/>
      <c r="FK17" s="301"/>
      <c r="FL17" s="301"/>
      <c r="FM17" s="301"/>
      <c r="FN17" s="301"/>
      <c r="FO17" s="301"/>
      <c r="FP17" s="301"/>
      <c r="FQ17" s="301"/>
      <c r="FR17" s="301"/>
      <c r="FS17" s="301"/>
      <c r="FT17" s="301"/>
      <c r="FU17" s="301"/>
      <c r="FV17" s="301"/>
      <c r="FW17" s="301"/>
      <c r="FX17" s="301"/>
      <c r="FY17" s="301"/>
      <c r="FZ17" s="301"/>
      <c r="GA17" s="301"/>
      <c r="GB17" s="301"/>
      <c r="GC17" s="301"/>
      <c r="GD17" s="301"/>
      <c r="GE17" s="301"/>
      <c r="GF17" s="301"/>
      <c r="GG17" s="301"/>
      <c r="GH17" s="301"/>
      <c r="GI17" s="301"/>
      <c r="GJ17" s="301"/>
      <c r="GK17" s="301"/>
      <c r="GL17" s="301"/>
      <c r="GM17" s="301"/>
      <c r="GN17" s="301"/>
      <c r="GO17" s="301"/>
      <c r="GP17" s="301"/>
      <c r="GQ17" s="301"/>
      <c r="GR17" s="301"/>
      <c r="GS17" s="301"/>
      <c r="GT17" s="301"/>
      <c r="GU17" s="301"/>
      <c r="GV17" s="301"/>
      <c r="GW17" s="301"/>
      <c r="GX17" s="301"/>
      <c r="GY17" s="301"/>
      <c r="GZ17" s="301"/>
      <c r="HA17" s="301"/>
      <c r="HB17" s="301"/>
      <c r="HC17" s="301"/>
      <c r="HD17" s="301"/>
      <c r="HE17" s="301"/>
      <c r="HF17" s="301"/>
      <c r="HG17" s="301"/>
      <c r="HH17" s="301"/>
      <c r="HI17" s="301"/>
      <c r="HJ17" s="301"/>
      <c r="HK17" s="301"/>
      <c r="HL17" s="301"/>
      <c r="HM17" s="301"/>
      <c r="HN17" s="301"/>
      <c r="HO17" s="301"/>
      <c r="HP17" s="301"/>
      <c r="HQ17" s="301"/>
      <c r="HR17" s="301"/>
      <c r="HS17" s="301"/>
      <c r="HT17" s="301"/>
      <c r="HU17" s="301"/>
      <c r="HV17" s="301"/>
      <c r="HW17" s="301"/>
      <c r="HX17" s="301"/>
      <c r="HY17" s="301"/>
      <c r="HZ17" s="301"/>
      <c r="IA17" s="301"/>
      <c r="IB17" s="301"/>
      <c r="IC17" s="301"/>
      <c r="ID17" s="301"/>
      <c r="IE17" s="301"/>
      <c r="IF17" s="301"/>
      <c r="IG17" s="301"/>
      <c r="IH17" s="301"/>
      <c r="II17" s="301"/>
      <c r="IJ17" s="301"/>
      <c r="IK17" s="301"/>
      <c r="IL17" s="301"/>
      <c r="IM17" s="301"/>
      <c r="IN17" s="301"/>
      <c r="IO17" s="301"/>
      <c r="IP17" s="301"/>
      <c r="IQ17" s="301"/>
      <c r="IR17" s="301"/>
      <c r="IS17" s="301"/>
      <c r="IT17" s="301"/>
      <c r="IU17" s="301"/>
      <c r="IV17" s="301"/>
    </row>
    <row r="18" spans="1:256" ht="15">
      <c r="A18" s="301"/>
      <c r="B18" s="302"/>
      <c r="C18" s="321">
        <v>0.5</v>
      </c>
      <c r="D18" s="307" t="s">
        <v>594</v>
      </c>
      <c r="E18" s="316" t="s">
        <v>815</v>
      </c>
      <c r="F18" s="304"/>
      <c r="G18" s="316"/>
      <c r="H18" s="317"/>
      <c r="I18" s="318">
        <f>I17</f>
        <v>515</v>
      </c>
      <c r="J18" s="319" t="s">
        <v>594</v>
      </c>
      <c r="K18" s="320">
        <f>ROUND(C18*I18,2)</f>
        <v>257.5</v>
      </c>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301"/>
      <c r="AW18" s="301"/>
      <c r="AX18" s="301"/>
      <c r="AY18" s="301"/>
      <c r="AZ18" s="301"/>
      <c r="BA18" s="301"/>
      <c r="BB18" s="301"/>
      <c r="BC18" s="301"/>
      <c r="BD18" s="301"/>
      <c r="BE18" s="301"/>
      <c r="BF18" s="301"/>
      <c r="BG18" s="301"/>
      <c r="BH18" s="301"/>
      <c r="BI18" s="301"/>
      <c r="BJ18" s="301"/>
      <c r="BK18" s="301"/>
      <c r="BL18" s="301"/>
      <c r="BM18" s="301"/>
      <c r="BN18" s="301"/>
      <c r="BO18" s="301"/>
      <c r="BP18" s="301"/>
      <c r="BQ18" s="301"/>
      <c r="BR18" s="301"/>
      <c r="BS18" s="301"/>
      <c r="BT18" s="301"/>
      <c r="BU18" s="301"/>
      <c r="BV18" s="301"/>
      <c r="BW18" s="301"/>
      <c r="BX18" s="301"/>
      <c r="BY18" s="301"/>
      <c r="BZ18" s="301"/>
      <c r="CA18" s="301"/>
      <c r="CB18" s="301"/>
      <c r="CC18" s="301"/>
      <c r="CD18" s="301"/>
      <c r="CE18" s="301"/>
      <c r="CF18" s="301"/>
      <c r="CG18" s="301"/>
      <c r="CH18" s="301"/>
      <c r="CI18" s="301"/>
      <c r="CJ18" s="301"/>
      <c r="CK18" s="301"/>
      <c r="CL18" s="301"/>
      <c r="CM18" s="301"/>
      <c r="CN18" s="301"/>
      <c r="CO18" s="301"/>
      <c r="CP18" s="301"/>
      <c r="CQ18" s="301"/>
      <c r="CR18" s="301"/>
      <c r="CS18" s="301"/>
      <c r="CT18" s="301"/>
      <c r="CU18" s="301"/>
      <c r="CV18" s="301"/>
      <c r="CW18" s="301"/>
      <c r="CX18" s="301"/>
      <c r="CY18" s="301"/>
      <c r="CZ18" s="301"/>
      <c r="DA18" s="301"/>
      <c r="DB18" s="301"/>
      <c r="DC18" s="301"/>
      <c r="DD18" s="301"/>
      <c r="DE18" s="301"/>
      <c r="DF18" s="301"/>
      <c r="DG18" s="301"/>
      <c r="DH18" s="301"/>
      <c r="DI18" s="301"/>
      <c r="DJ18" s="301"/>
      <c r="DK18" s="301"/>
      <c r="DL18" s="301"/>
      <c r="DM18" s="301"/>
      <c r="DN18" s="301"/>
      <c r="DO18" s="301"/>
      <c r="DP18" s="301"/>
      <c r="DQ18" s="301"/>
      <c r="DR18" s="301"/>
      <c r="DS18" s="301"/>
      <c r="DT18" s="301"/>
      <c r="DU18" s="301"/>
      <c r="DV18" s="301"/>
      <c r="DW18" s="301"/>
      <c r="DX18" s="301"/>
      <c r="DY18" s="301"/>
      <c r="DZ18" s="301"/>
      <c r="EA18" s="301"/>
      <c r="EB18" s="301"/>
      <c r="EC18" s="301"/>
      <c r="ED18" s="301"/>
      <c r="EE18" s="301"/>
      <c r="EF18" s="301"/>
      <c r="EG18" s="301"/>
      <c r="EH18" s="301"/>
      <c r="EI18" s="301"/>
      <c r="EJ18" s="301"/>
      <c r="EK18" s="301"/>
      <c r="EL18" s="301"/>
      <c r="EM18" s="301"/>
      <c r="EN18" s="301"/>
      <c r="EO18" s="301"/>
      <c r="EP18" s="301"/>
      <c r="EQ18" s="301"/>
      <c r="ER18" s="301"/>
      <c r="ES18" s="301"/>
      <c r="ET18" s="301"/>
      <c r="EU18" s="301"/>
      <c r="EV18" s="301"/>
      <c r="EW18" s="301"/>
      <c r="EX18" s="301"/>
      <c r="EY18" s="301"/>
      <c r="EZ18" s="301"/>
      <c r="FA18" s="301"/>
      <c r="FB18" s="301"/>
      <c r="FC18" s="301"/>
      <c r="FD18" s="301"/>
      <c r="FE18" s="301"/>
      <c r="FF18" s="301"/>
      <c r="FG18" s="301"/>
      <c r="FH18" s="301"/>
      <c r="FI18" s="301"/>
      <c r="FJ18" s="301"/>
      <c r="FK18" s="301"/>
      <c r="FL18" s="301"/>
      <c r="FM18" s="301"/>
      <c r="FN18" s="301"/>
      <c r="FO18" s="301"/>
      <c r="FP18" s="301"/>
      <c r="FQ18" s="301"/>
      <c r="FR18" s="301"/>
      <c r="FS18" s="301"/>
      <c r="FT18" s="301"/>
      <c r="FU18" s="301"/>
      <c r="FV18" s="301"/>
      <c r="FW18" s="301"/>
      <c r="FX18" s="301"/>
      <c r="FY18" s="301"/>
      <c r="FZ18" s="301"/>
      <c r="GA18" s="301"/>
      <c r="GB18" s="301"/>
      <c r="GC18" s="301"/>
      <c r="GD18" s="301"/>
      <c r="GE18" s="301"/>
      <c r="GF18" s="301"/>
      <c r="GG18" s="301"/>
      <c r="GH18" s="301"/>
      <c r="GI18" s="301"/>
      <c r="GJ18" s="301"/>
      <c r="GK18" s="301"/>
      <c r="GL18" s="301"/>
      <c r="GM18" s="301"/>
      <c r="GN18" s="301"/>
      <c r="GO18" s="301"/>
      <c r="GP18" s="301"/>
      <c r="GQ18" s="301"/>
      <c r="GR18" s="301"/>
      <c r="GS18" s="301"/>
      <c r="GT18" s="301"/>
      <c r="GU18" s="301"/>
      <c r="GV18" s="301"/>
      <c r="GW18" s="301"/>
      <c r="GX18" s="301"/>
      <c r="GY18" s="301"/>
      <c r="GZ18" s="301"/>
      <c r="HA18" s="301"/>
      <c r="HB18" s="301"/>
      <c r="HC18" s="301"/>
      <c r="HD18" s="301"/>
      <c r="HE18" s="301"/>
      <c r="HF18" s="301"/>
      <c r="HG18" s="301"/>
      <c r="HH18" s="301"/>
      <c r="HI18" s="301"/>
      <c r="HJ18" s="301"/>
      <c r="HK18" s="301"/>
      <c r="HL18" s="301"/>
      <c r="HM18" s="301"/>
      <c r="HN18" s="301"/>
      <c r="HO18" s="301"/>
      <c r="HP18" s="301"/>
      <c r="HQ18" s="301"/>
      <c r="HR18" s="301"/>
      <c r="HS18" s="301"/>
      <c r="HT18" s="301"/>
      <c r="HU18" s="301"/>
      <c r="HV18" s="301"/>
      <c r="HW18" s="301"/>
      <c r="HX18" s="301"/>
      <c r="HY18" s="301"/>
      <c r="HZ18" s="301"/>
      <c r="IA18" s="301"/>
      <c r="IB18" s="301"/>
      <c r="IC18" s="301"/>
      <c r="ID18" s="301"/>
      <c r="IE18" s="301"/>
      <c r="IF18" s="301"/>
      <c r="IG18" s="301"/>
      <c r="IH18" s="301"/>
      <c r="II18" s="301"/>
      <c r="IJ18" s="301"/>
      <c r="IK18" s="301"/>
      <c r="IL18" s="301"/>
      <c r="IM18" s="301"/>
      <c r="IN18" s="301"/>
      <c r="IO18" s="301"/>
      <c r="IP18" s="301"/>
      <c r="IQ18" s="301"/>
      <c r="IR18" s="301"/>
      <c r="IS18" s="301"/>
      <c r="IT18" s="301"/>
      <c r="IU18" s="301"/>
      <c r="IV18" s="301"/>
    </row>
    <row r="19" spans="1:256" ht="15">
      <c r="A19" s="301"/>
      <c r="B19" s="302"/>
      <c r="C19" s="321"/>
      <c r="D19" s="307"/>
      <c r="E19" s="322"/>
      <c r="F19" s="316"/>
      <c r="G19" s="316"/>
      <c r="H19" s="317"/>
      <c r="I19" s="318"/>
      <c r="J19" s="319"/>
      <c r="K19" s="323">
        <f>SUM(K17:K18)</f>
        <v>267.8</v>
      </c>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301"/>
      <c r="AW19" s="301"/>
      <c r="AX19" s="301"/>
      <c r="AY19" s="301"/>
      <c r="AZ19" s="301"/>
      <c r="BA19" s="301"/>
      <c r="BB19" s="301"/>
      <c r="BC19" s="301"/>
      <c r="BD19" s="301"/>
      <c r="BE19" s="301"/>
      <c r="BF19" s="301"/>
      <c r="BG19" s="301"/>
      <c r="BH19" s="301"/>
      <c r="BI19" s="301"/>
      <c r="BJ19" s="301"/>
      <c r="BK19" s="301"/>
      <c r="BL19" s="301"/>
      <c r="BM19" s="301"/>
      <c r="BN19" s="301"/>
      <c r="BO19" s="301"/>
      <c r="BP19" s="301"/>
      <c r="BQ19" s="301"/>
      <c r="BR19" s="301"/>
      <c r="BS19" s="301"/>
      <c r="BT19" s="301"/>
      <c r="BU19" s="301"/>
      <c r="BV19" s="301"/>
      <c r="BW19" s="301"/>
      <c r="BX19" s="301"/>
      <c r="BY19" s="301"/>
      <c r="BZ19" s="301"/>
      <c r="CA19" s="301"/>
      <c r="CB19" s="301"/>
      <c r="CC19" s="301"/>
      <c r="CD19" s="301"/>
      <c r="CE19" s="301"/>
      <c r="CF19" s="301"/>
      <c r="CG19" s="301"/>
      <c r="CH19" s="301"/>
      <c r="CI19" s="301"/>
      <c r="CJ19" s="301"/>
      <c r="CK19" s="301"/>
      <c r="CL19" s="301"/>
      <c r="CM19" s="301"/>
      <c r="CN19" s="301"/>
      <c r="CO19" s="301"/>
      <c r="CP19" s="301"/>
      <c r="CQ19" s="301"/>
      <c r="CR19" s="301"/>
      <c r="CS19" s="301"/>
      <c r="CT19" s="301"/>
      <c r="CU19" s="301"/>
      <c r="CV19" s="301"/>
      <c r="CW19" s="301"/>
      <c r="CX19" s="301"/>
      <c r="CY19" s="301"/>
      <c r="CZ19" s="301"/>
      <c r="DA19" s="301"/>
      <c r="DB19" s="301"/>
      <c r="DC19" s="301"/>
      <c r="DD19" s="301"/>
      <c r="DE19" s="301"/>
      <c r="DF19" s="301"/>
      <c r="DG19" s="301"/>
      <c r="DH19" s="301"/>
      <c r="DI19" s="301"/>
      <c r="DJ19" s="301"/>
      <c r="DK19" s="301"/>
      <c r="DL19" s="301"/>
      <c r="DM19" s="301"/>
      <c r="DN19" s="301"/>
      <c r="DO19" s="301"/>
      <c r="DP19" s="301"/>
      <c r="DQ19" s="301"/>
      <c r="DR19" s="301"/>
      <c r="DS19" s="301"/>
      <c r="DT19" s="301"/>
      <c r="DU19" s="301"/>
      <c r="DV19" s="301"/>
      <c r="DW19" s="301"/>
      <c r="DX19" s="301"/>
      <c r="DY19" s="301"/>
      <c r="DZ19" s="301"/>
      <c r="EA19" s="301"/>
      <c r="EB19" s="301"/>
      <c r="EC19" s="301"/>
      <c r="ED19" s="301"/>
      <c r="EE19" s="301"/>
      <c r="EF19" s="301"/>
      <c r="EG19" s="301"/>
      <c r="EH19" s="301"/>
      <c r="EI19" s="301"/>
      <c r="EJ19" s="301"/>
      <c r="EK19" s="301"/>
      <c r="EL19" s="301"/>
      <c r="EM19" s="301"/>
      <c r="EN19" s="301"/>
      <c r="EO19" s="301"/>
      <c r="EP19" s="301"/>
      <c r="EQ19" s="301"/>
      <c r="ER19" s="301"/>
      <c r="ES19" s="301"/>
      <c r="ET19" s="301"/>
      <c r="EU19" s="301"/>
      <c r="EV19" s="301"/>
      <c r="EW19" s="301"/>
      <c r="EX19" s="301"/>
      <c r="EY19" s="301"/>
      <c r="EZ19" s="301"/>
      <c r="FA19" s="301"/>
      <c r="FB19" s="301"/>
      <c r="FC19" s="301"/>
      <c r="FD19" s="301"/>
      <c r="FE19" s="301"/>
      <c r="FF19" s="301"/>
      <c r="FG19" s="301"/>
      <c r="FH19" s="301"/>
      <c r="FI19" s="301"/>
      <c r="FJ19" s="301"/>
      <c r="FK19" s="301"/>
      <c r="FL19" s="301"/>
      <c r="FM19" s="301"/>
      <c r="FN19" s="301"/>
      <c r="FO19" s="301"/>
      <c r="FP19" s="301"/>
      <c r="FQ19" s="301"/>
      <c r="FR19" s="301"/>
      <c r="FS19" s="301"/>
      <c r="FT19" s="301"/>
      <c r="FU19" s="301"/>
      <c r="FV19" s="301"/>
      <c r="FW19" s="301"/>
      <c r="FX19" s="301"/>
      <c r="FY19" s="301"/>
      <c r="FZ19" s="301"/>
      <c r="GA19" s="301"/>
      <c r="GB19" s="301"/>
      <c r="GC19" s="301"/>
      <c r="GD19" s="301"/>
      <c r="GE19" s="301"/>
      <c r="GF19" s="301"/>
      <c r="GG19" s="301"/>
      <c r="GH19" s="301"/>
      <c r="GI19" s="301"/>
      <c r="GJ19" s="301"/>
      <c r="GK19" s="301"/>
      <c r="GL19" s="301"/>
      <c r="GM19" s="301"/>
      <c r="GN19" s="301"/>
      <c r="GO19" s="301"/>
      <c r="GP19" s="301"/>
      <c r="GQ19" s="301"/>
      <c r="GR19" s="301"/>
      <c r="GS19" s="301"/>
      <c r="GT19" s="301"/>
      <c r="GU19" s="301"/>
      <c r="GV19" s="301"/>
      <c r="GW19" s="301"/>
      <c r="GX19" s="301"/>
      <c r="GY19" s="301"/>
      <c r="GZ19" s="301"/>
      <c r="HA19" s="301"/>
      <c r="HB19" s="301"/>
      <c r="HC19" s="301"/>
      <c r="HD19" s="301"/>
      <c r="HE19" s="301"/>
      <c r="HF19" s="301"/>
      <c r="HG19" s="301"/>
      <c r="HH19" s="301"/>
      <c r="HI19" s="301"/>
      <c r="HJ19" s="301"/>
      <c r="HK19" s="301"/>
      <c r="HL19" s="301"/>
      <c r="HM19" s="301"/>
      <c r="HN19" s="301"/>
      <c r="HO19" s="301"/>
      <c r="HP19" s="301"/>
      <c r="HQ19" s="301"/>
      <c r="HR19" s="301"/>
      <c r="HS19" s="301"/>
      <c r="HT19" s="301"/>
      <c r="HU19" s="301"/>
      <c r="HV19" s="301"/>
      <c r="HW19" s="301"/>
      <c r="HX19" s="301"/>
      <c r="HY19" s="301"/>
      <c r="HZ19" s="301"/>
      <c r="IA19" s="301"/>
      <c r="IB19" s="301"/>
      <c r="IC19" s="301"/>
      <c r="ID19" s="301"/>
      <c r="IE19" s="301"/>
      <c r="IF19" s="301"/>
      <c r="IG19" s="301"/>
      <c r="IH19" s="301"/>
      <c r="II19" s="301"/>
      <c r="IJ19" s="301"/>
      <c r="IK19" s="301"/>
      <c r="IL19" s="301"/>
      <c r="IM19" s="301"/>
      <c r="IN19" s="301"/>
      <c r="IO19" s="301"/>
      <c r="IP19" s="301"/>
      <c r="IQ19" s="301"/>
      <c r="IR19" s="301"/>
      <c r="IS19" s="301"/>
      <c r="IT19" s="301"/>
      <c r="IU19" s="301"/>
      <c r="IV19" s="301"/>
    </row>
    <row r="20" spans="1:256" ht="15">
      <c r="A20" s="301"/>
      <c r="B20" s="302"/>
      <c r="C20" s="312" t="s">
        <v>816</v>
      </c>
      <c r="D20" s="313" t="s">
        <v>424</v>
      </c>
      <c r="E20" s="304"/>
      <c r="F20" s="304"/>
      <c r="G20" s="316"/>
      <c r="H20" s="317"/>
      <c r="I20" s="317"/>
      <c r="J20" s="317"/>
      <c r="K20" s="304"/>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01"/>
      <c r="AW20" s="301"/>
      <c r="AX20" s="301"/>
      <c r="AY20" s="301"/>
      <c r="AZ20" s="301"/>
      <c r="BA20" s="301"/>
      <c r="BB20" s="301"/>
      <c r="BC20" s="301"/>
      <c r="BD20" s="301"/>
      <c r="BE20" s="301"/>
      <c r="BF20" s="301"/>
      <c r="BG20" s="301"/>
      <c r="BH20" s="301"/>
      <c r="BI20" s="301"/>
      <c r="BJ20" s="301"/>
      <c r="BK20" s="301"/>
      <c r="BL20" s="301"/>
      <c r="BM20" s="301"/>
      <c r="BN20" s="301"/>
      <c r="BO20" s="301"/>
      <c r="BP20" s="301"/>
      <c r="BQ20" s="301"/>
      <c r="BR20" s="301"/>
      <c r="BS20" s="301"/>
      <c r="BT20" s="301"/>
      <c r="BU20" s="301"/>
      <c r="BV20" s="301"/>
      <c r="BW20" s="301"/>
      <c r="BX20" s="301"/>
      <c r="BY20" s="301"/>
      <c r="BZ20" s="301"/>
      <c r="CA20" s="301"/>
      <c r="CB20" s="301"/>
      <c r="CC20" s="301"/>
      <c r="CD20" s="301"/>
      <c r="CE20" s="301"/>
      <c r="CF20" s="301"/>
      <c r="CG20" s="301"/>
      <c r="CH20" s="301"/>
      <c r="CI20" s="301"/>
      <c r="CJ20" s="301"/>
      <c r="CK20" s="301"/>
      <c r="CL20" s="301"/>
      <c r="CM20" s="301"/>
      <c r="CN20" s="301"/>
      <c r="CO20" s="301"/>
      <c r="CP20" s="301"/>
      <c r="CQ20" s="301"/>
      <c r="CR20" s="301"/>
      <c r="CS20" s="301"/>
      <c r="CT20" s="301"/>
      <c r="CU20" s="301"/>
      <c r="CV20" s="301"/>
      <c r="CW20" s="301"/>
      <c r="CX20" s="301"/>
      <c r="CY20" s="301"/>
      <c r="CZ20" s="301"/>
      <c r="DA20" s="301"/>
      <c r="DB20" s="301"/>
      <c r="DC20" s="301"/>
      <c r="DD20" s="301"/>
      <c r="DE20" s="301"/>
      <c r="DF20" s="301"/>
      <c r="DG20" s="301"/>
      <c r="DH20" s="301"/>
      <c r="DI20" s="301"/>
      <c r="DJ20" s="301"/>
      <c r="DK20" s="301"/>
      <c r="DL20" s="301"/>
      <c r="DM20" s="301"/>
      <c r="DN20" s="301"/>
      <c r="DO20" s="301"/>
      <c r="DP20" s="301"/>
      <c r="DQ20" s="301"/>
      <c r="DR20" s="301"/>
      <c r="DS20" s="301"/>
      <c r="DT20" s="301"/>
      <c r="DU20" s="301"/>
      <c r="DV20" s="301"/>
      <c r="DW20" s="301"/>
      <c r="DX20" s="301"/>
      <c r="DY20" s="301"/>
      <c r="DZ20" s="301"/>
      <c r="EA20" s="301"/>
      <c r="EB20" s="301"/>
      <c r="EC20" s="301"/>
      <c r="ED20" s="301"/>
      <c r="EE20" s="301"/>
      <c r="EF20" s="301"/>
      <c r="EG20" s="301"/>
      <c r="EH20" s="301"/>
      <c r="EI20" s="301"/>
      <c r="EJ20" s="301"/>
      <c r="EK20" s="301"/>
      <c r="EL20" s="301"/>
      <c r="EM20" s="301"/>
      <c r="EN20" s="301"/>
      <c r="EO20" s="301"/>
      <c r="EP20" s="301"/>
      <c r="EQ20" s="301"/>
      <c r="ER20" s="301"/>
      <c r="ES20" s="301"/>
      <c r="ET20" s="301"/>
      <c r="EU20" s="301"/>
      <c r="EV20" s="301"/>
      <c r="EW20" s="301"/>
      <c r="EX20" s="301"/>
      <c r="EY20" s="301"/>
      <c r="EZ20" s="301"/>
      <c r="FA20" s="301"/>
      <c r="FB20" s="301"/>
      <c r="FC20" s="301"/>
      <c r="FD20" s="301"/>
      <c r="FE20" s="301"/>
      <c r="FF20" s="301"/>
      <c r="FG20" s="301"/>
      <c r="FH20" s="301"/>
      <c r="FI20" s="301"/>
      <c r="FJ20" s="301"/>
      <c r="FK20" s="301"/>
      <c r="FL20" s="301"/>
      <c r="FM20" s="301"/>
      <c r="FN20" s="301"/>
      <c r="FO20" s="301"/>
      <c r="FP20" s="301"/>
      <c r="FQ20" s="301"/>
      <c r="FR20" s="301"/>
      <c r="FS20" s="301"/>
      <c r="FT20" s="301"/>
      <c r="FU20" s="301"/>
      <c r="FV20" s="301"/>
      <c r="FW20" s="301"/>
      <c r="FX20" s="301"/>
      <c r="FY20" s="301"/>
      <c r="FZ20" s="301"/>
      <c r="GA20" s="301"/>
      <c r="GB20" s="301"/>
      <c r="GC20" s="301"/>
      <c r="GD20" s="301"/>
      <c r="GE20" s="301"/>
      <c r="GF20" s="301"/>
      <c r="GG20" s="301"/>
      <c r="GH20" s="301"/>
      <c r="GI20" s="301"/>
      <c r="GJ20" s="301"/>
      <c r="GK20" s="301"/>
      <c r="GL20" s="301"/>
      <c r="GM20" s="301"/>
      <c r="GN20" s="301"/>
      <c r="GO20" s="301"/>
      <c r="GP20" s="301"/>
      <c r="GQ20" s="301"/>
      <c r="GR20" s="301"/>
      <c r="GS20" s="301"/>
      <c r="GT20" s="301"/>
      <c r="GU20" s="301"/>
      <c r="GV20" s="301"/>
      <c r="GW20" s="301"/>
      <c r="GX20" s="301"/>
      <c r="GY20" s="301"/>
      <c r="GZ20" s="301"/>
      <c r="HA20" s="301"/>
      <c r="HB20" s="301"/>
      <c r="HC20" s="301"/>
      <c r="HD20" s="301"/>
      <c r="HE20" s="301"/>
      <c r="HF20" s="301"/>
      <c r="HG20" s="301"/>
      <c r="HH20" s="301"/>
      <c r="HI20" s="301"/>
      <c r="HJ20" s="301"/>
      <c r="HK20" s="301"/>
      <c r="HL20" s="301"/>
      <c r="HM20" s="301"/>
      <c r="HN20" s="301"/>
      <c r="HO20" s="301"/>
      <c r="HP20" s="301"/>
      <c r="HQ20" s="301"/>
      <c r="HR20" s="301"/>
      <c r="HS20" s="301"/>
      <c r="HT20" s="301"/>
      <c r="HU20" s="301"/>
      <c r="HV20" s="301"/>
      <c r="HW20" s="301"/>
      <c r="HX20" s="301"/>
      <c r="HY20" s="301"/>
      <c r="HZ20" s="301"/>
      <c r="IA20" s="301"/>
      <c r="IB20" s="301"/>
      <c r="IC20" s="301"/>
      <c r="ID20" s="301"/>
      <c r="IE20" s="301"/>
      <c r="IF20" s="301"/>
      <c r="IG20" s="301"/>
      <c r="IH20" s="301"/>
      <c r="II20" s="301"/>
      <c r="IJ20" s="301"/>
      <c r="IK20" s="301"/>
      <c r="IL20" s="301"/>
      <c r="IM20" s="301"/>
      <c r="IN20" s="301"/>
      <c r="IO20" s="301"/>
      <c r="IP20" s="301"/>
      <c r="IQ20" s="301"/>
      <c r="IR20" s="301"/>
      <c r="IS20" s="301"/>
      <c r="IT20" s="301"/>
      <c r="IU20" s="301"/>
      <c r="IV20" s="301"/>
    </row>
    <row r="21" spans="1:256" ht="15">
      <c r="A21" s="301"/>
      <c r="B21" s="302"/>
      <c r="C21" s="324">
        <v>100</v>
      </c>
      <c r="D21" s="325" t="s">
        <v>644</v>
      </c>
      <c r="E21" s="1533" t="s">
        <v>817</v>
      </c>
      <c r="F21" s="1533"/>
      <c r="G21" s="1533"/>
      <c r="H21" s="1533"/>
      <c r="I21" s="326">
        <v>82.22</v>
      </c>
      <c r="J21" s="326" t="s">
        <v>644</v>
      </c>
      <c r="K21" s="327">
        <f>ROUND(C21*I21,2)</f>
        <v>8222</v>
      </c>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01"/>
      <c r="AW21" s="301"/>
      <c r="AX21" s="301"/>
      <c r="AY21" s="301"/>
      <c r="AZ21" s="301"/>
      <c r="BA21" s="301"/>
      <c r="BB21" s="301"/>
      <c r="BC21" s="301"/>
      <c r="BD21" s="301"/>
      <c r="BE21" s="301"/>
      <c r="BF21" s="301"/>
      <c r="BG21" s="301"/>
      <c r="BH21" s="301"/>
      <c r="BI21" s="301"/>
      <c r="BJ21" s="301"/>
      <c r="BK21" s="301"/>
      <c r="BL21" s="301"/>
      <c r="BM21" s="301"/>
      <c r="BN21" s="301"/>
      <c r="BO21" s="301"/>
      <c r="BP21" s="301"/>
      <c r="BQ21" s="301"/>
      <c r="BR21" s="301"/>
      <c r="BS21" s="301"/>
      <c r="BT21" s="301"/>
      <c r="BU21" s="301"/>
      <c r="BV21" s="301"/>
      <c r="BW21" s="301"/>
      <c r="BX21" s="301"/>
      <c r="BY21" s="301"/>
      <c r="BZ21" s="301"/>
      <c r="CA21" s="301"/>
      <c r="CB21" s="301"/>
      <c r="CC21" s="301"/>
      <c r="CD21" s="301"/>
      <c r="CE21" s="301"/>
      <c r="CF21" s="301"/>
      <c r="CG21" s="301"/>
      <c r="CH21" s="301"/>
      <c r="CI21" s="301"/>
      <c r="CJ21" s="301"/>
      <c r="CK21" s="301"/>
      <c r="CL21" s="301"/>
      <c r="CM21" s="301"/>
      <c r="CN21" s="301"/>
      <c r="CO21" s="301"/>
      <c r="CP21" s="301"/>
      <c r="CQ21" s="301"/>
      <c r="CR21" s="301"/>
      <c r="CS21" s="301"/>
      <c r="CT21" s="301"/>
      <c r="CU21" s="301"/>
      <c r="CV21" s="301"/>
      <c r="CW21" s="301"/>
      <c r="CX21" s="301"/>
      <c r="CY21" s="301"/>
      <c r="CZ21" s="301"/>
      <c r="DA21" s="301"/>
      <c r="DB21" s="301"/>
      <c r="DC21" s="301"/>
      <c r="DD21" s="301"/>
      <c r="DE21" s="301"/>
      <c r="DF21" s="301"/>
      <c r="DG21" s="301"/>
      <c r="DH21" s="301"/>
      <c r="DI21" s="301"/>
      <c r="DJ21" s="301"/>
      <c r="DK21" s="301"/>
      <c r="DL21" s="301"/>
      <c r="DM21" s="301"/>
      <c r="DN21" s="301"/>
      <c r="DO21" s="301"/>
      <c r="DP21" s="301"/>
      <c r="DQ21" s="301"/>
      <c r="DR21" s="301"/>
      <c r="DS21" s="301"/>
      <c r="DT21" s="301"/>
      <c r="DU21" s="301"/>
      <c r="DV21" s="301"/>
      <c r="DW21" s="301"/>
      <c r="DX21" s="301"/>
      <c r="DY21" s="301"/>
      <c r="DZ21" s="301"/>
      <c r="EA21" s="301"/>
      <c r="EB21" s="301"/>
      <c r="EC21" s="301"/>
      <c r="ED21" s="301"/>
      <c r="EE21" s="301"/>
      <c r="EF21" s="301"/>
      <c r="EG21" s="301"/>
      <c r="EH21" s="301"/>
      <c r="EI21" s="301"/>
      <c r="EJ21" s="301"/>
      <c r="EK21" s="301"/>
      <c r="EL21" s="301"/>
      <c r="EM21" s="301"/>
      <c r="EN21" s="301"/>
      <c r="EO21" s="301"/>
      <c r="EP21" s="301"/>
      <c r="EQ21" s="301"/>
      <c r="ER21" s="301"/>
      <c r="ES21" s="301"/>
      <c r="ET21" s="301"/>
      <c r="EU21" s="301"/>
      <c r="EV21" s="301"/>
      <c r="EW21" s="301"/>
      <c r="EX21" s="301"/>
      <c r="EY21" s="301"/>
      <c r="EZ21" s="301"/>
      <c r="FA21" s="301"/>
      <c r="FB21" s="301"/>
      <c r="FC21" s="301"/>
      <c r="FD21" s="301"/>
      <c r="FE21" s="301"/>
      <c r="FF21" s="301"/>
      <c r="FG21" s="301"/>
      <c r="FH21" s="301"/>
      <c r="FI21" s="301"/>
      <c r="FJ21" s="301"/>
      <c r="FK21" s="301"/>
      <c r="FL21" s="301"/>
      <c r="FM21" s="301"/>
      <c r="FN21" s="301"/>
      <c r="FO21" s="301"/>
      <c r="FP21" s="301"/>
      <c r="FQ21" s="301"/>
      <c r="FR21" s="301"/>
      <c r="FS21" s="301"/>
      <c r="FT21" s="301"/>
      <c r="FU21" s="301"/>
      <c r="FV21" s="301"/>
      <c r="FW21" s="301"/>
      <c r="FX21" s="301"/>
      <c r="FY21" s="301"/>
      <c r="FZ21" s="301"/>
      <c r="GA21" s="301"/>
      <c r="GB21" s="301"/>
      <c r="GC21" s="301"/>
      <c r="GD21" s="301"/>
      <c r="GE21" s="301"/>
      <c r="GF21" s="301"/>
      <c r="GG21" s="301"/>
      <c r="GH21" s="301"/>
      <c r="GI21" s="301"/>
      <c r="GJ21" s="301"/>
      <c r="GK21" s="301"/>
      <c r="GL21" s="301"/>
      <c r="GM21" s="301"/>
      <c r="GN21" s="301"/>
      <c r="GO21" s="301"/>
      <c r="GP21" s="301"/>
      <c r="GQ21" s="301"/>
      <c r="GR21" s="301"/>
      <c r="GS21" s="301"/>
      <c r="GT21" s="301"/>
      <c r="GU21" s="301"/>
      <c r="GV21" s="301"/>
      <c r="GW21" s="301"/>
      <c r="GX21" s="301"/>
      <c r="GY21" s="301"/>
      <c r="GZ21" s="301"/>
      <c r="HA21" s="301"/>
      <c r="HB21" s="301"/>
      <c r="HC21" s="301"/>
      <c r="HD21" s="301"/>
      <c r="HE21" s="301"/>
      <c r="HF21" s="301"/>
      <c r="HG21" s="301"/>
      <c r="HH21" s="301"/>
      <c r="HI21" s="301"/>
      <c r="HJ21" s="301"/>
      <c r="HK21" s="301"/>
      <c r="HL21" s="301"/>
      <c r="HM21" s="301"/>
      <c r="HN21" s="301"/>
      <c r="HO21" s="301"/>
      <c r="HP21" s="301"/>
      <c r="HQ21" s="301"/>
      <c r="HR21" s="301"/>
      <c r="HS21" s="301"/>
      <c r="HT21" s="301"/>
      <c r="HU21" s="301"/>
      <c r="HV21" s="301"/>
      <c r="HW21" s="301"/>
      <c r="HX21" s="301"/>
      <c r="HY21" s="301"/>
      <c r="HZ21" s="301"/>
      <c r="IA21" s="301"/>
      <c r="IB21" s="301"/>
      <c r="IC21" s="301"/>
      <c r="ID21" s="301"/>
      <c r="IE21" s="301"/>
      <c r="IF21" s="301"/>
      <c r="IG21" s="301"/>
      <c r="IH21" s="301"/>
      <c r="II21" s="301"/>
      <c r="IJ21" s="301"/>
      <c r="IK21" s="301"/>
      <c r="IL21" s="301"/>
      <c r="IM21" s="301"/>
      <c r="IN21" s="301"/>
      <c r="IO21" s="301"/>
      <c r="IP21" s="301"/>
      <c r="IQ21" s="301"/>
      <c r="IR21" s="301"/>
      <c r="IS21" s="301"/>
      <c r="IT21" s="301"/>
      <c r="IU21" s="301"/>
      <c r="IV21" s="301"/>
    </row>
    <row r="22" spans="1:256" ht="15">
      <c r="A22" s="301"/>
      <c r="B22" s="302"/>
      <c r="C22" s="324">
        <v>1</v>
      </c>
      <c r="D22" s="325" t="s">
        <v>818</v>
      </c>
      <c r="E22" s="1533" t="s">
        <v>819</v>
      </c>
      <c r="F22" s="1533"/>
      <c r="G22" s="1533"/>
      <c r="H22" s="1533"/>
      <c r="I22" s="326">
        <v>3601.92</v>
      </c>
      <c r="J22" s="326" t="s">
        <v>818</v>
      </c>
      <c r="K22" s="327">
        <f>ROUND(C22*I22,2)</f>
        <v>3601.92</v>
      </c>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301"/>
      <c r="AW22" s="301"/>
      <c r="AX22" s="301"/>
      <c r="AY22" s="301"/>
      <c r="AZ22" s="301"/>
      <c r="BA22" s="301"/>
      <c r="BB22" s="301"/>
      <c r="BC22" s="301"/>
      <c r="BD22" s="301"/>
      <c r="BE22" s="301"/>
      <c r="BF22" s="301"/>
      <c r="BG22" s="301"/>
      <c r="BH22" s="301"/>
      <c r="BI22" s="301"/>
      <c r="BJ22" s="301"/>
      <c r="BK22" s="301"/>
      <c r="BL22" s="301"/>
      <c r="BM22" s="301"/>
      <c r="BN22" s="301"/>
      <c r="BO22" s="301"/>
      <c r="BP22" s="301"/>
      <c r="BQ22" s="301"/>
      <c r="BR22" s="301"/>
      <c r="BS22" s="301"/>
      <c r="BT22" s="301"/>
      <c r="BU22" s="301"/>
      <c r="BV22" s="301"/>
      <c r="BW22" s="301"/>
      <c r="BX22" s="301"/>
      <c r="BY22" s="301"/>
      <c r="BZ22" s="301"/>
      <c r="CA22" s="301"/>
      <c r="CB22" s="301"/>
      <c r="CC22" s="301"/>
      <c r="CD22" s="301"/>
      <c r="CE22" s="301"/>
      <c r="CF22" s="301"/>
      <c r="CG22" s="301"/>
      <c r="CH22" s="301"/>
      <c r="CI22" s="301"/>
      <c r="CJ22" s="301"/>
      <c r="CK22" s="301"/>
      <c r="CL22" s="301"/>
      <c r="CM22" s="301"/>
      <c r="CN22" s="301"/>
      <c r="CO22" s="301"/>
      <c r="CP22" s="301"/>
      <c r="CQ22" s="301"/>
      <c r="CR22" s="301"/>
      <c r="CS22" s="301"/>
      <c r="CT22" s="301"/>
      <c r="CU22" s="301"/>
      <c r="CV22" s="301"/>
      <c r="CW22" s="301"/>
      <c r="CX22" s="301"/>
      <c r="CY22" s="301"/>
      <c r="CZ22" s="301"/>
      <c r="DA22" s="301"/>
      <c r="DB22" s="301"/>
      <c r="DC22" s="301"/>
      <c r="DD22" s="301"/>
      <c r="DE22" s="301"/>
      <c r="DF22" s="301"/>
      <c r="DG22" s="301"/>
      <c r="DH22" s="301"/>
      <c r="DI22" s="301"/>
      <c r="DJ22" s="301"/>
      <c r="DK22" s="301"/>
      <c r="DL22" s="301"/>
      <c r="DM22" s="301"/>
      <c r="DN22" s="301"/>
      <c r="DO22" s="301"/>
      <c r="DP22" s="301"/>
      <c r="DQ22" s="301"/>
      <c r="DR22" s="301"/>
      <c r="DS22" s="301"/>
      <c r="DT22" s="301"/>
      <c r="DU22" s="301"/>
      <c r="DV22" s="301"/>
      <c r="DW22" s="301"/>
      <c r="DX22" s="301"/>
      <c r="DY22" s="301"/>
      <c r="DZ22" s="301"/>
      <c r="EA22" s="301"/>
      <c r="EB22" s="301"/>
      <c r="EC22" s="301"/>
      <c r="ED22" s="301"/>
      <c r="EE22" s="301"/>
      <c r="EF22" s="301"/>
      <c r="EG22" s="301"/>
      <c r="EH22" s="301"/>
      <c r="EI22" s="301"/>
      <c r="EJ22" s="301"/>
      <c r="EK22" s="301"/>
      <c r="EL22" s="301"/>
      <c r="EM22" s="301"/>
      <c r="EN22" s="301"/>
      <c r="EO22" s="301"/>
      <c r="EP22" s="301"/>
      <c r="EQ22" s="301"/>
      <c r="ER22" s="301"/>
      <c r="ES22" s="301"/>
      <c r="ET22" s="301"/>
      <c r="EU22" s="301"/>
      <c r="EV22" s="301"/>
      <c r="EW22" s="301"/>
      <c r="EX22" s="301"/>
      <c r="EY22" s="301"/>
      <c r="EZ22" s="301"/>
      <c r="FA22" s="301"/>
      <c r="FB22" s="301"/>
      <c r="FC22" s="301"/>
      <c r="FD22" s="301"/>
      <c r="FE22" s="301"/>
      <c r="FF22" s="301"/>
      <c r="FG22" s="301"/>
      <c r="FH22" s="301"/>
      <c r="FI22" s="301"/>
      <c r="FJ22" s="301"/>
      <c r="FK22" s="301"/>
      <c r="FL22" s="301"/>
      <c r="FM22" s="301"/>
      <c r="FN22" s="301"/>
      <c r="FO22" s="301"/>
      <c r="FP22" s="301"/>
      <c r="FQ22" s="301"/>
      <c r="FR22" s="301"/>
      <c r="FS22" s="301"/>
      <c r="FT22" s="301"/>
      <c r="FU22" s="301"/>
      <c r="FV22" s="301"/>
      <c r="FW22" s="301"/>
      <c r="FX22" s="301"/>
      <c r="FY22" s="301"/>
      <c r="FZ22" s="301"/>
      <c r="GA22" s="301"/>
      <c r="GB22" s="301"/>
      <c r="GC22" s="301"/>
      <c r="GD22" s="301"/>
      <c r="GE22" s="301"/>
      <c r="GF22" s="301"/>
      <c r="GG22" s="301"/>
      <c r="GH22" s="301"/>
      <c r="GI22" s="301"/>
      <c r="GJ22" s="301"/>
      <c r="GK22" s="301"/>
      <c r="GL22" s="301"/>
      <c r="GM22" s="301"/>
      <c r="GN22" s="301"/>
      <c r="GO22" s="301"/>
      <c r="GP22" s="301"/>
      <c r="GQ22" s="301"/>
      <c r="GR22" s="301"/>
      <c r="GS22" s="301"/>
      <c r="GT22" s="301"/>
      <c r="GU22" s="301"/>
      <c r="GV22" s="301"/>
      <c r="GW22" s="301"/>
      <c r="GX22" s="301"/>
      <c r="GY22" s="301"/>
      <c r="GZ22" s="301"/>
      <c r="HA22" s="301"/>
      <c r="HB22" s="301"/>
      <c r="HC22" s="301"/>
      <c r="HD22" s="301"/>
      <c r="HE22" s="301"/>
      <c r="HF22" s="301"/>
      <c r="HG22" s="301"/>
      <c r="HH22" s="301"/>
      <c r="HI22" s="301"/>
      <c r="HJ22" s="301"/>
      <c r="HK22" s="301"/>
      <c r="HL22" s="301"/>
      <c r="HM22" s="301"/>
      <c r="HN22" s="301"/>
      <c r="HO22" s="301"/>
      <c r="HP22" s="301"/>
      <c r="HQ22" s="301"/>
      <c r="HR22" s="301"/>
      <c r="HS22" s="301"/>
      <c r="HT22" s="301"/>
      <c r="HU22" s="301"/>
      <c r="HV22" s="301"/>
      <c r="HW22" s="301"/>
      <c r="HX22" s="301"/>
      <c r="HY22" s="301"/>
      <c r="HZ22" s="301"/>
      <c r="IA22" s="301"/>
      <c r="IB22" s="301"/>
      <c r="IC22" s="301"/>
      <c r="ID22" s="301"/>
      <c r="IE22" s="301"/>
      <c r="IF22" s="301"/>
      <c r="IG22" s="301"/>
      <c r="IH22" s="301"/>
      <c r="II22" s="301"/>
      <c r="IJ22" s="301"/>
      <c r="IK22" s="301"/>
      <c r="IL22" s="301"/>
      <c r="IM22" s="301"/>
      <c r="IN22" s="301"/>
      <c r="IO22" s="301"/>
      <c r="IP22" s="301"/>
      <c r="IQ22" s="301"/>
      <c r="IR22" s="301"/>
      <c r="IS22" s="301"/>
      <c r="IT22" s="301"/>
      <c r="IU22" s="301"/>
      <c r="IV22" s="301"/>
    </row>
    <row r="23" spans="1:256" ht="15">
      <c r="A23" s="301"/>
      <c r="B23" s="302"/>
      <c r="C23" s="321">
        <v>4</v>
      </c>
      <c r="D23" s="307" t="s">
        <v>818</v>
      </c>
      <c r="E23" s="316" t="s">
        <v>820</v>
      </c>
      <c r="F23" s="304"/>
      <c r="G23" s="316"/>
      <c r="H23" s="317"/>
      <c r="I23" s="328">
        <v>698.88</v>
      </c>
      <c r="J23" s="318" t="s">
        <v>818</v>
      </c>
      <c r="K23" s="320">
        <f>ROUND(C23*I23,2)</f>
        <v>2795.52</v>
      </c>
      <c r="L23" s="301"/>
      <c r="M23" s="301"/>
      <c r="N23" s="301"/>
      <c r="O23" s="301"/>
      <c r="P23" s="301"/>
      <c r="Q23" s="301"/>
      <c r="R23" s="301"/>
      <c r="S23" s="301"/>
      <c r="T23" s="301"/>
      <c r="U23" s="301"/>
      <c r="V23" s="301"/>
      <c r="W23" s="301"/>
      <c r="X23" s="301"/>
      <c r="Y23" s="301"/>
      <c r="Z23" s="301"/>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301"/>
      <c r="AW23" s="301"/>
      <c r="AX23" s="301"/>
      <c r="AY23" s="301"/>
      <c r="AZ23" s="301"/>
      <c r="BA23" s="301"/>
      <c r="BB23" s="301"/>
      <c r="BC23" s="301"/>
      <c r="BD23" s="301"/>
      <c r="BE23" s="301"/>
      <c r="BF23" s="301"/>
      <c r="BG23" s="301"/>
      <c r="BH23" s="301"/>
      <c r="BI23" s="301"/>
      <c r="BJ23" s="301"/>
      <c r="BK23" s="301"/>
      <c r="BL23" s="301"/>
      <c r="BM23" s="301"/>
      <c r="BN23" s="301"/>
      <c r="BO23" s="301"/>
      <c r="BP23" s="301"/>
      <c r="BQ23" s="301"/>
      <c r="BR23" s="301"/>
      <c r="BS23" s="301"/>
      <c r="BT23" s="301"/>
      <c r="BU23" s="301"/>
      <c r="BV23" s="301"/>
      <c r="BW23" s="301"/>
      <c r="BX23" s="301"/>
      <c r="BY23" s="301"/>
      <c r="BZ23" s="301"/>
      <c r="CA23" s="301"/>
      <c r="CB23" s="301"/>
      <c r="CC23" s="301"/>
      <c r="CD23" s="301"/>
      <c r="CE23" s="301"/>
      <c r="CF23" s="301"/>
      <c r="CG23" s="301"/>
      <c r="CH23" s="301"/>
      <c r="CI23" s="301"/>
      <c r="CJ23" s="301"/>
      <c r="CK23" s="301"/>
      <c r="CL23" s="301"/>
      <c r="CM23" s="301"/>
      <c r="CN23" s="301"/>
      <c r="CO23" s="301"/>
      <c r="CP23" s="301"/>
      <c r="CQ23" s="301"/>
      <c r="CR23" s="301"/>
      <c r="CS23" s="301"/>
      <c r="CT23" s="301"/>
      <c r="CU23" s="301"/>
      <c r="CV23" s="301"/>
      <c r="CW23" s="301"/>
      <c r="CX23" s="301"/>
      <c r="CY23" s="301"/>
      <c r="CZ23" s="301"/>
      <c r="DA23" s="301"/>
      <c r="DB23" s="301"/>
      <c r="DC23" s="301"/>
      <c r="DD23" s="301"/>
      <c r="DE23" s="301"/>
      <c r="DF23" s="301"/>
      <c r="DG23" s="301"/>
      <c r="DH23" s="301"/>
      <c r="DI23" s="301"/>
      <c r="DJ23" s="301"/>
      <c r="DK23" s="301"/>
      <c r="DL23" s="301"/>
      <c r="DM23" s="301"/>
      <c r="DN23" s="301"/>
      <c r="DO23" s="301"/>
      <c r="DP23" s="301"/>
      <c r="DQ23" s="301"/>
      <c r="DR23" s="301"/>
      <c r="DS23" s="301"/>
      <c r="DT23" s="301"/>
      <c r="DU23" s="301"/>
      <c r="DV23" s="301"/>
      <c r="DW23" s="301"/>
      <c r="DX23" s="301"/>
      <c r="DY23" s="301"/>
      <c r="DZ23" s="301"/>
      <c r="EA23" s="301"/>
      <c r="EB23" s="301"/>
      <c r="EC23" s="301"/>
      <c r="ED23" s="301"/>
      <c r="EE23" s="301"/>
      <c r="EF23" s="301"/>
      <c r="EG23" s="301"/>
      <c r="EH23" s="301"/>
      <c r="EI23" s="301"/>
      <c r="EJ23" s="301"/>
      <c r="EK23" s="301"/>
      <c r="EL23" s="301"/>
      <c r="EM23" s="301"/>
      <c r="EN23" s="301"/>
      <c r="EO23" s="301"/>
      <c r="EP23" s="301"/>
      <c r="EQ23" s="301"/>
      <c r="ER23" s="301"/>
      <c r="ES23" s="301"/>
      <c r="ET23" s="301"/>
      <c r="EU23" s="301"/>
      <c r="EV23" s="301"/>
      <c r="EW23" s="301"/>
      <c r="EX23" s="301"/>
      <c r="EY23" s="301"/>
      <c r="EZ23" s="301"/>
      <c r="FA23" s="301"/>
      <c r="FB23" s="301"/>
      <c r="FC23" s="301"/>
      <c r="FD23" s="301"/>
      <c r="FE23" s="301"/>
      <c r="FF23" s="301"/>
      <c r="FG23" s="301"/>
      <c r="FH23" s="301"/>
      <c r="FI23" s="301"/>
      <c r="FJ23" s="301"/>
      <c r="FK23" s="301"/>
      <c r="FL23" s="301"/>
      <c r="FM23" s="301"/>
      <c r="FN23" s="301"/>
      <c r="FO23" s="301"/>
      <c r="FP23" s="301"/>
      <c r="FQ23" s="301"/>
      <c r="FR23" s="301"/>
      <c r="FS23" s="301"/>
      <c r="FT23" s="301"/>
      <c r="FU23" s="301"/>
      <c r="FV23" s="301"/>
      <c r="FW23" s="301"/>
      <c r="FX23" s="301"/>
      <c r="FY23" s="301"/>
      <c r="FZ23" s="301"/>
      <c r="GA23" s="301"/>
      <c r="GB23" s="301"/>
      <c r="GC23" s="301"/>
      <c r="GD23" s="301"/>
      <c r="GE23" s="301"/>
      <c r="GF23" s="301"/>
      <c r="GG23" s="301"/>
      <c r="GH23" s="301"/>
      <c r="GI23" s="301"/>
      <c r="GJ23" s="301"/>
      <c r="GK23" s="301"/>
      <c r="GL23" s="301"/>
      <c r="GM23" s="301"/>
      <c r="GN23" s="301"/>
      <c r="GO23" s="301"/>
      <c r="GP23" s="301"/>
      <c r="GQ23" s="301"/>
      <c r="GR23" s="301"/>
      <c r="GS23" s="301"/>
      <c r="GT23" s="301"/>
      <c r="GU23" s="301"/>
      <c r="GV23" s="301"/>
      <c r="GW23" s="301"/>
      <c r="GX23" s="301"/>
      <c r="GY23" s="301"/>
      <c r="GZ23" s="301"/>
      <c r="HA23" s="301"/>
      <c r="HB23" s="301"/>
      <c r="HC23" s="301"/>
      <c r="HD23" s="301"/>
      <c r="HE23" s="301"/>
      <c r="HF23" s="301"/>
      <c r="HG23" s="301"/>
      <c r="HH23" s="301"/>
      <c r="HI23" s="301"/>
      <c r="HJ23" s="301"/>
      <c r="HK23" s="301"/>
      <c r="HL23" s="301"/>
      <c r="HM23" s="301"/>
      <c r="HN23" s="301"/>
      <c r="HO23" s="301"/>
      <c r="HP23" s="301"/>
      <c r="HQ23" s="301"/>
      <c r="HR23" s="301"/>
      <c r="HS23" s="301"/>
      <c r="HT23" s="301"/>
      <c r="HU23" s="301"/>
      <c r="HV23" s="301"/>
      <c r="HW23" s="301"/>
      <c r="HX23" s="301"/>
      <c r="HY23" s="301"/>
      <c r="HZ23" s="301"/>
      <c r="IA23" s="301"/>
      <c r="IB23" s="301"/>
      <c r="IC23" s="301"/>
      <c r="ID23" s="301"/>
      <c r="IE23" s="301"/>
      <c r="IF23" s="301"/>
      <c r="IG23" s="301"/>
      <c r="IH23" s="301"/>
      <c r="II23" s="301"/>
      <c r="IJ23" s="301"/>
      <c r="IK23" s="301"/>
      <c r="IL23" s="301"/>
      <c r="IM23" s="301"/>
      <c r="IN23" s="301"/>
      <c r="IO23" s="301"/>
      <c r="IP23" s="301"/>
      <c r="IQ23" s="301"/>
      <c r="IR23" s="301"/>
      <c r="IS23" s="301"/>
      <c r="IT23" s="301"/>
      <c r="IU23" s="301"/>
      <c r="IV23" s="301"/>
    </row>
    <row r="24" spans="1:256" ht="15">
      <c r="A24" s="301"/>
      <c r="B24" s="302"/>
      <c r="C24" s="321">
        <v>1</v>
      </c>
      <c r="D24" s="307" t="s">
        <v>818</v>
      </c>
      <c r="E24" s="316" t="s">
        <v>821</v>
      </c>
      <c r="F24" s="304"/>
      <c r="G24" s="316"/>
      <c r="H24" s="317"/>
      <c r="I24" s="318">
        <v>2861.8</v>
      </c>
      <c r="J24" s="318" t="s">
        <v>818</v>
      </c>
      <c r="K24" s="320">
        <f>ROUND(C24*I24,2)</f>
        <v>2861.8</v>
      </c>
      <c r="L24" s="301"/>
      <c r="M24" s="301"/>
      <c r="N24" s="301"/>
      <c r="O24" s="301"/>
      <c r="P24" s="301"/>
      <c r="Q24" s="301"/>
      <c r="R24" s="301"/>
      <c r="S24" s="301"/>
      <c r="T24" s="301"/>
      <c r="U24" s="301"/>
      <c r="V24" s="301"/>
      <c r="W24" s="301"/>
      <c r="X24" s="301"/>
      <c r="Y24" s="301"/>
      <c r="Z24" s="301"/>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301"/>
      <c r="AW24" s="301"/>
      <c r="AX24" s="301"/>
      <c r="AY24" s="301"/>
      <c r="AZ24" s="301"/>
      <c r="BA24" s="301"/>
      <c r="BB24" s="301"/>
      <c r="BC24" s="301"/>
      <c r="BD24" s="301"/>
      <c r="BE24" s="301"/>
      <c r="BF24" s="301"/>
      <c r="BG24" s="301"/>
      <c r="BH24" s="301"/>
      <c r="BI24" s="301"/>
      <c r="BJ24" s="301"/>
      <c r="BK24" s="301"/>
      <c r="BL24" s="301"/>
      <c r="BM24" s="301"/>
      <c r="BN24" s="301"/>
      <c r="BO24" s="301"/>
      <c r="BP24" s="301"/>
      <c r="BQ24" s="301"/>
      <c r="BR24" s="301"/>
      <c r="BS24" s="301"/>
      <c r="BT24" s="301"/>
      <c r="BU24" s="301"/>
      <c r="BV24" s="301"/>
      <c r="BW24" s="301"/>
      <c r="BX24" s="301"/>
      <c r="BY24" s="301"/>
      <c r="BZ24" s="301"/>
      <c r="CA24" s="301"/>
      <c r="CB24" s="301"/>
      <c r="CC24" s="301"/>
      <c r="CD24" s="301"/>
      <c r="CE24" s="301"/>
      <c r="CF24" s="301"/>
      <c r="CG24" s="301"/>
      <c r="CH24" s="301"/>
      <c r="CI24" s="301"/>
      <c r="CJ24" s="301"/>
      <c r="CK24" s="301"/>
      <c r="CL24" s="301"/>
      <c r="CM24" s="301"/>
      <c r="CN24" s="301"/>
      <c r="CO24" s="301"/>
      <c r="CP24" s="301"/>
      <c r="CQ24" s="301"/>
      <c r="CR24" s="301"/>
      <c r="CS24" s="301"/>
      <c r="CT24" s="301"/>
      <c r="CU24" s="301"/>
      <c r="CV24" s="301"/>
      <c r="CW24" s="301"/>
      <c r="CX24" s="301"/>
      <c r="CY24" s="301"/>
      <c r="CZ24" s="301"/>
      <c r="DA24" s="301"/>
      <c r="DB24" s="301"/>
      <c r="DC24" s="301"/>
      <c r="DD24" s="301"/>
      <c r="DE24" s="301"/>
      <c r="DF24" s="301"/>
      <c r="DG24" s="301"/>
      <c r="DH24" s="301"/>
      <c r="DI24" s="301"/>
      <c r="DJ24" s="301"/>
      <c r="DK24" s="301"/>
      <c r="DL24" s="301"/>
      <c r="DM24" s="301"/>
      <c r="DN24" s="301"/>
      <c r="DO24" s="301"/>
      <c r="DP24" s="301"/>
      <c r="DQ24" s="301"/>
      <c r="DR24" s="301"/>
      <c r="DS24" s="301"/>
      <c r="DT24" s="301"/>
      <c r="DU24" s="301"/>
      <c r="DV24" s="301"/>
      <c r="DW24" s="301"/>
      <c r="DX24" s="301"/>
      <c r="DY24" s="301"/>
      <c r="DZ24" s="301"/>
      <c r="EA24" s="301"/>
      <c r="EB24" s="301"/>
      <c r="EC24" s="301"/>
      <c r="ED24" s="301"/>
      <c r="EE24" s="301"/>
      <c r="EF24" s="301"/>
      <c r="EG24" s="301"/>
      <c r="EH24" s="301"/>
      <c r="EI24" s="301"/>
      <c r="EJ24" s="301"/>
      <c r="EK24" s="301"/>
      <c r="EL24" s="301"/>
      <c r="EM24" s="301"/>
      <c r="EN24" s="301"/>
      <c r="EO24" s="301"/>
      <c r="EP24" s="301"/>
      <c r="EQ24" s="301"/>
      <c r="ER24" s="301"/>
      <c r="ES24" s="301"/>
      <c r="ET24" s="301"/>
      <c r="EU24" s="301"/>
      <c r="EV24" s="301"/>
      <c r="EW24" s="301"/>
      <c r="EX24" s="301"/>
      <c r="EY24" s="301"/>
      <c r="EZ24" s="301"/>
      <c r="FA24" s="301"/>
      <c r="FB24" s="301"/>
      <c r="FC24" s="301"/>
      <c r="FD24" s="301"/>
      <c r="FE24" s="301"/>
      <c r="FF24" s="301"/>
      <c r="FG24" s="301"/>
      <c r="FH24" s="301"/>
      <c r="FI24" s="301"/>
      <c r="FJ24" s="301"/>
      <c r="FK24" s="301"/>
      <c r="FL24" s="301"/>
      <c r="FM24" s="301"/>
      <c r="FN24" s="301"/>
      <c r="FO24" s="301"/>
      <c r="FP24" s="301"/>
      <c r="FQ24" s="301"/>
      <c r="FR24" s="301"/>
      <c r="FS24" s="301"/>
      <c r="FT24" s="301"/>
      <c r="FU24" s="301"/>
      <c r="FV24" s="301"/>
      <c r="FW24" s="301"/>
      <c r="FX24" s="301"/>
      <c r="FY24" s="301"/>
      <c r="FZ24" s="301"/>
      <c r="GA24" s="301"/>
      <c r="GB24" s="301"/>
      <c r="GC24" s="301"/>
      <c r="GD24" s="301"/>
      <c r="GE24" s="301"/>
      <c r="GF24" s="301"/>
      <c r="GG24" s="301"/>
      <c r="GH24" s="301"/>
      <c r="GI24" s="301"/>
      <c r="GJ24" s="301"/>
      <c r="GK24" s="301"/>
      <c r="GL24" s="301"/>
      <c r="GM24" s="301"/>
      <c r="GN24" s="301"/>
      <c r="GO24" s="301"/>
      <c r="GP24" s="301"/>
      <c r="GQ24" s="301"/>
      <c r="GR24" s="301"/>
      <c r="GS24" s="301"/>
      <c r="GT24" s="301"/>
      <c r="GU24" s="301"/>
      <c r="GV24" s="301"/>
      <c r="GW24" s="301"/>
      <c r="GX24" s="301"/>
      <c r="GY24" s="301"/>
      <c r="GZ24" s="301"/>
      <c r="HA24" s="301"/>
      <c r="HB24" s="301"/>
      <c r="HC24" s="301"/>
      <c r="HD24" s="301"/>
      <c r="HE24" s="301"/>
      <c r="HF24" s="301"/>
      <c r="HG24" s="301"/>
      <c r="HH24" s="301"/>
      <c r="HI24" s="301"/>
      <c r="HJ24" s="301"/>
      <c r="HK24" s="301"/>
      <c r="HL24" s="301"/>
      <c r="HM24" s="301"/>
      <c r="HN24" s="301"/>
      <c r="HO24" s="301"/>
      <c r="HP24" s="301"/>
      <c r="HQ24" s="301"/>
      <c r="HR24" s="301"/>
      <c r="HS24" s="301"/>
      <c r="HT24" s="301"/>
      <c r="HU24" s="301"/>
      <c r="HV24" s="301"/>
      <c r="HW24" s="301"/>
      <c r="HX24" s="301"/>
      <c r="HY24" s="301"/>
      <c r="HZ24" s="301"/>
      <c r="IA24" s="301"/>
      <c r="IB24" s="301"/>
      <c r="IC24" s="301"/>
      <c r="ID24" s="301"/>
      <c r="IE24" s="301"/>
      <c r="IF24" s="301"/>
      <c r="IG24" s="301"/>
      <c r="IH24" s="301"/>
      <c r="II24" s="301"/>
      <c r="IJ24" s="301"/>
      <c r="IK24" s="301"/>
      <c r="IL24" s="301"/>
      <c r="IM24" s="301"/>
      <c r="IN24" s="301"/>
      <c r="IO24" s="301"/>
      <c r="IP24" s="301"/>
      <c r="IQ24" s="301"/>
      <c r="IR24" s="301"/>
      <c r="IS24" s="301"/>
      <c r="IT24" s="301"/>
      <c r="IU24" s="301"/>
      <c r="IV24" s="301"/>
    </row>
    <row r="25" spans="1:256" ht="15">
      <c r="A25" s="301"/>
      <c r="B25" s="302"/>
      <c r="C25" s="321"/>
      <c r="D25" s="307"/>
      <c r="E25" s="316"/>
      <c r="F25" s="304"/>
      <c r="G25" s="316"/>
      <c r="H25" s="317"/>
      <c r="I25" s="318"/>
      <c r="J25" s="318"/>
      <c r="K25" s="323">
        <f>SUM(K21:K24)</f>
        <v>17481.240000000002</v>
      </c>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c r="BA25" s="301"/>
      <c r="BB25" s="301"/>
      <c r="BC25" s="301"/>
      <c r="BD25" s="301"/>
      <c r="BE25" s="301"/>
      <c r="BF25" s="301"/>
      <c r="BG25" s="301"/>
      <c r="BH25" s="301"/>
      <c r="BI25" s="301"/>
      <c r="BJ25" s="301"/>
      <c r="BK25" s="301"/>
      <c r="BL25" s="301"/>
      <c r="BM25" s="301"/>
      <c r="BN25" s="301"/>
      <c r="BO25" s="301"/>
      <c r="BP25" s="301"/>
      <c r="BQ25" s="301"/>
      <c r="BR25" s="301"/>
      <c r="BS25" s="301"/>
      <c r="BT25" s="301"/>
      <c r="BU25" s="301"/>
      <c r="BV25" s="301"/>
      <c r="BW25" s="301"/>
      <c r="BX25" s="301"/>
      <c r="BY25" s="301"/>
      <c r="BZ25" s="301"/>
      <c r="CA25" s="301"/>
      <c r="CB25" s="301"/>
      <c r="CC25" s="301"/>
      <c r="CD25" s="301"/>
      <c r="CE25" s="301"/>
      <c r="CF25" s="301"/>
      <c r="CG25" s="301"/>
      <c r="CH25" s="301"/>
      <c r="CI25" s="301"/>
      <c r="CJ25" s="301"/>
      <c r="CK25" s="301"/>
      <c r="CL25" s="301"/>
      <c r="CM25" s="301"/>
      <c r="CN25" s="301"/>
      <c r="CO25" s="301"/>
      <c r="CP25" s="301"/>
      <c r="CQ25" s="301"/>
      <c r="CR25" s="301"/>
      <c r="CS25" s="301"/>
      <c r="CT25" s="301"/>
      <c r="CU25" s="301"/>
      <c r="CV25" s="301"/>
      <c r="CW25" s="301"/>
      <c r="CX25" s="301"/>
      <c r="CY25" s="301"/>
      <c r="CZ25" s="301"/>
      <c r="DA25" s="301"/>
      <c r="DB25" s="301"/>
      <c r="DC25" s="301"/>
      <c r="DD25" s="301"/>
      <c r="DE25" s="301"/>
      <c r="DF25" s="301"/>
      <c r="DG25" s="301"/>
      <c r="DH25" s="301"/>
      <c r="DI25" s="301"/>
      <c r="DJ25" s="301"/>
      <c r="DK25" s="301"/>
      <c r="DL25" s="301"/>
      <c r="DM25" s="301"/>
      <c r="DN25" s="301"/>
      <c r="DO25" s="301"/>
      <c r="DP25" s="301"/>
      <c r="DQ25" s="301"/>
      <c r="DR25" s="301"/>
      <c r="DS25" s="301"/>
      <c r="DT25" s="301"/>
      <c r="DU25" s="301"/>
      <c r="DV25" s="301"/>
      <c r="DW25" s="301"/>
      <c r="DX25" s="301"/>
      <c r="DY25" s="301"/>
      <c r="DZ25" s="301"/>
      <c r="EA25" s="301"/>
      <c r="EB25" s="301"/>
      <c r="EC25" s="301"/>
      <c r="ED25" s="301"/>
      <c r="EE25" s="301"/>
      <c r="EF25" s="301"/>
      <c r="EG25" s="301"/>
      <c r="EH25" s="301"/>
      <c r="EI25" s="301"/>
      <c r="EJ25" s="301"/>
      <c r="EK25" s="301"/>
      <c r="EL25" s="301"/>
      <c r="EM25" s="301"/>
      <c r="EN25" s="301"/>
      <c r="EO25" s="301"/>
      <c r="EP25" s="301"/>
      <c r="EQ25" s="301"/>
      <c r="ER25" s="301"/>
      <c r="ES25" s="301"/>
      <c r="ET25" s="301"/>
      <c r="EU25" s="301"/>
      <c r="EV25" s="301"/>
      <c r="EW25" s="301"/>
      <c r="EX25" s="301"/>
      <c r="EY25" s="301"/>
      <c r="EZ25" s="301"/>
      <c r="FA25" s="301"/>
      <c r="FB25" s="301"/>
      <c r="FC25" s="301"/>
      <c r="FD25" s="301"/>
      <c r="FE25" s="301"/>
      <c r="FF25" s="301"/>
      <c r="FG25" s="301"/>
      <c r="FH25" s="301"/>
      <c r="FI25" s="301"/>
      <c r="FJ25" s="301"/>
      <c r="FK25" s="301"/>
      <c r="FL25" s="301"/>
      <c r="FM25" s="301"/>
      <c r="FN25" s="301"/>
      <c r="FO25" s="301"/>
      <c r="FP25" s="301"/>
      <c r="FQ25" s="301"/>
      <c r="FR25" s="301"/>
      <c r="FS25" s="301"/>
      <c r="FT25" s="301"/>
      <c r="FU25" s="301"/>
      <c r="FV25" s="301"/>
      <c r="FW25" s="301"/>
      <c r="FX25" s="301"/>
      <c r="FY25" s="301"/>
      <c r="FZ25" s="301"/>
      <c r="GA25" s="301"/>
      <c r="GB25" s="301"/>
      <c r="GC25" s="301"/>
      <c r="GD25" s="301"/>
      <c r="GE25" s="301"/>
      <c r="GF25" s="301"/>
      <c r="GG25" s="301"/>
      <c r="GH25" s="301"/>
      <c r="GI25" s="301"/>
      <c r="GJ25" s="301"/>
      <c r="GK25" s="301"/>
      <c r="GL25" s="301"/>
      <c r="GM25" s="301"/>
      <c r="GN25" s="301"/>
      <c r="GO25" s="301"/>
      <c r="GP25" s="301"/>
      <c r="GQ25" s="301"/>
      <c r="GR25" s="301"/>
      <c r="GS25" s="301"/>
      <c r="GT25" s="301"/>
      <c r="GU25" s="301"/>
      <c r="GV25" s="301"/>
      <c r="GW25" s="301"/>
      <c r="GX25" s="301"/>
      <c r="GY25" s="301"/>
      <c r="GZ25" s="301"/>
      <c r="HA25" s="301"/>
      <c r="HB25" s="301"/>
      <c r="HC25" s="301"/>
      <c r="HD25" s="301"/>
      <c r="HE25" s="301"/>
      <c r="HF25" s="301"/>
      <c r="HG25" s="301"/>
      <c r="HH25" s="301"/>
      <c r="HI25" s="301"/>
      <c r="HJ25" s="301"/>
      <c r="HK25" s="301"/>
      <c r="HL25" s="301"/>
      <c r="HM25" s="301"/>
      <c r="HN25" s="301"/>
      <c r="HO25" s="301"/>
      <c r="HP25" s="301"/>
      <c r="HQ25" s="301"/>
      <c r="HR25" s="301"/>
      <c r="HS25" s="301"/>
      <c r="HT25" s="301"/>
      <c r="HU25" s="301"/>
      <c r="HV25" s="301"/>
      <c r="HW25" s="301"/>
      <c r="HX25" s="301"/>
      <c r="HY25" s="301"/>
      <c r="HZ25" s="301"/>
      <c r="IA25" s="301"/>
      <c r="IB25" s="301"/>
      <c r="IC25" s="301"/>
      <c r="ID25" s="301"/>
      <c r="IE25" s="301"/>
      <c r="IF25" s="301"/>
      <c r="IG25" s="301"/>
      <c r="IH25" s="301"/>
      <c r="II25" s="301"/>
      <c r="IJ25" s="301"/>
      <c r="IK25" s="301"/>
      <c r="IL25" s="301"/>
      <c r="IM25" s="301"/>
      <c r="IN25" s="301"/>
      <c r="IO25" s="301"/>
      <c r="IP25" s="301"/>
      <c r="IQ25" s="301"/>
      <c r="IR25" s="301"/>
      <c r="IS25" s="301"/>
      <c r="IT25" s="301"/>
      <c r="IU25" s="301"/>
      <c r="IV25" s="301"/>
    </row>
    <row r="26" spans="1:256" ht="15" hidden="1">
      <c r="A26" s="301"/>
      <c r="B26" s="302"/>
      <c r="C26" s="312" t="s">
        <v>822</v>
      </c>
      <c r="D26" s="313"/>
      <c r="E26" s="316"/>
      <c r="F26" s="304"/>
      <c r="G26" s="316"/>
      <c r="H26" s="317"/>
      <c r="I26" s="318"/>
      <c r="J26" s="318"/>
      <c r="K26" s="329"/>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301"/>
      <c r="AZ26" s="301"/>
      <c r="BA26" s="301"/>
      <c r="BB26" s="301"/>
      <c r="BC26" s="301"/>
      <c r="BD26" s="301"/>
      <c r="BE26" s="301"/>
      <c r="BF26" s="301"/>
      <c r="BG26" s="301"/>
      <c r="BH26" s="301"/>
      <c r="BI26" s="301"/>
      <c r="BJ26" s="301"/>
      <c r="BK26" s="301"/>
      <c r="BL26" s="301"/>
      <c r="BM26" s="301"/>
      <c r="BN26" s="301"/>
      <c r="BO26" s="301"/>
      <c r="BP26" s="301"/>
      <c r="BQ26" s="301"/>
      <c r="BR26" s="301"/>
      <c r="BS26" s="301"/>
      <c r="BT26" s="301"/>
      <c r="BU26" s="301"/>
      <c r="BV26" s="301"/>
      <c r="BW26" s="301"/>
      <c r="BX26" s="301"/>
      <c r="BY26" s="301"/>
      <c r="BZ26" s="301"/>
      <c r="CA26" s="301"/>
      <c r="CB26" s="301"/>
      <c r="CC26" s="301"/>
      <c r="CD26" s="301"/>
      <c r="CE26" s="301"/>
      <c r="CF26" s="301"/>
      <c r="CG26" s="301"/>
      <c r="CH26" s="301"/>
      <c r="CI26" s="301"/>
      <c r="CJ26" s="301"/>
      <c r="CK26" s="301"/>
      <c r="CL26" s="301"/>
      <c r="CM26" s="301"/>
      <c r="CN26" s="301"/>
      <c r="CO26" s="301"/>
      <c r="CP26" s="301"/>
      <c r="CQ26" s="301"/>
      <c r="CR26" s="301"/>
      <c r="CS26" s="301"/>
      <c r="CT26" s="301"/>
      <c r="CU26" s="301"/>
      <c r="CV26" s="301"/>
      <c r="CW26" s="301"/>
      <c r="CX26" s="301"/>
      <c r="CY26" s="301"/>
      <c r="CZ26" s="301"/>
      <c r="DA26" s="301"/>
      <c r="DB26" s="301"/>
      <c r="DC26" s="301"/>
      <c r="DD26" s="301"/>
      <c r="DE26" s="301"/>
      <c r="DF26" s="301"/>
      <c r="DG26" s="301"/>
      <c r="DH26" s="301"/>
      <c r="DI26" s="301"/>
      <c r="DJ26" s="301"/>
      <c r="DK26" s="301"/>
      <c r="DL26" s="301"/>
      <c r="DM26" s="301"/>
      <c r="DN26" s="301"/>
      <c r="DO26" s="301"/>
      <c r="DP26" s="301"/>
      <c r="DQ26" s="301"/>
      <c r="DR26" s="301"/>
      <c r="DS26" s="301"/>
      <c r="DT26" s="301"/>
      <c r="DU26" s="301"/>
      <c r="DV26" s="301"/>
      <c r="DW26" s="301"/>
      <c r="DX26" s="301"/>
      <c r="DY26" s="301"/>
      <c r="DZ26" s="301"/>
      <c r="EA26" s="301"/>
      <c r="EB26" s="301"/>
      <c r="EC26" s="301"/>
      <c r="ED26" s="301"/>
      <c r="EE26" s="301"/>
      <c r="EF26" s="301"/>
      <c r="EG26" s="301"/>
      <c r="EH26" s="301"/>
      <c r="EI26" s="301"/>
      <c r="EJ26" s="301"/>
      <c r="EK26" s="301"/>
      <c r="EL26" s="301"/>
      <c r="EM26" s="301"/>
      <c r="EN26" s="301"/>
      <c r="EO26" s="301"/>
      <c r="EP26" s="301"/>
      <c r="EQ26" s="301"/>
      <c r="ER26" s="301"/>
      <c r="ES26" s="301"/>
      <c r="ET26" s="301"/>
      <c r="EU26" s="301"/>
      <c r="EV26" s="301"/>
      <c r="EW26" s="301"/>
      <c r="EX26" s="301"/>
      <c r="EY26" s="301"/>
      <c r="EZ26" s="301"/>
      <c r="FA26" s="301"/>
      <c r="FB26" s="301"/>
      <c r="FC26" s="301"/>
      <c r="FD26" s="301"/>
      <c r="FE26" s="301"/>
      <c r="FF26" s="301"/>
      <c r="FG26" s="301"/>
      <c r="FH26" s="301"/>
      <c r="FI26" s="301"/>
      <c r="FJ26" s="301"/>
      <c r="FK26" s="301"/>
      <c r="FL26" s="301"/>
      <c r="FM26" s="301"/>
      <c r="FN26" s="301"/>
      <c r="FO26" s="301"/>
      <c r="FP26" s="301"/>
      <c r="FQ26" s="301"/>
      <c r="FR26" s="301"/>
      <c r="FS26" s="301"/>
      <c r="FT26" s="301"/>
      <c r="FU26" s="301"/>
      <c r="FV26" s="301"/>
      <c r="FW26" s="301"/>
      <c r="FX26" s="301"/>
      <c r="FY26" s="301"/>
      <c r="FZ26" s="301"/>
      <c r="GA26" s="301"/>
      <c r="GB26" s="301"/>
      <c r="GC26" s="301"/>
      <c r="GD26" s="301"/>
      <c r="GE26" s="301"/>
      <c r="GF26" s="301"/>
      <c r="GG26" s="301"/>
      <c r="GH26" s="301"/>
      <c r="GI26" s="301"/>
      <c r="GJ26" s="301"/>
      <c r="GK26" s="301"/>
      <c r="GL26" s="301"/>
      <c r="GM26" s="301"/>
      <c r="GN26" s="301"/>
      <c r="GO26" s="301"/>
      <c r="GP26" s="301"/>
      <c r="GQ26" s="301"/>
      <c r="GR26" s="301"/>
      <c r="GS26" s="301"/>
      <c r="GT26" s="301"/>
      <c r="GU26" s="301"/>
      <c r="GV26" s="301"/>
      <c r="GW26" s="301"/>
      <c r="GX26" s="301"/>
      <c r="GY26" s="301"/>
      <c r="GZ26" s="301"/>
      <c r="HA26" s="301"/>
      <c r="HB26" s="301"/>
      <c r="HC26" s="301"/>
      <c r="HD26" s="301"/>
      <c r="HE26" s="301"/>
      <c r="HF26" s="301"/>
      <c r="HG26" s="301"/>
      <c r="HH26" s="301"/>
      <c r="HI26" s="301"/>
      <c r="HJ26" s="301"/>
      <c r="HK26" s="301"/>
      <c r="HL26" s="301"/>
      <c r="HM26" s="301"/>
      <c r="HN26" s="301"/>
      <c r="HO26" s="301"/>
      <c r="HP26" s="301"/>
      <c r="HQ26" s="301"/>
      <c r="HR26" s="301"/>
      <c r="HS26" s="301"/>
      <c r="HT26" s="301"/>
      <c r="HU26" s="301"/>
      <c r="HV26" s="301"/>
      <c r="HW26" s="301"/>
      <c r="HX26" s="301"/>
      <c r="HY26" s="301"/>
      <c r="HZ26" s="301"/>
      <c r="IA26" s="301"/>
      <c r="IB26" s="301"/>
      <c r="IC26" s="301"/>
      <c r="ID26" s="301"/>
      <c r="IE26" s="301"/>
      <c r="IF26" s="301"/>
      <c r="IG26" s="301"/>
      <c r="IH26" s="301"/>
      <c r="II26" s="301"/>
      <c r="IJ26" s="301"/>
      <c r="IK26" s="301"/>
      <c r="IL26" s="301"/>
      <c r="IM26" s="301"/>
      <c r="IN26" s="301"/>
      <c r="IO26" s="301"/>
      <c r="IP26" s="301"/>
      <c r="IQ26" s="301"/>
      <c r="IR26" s="301"/>
      <c r="IS26" s="301"/>
      <c r="IT26" s="301"/>
      <c r="IU26" s="301"/>
      <c r="IV26" s="301"/>
    </row>
    <row r="27" spans="1:256" ht="15" hidden="1">
      <c r="A27" s="301"/>
      <c r="B27" s="302"/>
      <c r="C27" s="321">
        <v>100</v>
      </c>
      <c r="D27" s="307" t="s">
        <v>465</v>
      </c>
      <c r="E27" s="316"/>
      <c r="F27" s="304"/>
      <c r="G27" s="316"/>
      <c r="H27" s="317"/>
      <c r="I27" s="328">
        <v>0</v>
      </c>
      <c r="J27" s="318" t="s">
        <v>644</v>
      </c>
      <c r="K27" s="320">
        <f>ROUND(C27*I27,2)</f>
        <v>0</v>
      </c>
      <c r="L27" s="301"/>
      <c r="M27" s="301"/>
      <c r="N27" s="301"/>
      <c r="O27" s="301"/>
      <c r="P27" s="301"/>
      <c r="Q27" s="301"/>
      <c r="R27" s="301"/>
      <c r="S27" s="301"/>
      <c r="T27" s="301"/>
      <c r="U27" s="301"/>
      <c r="V27" s="301"/>
      <c r="W27" s="301"/>
      <c r="X27" s="301"/>
      <c r="Y27" s="301"/>
      <c r="Z27" s="301"/>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301"/>
      <c r="AW27" s="301"/>
      <c r="AX27" s="301"/>
      <c r="AY27" s="301"/>
      <c r="AZ27" s="301"/>
      <c r="BA27" s="301"/>
      <c r="BB27" s="301"/>
      <c r="BC27" s="301"/>
      <c r="BD27" s="301"/>
      <c r="BE27" s="301"/>
      <c r="BF27" s="301"/>
      <c r="BG27" s="301"/>
      <c r="BH27" s="301"/>
      <c r="BI27" s="301"/>
      <c r="BJ27" s="301"/>
      <c r="BK27" s="301"/>
      <c r="BL27" s="301"/>
      <c r="BM27" s="301"/>
      <c r="BN27" s="301"/>
      <c r="BO27" s="301"/>
      <c r="BP27" s="301"/>
      <c r="BQ27" s="301"/>
      <c r="BR27" s="301"/>
      <c r="BS27" s="301"/>
      <c r="BT27" s="301"/>
      <c r="BU27" s="301"/>
      <c r="BV27" s="301"/>
      <c r="BW27" s="301"/>
      <c r="BX27" s="301"/>
      <c r="BY27" s="301"/>
      <c r="BZ27" s="301"/>
      <c r="CA27" s="301"/>
      <c r="CB27" s="301"/>
      <c r="CC27" s="301"/>
      <c r="CD27" s="301"/>
      <c r="CE27" s="301"/>
      <c r="CF27" s="301"/>
      <c r="CG27" s="301"/>
      <c r="CH27" s="301"/>
      <c r="CI27" s="301"/>
      <c r="CJ27" s="301"/>
      <c r="CK27" s="301"/>
      <c r="CL27" s="301"/>
      <c r="CM27" s="301"/>
      <c r="CN27" s="301"/>
      <c r="CO27" s="301"/>
      <c r="CP27" s="301"/>
      <c r="CQ27" s="301"/>
      <c r="CR27" s="301"/>
      <c r="CS27" s="301"/>
      <c r="CT27" s="301"/>
      <c r="CU27" s="301"/>
      <c r="CV27" s="301"/>
      <c r="CW27" s="301"/>
      <c r="CX27" s="301"/>
      <c r="CY27" s="301"/>
      <c r="CZ27" s="301"/>
      <c r="DA27" s="301"/>
      <c r="DB27" s="301"/>
      <c r="DC27" s="301"/>
      <c r="DD27" s="301"/>
      <c r="DE27" s="301"/>
      <c r="DF27" s="301"/>
      <c r="DG27" s="301"/>
      <c r="DH27" s="301"/>
      <c r="DI27" s="301"/>
      <c r="DJ27" s="301"/>
      <c r="DK27" s="301"/>
      <c r="DL27" s="301"/>
      <c r="DM27" s="301"/>
      <c r="DN27" s="301"/>
      <c r="DO27" s="301"/>
      <c r="DP27" s="301"/>
      <c r="DQ27" s="301"/>
      <c r="DR27" s="301"/>
      <c r="DS27" s="301"/>
      <c r="DT27" s="301"/>
      <c r="DU27" s="301"/>
      <c r="DV27" s="301"/>
      <c r="DW27" s="301"/>
      <c r="DX27" s="301"/>
      <c r="DY27" s="301"/>
      <c r="DZ27" s="301"/>
      <c r="EA27" s="301"/>
      <c r="EB27" s="301"/>
      <c r="EC27" s="301"/>
      <c r="ED27" s="301"/>
      <c r="EE27" s="301"/>
      <c r="EF27" s="301"/>
      <c r="EG27" s="301"/>
      <c r="EH27" s="301"/>
      <c r="EI27" s="301"/>
      <c r="EJ27" s="301"/>
      <c r="EK27" s="301"/>
      <c r="EL27" s="301"/>
      <c r="EM27" s="301"/>
      <c r="EN27" s="301"/>
      <c r="EO27" s="301"/>
      <c r="EP27" s="301"/>
      <c r="EQ27" s="301"/>
      <c r="ER27" s="301"/>
      <c r="ES27" s="301"/>
      <c r="ET27" s="301"/>
      <c r="EU27" s="301"/>
      <c r="EV27" s="301"/>
      <c r="EW27" s="301"/>
      <c r="EX27" s="301"/>
      <c r="EY27" s="301"/>
      <c r="EZ27" s="301"/>
      <c r="FA27" s="301"/>
      <c r="FB27" s="301"/>
      <c r="FC27" s="301"/>
      <c r="FD27" s="301"/>
      <c r="FE27" s="301"/>
      <c r="FF27" s="301"/>
      <c r="FG27" s="301"/>
      <c r="FH27" s="301"/>
      <c r="FI27" s="301"/>
      <c r="FJ27" s="301"/>
      <c r="FK27" s="301"/>
      <c r="FL27" s="301"/>
      <c r="FM27" s="301"/>
      <c r="FN27" s="301"/>
      <c r="FO27" s="301"/>
      <c r="FP27" s="301"/>
      <c r="FQ27" s="301"/>
      <c r="FR27" s="301"/>
      <c r="FS27" s="301"/>
      <c r="FT27" s="301"/>
      <c r="FU27" s="301"/>
      <c r="FV27" s="301"/>
      <c r="FW27" s="301"/>
      <c r="FX27" s="301"/>
      <c r="FY27" s="301"/>
      <c r="FZ27" s="301"/>
      <c r="GA27" s="301"/>
      <c r="GB27" s="301"/>
      <c r="GC27" s="301"/>
      <c r="GD27" s="301"/>
      <c r="GE27" s="301"/>
      <c r="GF27" s="301"/>
      <c r="GG27" s="301"/>
      <c r="GH27" s="301"/>
      <c r="GI27" s="301"/>
      <c r="GJ27" s="301"/>
      <c r="GK27" s="301"/>
      <c r="GL27" s="301"/>
      <c r="GM27" s="301"/>
      <c r="GN27" s="301"/>
      <c r="GO27" s="301"/>
      <c r="GP27" s="301"/>
      <c r="GQ27" s="301"/>
      <c r="GR27" s="301"/>
      <c r="GS27" s="301"/>
      <c r="GT27" s="301"/>
      <c r="GU27" s="301"/>
      <c r="GV27" s="301"/>
      <c r="GW27" s="301"/>
      <c r="GX27" s="301"/>
      <c r="GY27" s="301"/>
      <c r="GZ27" s="301"/>
      <c r="HA27" s="301"/>
      <c r="HB27" s="301"/>
      <c r="HC27" s="301"/>
      <c r="HD27" s="301"/>
      <c r="HE27" s="301"/>
      <c r="HF27" s="301"/>
      <c r="HG27" s="301"/>
      <c r="HH27" s="301"/>
      <c r="HI27" s="301"/>
      <c r="HJ27" s="301"/>
      <c r="HK27" s="301"/>
      <c r="HL27" s="301"/>
      <c r="HM27" s="301"/>
      <c r="HN27" s="301"/>
      <c r="HO27" s="301"/>
      <c r="HP27" s="301"/>
      <c r="HQ27" s="301"/>
      <c r="HR27" s="301"/>
      <c r="HS27" s="301"/>
      <c r="HT27" s="301"/>
      <c r="HU27" s="301"/>
      <c r="HV27" s="301"/>
      <c r="HW27" s="301"/>
      <c r="HX27" s="301"/>
      <c r="HY27" s="301"/>
      <c r="HZ27" s="301"/>
      <c r="IA27" s="301"/>
      <c r="IB27" s="301"/>
      <c r="IC27" s="301"/>
      <c r="ID27" s="301"/>
      <c r="IE27" s="301"/>
      <c r="IF27" s="301"/>
      <c r="IG27" s="301"/>
      <c r="IH27" s="301"/>
      <c r="II27" s="301"/>
      <c r="IJ27" s="301"/>
      <c r="IK27" s="301"/>
      <c r="IL27" s="301"/>
      <c r="IM27" s="301"/>
      <c r="IN27" s="301"/>
      <c r="IO27" s="301"/>
      <c r="IP27" s="301"/>
      <c r="IQ27" s="301"/>
      <c r="IR27" s="301"/>
      <c r="IS27" s="301"/>
      <c r="IT27" s="301"/>
      <c r="IU27" s="301"/>
      <c r="IV27" s="301"/>
    </row>
    <row r="28" spans="1:256" ht="15">
      <c r="A28" s="301"/>
      <c r="B28" s="302"/>
      <c r="C28" s="321"/>
      <c r="D28" s="307"/>
      <c r="E28" s="316"/>
      <c r="F28" s="304"/>
      <c r="G28" s="316"/>
      <c r="H28" s="317"/>
      <c r="I28" s="318"/>
      <c r="J28" s="318"/>
      <c r="K28" s="304"/>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301"/>
      <c r="AZ28" s="301"/>
      <c r="BA28" s="301"/>
      <c r="BB28" s="301"/>
      <c r="BC28" s="301"/>
      <c r="BD28" s="301"/>
      <c r="BE28" s="301"/>
      <c r="BF28" s="301"/>
      <c r="BG28" s="301"/>
      <c r="BH28" s="301"/>
      <c r="BI28" s="301"/>
      <c r="BJ28" s="301"/>
      <c r="BK28" s="301"/>
      <c r="BL28" s="301"/>
      <c r="BM28" s="301"/>
      <c r="BN28" s="301"/>
      <c r="BO28" s="301"/>
      <c r="BP28" s="301"/>
      <c r="BQ28" s="301"/>
      <c r="BR28" s="301"/>
      <c r="BS28" s="301"/>
      <c r="BT28" s="301"/>
      <c r="BU28" s="301"/>
      <c r="BV28" s="301"/>
      <c r="BW28" s="301"/>
      <c r="BX28" s="301"/>
      <c r="BY28" s="301"/>
      <c r="BZ28" s="301"/>
      <c r="CA28" s="301"/>
      <c r="CB28" s="301"/>
      <c r="CC28" s="301"/>
      <c r="CD28" s="301"/>
      <c r="CE28" s="301"/>
      <c r="CF28" s="301"/>
      <c r="CG28" s="301"/>
      <c r="CH28" s="301"/>
      <c r="CI28" s="301"/>
      <c r="CJ28" s="301"/>
      <c r="CK28" s="301"/>
      <c r="CL28" s="301"/>
      <c r="CM28" s="301"/>
      <c r="CN28" s="301"/>
      <c r="CO28" s="301"/>
      <c r="CP28" s="301"/>
      <c r="CQ28" s="301"/>
      <c r="CR28" s="301"/>
      <c r="CS28" s="301"/>
      <c r="CT28" s="301"/>
      <c r="CU28" s="301"/>
      <c r="CV28" s="301"/>
      <c r="CW28" s="301"/>
      <c r="CX28" s="301"/>
      <c r="CY28" s="301"/>
      <c r="CZ28" s="301"/>
      <c r="DA28" s="301"/>
      <c r="DB28" s="301"/>
      <c r="DC28" s="301"/>
      <c r="DD28" s="301"/>
      <c r="DE28" s="301"/>
      <c r="DF28" s="301"/>
      <c r="DG28" s="301"/>
      <c r="DH28" s="301"/>
      <c r="DI28" s="301"/>
      <c r="DJ28" s="301"/>
      <c r="DK28" s="301"/>
      <c r="DL28" s="301"/>
      <c r="DM28" s="301"/>
      <c r="DN28" s="301"/>
      <c r="DO28" s="301"/>
      <c r="DP28" s="301"/>
      <c r="DQ28" s="301"/>
      <c r="DR28" s="301"/>
      <c r="DS28" s="301"/>
      <c r="DT28" s="301"/>
      <c r="DU28" s="301"/>
      <c r="DV28" s="301"/>
      <c r="DW28" s="301"/>
      <c r="DX28" s="301"/>
      <c r="DY28" s="301"/>
      <c r="DZ28" s="301"/>
      <c r="EA28" s="301"/>
      <c r="EB28" s="301"/>
      <c r="EC28" s="301"/>
      <c r="ED28" s="301"/>
      <c r="EE28" s="301"/>
      <c r="EF28" s="301"/>
      <c r="EG28" s="301"/>
      <c r="EH28" s="301"/>
      <c r="EI28" s="301"/>
      <c r="EJ28" s="301"/>
      <c r="EK28" s="301"/>
      <c r="EL28" s="301"/>
      <c r="EM28" s="301"/>
      <c r="EN28" s="301"/>
      <c r="EO28" s="301"/>
      <c r="EP28" s="301"/>
      <c r="EQ28" s="301"/>
      <c r="ER28" s="301"/>
      <c r="ES28" s="301"/>
      <c r="ET28" s="301"/>
      <c r="EU28" s="301"/>
      <c r="EV28" s="301"/>
      <c r="EW28" s="301"/>
      <c r="EX28" s="301"/>
      <c r="EY28" s="301"/>
      <c r="EZ28" s="301"/>
      <c r="FA28" s="301"/>
      <c r="FB28" s="301"/>
      <c r="FC28" s="301"/>
      <c r="FD28" s="301"/>
      <c r="FE28" s="301"/>
      <c r="FF28" s="301"/>
      <c r="FG28" s="301"/>
      <c r="FH28" s="301"/>
      <c r="FI28" s="301"/>
      <c r="FJ28" s="301"/>
      <c r="FK28" s="301"/>
      <c r="FL28" s="301"/>
      <c r="FM28" s="301"/>
      <c r="FN28" s="301"/>
      <c r="FO28" s="301"/>
      <c r="FP28" s="301"/>
      <c r="FQ28" s="301"/>
      <c r="FR28" s="301"/>
      <c r="FS28" s="301"/>
      <c r="FT28" s="301"/>
      <c r="FU28" s="301"/>
      <c r="FV28" s="301"/>
      <c r="FW28" s="301"/>
      <c r="FX28" s="301"/>
      <c r="FY28" s="301"/>
      <c r="FZ28" s="301"/>
      <c r="GA28" s="301"/>
      <c r="GB28" s="301"/>
      <c r="GC28" s="301"/>
      <c r="GD28" s="301"/>
      <c r="GE28" s="301"/>
      <c r="GF28" s="301"/>
      <c r="GG28" s="301"/>
      <c r="GH28" s="301"/>
      <c r="GI28" s="301"/>
      <c r="GJ28" s="301"/>
      <c r="GK28" s="301"/>
      <c r="GL28" s="301"/>
      <c r="GM28" s="301"/>
      <c r="GN28" s="301"/>
      <c r="GO28" s="301"/>
      <c r="GP28" s="301"/>
      <c r="GQ28" s="301"/>
      <c r="GR28" s="301"/>
      <c r="GS28" s="301"/>
      <c r="GT28" s="301"/>
      <c r="GU28" s="301"/>
      <c r="GV28" s="301"/>
      <c r="GW28" s="301"/>
      <c r="GX28" s="301"/>
      <c r="GY28" s="301"/>
      <c r="GZ28" s="301"/>
      <c r="HA28" s="301"/>
      <c r="HB28" s="301"/>
      <c r="HC28" s="301"/>
      <c r="HD28" s="301"/>
      <c r="HE28" s="301"/>
      <c r="HF28" s="301"/>
      <c r="HG28" s="301"/>
      <c r="HH28" s="301"/>
      <c r="HI28" s="301"/>
      <c r="HJ28" s="301"/>
      <c r="HK28" s="301"/>
      <c r="HL28" s="301"/>
      <c r="HM28" s="301"/>
      <c r="HN28" s="301"/>
      <c r="HO28" s="301"/>
      <c r="HP28" s="301"/>
      <c r="HQ28" s="301"/>
      <c r="HR28" s="301"/>
      <c r="HS28" s="301"/>
      <c r="HT28" s="301"/>
      <c r="HU28" s="301"/>
      <c r="HV28" s="301"/>
      <c r="HW28" s="301"/>
      <c r="HX28" s="301"/>
      <c r="HY28" s="301"/>
      <c r="HZ28" s="301"/>
      <c r="IA28" s="301"/>
      <c r="IB28" s="301"/>
      <c r="IC28" s="301"/>
      <c r="ID28" s="301"/>
      <c r="IE28" s="301"/>
      <c r="IF28" s="301"/>
      <c r="IG28" s="301"/>
      <c r="IH28" s="301"/>
      <c r="II28" s="301"/>
      <c r="IJ28" s="301"/>
      <c r="IK28" s="301"/>
      <c r="IL28" s="301"/>
      <c r="IM28" s="301"/>
      <c r="IN28" s="301"/>
      <c r="IO28" s="301"/>
      <c r="IP28" s="301"/>
      <c r="IQ28" s="301"/>
      <c r="IR28" s="301"/>
      <c r="IS28" s="301"/>
      <c r="IT28" s="301"/>
      <c r="IU28" s="301"/>
      <c r="IV28" s="301"/>
    </row>
    <row r="29" spans="1:256" ht="15">
      <c r="A29" s="301"/>
      <c r="B29" s="302"/>
      <c r="C29" s="312" t="s">
        <v>825</v>
      </c>
      <c r="D29" s="313" t="s">
        <v>1314</v>
      </c>
      <c r="E29" s="304"/>
      <c r="F29" s="304"/>
      <c r="G29" s="316"/>
      <c r="H29" s="317"/>
      <c r="I29" s="317"/>
      <c r="J29" s="317"/>
      <c r="K29" s="333">
        <f>K19+K25</f>
        <v>17749.04</v>
      </c>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c r="AY29" s="301"/>
      <c r="AZ29" s="301"/>
      <c r="BA29" s="301"/>
      <c r="BB29" s="301"/>
      <c r="BC29" s="301"/>
      <c r="BD29" s="301"/>
      <c r="BE29" s="301"/>
      <c r="BF29" s="301"/>
      <c r="BG29" s="301"/>
      <c r="BH29" s="301"/>
      <c r="BI29" s="301"/>
      <c r="BJ29" s="301"/>
      <c r="BK29" s="301"/>
      <c r="BL29" s="301"/>
      <c r="BM29" s="301"/>
      <c r="BN29" s="301"/>
      <c r="BO29" s="301"/>
      <c r="BP29" s="301"/>
      <c r="BQ29" s="301"/>
      <c r="BR29" s="301"/>
      <c r="BS29" s="301"/>
      <c r="BT29" s="301"/>
      <c r="BU29" s="301"/>
      <c r="BV29" s="301"/>
      <c r="BW29" s="301"/>
      <c r="BX29" s="301"/>
      <c r="BY29" s="301"/>
      <c r="BZ29" s="301"/>
      <c r="CA29" s="301"/>
      <c r="CB29" s="301"/>
      <c r="CC29" s="301"/>
      <c r="CD29" s="301"/>
      <c r="CE29" s="301"/>
      <c r="CF29" s="301"/>
      <c r="CG29" s="301"/>
      <c r="CH29" s="301"/>
      <c r="CI29" s="301"/>
      <c r="CJ29" s="301"/>
      <c r="CK29" s="301"/>
      <c r="CL29" s="301"/>
      <c r="CM29" s="301"/>
      <c r="CN29" s="301"/>
      <c r="CO29" s="301"/>
      <c r="CP29" s="301"/>
      <c r="CQ29" s="301"/>
      <c r="CR29" s="301"/>
      <c r="CS29" s="301"/>
      <c r="CT29" s="301"/>
      <c r="CU29" s="301"/>
      <c r="CV29" s="301"/>
      <c r="CW29" s="301"/>
      <c r="CX29" s="301"/>
      <c r="CY29" s="301"/>
      <c r="CZ29" s="301"/>
      <c r="DA29" s="301"/>
      <c r="DB29" s="301"/>
      <c r="DC29" s="301"/>
      <c r="DD29" s="301"/>
      <c r="DE29" s="301"/>
      <c r="DF29" s="301"/>
      <c r="DG29" s="301"/>
      <c r="DH29" s="301"/>
      <c r="DI29" s="301"/>
      <c r="DJ29" s="301"/>
      <c r="DK29" s="301"/>
      <c r="DL29" s="301"/>
      <c r="DM29" s="301"/>
      <c r="DN29" s="301"/>
      <c r="DO29" s="301"/>
      <c r="DP29" s="301"/>
      <c r="DQ29" s="301"/>
      <c r="DR29" s="301"/>
      <c r="DS29" s="301"/>
      <c r="DT29" s="301"/>
      <c r="DU29" s="301"/>
      <c r="DV29" s="301"/>
      <c r="DW29" s="301"/>
      <c r="DX29" s="301"/>
      <c r="DY29" s="301"/>
      <c r="DZ29" s="301"/>
      <c r="EA29" s="301"/>
      <c r="EB29" s="301"/>
      <c r="EC29" s="301"/>
      <c r="ED29" s="301"/>
      <c r="EE29" s="301"/>
      <c r="EF29" s="301"/>
      <c r="EG29" s="301"/>
      <c r="EH29" s="301"/>
      <c r="EI29" s="301"/>
      <c r="EJ29" s="301"/>
      <c r="EK29" s="301"/>
      <c r="EL29" s="301"/>
      <c r="EM29" s="301"/>
      <c r="EN29" s="301"/>
      <c r="EO29" s="301"/>
      <c r="EP29" s="301"/>
      <c r="EQ29" s="301"/>
      <c r="ER29" s="301"/>
      <c r="ES29" s="301"/>
      <c r="ET29" s="301"/>
      <c r="EU29" s="301"/>
      <c r="EV29" s="301"/>
      <c r="EW29" s="301"/>
      <c r="EX29" s="301"/>
      <c r="EY29" s="301"/>
      <c r="EZ29" s="301"/>
      <c r="FA29" s="301"/>
      <c r="FB29" s="301"/>
      <c r="FC29" s="301"/>
      <c r="FD29" s="301"/>
      <c r="FE29" s="301"/>
      <c r="FF29" s="301"/>
      <c r="FG29" s="301"/>
      <c r="FH29" s="301"/>
      <c r="FI29" s="301"/>
      <c r="FJ29" s="301"/>
      <c r="FK29" s="301"/>
      <c r="FL29" s="301"/>
      <c r="FM29" s="301"/>
      <c r="FN29" s="301"/>
      <c r="FO29" s="301"/>
      <c r="FP29" s="301"/>
      <c r="FQ29" s="301"/>
      <c r="FR29" s="301"/>
      <c r="FS29" s="301"/>
      <c r="FT29" s="301"/>
      <c r="FU29" s="301"/>
      <c r="FV29" s="301"/>
      <c r="FW29" s="301"/>
      <c r="FX29" s="301"/>
      <c r="FY29" s="301"/>
      <c r="FZ29" s="301"/>
      <c r="GA29" s="301"/>
      <c r="GB29" s="301"/>
      <c r="GC29" s="301"/>
      <c r="GD29" s="301"/>
      <c r="GE29" s="301"/>
      <c r="GF29" s="301"/>
      <c r="GG29" s="301"/>
      <c r="GH29" s="301"/>
      <c r="GI29" s="301"/>
      <c r="GJ29" s="301"/>
      <c r="GK29" s="301"/>
      <c r="GL29" s="301"/>
      <c r="GM29" s="301"/>
      <c r="GN29" s="301"/>
      <c r="GO29" s="301"/>
      <c r="GP29" s="301"/>
      <c r="GQ29" s="301"/>
      <c r="GR29" s="301"/>
      <c r="GS29" s="301"/>
      <c r="GT29" s="301"/>
      <c r="GU29" s="301"/>
      <c r="GV29" s="301"/>
      <c r="GW29" s="301"/>
      <c r="GX29" s="301"/>
      <c r="GY29" s="301"/>
      <c r="GZ29" s="301"/>
      <c r="HA29" s="301"/>
      <c r="HB29" s="301"/>
      <c r="HC29" s="301"/>
      <c r="HD29" s="301"/>
      <c r="HE29" s="301"/>
      <c r="HF29" s="301"/>
      <c r="HG29" s="301"/>
      <c r="HH29" s="301"/>
      <c r="HI29" s="301"/>
      <c r="HJ29" s="301"/>
      <c r="HK29" s="301"/>
      <c r="HL29" s="301"/>
      <c r="HM29" s="301"/>
      <c r="HN29" s="301"/>
      <c r="HO29" s="301"/>
      <c r="HP29" s="301"/>
      <c r="HQ29" s="301"/>
      <c r="HR29" s="301"/>
      <c r="HS29" s="301"/>
      <c r="HT29" s="301"/>
      <c r="HU29" s="301"/>
      <c r="HV29" s="301"/>
      <c r="HW29" s="301"/>
      <c r="HX29" s="301"/>
      <c r="HY29" s="301"/>
      <c r="HZ29" s="301"/>
      <c r="IA29" s="301"/>
      <c r="IB29" s="301"/>
      <c r="IC29" s="301"/>
      <c r="ID29" s="301"/>
      <c r="IE29" s="301"/>
      <c r="IF29" s="301"/>
      <c r="IG29" s="301"/>
      <c r="IH29" s="301"/>
      <c r="II29" s="301"/>
      <c r="IJ29" s="301"/>
      <c r="IK29" s="301"/>
      <c r="IL29" s="301"/>
      <c r="IM29" s="301"/>
      <c r="IN29" s="301"/>
      <c r="IO29" s="301"/>
      <c r="IP29" s="301"/>
      <c r="IQ29" s="301"/>
      <c r="IR29" s="301"/>
      <c r="IS29" s="301"/>
      <c r="IT29" s="301"/>
      <c r="IU29" s="301"/>
      <c r="IV29" s="301"/>
    </row>
    <row r="30" spans="1:256" ht="15">
      <c r="A30" s="301"/>
      <c r="B30" s="302"/>
      <c r="C30" s="312" t="s">
        <v>827</v>
      </c>
      <c r="D30" s="313" t="s">
        <v>1315</v>
      </c>
      <c r="E30" s="316"/>
      <c r="F30" s="304"/>
      <c r="G30" s="316"/>
      <c r="H30" s="317"/>
      <c r="I30" s="317"/>
      <c r="J30" s="317"/>
      <c r="K30" s="334">
        <f>K29*13.615/100</f>
        <v>2416.5317960000002</v>
      </c>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301"/>
      <c r="AW30" s="301"/>
      <c r="AX30" s="301"/>
      <c r="AY30" s="301"/>
      <c r="AZ30" s="301"/>
      <c r="BA30" s="301"/>
      <c r="BB30" s="301"/>
      <c r="BC30" s="301"/>
      <c r="BD30" s="301"/>
      <c r="BE30" s="301"/>
      <c r="BF30" s="301"/>
      <c r="BG30" s="301"/>
      <c r="BH30" s="301"/>
      <c r="BI30" s="301"/>
      <c r="BJ30" s="301"/>
      <c r="BK30" s="301"/>
      <c r="BL30" s="301"/>
      <c r="BM30" s="301"/>
      <c r="BN30" s="301"/>
      <c r="BO30" s="301"/>
      <c r="BP30" s="301"/>
      <c r="BQ30" s="301"/>
      <c r="BR30" s="301"/>
      <c r="BS30" s="301"/>
      <c r="BT30" s="301"/>
      <c r="BU30" s="301"/>
      <c r="BV30" s="301"/>
      <c r="BW30" s="301"/>
      <c r="BX30" s="301"/>
      <c r="BY30" s="301"/>
      <c r="BZ30" s="301"/>
      <c r="CA30" s="301"/>
      <c r="CB30" s="301"/>
      <c r="CC30" s="301"/>
      <c r="CD30" s="301"/>
      <c r="CE30" s="301"/>
      <c r="CF30" s="301"/>
      <c r="CG30" s="301"/>
      <c r="CH30" s="301"/>
      <c r="CI30" s="301"/>
      <c r="CJ30" s="301"/>
      <c r="CK30" s="301"/>
      <c r="CL30" s="301"/>
      <c r="CM30" s="301"/>
      <c r="CN30" s="301"/>
      <c r="CO30" s="301"/>
      <c r="CP30" s="301"/>
      <c r="CQ30" s="301"/>
      <c r="CR30" s="301"/>
      <c r="CS30" s="301"/>
      <c r="CT30" s="301"/>
      <c r="CU30" s="301"/>
      <c r="CV30" s="301"/>
      <c r="CW30" s="301"/>
      <c r="CX30" s="301"/>
      <c r="CY30" s="301"/>
      <c r="CZ30" s="301"/>
      <c r="DA30" s="301"/>
      <c r="DB30" s="301"/>
      <c r="DC30" s="301"/>
      <c r="DD30" s="301"/>
      <c r="DE30" s="301"/>
      <c r="DF30" s="301"/>
      <c r="DG30" s="301"/>
      <c r="DH30" s="301"/>
      <c r="DI30" s="301"/>
      <c r="DJ30" s="301"/>
      <c r="DK30" s="301"/>
      <c r="DL30" s="301"/>
      <c r="DM30" s="301"/>
      <c r="DN30" s="301"/>
      <c r="DO30" s="301"/>
      <c r="DP30" s="301"/>
      <c r="DQ30" s="301"/>
      <c r="DR30" s="301"/>
      <c r="DS30" s="301"/>
      <c r="DT30" s="301"/>
      <c r="DU30" s="301"/>
      <c r="DV30" s="301"/>
      <c r="DW30" s="301"/>
      <c r="DX30" s="301"/>
      <c r="DY30" s="301"/>
      <c r="DZ30" s="301"/>
      <c r="EA30" s="301"/>
      <c r="EB30" s="301"/>
      <c r="EC30" s="301"/>
      <c r="ED30" s="301"/>
      <c r="EE30" s="301"/>
      <c r="EF30" s="301"/>
      <c r="EG30" s="301"/>
      <c r="EH30" s="301"/>
      <c r="EI30" s="301"/>
      <c r="EJ30" s="301"/>
      <c r="EK30" s="301"/>
      <c r="EL30" s="301"/>
      <c r="EM30" s="301"/>
      <c r="EN30" s="301"/>
      <c r="EO30" s="301"/>
      <c r="EP30" s="301"/>
      <c r="EQ30" s="301"/>
      <c r="ER30" s="301"/>
      <c r="ES30" s="301"/>
      <c r="ET30" s="301"/>
      <c r="EU30" s="301"/>
      <c r="EV30" s="301"/>
      <c r="EW30" s="301"/>
      <c r="EX30" s="301"/>
      <c r="EY30" s="301"/>
      <c r="EZ30" s="301"/>
      <c r="FA30" s="301"/>
      <c r="FB30" s="301"/>
      <c r="FC30" s="301"/>
      <c r="FD30" s="301"/>
      <c r="FE30" s="301"/>
      <c r="FF30" s="301"/>
      <c r="FG30" s="301"/>
      <c r="FH30" s="301"/>
      <c r="FI30" s="301"/>
      <c r="FJ30" s="301"/>
      <c r="FK30" s="301"/>
      <c r="FL30" s="301"/>
      <c r="FM30" s="301"/>
      <c r="FN30" s="301"/>
      <c r="FO30" s="301"/>
      <c r="FP30" s="301"/>
      <c r="FQ30" s="301"/>
      <c r="FR30" s="301"/>
      <c r="FS30" s="301"/>
      <c r="FT30" s="301"/>
      <c r="FU30" s="301"/>
      <c r="FV30" s="301"/>
      <c r="FW30" s="301"/>
      <c r="FX30" s="301"/>
      <c r="FY30" s="301"/>
      <c r="FZ30" s="301"/>
      <c r="GA30" s="301"/>
      <c r="GB30" s="301"/>
      <c r="GC30" s="301"/>
      <c r="GD30" s="301"/>
      <c r="GE30" s="301"/>
      <c r="GF30" s="301"/>
      <c r="GG30" s="301"/>
      <c r="GH30" s="301"/>
      <c r="GI30" s="301"/>
      <c r="GJ30" s="301"/>
      <c r="GK30" s="301"/>
      <c r="GL30" s="301"/>
      <c r="GM30" s="301"/>
      <c r="GN30" s="301"/>
      <c r="GO30" s="301"/>
      <c r="GP30" s="301"/>
      <c r="GQ30" s="301"/>
      <c r="GR30" s="301"/>
      <c r="GS30" s="301"/>
      <c r="GT30" s="301"/>
      <c r="GU30" s="301"/>
      <c r="GV30" s="301"/>
      <c r="GW30" s="301"/>
      <c r="GX30" s="301"/>
      <c r="GY30" s="301"/>
      <c r="GZ30" s="301"/>
      <c r="HA30" s="301"/>
      <c r="HB30" s="301"/>
      <c r="HC30" s="301"/>
      <c r="HD30" s="301"/>
      <c r="HE30" s="301"/>
      <c r="HF30" s="301"/>
      <c r="HG30" s="301"/>
      <c r="HH30" s="301"/>
      <c r="HI30" s="301"/>
      <c r="HJ30" s="301"/>
      <c r="HK30" s="301"/>
      <c r="HL30" s="301"/>
      <c r="HM30" s="301"/>
      <c r="HN30" s="301"/>
      <c r="HO30" s="301"/>
      <c r="HP30" s="301"/>
      <c r="HQ30" s="301"/>
      <c r="HR30" s="301"/>
      <c r="HS30" s="301"/>
      <c r="HT30" s="301"/>
      <c r="HU30" s="301"/>
      <c r="HV30" s="301"/>
      <c r="HW30" s="301"/>
      <c r="HX30" s="301"/>
      <c r="HY30" s="301"/>
      <c r="HZ30" s="301"/>
      <c r="IA30" s="301"/>
      <c r="IB30" s="301"/>
      <c r="IC30" s="301"/>
      <c r="ID30" s="301"/>
      <c r="IE30" s="301"/>
      <c r="IF30" s="301"/>
      <c r="IG30" s="301"/>
      <c r="IH30" s="301"/>
      <c r="II30" s="301"/>
      <c r="IJ30" s="301"/>
      <c r="IK30" s="301"/>
      <c r="IL30" s="301"/>
      <c r="IM30" s="301"/>
      <c r="IN30" s="301"/>
      <c r="IO30" s="301"/>
      <c r="IP30" s="301"/>
      <c r="IQ30" s="301"/>
      <c r="IR30" s="301"/>
      <c r="IS30" s="301"/>
      <c r="IT30" s="301"/>
      <c r="IU30" s="301"/>
      <c r="IV30" s="301"/>
    </row>
    <row r="31" spans="1:256" ht="15">
      <c r="A31" s="301"/>
      <c r="B31" s="302"/>
      <c r="C31" s="316"/>
      <c r="D31" s="313" t="s">
        <v>829</v>
      </c>
      <c r="E31" s="316"/>
      <c r="F31" s="304"/>
      <c r="G31" s="316"/>
      <c r="H31" s="317"/>
      <c r="I31" s="317"/>
      <c r="J31" s="317"/>
      <c r="K31" s="333">
        <f>SUM(K29:K30)</f>
        <v>20165.571796</v>
      </c>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301"/>
      <c r="AW31" s="301"/>
      <c r="AX31" s="301"/>
      <c r="AY31" s="301"/>
      <c r="AZ31" s="301"/>
      <c r="BA31" s="301"/>
      <c r="BB31" s="301"/>
      <c r="BC31" s="301"/>
      <c r="BD31" s="301"/>
      <c r="BE31" s="301"/>
      <c r="BF31" s="301"/>
      <c r="BG31" s="301"/>
      <c r="BH31" s="301"/>
      <c r="BI31" s="301"/>
      <c r="BJ31" s="301"/>
      <c r="BK31" s="301"/>
      <c r="BL31" s="301"/>
      <c r="BM31" s="301"/>
      <c r="BN31" s="301"/>
      <c r="BO31" s="301"/>
      <c r="BP31" s="301"/>
      <c r="BQ31" s="301"/>
      <c r="BR31" s="301"/>
      <c r="BS31" s="301"/>
      <c r="BT31" s="301"/>
      <c r="BU31" s="301"/>
      <c r="BV31" s="301"/>
      <c r="BW31" s="301"/>
      <c r="BX31" s="301"/>
      <c r="BY31" s="301"/>
      <c r="BZ31" s="301"/>
      <c r="CA31" s="301"/>
      <c r="CB31" s="301"/>
      <c r="CC31" s="301"/>
      <c r="CD31" s="301"/>
      <c r="CE31" s="301"/>
      <c r="CF31" s="301"/>
      <c r="CG31" s="301"/>
      <c r="CH31" s="301"/>
      <c r="CI31" s="301"/>
      <c r="CJ31" s="301"/>
      <c r="CK31" s="301"/>
      <c r="CL31" s="301"/>
      <c r="CM31" s="301"/>
      <c r="CN31" s="301"/>
      <c r="CO31" s="301"/>
      <c r="CP31" s="301"/>
      <c r="CQ31" s="301"/>
      <c r="CR31" s="301"/>
      <c r="CS31" s="301"/>
      <c r="CT31" s="301"/>
      <c r="CU31" s="301"/>
      <c r="CV31" s="301"/>
      <c r="CW31" s="301"/>
      <c r="CX31" s="301"/>
      <c r="CY31" s="301"/>
      <c r="CZ31" s="301"/>
      <c r="DA31" s="301"/>
      <c r="DB31" s="301"/>
      <c r="DC31" s="301"/>
      <c r="DD31" s="301"/>
      <c r="DE31" s="301"/>
      <c r="DF31" s="301"/>
      <c r="DG31" s="301"/>
      <c r="DH31" s="301"/>
      <c r="DI31" s="301"/>
      <c r="DJ31" s="301"/>
      <c r="DK31" s="301"/>
      <c r="DL31" s="301"/>
      <c r="DM31" s="301"/>
      <c r="DN31" s="301"/>
      <c r="DO31" s="301"/>
      <c r="DP31" s="301"/>
      <c r="DQ31" s="301"/>
      <c r="DR31" s="301"/>
      <c r="DS31" s="301"/>
      <c r="DT31" s="301"/>
      <c r="DU31" s="301"/>
      <c r="DV31" s="301"/>
      <c r="DW31" s="301"/>
      <c r="DX31" s="301"/>
      <c r="DY31" s="301"/>
      <c r="DZ31" s="301"/>
      <c r="EA31" s="301"/>
      <c r="EB31" s="301"/>
      <c r="EC31" s="301"/>
      <c r="ED31" s="301"/>
      <c r="EE31" s="301"/>
      <c r="EF31" s="301"/>
      <c r="EG31" s="301"/>
      <c r="EH31" s="301"/>
      <c r="EI31" s="301"/>
      <c r="EJ31" s="301"/>
      <c r="EK31" s="301"/>
      <c r="EL31" s="301"/>
      <c r="EM31" s="301"/>
      <c r="EN31" s="301"/>
      <c r="EO31" s="301"/>
      <c r="EP31" s="301"/>
      <c r="EQ31" s="301"/>
      <c r="ER31" s="301"/>
      <c r="ES31" s="301"/>
      <c r="ET31" s="301"/>
      <c r="EU31" s="301"/>
      <c r="EV31" s="301"/>
      <c r="EW31" s="301"/>
      <c r="EX31" s="301"/>
      <c r="EY31" s="301"/>
      <c r="EZ31" s="301"/>
      <c r="FA31" s="301"/>
      <c r="FB31" s="301"/>
      <c r="FC31" s="301"/>
      <c r="FD31" s="301"/>
      <c r="FE31" s="301"/>
      <c r="FF31" s="301"/>
      <c r="FG31" s="301"/>
      <c r="FH31" s="301"/>
      <c r="FI31" s="301"/>
      <c r="FJ31" s="301"/>
      <c r="FK31" s="301"/>
      <c r="FL31" s="301"/>
      <c r="FM31" s="301"/>
      <c r="FN31" s="301"/>
      <c r="FO31" s="301"/>
      <c r="FP31" s="301"/>
      <c r="FQ31" s="301"/>
      <c r="FR31" s="301"/>
      <c r="FS31" s="301"/>
      <c r="FT31" s="301"/>
      <c r="FU31" s="301"/>
      <c r="FV31" s="301"/>
      <c r="FW31" s="301"/>
      <c r="FX31" s="301"/>
      <c r="FY31" s="301"/>
      <c r="FZ31" s="301"/>
      <c r="GA31" s="301"/>
      <c r="GB31" s="301"/>
      <c r="GC31" s="301"/>
      <c r="GD31" s="301"/>
      <c r="GE31" s="301"/>
      <c r="GF31" s="301"/>
      <c r="GG31" s="301"/>
      <c r="GH31" s="301"/>
      <c r="GI31" s="301"/>
      <c r="GJ31" s="301"/>
      <c r="GK31" s="301"/>
      <c r="GL31" s="301"/>
      <c r="GM31" s="301"/>
      <c r="GN31" s="301"/>
      <c r="GO31" s="301"/>
      <c r="GP31" s="301"/>
      <c r="GQ31" s="301"/>
      <c r="GR31" s="301"/>
      <c r="GS31" s="301"/>
      <c r="GT31" s="301"/>
      <c r="GU31" s="301"/>
      <c r="GV31" s="301"/>
      <c r="GW31" s="301"/>
      <c r="GX31" s="301"/>
      <c r="GY31" s="301"/>
      <c r="GZ31" s="301"/>
      <c r="HA31" s="301"/>
      <c r="HB31" s="301"/>
      <c r="HC31" s="301"/>
      <c r="HD31" s="301"/>
      <c r="HE31" s="301"/>
      <c r="HF31" s="301"/>
      <c r="HG31" s="301"/>
      <c r="HH31" s="301"/>
      <c r="HI31" s="301"/>
      <c r="HJ31" s="301"/>
      <c r="HK31" s="301"/>
      <c r="HL31" s="301"/>
      <c r="HM31" s="301"/>
      <c r="HN31" s="301"/>
      <c r="HO31" s="301"/>
      <c r="HP31" s="301"/>
      <c r="HQ31" s="301"/>
      <c r="HR31" s="301"/>
      <c r="HS31" s="301"/>
      <c r="HT31" s="301"/>
      <c r="HU31" s="301"/>
      <c r="HV31" s="301"/>
      <c r="HW31" s="301"/>
      <c r="HX31" s="301"/>
      <c r="HY31" s="301"/>
      <c r="HZ31" s="301"/>
      <c r="IA31" s="301"/>
      <c r="IB31" s="301"/>
      <c r="IC31" s="301"/>
      <c r="ID31" s="301"/>
      <c r="IE31" s="301"/>
      <c r="IF31" s="301"/>
      <c r="IG31" s="301"/>
      <c r="IH31" s="301"/>
      <c r="II31" s="301"/>
      <c r="IJ31" s="301"/>
      <c r="IK31" s="301"/>
      <c r="IL31" s="301"/>
      <c r="IM31" s="301"/>
      <c r="IN31" s="301"/>
      <c r="IO31" s="301"/>
      <c r="IP31" s="301"/>
      <c r="IQ31" s="301"/>
      <c r="IR31" s="301"/>
      <c r="IS31" s="301"/>
      <c r="IT31" s="301"/>
      <c r="IU31" s="301"/>
      <c r="IV31" s="301"/>
    </row>
    <row r="32" spans="1:256" ht="15">
      <c r="A32" s="301"/>
      <c r="B32" s="302"/>
      <c r="C32" s="316"/>
      <c r="D32" s="316" t="s">
        <v>595</v>
      </c>
      <c r="E32" s="316"/>
      <c r="F32" s="304"/>
      <c r="G32" s="316"/>
      <c r="H32" s="317"/>
      <c r="I32" s="317"/>
      <c r="J32" s="317"/>
      <c r="K32" s="329">
        <f>K31/100</f>
        <v>201.65571796</v>
      </c>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301"/>
      <c r="AW32" s="301"/>
      <c r="AX32" s="301"/>
      <c r="AY32" s="301"/>
      <c r="AZ32" s="301"/>
      <c r="BA32" s="301"/>
      <c r="BB32" s="301"/>
      <c r="BC32" s="301"/>
      <c r="BD32" s="301"/>
      <c r="BE32" s="301"/>
      <c r="BF32" s="301"/>
      <c r="BG32" s="301"/>
      <c r="BH32" s="301"/>
      <c r="BI32" s="301"/>
      <c r="BJ32" s="301"/>
      <c r="BK32" s="301"/>
      <c r="BL32" s="301"/>
      <c r="BM32" s="301"/>
      <c r="BN32" s="301"/>
      <c r="BO32" s="301"/>
      <c r="BP32" s="301"/>
      <c r="BQ32" s="301"/>
      <c r="BR32" s="301"/>
      <c r="BS32" s="301"/>
      <c r="BT32" s="301"/>
      <c r="BU32" s="301"/>
      <c r="BV32" s="301"/>
      <c r="BW32" s="301"/>
      <c r="BX32" s="301"/>
      <c r="BY32" s="301"/>
      <c r="BZ32" s="301"/>
      <c r="CA32" s="301"/>
      <c r="CB32" s="301"/>
      <c r="CC32" s="301"/>
      <c r="CD32" s="301"/>
      <c r="CE32" s="301"/>
      <c r="CF32" s="301"/>
      <c r="CG32" s="301"/>
      <c r="CH32" s="301"/>
      <c r="CI32" s="301"/>
      <c r="CJ32" s="301"/>
      <c r="CK32" s="301"/>
      <c r="CL32" s="301"/>
      <c r="CM32" s="301"/>
      <c r="CN32" s="301"/>
      <c r="CO32" s="301"/>
      <c r="CP32" s="301"/>
      <c r="CQ32" s="301"/>
      <c r="CR32" s="301"/>
      <c r="CS32" s="301"/>
      <c r="CT32" s="301"/>
      <c r="CU32" s="301"/>
      <c r="CV32" s="301"/>
      <c r="CW32" s="301"/>
      <c r="CX32" s="301"/>
      <c r="CY32" s="301"/>
      <c r="CZ32" s="301"/>
      <c r="DA32" s="301"/>
      <c r="DB32" s="301"/>
      <c r="DC32" s="301"/>
      <c r="DD32" s="301"/>
      <c r="DE32" s="301"/>
      <c r="DF32" s="301"/>
      <c r="DG32" s="301"/>
      <c r="DH32" s="301"/>
      <c r="DI32" s="301"/>
      <c r="DJ32" s="301"/>
      <c r="DK32" s="301"/>
      <c r="DL32" s="301"/>
      <c r="DM32" s="301"/>
      <c r="DN32" s="301"/>
      <c r="DO32" s="301"/>
      <c r="DP32" s="301"/>
      <c r="DQ32" s="301"/>
      <c r="DR32" s="301"/>
      <c r="DS32" s="301"/>
      <c r="DT32" s="301"/>
      <c r="DU32" s="301"/>
      <c r="DV32" s="301"/>
      <c r="DW32" s="301"/>
      <c r="DX32" s="301"/>
      <c r="DY32" s="301"/>
      <c r="DZ32" s="301"/>
      <c r="EA32" s="301"/>
      <c r="EB32" s="301"/>
      <c r="EC32" s="301"/>
      <c r="ED32" s="301"/>
      <c r="EE32" s="301"/>
      <c r="EF32" s="301"/>
      <c r="EG32" s="301"/>
      <c r="EH32" s="301"/>
      <c r="EI32" s="301"/>
      <c r="EJ32" s="301"/>
      <c r="EK32" s="301"/>
      <c r="EL32" s="301"/>
      <c r="EM32" s="301"/>
      <c r="EN32" s="301"/>
      <c r="EO32" s="301"/>
      <c r="EP32" s="301"/>
      <c r="EQ32" s="301"/>
      <c r="ER32" s="301"/>
      <c r="ES32" s="301"/>
      <c r="ET32" s="301"/>
      <c r="EU32" s="301"/>
      <c r="EV32" s="301"/>
      <c r="EW32" s="301"/>
      <c r="EX32" s="301"/>
      <c r="EY32" s="301"/>
      <c r="EZ32" s="301"/>
      <c r="FA32" s="301"/>
      <c r="FB32" s="301"/>
      <c r="FC32" s="301"/>
      <c r="FD32" s="301"/>
      <c r="FE32" s="301"/>
      <c r="FF32" s="301"/>
      <c r="FG32" s="301"/>
      <c r="FH32" s="301"/>
      <c r="FI32" s="301"/>
      <c r="FJ32" s="301"/>
      <c r="FK32" s="301"/>
      <c r="FL32" s="301"/>
      <c r="FM32" s="301"/>
      <c r="FN32" s="301"/>
      <c r="FO32" s="301"/>
      <c r="FP32" s="301"/>
      <c r="FQ32" s="301"/>
      <c r="FR32" s="301"/>
      <c r="FS32" s="301"/>
      <c r="FT32" s="301"/>
      <c r="FU32" s="301"/>
      <c r="FV32" s="301"/>
      <c r="FW32" s="301"/>
      <c r="FX32" s="301"/>
      <c r="FY32" s="301"/>
      <c r="FZ32" s="301"/>
      <c r="GA32" s="301"/>
      <c r="GB32" s="301"/>
      <c r="GC32" s="301"/>
      <c r="GD32" s="301"/>
      <c r="GE32" s="301"/>
      <c r="GF32" s="301"/>
      <c r="GG32" s="301"/>
      <c r="GH32" s="301"/>
      <c r="GI32" s="301"/>
      <c r="GJ32" s="301"/>
      <c r="GK32" s="301"/>
      <c r="GL32" s="301"/>
      <c r="GM32" s="301"/>
      <c r="GN32" s="301"/>
      <c r="GO32" s="301"/>
      <c r="GP32" s="301"/>
      <c r="GQ32" s="301"/>
      <c r="GR32" s="301"/>
      <c r="GS32" s="301"/>
      <c r="GT32" s="301"/>
      <c r="GU32" s="301"/>
      <c r="GV32" s="301"/>
      <c r="GW32" s="301"/>
      <c r="GX32" s="301"/>
      <c r="GY32" s="301"/>
      <c r="GZ32" s="301"/>
      <c r="HA32" s="301"/>
      <c r="HB32" s="301"/>
      <c r="HC32" s="301"/>
      <c r="HD32" s="301"/>
      <c r="HE32" s="301"/>
      <c r="HF32" s="301"/>
      <c r="HG32" s="301"/>
      <c r="HH32" s="301"/>
      <c r="HI32" s="301"/>
      <c r="HJ32" s="301"/>
      <c r="HK32" s="301"/>
      <c r="HL32" s="301"/>
      <c r="HM32" s="301"/>
      <c r="HN32" s="301"/>
      <c r="HO32" s="301"/>
      <c r="HP32" s="301"/>
      <c r="HQ32" s="301"/>
      <c r="HR32" s="301"/>
      <c r="HS32" s="301"/>
      <c r="HT32" s="301"/>
      <c r="HU32" s="301"/>
      <c r="HV32" s="301"/>
      <c r="HW32" s="301"/>
      <c r="HX32" s="301"/>
      <c r="HY32" s="301"/>
      <c r="HZ32" s="301"/>
      <c r="IA32" s="301"/>
      <c r="IB32" s="301"/>
      <c r="IC32" s="301"/>
      <c r="ID32" s="301"/>
      <c r="IE32" s="301"/>
      <c r="IF32" s="301"/>
      <c r="IG32" s="301"/>
      <c r="IH32" s="301"/>
      <c r="II32" s="301"/>
      <c r="IJ32" s="301"/>
      <c r="IK32" s="301"/>
      <c r="IL32" s="301"/>
      <c r="IM32" s="301"/>
      <c r="IN32" s="301"/>
      <c r="IO32" s="301"/>
      <c r="IP32" s="301"/>
      <c r="IQ32" s="301"/>
      <c r="IR32" s="301"/>
      <c r="IS32" s="301"/>
      <c r="IT32" s="301"/>
      <c r="IU32" s="301"/>
      <c r="IV32" s="301"/>
    </row>
    <row r="33" spans="1:256" ht="15">
      <c r="A33" s="301"/>
      <c r="B33" s="302"/>
      <c r="C33" s="307"/>
      <c r="D33" s="306"/>
      <c r="E33" s="1535" t="s">
        <v>830</v>
      </c>
      <c r="F33" s="1536"/>
      <c r="G33" s="306"/>
      <c r="H33" s="306"/>
      <c r="I33" s="321"/>
      <c r="J33" s="306"/>
      <c r="K33" s="335">
        <f>ROUND(K32,0)</f>
        <v>202</v>
      </c>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301"/>
      <c r="AW33" s="301"/>
      <c r="AX33" s="301"/>
      <c r="AY33" s="301"/>
      <c r="AZ33" s="301"/>
      <c r="BA33" s="301"/>
      <c r="BB33" s="301"/>
      <c r="BC33" s="301"/>
      <c r="BD33" s="301"/>
      <c r="BE33" s="301"/>
      <c r="BF33" s="301"/>
      <c r="BG33" s="301"/>
      <c r="BH33" s="301"/>
      <c r="BI33" s="301"/>
      <c r="BJ33" s="301"/>
      <c r="BK33" s="301"/>
      <c r="BL33" s="301"/>
      <c r="BM33" s="301"/>
      <c r="BN33" s="301"/>
      <c r="BO33" s="301"/>
      <c r="BP33" s="301"/>
      <c r="BQ33" s="301"/>
      <c r="BR33" s="301"/>
      <c r="BS33" s="301"/>
      <c r="BT33" s="301"/>
      <c r="BU33" s="301"/>
      <c r="BV33" s="301"/>
      <c r="BW33" s="301"/>
      <c r="BX33" s="301"/>
      <c r="BY33" s="301"/>
      <c r="BZ33" s="301"/>
      <c r="CA33" s="301"/>
      <c r="CB33" s="301"/>
      <c r="CC33" s="301"/>
      <c r="CD33" s="301"/>
      <c r="CE33" s="301"/>
      <c r="CF33" s="301"/>
      <c r="CG33" s="301"/>
      <c r="CH33" s="301"/>
      <c r="CI33" s="301"/>
      <c r="CJ33" s="301"/>
      <c r="CK33" s="301"/>
      <c r="CL33" s="301"/>
      <c r="CM33" s="301"/>
      <c r="CN33" s="301"/>
      <c r="CO33" s="301"/>
      <c r="CP33" s="301"/>
      <c r="CQ33" s="301"/>
      <c r="CR33" s="301"/>
      <c r="CS33" s="301"/>
      <c r="CT33" s="301"/>
      <c r="CU33" s="301"/>
      <c r="CV33" s="301"/>
      <c r="CW33" s="301"/>
      <c r="CX33" s="301"/>
      <c r="CY33" s="301"/>
      <c r="CZ33" s="301"/>
      <c r="DA33" s="301"/>
      <c r="DB33" s="301"/>
      <c r="DC33" s="301"/>
      <c r="DD33" s="301"/>
      <c r="DE33" s="301"/>
      <c r="DF33" s="301"/>
      <c r="DG33" s="301"/>
      <c r="DH33" s="301"/>
      <c r="DI33" s="301"/>
      <c r="DJ33" s="301"/>
      <c r="DK33" s="301"/>
      <c r="DL33" s="301"/>
      <c r="DM33" s="301"/>
      <c r="DN33" s="301"/>
      <c r="DO33" s="301"/>
      <c r="DP33" s="301"/>
      <c r="DQ33" s="301"/>
      <c r="DR33" s="301"/>
      <c r="DS33" s="301"/>
      <c r="DT33" s="301"/>
      <c r="DU33" s="301"/>
      <c r="DV33" s="301"/>
      <c r="DW33" s="301"/>
      <c r="DX33" s="301"/>
      <c r="DY33" s="301"/>
      <c r="DZ33" s="301"/>
      <c r="EA33" s="301"/>
      <c r="EB33" s="301"/>
      <c r="EC33" s="301"/>
      <c r="ED33" s="301"/>
      <c r="EE33" s="301"/>
      <c r="EF33" s="301"/>
      <c r="EG33" s="301"/>
      <c r="EH33" s="301"/>
      <c r="EI33" s="301"/>
      <c r="EJ33" s="301"/>
      <c r="EK33" s="301"/>
      <c r="EL33" s="301"/>
      <c r="EM33" s="301"/>
      <c r="EN33" s="301"/>
      <c r="EO33" s="301"/>
      <c r="EP33" s="301"/>
      <c r="EQ33" s="301"/>
      <c r="ER33" s="301"/>
      <c r="ES33" s="301"/>
      <c r="ET33" s="301"/>
      <c r="EU33" s="301"/>
      <c r="EV33" s="301"/>
      <c r="EW33" s="301"/>
      <c r="EX33" s="301"/>
      <c r="EY33" s="301"/>
      <c r="EZ33" s="301"/>
      <c r="FA33" s="301"/>
      <c r="FB33" s="301"/>
      <c r="FC33" s="301"/>
      <c r="FD33" s="301"/>
      <c r="FE33" s="301"/>
      <c r="FF33" s="301"/>
      <c r="FG33" s="301"/>
      <c r="FH33" s="301"/>
      <c r="FI33" s="301"/>
      <c r="FJ33" s="301"/>
      <c r="FK33" s="301"/>
      <c r="FL33" s="301"/>
      <c r="FM33" s="301"/>
      <c r="FN33" s="301"/>
      <c r="FO33" s="301"/>
      <c r="FP33" s="301"/>
      <c r="FQ33" s="301"/>
      <c r="FR33" s="301"/>
      <c r="FS33" s="301"/>
      <c r="FT33" s="301"/>
      <c r="FU33" s="301"/>
      <c r="FV33" s="301"/>
      <c r="FW33" s="301"/>
      <c r="FX33" s="301"/>
      <c r="FY33" s="301"/>
      <c r="FZ33" s="301"/>
      <c r="GA33" s="301"/>
      <c r="GB33" s="301"/>
      <c r="GC33" s="301"/>
      <c r="GD33" s="301"/>
      <c r="GE33" s="301"/>
      <c r="GF33" s="301"/>
      <c r="GG33" s="301"/>
      <c r="GH33" s="301"/>
      <c r="GI33" s="301"/>
      <c r="GJ33" s="301"/>
      <c r="GK33" s="301"/>
      <c r="GL33" s="301"/>
      <c r="GM33" s="301"/>
      <c r="GN33" s="301"/>
      <c r="GO33" s="301"/>
      <c r="GP33" s="301"/>
      <c r="GQ33" s="301"/>
      <c r="GR33" s="301"/>
      <c r="GS33" s="301"/>
      <c r="GT33" s="301"/>
      <c r="GU33" s="301"/>
      <c r="GV33" s="301"/>
      <c r="GW33" s="301"/>
      <c r="GX33" s="301"/>
      <c r="GY33" s="301"/>
      <c r="GZ33" s="301"/>
      <c r="HA33" s="301"/>
      <c r="HB33" s="301"/>
      <c r="HC33" s="301"/>
      <c r="HD33" s="301"/>
      <c r="HE33" s="301"/>
      <c r="HF33" s="301"/>
      <c r="HG33" s="301"/>
      <c r="HH33" s="301"/>
      <c r="HI33" s="301"/>
      <c r="HJ33" s="301"/>
      <c r="HK33" s="301"/>
      <c r="HL33" s="301"/>
      <c r="HM33" s="301"/>
      <c r="HN33" s="301"/>
      <c r="HO33" s="301"/>
      <c r="HP33" s="301"/>
      <c r="HQ33" s="301"/>
      <c r="HR33" s="301"/>
      <c r="HS33" s="301"/>
      <c r="HT33" s="301"/>
      <c r="HU33" s="301"/>
      <c r="HV33" s="301"/>
      <c r="HW33" s="301"/>
      <c r="HX33" s="301"/>
      <c r="HY33" s="301"/>
      <c r="HZ33" s="301"/>
      <c r="IA33" s="301"/>
      <c r="IB33" s="301"/>
      <c r="IC33" s="301"/>
      <c r="ID33" s="301"/>
      <c r="IE33" s="301"/>
      <c r="IF33" s="301"/>
      <c r="IG33" s="301"/>
      <c r="IH33" s="301"/>
      <c r="II33" s="301"/>
      <c r="IJ33" s="301"/>
      <c r="IK33" s="301"/>
      <c r="IL33" s="301"/>
      <c r="IM33" s="301"/>
      <c r="IN33" s="301"/>
      <c r="IO33" s="301"/>
      <c r="IP33" s="301"/>
      <c r="IQ33" s="301"/>
      <c r="IR33" s="301"/>
      <c r="IS33" s="301"/>
      <c r="IT33" s="301"/>
      <c r="IU33" s="301"/>
      <c r="IV33" s="301"/>
    </row>
    <row r="34" spans="1:256" ht="15">
      <c r="A34" s="301"/>
      <c r="B34" s="302"/>
      <c r="C34" s="307"/>
      <c r="D34" s="306"/>
      <c r="E34" s="336"/>
      <c r="F34" s="304"/>
      <c r="G34" s="306"/>
      <c r="H34" s="306"/>
      <c r="I34" s="321"/>
      <c r="J34" s="306"/>
      <c r="K34" s="337" t="s">
        <v>367</v>
      </c>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301"/>
      <c r="AU34" s="301"/>
      <c r="AV34" s="301"/>
      <c r="AW34" s="301"/>
      <c r="AX34" s="301"/>
      <c r="AY34" s="301"/>
      <c r="AZ34" s="301"/>
      <c r="BA34" s="301"/>
      <c r="BB34" s="301"/>
      <c r="BC34" s="301"/>
      <c r="BD34" s="301"/>
      <c r="BE34" s="301"/>
      <c r="BF34" s="301"/>
      <c r="BG34" s="301"/>
      <c r="BH34" s="301"/>
      <c r="BI34" s="301"/>
      <c r="BJ34" s="301"/>
      <c r="BK34" s="301"/>
      <c r="BL34" s="301"/>
      <c r="BM34" s="301"/>
      <c r="BN34" s="301"/>
      <c r="BO34" s="301"/>
      <c r="BP34" s="301"/>
      <c r="BQ34" s="301"/>
      <c r="BR34" s="301"/>
      <c r="BS34" s="301"/>
      <c r="BT34" s="301"/>
      <c r="BU34" s="301"/>
      <c r="BV34" s="301"/>
      <c r="BW34" s="301"/>
      <c r="BX34" s="301"/>
      <c r="BY34" s="301"/>
      <c r="BZ34" s="301"/>
      <c r="CA34" s="301"/>
      <c r="CB34" s="301"/>
      <c r="CC34" s="301"/>
      <c r="CD34" s="301"/>
      <c r="CE34" s="301"/>
      <c r="CF34" s="301"/>
      <c r="CG34" s="301"/>
      <c r="CH34" s="301"/>
      <c r="CI34" s="301"/>
      <c r="CJ34" s="301"/>
      <c r="CK34" s="301"/>
      <c r="CL34" s="301"/>
      <c r="CM34" s="301"/>
      <c r="CN34" s="301"/>
      <c r="CO34" s="301"/>
      <c r="CP34" s="301"/>
      <c r="CQ34" s="301"/>
      <c r="CR34" s="301"/>
      <c r="CS34" s="301"/>
      <c r="CT34" s="301"/>
      <c r="CU34" s="301"/>
      <c r="CV34" s="301"/>
      <c r="CW34" s="301"/>
      <c r="CX34" s="301"/>
      <c r="CY34" s="301"/>
      <c r="CZ34" s="301"/>
      <c r="DA34" s="301"/>
      <c r="DB34" s="301"/>
      <c r="DC34" s="301"/>
      <c r="DD34" s="301"/>
      <c r="DE34" s="301"/>
      <c r="DF34" s="301"/>
      <c r="DG34" s="301"/>
      <c r="DH34" s="301"/>
      <c r="DI34" s="301"/>
      <c r="DJ34" s="301"/>
      <c r="DK34" s="301"/>
      <c r="DL34" s="301"/>
      <c r="DM34" s="301"/>
      <c r="DN34" s="301"/>
      <c r="DO34" s="301"/>
      <c r="DP34" s="301"/>
      <c r="DQ34" s="301"/>
      <c r="DR34" s="301"/>
      <c r="DS34" s="301"/>
      <c r="DT34" s="301"/>
      <c r="DU34" s="301"/>
      <c r="DV34" s="301"/>
      <c r="DW34" s="301"/>
      <c r="DX34" s="301"/>
      <c r="DY34" s="301"/>
      <c r="DZ34" s="301"/>
      <c r="EA34" s="301"/>
      <c r="EB34" s="301"/>
      <c r="EC34" s="301"/>
      <c r="ED34" s="301"/>
      <c r="EE34" s="301"/>
      <c r="EF34" s="301"/>
      <c r="EG34" s="301"/>
      <c r="EH34" s="301"/>
      <c r="EI34" s="301"/>
      <c r="EJ34" s="301"/>
      <c r="EK34" s="301"/>
      <c r="EL34" s="301"/>
      <c r="EM34" s="301"/>
      <c r="EN34" s="301"/>
      <c r="EO34" s="301"/>
      <c r="EP34" s="301"/>
      <c r="EQ34" s="301"/>
      <c r="ER34" s="301"/>
      <c r="ES34" s="301"/>
      <c r="ET34" s="301"/>
      <c r="EU34" s="301"/>
      <c r="EV34" s="301"/>
      <c r="EW34" s="301"/>
      <c r="EX34" s="301"/>
      <c r="EY34" s="301"/>
      <c r="EZ34" s="301"/>
      <c r="FA34" s="301"/>
      <c r="FB34" s="301"/>
      <c r="FC34" s="301"/>
      <c r="FD34" s="301"/>
      <c r="FE34" s="301"/>
      <c r="FF34" s="301"/>
      <c r="FG34" s="301"/>
      <c r="FH34" s="301"/>
      <c r="FI34" s="301"/>
      <c r="FJ34" s="301"/>
      <c r="FK34" s="301"/>
      <c r="FL34" s="301"/>
      <c r="FM34" s="301"/>
      <c r="FN34" s="301"/>
      <c r="FO34" s="301"/>
      <c r="FP34" s="301"/>
      <c r="FQ34" s="301"/>
      <c r="FR34" s="301"/>
      <c r="FS34" s="301"/>
      <c r="FT34" s="301"/>
      <c r="FU34" s="301"/>
      <c r="FV34" s="301"/>
      <c r="FW34" s="301"/>
      <c r="FX34" s="301"/>
      <c r="FY34" s="301"/>
      <c r="FZ34" s="301"/>
      <c r="GA34" s="301"/>
      <c r="GB34" s="301"/>
      <c r="GC34" s="301"/>
      <c r="GD34" s="301"/>
      <c r="GE34" s="301"/>
      <c r="GF34" s="301"/>
      <c r="GG34" s="301"/>
      <c r="GH34" s="301"/>
      <c r="GI34" s="301"/>
      <c r="GJ34" s="301"/>
      <c r="GK34" s="301"/>
      <c r="GL34" s="301"/>
      <c r="GM34" s="301"/>
      <c r="GN34" s="301"/>
      <c r="GO34" s="301"/>
      <c r="GP34" s="301"/>
      <c r="GQ34" s="301"/>
      <c r="GR34" s="301"/>
      <c r="GS34" s="301"/>
      <c r="GT34" s="301"/>
      <c r="GU34" s="301"/>
      <c r="GV34" s="301"/>
      <c r="GW34" s="301"/>
      <c r="GX34" s="301"/>
      <c r="GY34" s="301"/>
      <c r="GZ34" s="301"/>
      <c r="HA34" s="301"/>
      <c r="HB34" s="301"/>
      <c r="HC34" s="301"/>
      <c r="HD34" s="301"/>
      <c r="HE34" s="301"/>
      <c r="HF34" s="301"/>
      <c r="HG34" s="301"/>
      <c r="HH34" s="301"/>
      <c r="HI34" s="301"/>
      <c r="HJ34" s="301"/>
      <c r="HK34" s="301"/>
      <c r="HL34" s="301"/>
      <c r="HM34" s="301"/>
      <c r="HN34" s="301"/>
      <c r="HO34" s="301"/>
      <c r="HP34" s="301"/>
      <c r="HQ34" s="301"/>
      <c r="HR34" s="301"/>
      <c r="HS34" s="301"/>
      <c r="HT34" s="301"/>
      <c r="HU34" s="301"/>
      <c r="HV34" s="301"/>
      <c r="HW34" s="301"/>
      <c r="HX34" s="301"/>
      <c r="HY34" s="301"/>
      <c r="HZ34" s="301"/>
      <c r="IA34" s="301"/>
      <c r="IB34" s="301"/>
      <c r="IC34" s="301"/>
      <c r="ID34" s="301"/>
      <c r="IE34" s="301"/>
      <c r="IF34" s="301"/>
      <c r="IG34" s="301"/>
      <c r="IH34" s="301"/>
      <c r="II34" s="301"/>
      <c r="IJ34" s="301"/>
      <c r="IK34" s="301"/>
      <c r="IL34" s="301"/>
      <c r="IM34" s="301"/>
      <c r="IN34" s="301"/>
      <c r="IO34" s="301"/>
      <c r="IP34" s="301"/>
      <c r="IQ34" s="301"/>
      <c r="IR34" s="301"/>
      <c r="IS34" s="301"/>
      <c r="IT34" s="301"/>
      <c r="IU34" s="301"/>
      <c r="IV34" s="301"/>
    </row>
    <row r="35" spans="1:256" ht="15" hidden="1">
      <c r="A35" s="301"/>
      <c r="B35" s="302">
        <v>2</v>
      </c>
      <c r="C35" s="1540" t="s">
        <v>831</v>
      </c>
      <c r="D35" s="1534"/>
      <c r="E35" s="1534"/>
      <c r="F35" s="1534"/>
      <c r="G35" s="1534"/>
      <c r="H35" s="1534"/>
      <c r="I35" s="1534"/>
      <c r="J35" s="1534"/>
      <c r="K35" s="1534"/>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301"/>
      <c r="AU35" s="301"/>
      <c r="AV35" s="301"/>
      <c r="AW35" s="301"/>
      <c r="AX35" s="301"/>
      <c r="AY35" s="301"/>
      <c r="AZ35" s="301"/>
      <c r="BA35" s="301"/>
      <c r="BB35" s="301"/>
      <c r="BC35" s="301"/>
      <c r="BD35" s="301"/>
      <c r="BE35" s="301"/>
      <c r="BF35" s="301"/>
      <c r="BG35" s="301"/>
      <c r="BH35" s="301"/>
      <c r="BI35" s="301"/>
      <c r="BJ35" s="301"/>
      <c r="BK35" s="301"/>
      <c r="BL35" s="301"/>
      <c r="BM35" s="301"/>
      <c r="BN35" s="301"/>
      <c r="BO35" s="301"/>
      <c r="BP35" s="301"/>
      <c r="BQ35" s="301"/>
      <c r="BR35" s="301"/>
      <c r="BS35" s="301"/>
      <c r="BT35" s="301"/>
      <c r="BU35" s="301"/>
      <c r="BV35" s="301"/>
      <c r="BW35" s="301"/>
      <c r="BX35" s="301"/>
      <c r="BY35" s="301"/>
      <c r="BZ35" s="301"/>
      <c r="CA35" s="301"/>
      <c r="CB35" s="301"/>
      <c r="CC35" s="301"/>
      <c r="CD35" s="301"/>
      <c r="CE35" s="301"/>
      <c r="CF35" s="301"/>
      <c r="CG35" s="301"/>
      <c r="CH35" s="301"/>
      <c r="CI35" s="301"/>
      <c r="CJ35" s="301"/>
      <c r="CK35" s="301"/>
      <c r="CL35" s="301"/>
      <c r="CM35" s="301"/>
      <c r="CN35" s="301"/>
      <c r="CO35" s="301"/>
      <c r="CP35" s="301"/>
      <c r="CQ35" s="301"/>
      <c r="CR35" s="301"/>
      <c r="CS35" s="301"/>
      <c r="CT35" s="301"/>
      <c r="CU35" s="301"/>
      <c r="CV35" s="301"/>
      <c r="CW35" s="301"/>
      <c r="CX35" s="301"/>
      <c r="CY35" s="301"/>
      <c r="CZ35" s="301"/>
      <c r="DA35" s="301"/>
      <c r="DB35" s="301"/>
      <c r="DC35" s="301"/>
      <c r="DD35" s="301"/>
      <c r="DE35" s="301"/>
      <c r="DF35" s="301"/>
      <c r="DG35" s="301"/>
      <c r="DH35" s="301"/>
      <c r="DI35" s="301"/>
      <c r="DJ35" s="301"/>
      <c r="DK35" s="301"/>
      <c r="DL35" s="301"/>
      <c r="DM35" s="301"/>
      <c r="DN35" s="301"/>
      <c r="DO35" s="301"/>
      <c r="DP35" s="301"/>
      <c r="DQ35" s="301"/>
      <c r="DR35" s="301"/>
      <c r="DS35" s="301"/>
      <c r="DT35" s="301"/>
      <c r="DU35" s="301"/>
      <c r="DV35" s="301"/>
      <c r="DW35" s="301"/>
      <c r="DX35" s="301"/>
      <c r="DY35" s="301"/>
      <c r="DZ35" s="301"/>
      <c r="EA35" s="301"/>
      <c r="EB35" s="301"/>
      <c r="EC35" s="301"/>
      <c r="ED35" s="301"/>
      <c r="EE35" s="301"/>
      <c r="EF35" s="301"/>
      <c r="EG35" s="301"/>
      <c r="EH35" s="301"/>
      <c r="EI35" s="301"/>
      <c r="EJ35" s="301"/>
      <c r="EK35" s="301"/>
      <c r="EL35" s="301"/>
      <c r="EM35" s="301"/>
      <c r="EN35" s="301"/>
      <c r="EO35" s="301"/>
      <c r="EP35" s="301"/>
      <c r="EQ35" s="301"/>
      <c r="ER35" s="301"/>
      <c r="ES35" s="301"/>
      <c r="ET35" s="301"/>
      <c r="EU35" s="301"/>
      <c r="EV35" s="301"/>
      <c r="EW35" s="301"/>
      <c r="EX35" s="301"/>
      <c r="EY35" s="301"/>
      <c r="EZ35" s="301"/>
      <c r="FA35" s="301"/>
      <c r="FB35" s="301"/>
      <c r="FC35" s="301"/>
      <c r="FD35" s="301"/>
      <c r="FE35" s="301"/>
      <c r="FF35" s="301"/>
      <c r="FG35" s="301"/>
      <c r="FH35" s="301"/>
      <c r="FI35" s="301"/>
      <c r="FJ35" s="301"/>
      <c r="FK35" s="301"/>
      <c r="FL35" s="301"/>
      <c r="FM35" s="301"/>
      <c r="FN35" s="301"/>
      <c r="FO35" s="301"/>
      <c r="FP35" s="301"/>
      <c r="FQ35" s="301"/>
      <c r="FR35" s="301"/>
      <c r="FS35" s="301"/>
      <c r="FT35" s="301"/>
      <c r="FU35" s="301"/>
      <c r="FV35" s="301"/>
      <c r="FW35" s="301"/>
      <c r="FX35" s="301"/>
      <c r="FY35" s="301"/>
      <c r="FZ35" s="301"/>
      <c r="GA35" s="301"/>
      <c r="GB35" s="301"/>
      <c r="GC35" s="301"/>
      <c r="GD35" s="301"/>
      <c r="GE35" s="301"/>
      <c r="GF35" s="301"/>
      <c r="GG35" s="301"/>
      <c r="GH35" s="301"/>
      <c r="GI35" s="301"/>
      <c r="GJ35" s="301"/>
      <c r="GK35" s="301"/>
      <c r="GL35" s="301"/>
      <c r="GM35" s="301"/>
      <c r="GN35" s="301"/>
      <c r="GO35" s="301"/>
      <c r="GP35" s="301"/>
      <c r="GQ35" s="301"/>
      <c r="GR35" s="301"/>
      <c r="GS35" s="301"/>
      <c r="GT35" s="301"/>
      <c r="GU35" s="301"/>
      <c r="GV35" s="301"/>
      <c r="GW35" s="301"/>
      <c r="GX35" s="301"/>
      <c r="GY35" s="301"/>
      <c r="GZ35" s="301"/>
      <c r="HA35" s="301"/>
      <c r="HB35" s="301"/>
      <c r="HC35" s="301"/>
      <c r="HD35" s="301"/>
      <c r="HE35" s="301"/>
      <c r="HF35" s="301"/>
      <c r="HG35" s="301"/>
      <c r="HH35" s="301"/>
      <c r="HI35" s="301"/>
      <c r="HJ35" s="301"/>
      <c r="HK35" s="301"/>
      <c r="HL35" s="301"/>
      <c r="HM35" s="301"/>
      <c r="HN35" s="301"/>
      <c r="HO35" s="301"/>
      <c r="HP35" s="301"/>
      <c r="HQ35" s="301"/>
      <c r="HR35" s="301"/>
      <c r="HS35" s="301"/>
      <c r="HT35" s="301"/>
      <c r="HU35" s="301"/>
      <c r="HV35" s="301"/>
      <c r="HW35" s="301"/>
      <c r="HX35" s="301"/>
      <c r="HY35" s="301"/>
      <c r="HZ35" s="301"/>
      <c r="IA35" s="301"/>
      <c r="IB35" s="301"/>
      <c r="IC35" s="301"/>
      <c r="ID35" s="301"/>
      <c r="IE35" s="301"/>
      <c r="IF35" s="301"/>
      <c r="IG35" s="301"/>
      <c r="IH35" s="301"/>
      <c r="II35" s="301"/>
      <c r="IJ35" s="301"/>
      <c r="IK35" s="301"/>
      <c r="IL35" s="301"/>
      <c r="IM35" s="301"/>
      <c r="IN35" s="301"/>
      <c r="IO35" s="301"/>
      <c r="IP35" s="301"/>
      <c r="IQ35" s="301"/>
      <c r="IR35" s="301"/>
      <c r="IS35" s="301"/>
      <c r="IT35" s="301"/>
      <c r="IU35" s="301"/>
      <c r="IV35" s="301"/>
    </row>
    <row r="36" spans="1:256" ht="15" hidden="1">
      <c r="A36" s="301"/>
      <c r="B36" s="302"/>
      <c r="C36" s="1534"/>
      <c r="D36" s="1534"/>
      <c r="E36" s="1534"/>
      <c r="F36" s="1534"/>
      <c r="G36" s="1534"/>
      <c r="H36" s="1534"/>
      <c r="I36" s="1534"/>
      <c r="J36" s="1534"/>
      <c r="K36" s="1534"/>
      <c r="L36" s="301"/>
      <c r="M36" s="301"/>
      <c r="N36" s="301"/>
      <c r="O36" s="301"/>
      <c r="P36" s="301"/>
      <c r="Q36" s="301"/>
      <c r="R36" s="301"/>
      <c r="S36" s="301"/>
      <c r="T36" s="301"/>
      <c r="U36" s="301"/>
      <c r="V36" s="301"/>
      <c r="W36" s="301"/>
      <c r="X36" s="301"/>
      <c r="Y36" s="301"/>
      <c r="Z36" s="301"/>
      <c r="AA36" s="301"/>
      <c r="AB36" s="301"/>
      <c r="AC36" s="301"/>
      <c r="AD36" s="301"/>
      <c r="AE36" s="301"/>
      <c r="AF36" s="301"/>
      <c r="AG36" s="301"/>
      <c r="AH36" s="301"/>
      <c r="AI36" s="301"/>
      <c r="AJ36" s="301"/>
      <c r="AK36" s="301"/>
      <c r="AL36" s="301"/>
      <c r="AM36" s="301"/>
      <c r="AN36" s="301"/>
      <c r="AO36" s="301"/>
      <c r="AP36" s="301"/>
      <c r="AQ36" s="301"/>
      <c r="AR36" s="301"/>
      <c r="AS36" s="301"/>
      <c r="AT36" s="301"/>
      <c r="AU36" s="301"/>
      <c r="AV36" s="301"/>
      <c r="AW36" s="301"/>
      <c r="AX36" s="301"/>
      <c r="AY36" s="301"/>
      <c r="AZ36" s="301"/>
      <c r="BA36" s="301"/>
      <c r="BB36" s="301"/>
      <c r="BC36" s="301"/>
      <c r="BD36" s="301"/>
      <c r="BE36" s="301"/>
      <c r="BF36" s="301"/>
      <c r="BG36" s="301"/>
      <c r="BH36" s="301"/>
      <c r="BI36" s="301"/>
      <c r="BJ36" s="301"/>
      <c r="BK36" s="301"/>
      <c r="BL36" s="301"/>
      <c r="BM36" s="301"/>
      <c r="BN36" s="301"/>
      <c r="BO36" s="301"/>
      <c r="BP36" s="301"/>
      <c r="BQ36" s="301"/>
      <c r="BR36" s="301"/>
      <c r="BS36" s="301"/>
      <c r="BT36" s="301"/>
      <c r="BU36" s="301"/>
      <c r="BV36" s="301"/>
      <c r="BW36" s="301"/>
      <c r="BX36" s="301"/>
      <c r="BY36" s="301"/>
      <c r="BZ36" s="301"/>
      <c r="CA36" s="301"/>
      <c r="CB36" s="301"/>
      <c r="CC36" s="301"/>
      <c r="CD36" s="301"/>
      <c r="CE36" s="301"/>
      <c r="CF36" s="301"/>
      <c r="CG36" s="301"/>
      <c r="CH36" s="301"/>
      <c r="CI36" s="301"/>
      <c r="CJ36" s="301"/>
      <c r="CK36" s="301"/>
      <c r="CL36" s="301"/>
      <c r="CM36" s="301"/>
      <c r="CN36" s="301"/>
      <c r="CO36" s="301"/>
      <c r="CP36" s="301"/>
      <c r="CQ36" s="301"/>
      <c r="CR36" s="301"/>
      <c r="CS36" s="301"/>
      <c r="CT36" s="301"/>
      <c r="CU36" s="301"/>
      <c r="CV36" s="301"/>
      <c r="CW36" s="301"/>
      <c r="CX36" s="301"/>
      <c r="CY36" s="301"/>
      <c r="CZ36" s="301"/>
      <c r="DA36" s="301"/>
      <c r="DB36" s="301"/>
      <c r="DC36" s="301"/>
      <c r="DD36" s="301"/>
      <c r="DE36" s="301"/>
      <c r="DF36" s="301"/>
      <c r="DG36" s="301"/>
      <c r="DH36" s="301"/>
      <c r="DI36" s="301"/>
      <c r="DJ36" s="301"/>
      <c r="DK36" s="301"/>
      <c r="DL36" s="301"/>
      <c r="DM36" s="301"/>
      <c r="DN36" s="301"/>
      <c r="DO36" s="301"/>
      <c r="DP36" s="301"/>
      <c r="DQ36" s="301"/>
      <c r="DR36" s="301"/>
      <c r="DS36" s="301"/>
      <c r="DT36" s="301"/>
      <c r="DU36" s="301"/>
      <c r="DV36" s="301"/>
      <c r="DW36" s="301"/>
      <c r="DX36" s="301"/>
      <c r="DY36" s="301"/>
      <c r="DZ36" s="301"/>
      <c r="EA36" s="301"/>
      <c r="EB36" s="301"/>
      <c r="EC36" s="301"/>
      <c r="ED36" s="301"/>
      <c r="EE36" s="301"/>
      <c r="EF36" s="301"/>
      <c r="EG36" s="301"/>
      <c r="EH36" s="301"/>
      <c r="EI36" s="301"/>
      <c r="EJ36" s="301"/>
      <c r="EK36" s="301"/>
      <c r="EL36" s="301"/>
      <c r="EM36" s="301"/>
      <c r="EN36" s="301"/>
      <c r="EO36" s="301"/>
      <c r="EP36" s="301"/>
      <c r="EQ36" s="301"/>
      <c r="ER36" s="301"/>
      <c r="ES36" s="301"/>
      <c r="ET36" s="301"/>
      <c r="EU36" s="301"/>
      <c r="EV36" s="301"/>
      <c r="EW36" s="301"/>
      <c r="EX36" s="301"/>
      <c r="EY36" s="301"/>
      <c r="EZ36" s="301"/>
      <c r="FA36" s="301"/>
      <c r="FB36" s="301"/>
      <c r="FC36" s="301"/>
      <c r="FD36" s="301"/>
      <c r="FE36" s="301"/>
      <c r="FF36" s="301"/>
      <c r="FG36" s="301"/>
      <c r="FH36" s="301"/>
      <c r="FI36" s="301"/>
      <c r="FJ36" s="301"/>
      <c r="FK36" s="301"/>
      <c r="FL36" s="301"/>
      <c r="FM36" s="301"/>
      <c r="FN36" s="301"/>
      <c r="FO36" s="301"/>
      <c r="FP36" s="301"/>
      <c r="FQ36" s="301"/>
      <c r="FR36" s="301"/>
      <c r="FS36" s="301"/>
      <c r="FT36" s="301"/>
      <c r="FU36" s="301"/>
      <c r="FV36" s="301"/>
      <c r="FW36" s="301"/>
      <c r="FX36" s="301"/>
      <c r="FY36" s="301"/>
      <c r="FZ36" s="301"/>
      <c r="GA36" s="301"/>
      <c r="GB36" s="301"/>
      <c r="GC36" s="301"/>
      <c r="GD36" s="301"/>
      <c r="GE36" s="301"/>
      <c r="GF36" s="301"/>
      <c r="GG36" s="301"/>
      <c r="GH36" s="301"/>
      <c r="GI36" s="301"/>
      <c r="GJ36" s="301"/>
      <c r="GK36" s="301"/>
      <c r="GL36" s="301"/>
      <c r="GM36" s="301"/>
      <c r="GN36" s="301"/>
      <c r="GO36" s="301"/>
      <c r="GP36" s="301"/>
      <c r="GQ36" s="301"/>
      <c r="GR36" s="301"/>
      <c r="GS36" s="301"/>
      <c r="GT36" s="301"/>
      <c r="GU36" s="301"/>
      <c r="GV36" s="301"/>
      <c r="GW36" s="301"/>
      <c r="GX36" s="301"/>
      <c r="GY36" s="301"/>
      <c r="GZ36" s="301"/>
      <c r="HA36" s="301"/>
      <c r="HB36" s="301"/>
      <c r="HC36" s="301"/>
      <c r="HD36" s="301"/>
      <c r="HE36" s="301"/>
      <c r="HF36" s="301"/>
      <c r="HG36" s="301"/>
      <c r="HH36" s="301"/>
      <c r="HI36" s="301"/>
      <c r="HJ36" s="301"/>
      <c r="HK36" s="301"/>
      <c r="HL36" s="301"/>
      <c r="HM36" s="301"/>
      <c r="HN36" s="301"/>
      <c r="HO36" s="301"/>
      <c r="HP36" s="301"/>
      <c r="HQ36" s="301"/>
      <c r="HR36" s="301"/>
      <c r="HS36" s="301"/>
      <c r="HT36" s="301"/>
      <c r="HU36" s="301"/>
      <c r="HV36" s="301"/>
      <c r="HW36" s="301"/>
      <c r="HX36" s="301"/>
      <c r="HY36" s="301"/>
      <c r="HZ36" s="301"/>
      <c r="IA36" s="301"/>
      <c r="IB36" s="301"/>
      <c r="IC36" s="301"/>
      <c r="ID36" s="301"/>
      <c r="IE36" s="301"/>
      <c r="IF36" s="301"/>
      <c r="IG36" s="301"/>
      <c r="IH36" s="301"/>
      <c r="II36" s="301"/>
      <c r="IJ36" s="301"/>
      <c r="IK36" s="301"/>
      <c r="IL36" s="301"/>
      <c r="IM36" s="301"/>
      <c r="IN36" s="301"/>
      <c r="IO36" s="301"/>
      <c r="IP36" s="301"/>
      <c r="IQ36" s="301"/>
      <c r="IR36" s="301"/>
      <c r="IS36" s="301"/>
      <c r="IT36" s="301"/>
      <c r="IU36" s="301"/>
      <c r="IV36" s="301"/>
    </row>
    <row r="37" spans="1:256" ht="15" hidden="1">
      <c r="A37" s="301"/>
      <c r="B37" s="302"/>
      <c r="C37" s="1534"/>
      <c r="D37" s="1534"/>
      <c r="E37" s="1534"/>
      <c r="F37" s="1534"/>
      <c r="G37" s="1534"/>
      <c r="H37" s="1534"/>
      <c r="I37" s="1534"/>
      <c r="J37" s="1534"/>
      <c r="K37" s="1534"/>
      <c r="L37" s="301"/>
      <c r="M37" s="301"/>
      <c r="N37" s="301"/>
      <c r="O37" s="301"/>
      <c r="P37" s="301"/>
      <c r="Q37" s="301"/>
      <c r="R37" s="301"/>
      <c r="S37" s="301"/>
      <c r="T37" s="301"/>
      <c r="U37" s="301"/>
      <c r="V37" s="301"/>
      <c r="W37" s="301"/>
      <c r="X37" s="301"/>
      <c r="Y37" s="301"/>
      <c r="Z37" s="301"/>
      <c r="AA37" s="301"/>
      <c r="AB37" s="301"/>
      <c r="AC37" s="301"/>
      <c r="AD37" s="301"/>
      <c r="AE37" s="301"/>
      <c r="AF37" s="301"/>
      <c r="AG37" s="301"/>
      <c r="AH37" s="301"/>
      <c r="AI37" s="301"/>
      <c r="AJ37" s="301"/>
      <c r="AK37" s="301"/>
      <c r="AL37" s="301"/>
      <c r="AM37" s="301"/>
      <c r="AN37" s="301"/>
      <c r="AO37" s="301"/>
      <c r="AP37" s="301"/>
      <c r="AQ37" s="301"/>
      <c r="AR37" s="301"/>
      <c r="AS37" s="301"/>
      <c r="AT37" s="301"/>
      <c r="AU37" s="301"/>
      <c r="AV37" s="301"/>
      <c r="AW37" s="301"/>
      <c r="AX37" s="301"/>
      <c r="AY37" s="301"/>
      <c r="AZ37" s="301"/>
      <c r="BA37" s="301"/>
      <c r="BB37" s="301"/>
      <c r="BC37" s="301"/>
      <c r="BD37" s="301"/>
      <c r="BE37" s="301"/>
      <c r="BF37" s="301"/>
      <c r="BG37" s="301"/>
      <c r="BH37" s="301"/>
      <c r="BI37" s="301"/>
      <c r="BJ37" s="301"/>
      <c r="BK37" s="301"/>
      <c r="BL37" s="301"/>
      <c r="BM37" s="301"/>
      <c r="BN37" s="301"/>
      <c r="BO37" s="301"/>
      <c r="BP37" s="301"/>
      <c r="BQ37" s="301"/>
      <c r="BR37" s="301"/>
      <c r="BS37" s="301"/>
      <c r="BT37" s="301"/>
      <c r="BU37" s="301"/>
      <c r="BV37" s="301"/>
      <c r="BW37" s="301"/>
      <c r="BX37" s="301"/>
      <c r="BY37" s="301"/>
      <c r="BZ37" s="301"/>
      <c r="CA37" s="301"/>
      <c r="CB37" s="301"/>
      <c r="CC37" s="301"/>
      <c r="CD37" s="301"/>
      <c r="CE37" s="301"/>
      <c r="CF37" s="301"/>
      <c r="CG37" s="301"/>
      <c r="CH37" s="301"/>
      <c r="CI37" s="301"/>
      <c r="CJ37" s="301"/>
      <c r="CK37" s="301"/>
      <c r="CL37" s="301"/>
      <c r="CM37" s="301"/>
      <c r="CN37" s="301"/>
      <c r="CO37" s="301"/>
      <c r="CP37" s="301"/>
      <c r="CQ37" s="301"/>
      <c r="CR37" s="301"/>
      <c r="CS37" s="301"/>
      <c r="CT37" s="301"/>
      <c r="CU37" s="301"/>
      <c r="CV37" s="301"/>
      <c r="CW37" s="301"/>
      <c r="CX37" s="301"/>
      <c r="CY37" s="301"/>
      <c r="CZ37" s="301"/>
      <c r="DA37" s="301"/>
      <c r="DB37" s="301"/>
      <c r="DC37" s="301"/>
      <c r="DD37" s="301"/>
      <c r="DE37" s="301"/>
      <c r="DF37" s="301"/>
      <c r="DG37" s="301"/>
      <c r="DH37" s="301"/>
      <c r="DI37" s="301"/>
      <c r="DJ37" s="301"/>
      <c r="DK37" s="301"/>
      <c r="DL37" s="301"/>
      <c r="DM37" s="301"/>
      <c r="DN37" s="301"/>
      <c r="DO37" s="301"/>
      <c r="DP37" s="301"/>
      <c r="DQ37" s="301"/>
      <c r="DR37" s="301"/>
      <c r="DS37" s="301"/>
      <c r="DT37" s="301"/>
      <c r="DU37" s="301"/>
      <c r="DV37" s="301"/>
      <c r="DW37" s="301"/>
      <c r="DX37" s="301"/>
      <c r="DY37" s="301"/>
      <c r="DZ37" s="301"/>
      <c r="EA37" s="301"/>
      <c r="EB37" s="301"/>
      <c r="EC37" s="301"/>
      <c r="ED37" s="301"/>
      <c r="EE37" s="301"/>
      <c r="EF37" s="301"/>
      <c r="EG37" s="301"/>
      <c r="EH37" s="301"/>
      <c r="EI37" s="301"/>
      <c r="EJ37" s="301"/>
      <c r="EK37" s="301"/>
      <c r="EL37" s="301"/>
      <c r="EM37" s="301"/>
      <c r="EN37" s="301"/>
      <c r="EO37" s="301"/>
      <c r="EP37" s="301"/>
      <c r="EQ37" s="301"/>
      <c r="ER37" s="301"/>
      <c r="ES37" s="301"/>
      <c r="ET37" s="301"/>
      <c r="EU37" s="301"/>
      <c r="EV37" s="301"/>
      <c r="EW37" s="301"/>
      <c r="EX37" s="301"/>
      <c r="EY37" s="301"/>
      <c r="EZ37" s="301"/>
      <c r="FA37" s="301"/>
      <c r="FB37" s="301"/>
      <c r="FC37" s="301"/>
      <c r="FD37" s="301"/>
      <c r="FE37" s="301"/>
      <c r="FF37" s="301"/>
      <c r="FG37" s="301"/>
      <c r="FH37" s="301"/>
      <c r="FI37" s="301"/>
      <c r="FJ37" s="301"/>
      <c r="FK37" s="301"/>
      <c r="FL37" s="301"/>
      <c r="FM37" s="301"/>
      <c r="FN37" s="301"/>
      <c r="FO37" s="301"/>
      <c r="FP37" s="301"/>
      <c r="FQ37" s="301"/>
      <c r="FR37" s="301"/>
      <c r="FS37" s="301"/>
      <c r="FT37" s="301"/>
      <c r="FU37" s="301"/>
      <c r="FV37" s="301"/>
      <c r="FW37" s="301"/>
      <c r="FX37" s="301"/>
      <c r="FY37" s="301"/>
      <c r="FZ37" s="301"/>
      <c r="GA37" s="301"/>
      <c r="GB37" s="301"/>
      <c r="GC37" s="301"/>
      <c r="GD37" s="301"/>
      <c r="GE37" s="301"/>
      <c r="GF37" s="301"/>
      <c r="GG37" s="301"/>
      <c r="GH37" s="301"/>
      <c r="GI37" s="301"/>
      <c r="GJ37" s="301"/>
      <c r="GK37" s="301"/>
      <c r="GL37" s="301"/>
      <c r="GM37" s="301"/>
      <c r="GN37" s="301"/>
      <c r="GO37" s="301"/>
      <c r="GP37" s="301"/>
      <c r="GQ37" s="301"/>
      <c r="GR37" s="301"/>
      <c r="GS37" s="301"/>
      <c r="GT37" s="301"/>
      <c r="GU37" s="301"/>
      <c r="GV37" s="301"/>
      <c r="GW37" s="301"/>
      <c r="GX37" s="301"/>
      <c r="GY37" s="301"/>
      <c r="GZ37" s="301"/>
      <c r="HA37" s="301"/>
      <c r="HB37" s="301"/>
      <c r="HC37" s="301"/>
      <c r="HD37" s="301"/>
      <c r="HE37" s="301"/>
      <c r="HF37" s="301"/>
      <c r="HG37" s="301"/>
      <c r="HH37" s="301"/>
      <c r="HI37" s="301"/>
      <c r="HJ37" s="301"/>
      <c r="HK37" s="301"/>
      <c r="HL37" s="301"/>
      <c r="HM37" s="301"/>
      <c r="HN37" s="301"/>
      <c r="HO37" s="301"/>
      <c r="HP37" s="301"/>
      <c r="HQ37" s="301"/>
      <c r="HR37" s="301"/>
      <c r="HS37" s="301"/>
      <c r="HT37" s="301"/>
      <c r="HU37" s="301"/>
      <c r="HV37" s="301"/>
      <c r="HW37" s="301"/>
      <c r="HX37" s="301"/>
      <c r="HY37" s="301"/>
      <c r="HZ37" s="301"/>
      <c r="IA37" s="301"/>
      <c r="IB37" s="301"/>
      <c r="IC37" s="301"/>
      <c r="ID37" s="301"/>
      <c r="IE37" s="301"/>
      <c r="IF37" s="301"/>
      <c r="IG37" s="301"/>
      <c r="IH37" s="301"/>
      <c r="II37" s="301"/>
      <c r="IJ37" s="301"/>
      <c r="IK37" s="301"/>
      <c r="IL37" s="301"/>
      <c r="IM37" s="301"/>
      <c r="IN37" s="301"/>
      <c r="IO37" s="301"/>
      <c r="IP37" s="301"/>
      <c r="IQ37" s="301"/>
      <c r="IR37" s="301"/>
      <c r="IS37" s="301"/>
      <c r="IT37" s="301"/>
      <c r="IU37" s="301"/>
      <c r="IV37" s="301"/>
    </row>
    <row r="38" spans="1:256" ht="15" hidden="1">
      <c r="A38" s="301"/>
      <c r="B38" s="302"/>
      <c r="C38" s="1534"/>
      <c r="D38" s="1534"/>
      <c r="E38" s="1534"/>
      <c r="F38" s="1534"/>
      <c r="G38" s="1534"/>
      <c r="H38" s="1534"/>
      <c r="I38" s="1534"/>
      <c r="J38" s="1534"/>
      <c r="K38" s="1534"/>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301"/>
      <c r="AU38" s="301"/>
      <c r="AV38" s="301"/>
      <c r="AW38" s="301"/>
      <c r="AX38" s="301"/>
      <c r="AY38" s="301"/>
      <c r="AZ38" s="301"/>
      <c r="BA38" s="301"/>
      <c r="BB38" s="301"/>
      <c r="BC38" s="301"/>
      <c r="BD38" s="301"/>
      <c r="BE38" s="301"/>
      <c r="BF38" s="301"/>
      <c r="BG38" s="301"/>
      <c r="BH38" s="301"/>
      <c r="BI38" s="301"/>
      <c r="BJ38" s="301"/>
      <c r="BK38" s="301"/>
      <c r="BL38" s="301"/>
      <c r="BM38" s="301"/>
      <c r="BN38" s="301"/>
      <c r="BO38" s="301"/>
      <c r="BP38" s="301"/>
      <c r="BQ38" s="301"/>
      <c r="BR38" s="301"/>
      <c r="BS38" s="301"/>
      <c r="BT38" s="301"/>
      <c r="BU38" s="301"/>
      <c r="BV38" s="301"/>
      <c r="BW38" s="301"/>
      <c r="BX38" s="301"/>
      <c r="BY38" s="301"/>
      <c r="BZ38" s="301"/>
      <c r="CA38" s="301"/>
      <c r="CB38" s="301"/>
      <c r="CC38" s="301"/>
      <c r="CD38" s="301"/>
      <c r="CE38" s="301"/>
      <c r="CF38" s="301"/>
      <c r="CG38" s="301"/>
      <c r="CH38" s="301"/>
      <c r="CI38" s="301"/>
      <c r="CJ38" s="301"/>
      <c r="CK38" s="301"/>
      <c r="CL38" s="301"/>
      <c r="CM38" s="301"/>
      <c r="CN38" s="301"/>
      <c r="CO38" s="301"/>
      <c r="CP38" s="301"/>
      <c r="CQ38" s="301"/>
      <c r="CR38" s="301"/>
      <c r="CS38" s="301"/>
      <c r="CT38" s="301"/>
      <c r="CU38" s="301"/>
      <c r="CV38" s="301"/>
      <c r="CW38" s="301"/>
      <c r="CX38" s="301"/>
      <c r="CY38" s="301"/>
      <c r="CZ38" s="301"/>
      <c r="DA38" s="301"/>
      <c r="DB38" s="301"/>
      <c r="DC38" s="301"/>
      <c r="DD38" s="301"/>
      <c r="DE38" s="301"/>
      <c r="DF38" s="301"/>
      <c r="DG38" s="301"/>
      <c r="DH38" s="301"/>
      <c r="DI38" s="301"/>
      <c r="DJ38" s="301"/>
      <c r="DK38" s="301"/>
      <c r="DL38" s="301"/>
      <c r="DM38" s="301"/>
      <c r="DN38" s="301"/>
      <c r="DO38" s="301"/>
      <c r="DP38" s="301"/>
      <c r="DQ38" s="301"/>
      <c r="DR38" s="301"/>
      <c r="DS38" s="301"/>
      <c r="DT38" s="301"/>
      <c r="DU38" s="301"/>
      <c r="DV38" s="301"/>
      <c r="DW38" s="301"/>
      <c r="DX38" s="301"/>
      <c r="DY38" s="301"/>
      <c r="DZ38" s="301"/>
      <c r="EA38" s="301"/>
      <c r="EB38" s="301"/>
      <c r="EC38" s="301"/>
      <c r="ED38" s="301"/>
      <c r="EE38" s="301"/>
      <c r="EF38" s="301"/>
      <c r="EG38" s="301"/>
      <c r="EH38" s="301"/>
      <c r="EI38" s="301"/>
      <c r="EJ38" s="301"/>
      <c r="EK38" s="301"/>
      <c r="EL38" s="301"/>
      <c r="EM38" s="301"/>
      <c r="EN38" s="301"/>
      <c r="EO38" s="301"/>
      <c r="EP38" s="301"/>
      <c r="EQ38" s="301"/>
      <c r="ER38" s="301"/>
      <c r="ES38" s="301"/>
      <c r="ET38" s="301"/>
      <c r="EU38" s="301"/>
      <c r="EV38" s="301"/>
      <c r="EW38" s="301"/>
      <c r="EX38" s="301"/>
      <c r="EY38" s="301"/>
      <c r="EZ38" s="301"/>
      <c r="FA38" s="301"/>
      <c r="FB38" s="301"/>
      <c r="FC38" s="301"/>
      <c r="FD38" s="301"/>
      <c r="FE38" s="301"/>
      <c r="FF38" s="301"/>
      <c r="FG38" s="301"/>
      <c r="FH38" s="301"/>
      <c r="FI38" s="301"/>
      <c r="FJ38" s="301"/>
      <c r="FK38" s="301"/>
      <c r="FL38" s="301"/>
      <c r="FM38" s="301"/>
      <c r="FN38" s="301"/>
      <c r="FO38" s="301"/>
      <c r="FP38" s="301"/>
      <c r="FQ38" s="301"/>
      <c r="FR38" s="301"/>
      <c r="FS38" s="301"/>
      <c r="FT38" s="301"/>
      <c r="FU38" s="301"/>
      <c r="FV38" s="301"/>
      <c r="FW38" s="301"/>
      <c r="FX38" s="301"/>
      <c r="FY38" s="301"/>
      <c r="FZ38" s="301"/>
      <c r="GA38" s="301"/>
      <c r="GB38" s="301"/>
      <c r="GC38" s="301"/>
      <c r="GD38" s="301"/>
      <c r="GE38" s="301"/>
      <c r="GF38" s="301"/>
      <c r="GG38" s="301"/>
      <c r="GH38" s="301"/>
      <c r="GI38" s="301"/>
      <c r="GJ38" s="301"/>
      <c r="GK38" s="301"/>
      <c r="GL38" s="301"/>
      <c r="GM38" s="301"/>
      <c r="GN38" s="301"/>
      <c r="GO38" s="301"/>
      <c r="GP38" s="301"/>
      <c r="GQ38" s="301"/>
      <c r="GR38" s="301"/>
      <c r="GS38" s="301"/>
      <c r="GT38" s="301"/>
      <c r="GU38" s="301"/>
      <c r="GV38" s="301"/>
      <c r="GW38" s="301"/>
      <c r="GX38" s="301"/>
      <c r="GY38" s="301"/>
      <c r="GZ38" s="301"/>
      <c r="HA38" s="301"/>
      <c r="HB38" s="301"/>
      <c r="HC38" s="301"/>
      <c r="HD38" s="301"/>
      <c r="HE38" s="301"/>
      <c r="HF38" s="301"/>
      <c r="HG38" s="301"/>
      <c r="HH38" s="301"/>
      <c r="HI38" s="301"/>
      <c r="HJ38" s="301"/>
      <c r="HK38" s="301"/>
      <c r="HL38" s="301"/>
      <c r="HM38" s="301"/>
      <c r="HN38" s="301"/>
      <c r="HO38" s="301"/>
      <c r="HP38" s="301"/>
      <c r="HQ38" s="301"/>
      <c r="HR38" s="301"/>
      <c r="HS38" s="301"/>
      <c r="HT38" s="301"/>
      <c r="HU38" s="301"/>
      <c r="HV38" s="301"/>
      <c r="HW38" s="301"/>
      <c r="HX38" s="301"/>
      <c r="HY38" s="301"/>
      <c r="HZ38" s="301"/>
      <c r="IA38" s="301"/>
      <c r="IB38" s="301"/>
      <c r="IC38" s="301"/>
      <c r="ID38" s="301"/>
      <c r="IE38" s="301"/>
      <c r="IF38" s="301"/>
      <c r="IG38" s="301"/>
      <c r="IH38" s="301"/>
      <c r="II38" s="301"/>
      <c r="IJ38" s="301"/>
      <c r="IK38" s="301"/>
      <c r="IL38" s="301"/>
      <c r="IM38" s="301"/>
      <c r="IN38" s="301"/>
      <c r="IO38" s="301"/>
      <c r="IP38" s="301"/>
      <c r="IQ38" s="301"/>
      <c r="IR38" s="301"/>
      <c r="IS38" s="301"/>
      <c r="IT38" s="301"/>
      <c r="IU38" s="301"/>
      <c r="IV38" s="301"/>
    </row>
    <row r="39" spans="1:256" ht="15" hidden="1">
      <c r="A39" s="301"/>
      <c r="B39" s="302"/>
      <c r="C39" s="1534"/>
      <c r="D39" s="1534"/>
      <c r="E39" s="1534"/>
      <c r="F39" s="1534"/>
      <c r="G39" s="1534"/>
      <c r="H39" s="1534"/>
      <c r="I39" s="1534"/>
      <c r="J39" s="1534"/>
      <c r="K39" s="1534"/>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301"/>
      <c r="AU39" s="301"/>
      <c r="AV39" s="301"/>
      <c r="AW39" s="301"/>
      <c r="AX39" s="301"/>
      <c r="AY39" s="301"/>
      <c r="AZ39" s="301"/>
      <c r="BA39" s="301"/>
      <c r="BB39" s="301"/>
      <c r="BC39" s="301"/>
      <c r="BD39" s="301"/>
      <c r="BE39" s="301"/>
      <c r="BF39" s="301"/>
      <c r="BG39" s="301"/>
      <c r="BH39" s="301"/>
      <c r="BI39" s="301"/>
      <c r="BJ39" s="301"/>
      <c r="BK39" s="301"/>
      <c r="BL39" s="301"/>
      <c r="BM39" s="301"/>
      <c r="BN39" s="301"/>
      <c r="BO39" s="301"/>
      <c r="BP39" s="301"/>
      <c r="BQ39" s="301"/>
      <c r="BR39" s="301"/>
      <c r="BS39" s="301"/>
      <c r="BT39" s="301"/>
      <c r="BU39" s="301"/>
      <c r="BV39" s="301"/>
      <c r="BW39" s="301"/>
      <c r="BX39" s="301"/>
      <c r="BY39" s="301"/>
      <c r="BZ39" s="301"/>
      <c r="CA39" s="301"/>
      <c r="CB39" s="301"/>
      <c r="CC39" s="301"/>
      <c r="CD39" s="301"/>
      <c r="CE39" s="301"/>
      <c r="CF39" s="301"/>
      <c r="CG39" s="301"/>
      <c r="CH39" s="301"/>
      <c r="CI39" s="301"/>
      <c r="CJ39" s="301"/>
      <c r="CK39" s="301"/>
      <c r="CL39" s="301"/>
      <c r="CM39" s="301"/>
      <c r="CN39" s="301"/>
      <c r="CO39" s="301"/>
      <c r="CP39" s="301"/>
      <c r="CQ39" s="301"/>
      <c r="CR39" s="301"/>
      <c r="CS39" s="301"/>
      <c r="CT39" s="301"/>
      <c r="CU39" s="301"/>
      <c r="CV39" s="301"/>
      <c r="CW39" s="301"/>
      <c r="CX39" s="301"/>
      <c r="CY39" s="301"/>
      <c r="CZ39" s="301"/>
      <c r="DA39" s="301"/>
      <c r="DB39" s="301"/>
      <c r="DC39" s="301"/>
      <c r="DD39" s="301"/>
      <c r="DE39" s="301"/>
      <c r="DF39" s="301"/>
      <c r="DG39" s="301"/>
      <c r="DH39" s="301"/>
      <c r="DI39" s="301"/>
      <c r="DJ39" s="301"/>
      <c r="DK39" s="301"/>
      <c r="DL39" s="301"/>
      <c r="DM39" s="301"/>
      <c r="DN39" s="301"/>
      <c r="DO39" s="301"/>
      <c r="DP39" s="301"/>
      <c r="DQ39" s="301"/>
      <c r="DR39" s="301"/>
      <c r="DS39" s="301"/>
      <c r="DT39" s="301"/>
      <c r="DU39" s="301"/>
      <c r="DV39" s="301"/>
      <c r="DW39" s="301"/>
      <c r="DX39" s="301"/>
      <c r="DY39" s="301"/>
      <c r="DZ39" s="301"/>
      <c r="EA39" s="301"/>
      <c r="EB39" s="301"/>
      <c r="EC39" s="301"/>
      <c r="ED39" s="301"/>
      <c r="EE39" s="301"/>
      <c r="EF39" s="301"/>
      <c r="EG39" s="301"/>
      <c r="EH39" s="301"/>
      <c r="EI39" s="301"/>
      <c r="EJ39" s="301"/>
      <c r="EK39" s="301"/>
      <c r="EL39" s="301"/>
      <c r="EM39" s="301"/>
      <c r="EN39" s="301"/>
      <c r="EO39" s="301"/>
      <c r="EP39" s="301"/>
      <c r="EQ39" s="301"/>
      <c r="ER39" s="301"/>
      <c r="ES39" s="301"/>
      <c r="ET39" s="301"/>
      <c r="EU39" s="301"/>
      <c r="EV39" s="301"/>
      <c r="EW39" s="301"/>
      <c r="EX39" s="301"/>
      <c r="EY39" s="301"/>
      <c r="EZ39" s="301"/>
      <c r="FA39" s="301"/>
      <c r="FB39" s="301"/>
      <c r="FC39" s="301"/>
      <c r="FD39" s="301"/>
      <c r="FE39" s="301"/>
      <c r="FF39" s="301"/>
      <c r="FG39" s="301"/>
      <c r="FH39" s="301"/>
      <c r="FI39" s="301"/>
      <c r="FJ39" s="301"/>
      <c r="FK39" s="301"/>
      <c r="FL39" s="301"/>
      <c r="FM39" s="301"/>
      <c r="FN39" s="301"/>
      <c r="FO39" s="301"/>
      <c r="FP39" s="301"/>
      <c r="FQ39" s="301"/>
      <c r="FR39" s="301"/>
      <c r="FS39" s="301"/>
      <c r="FT39" s="301"/>
      <c r="FU39" s="301"/>
      <c r="FV39" s="301"/>
      <c r="FW39" s="301"/>
      <c r="FX39" s="301"/>
      <c r="FY39" s="301"/>
      <c r="FZ39" s="301"/>
      <c r="GA39" s="301"/>
      <c r="GB39" s="301"/>
      <c r="GC39" s="301"/>
      <c r="GD39" s="301"/>
      <c r="GE39" s="301"/>
      <c r="GF39" s="301"/>
      <c r="GG39" s="301"/>
      <c r="GH39" s="301"/>
      <c r="GI39" s="301"/>
      <c r="GJ39" s="301"/>
      <c r="GK39" s="301"/>
      <c r="GL39" s="301"/>
      <c r="GM39" s="301"/>
      <c r="GN39" s="301"/>
      <c r="GO39" s="301"/>
      <c r="GP39" s="301"/>
      <c r="GQ39" s="301"/>
      <c r="GR39" s="301"/>
      <c r="GS39" s="301"/>
      <c r="GT39" s="301"/>
      <c r="GU39" s="301"/>
      <c r="GV39" s="301"/>
      <c r="GW39" s="301"/>
      <c r="GX39" s="301"/>
      <c r="GY39" s="301"/>
      <c r="GZ39" s="301"/>
      <c r="HA39" s="301"/>
      <c r="HB39" s="301"/>
      <c r="HC39" s="301"/>
      <c r="HD39" s="301"/>
      <c r="HE39" s="301"/>
      <c r="HF39" s="301"/>
      <c r="HG39" s="301"/>
      <c r="HH39" s="301"/>
      <c r="HI39" s="301"/>
      <c r="HJ39" s="301"/>
      <c r="HK39" s="301"/>
      <c r="HL39" s="301"/>
      <c r="HM39" s="301"/>
      <c r="HN39" s="301"/>
      <c r="HO39" s="301"/>
      <c r="HP39" s="301"/>
      <c r="HQ39" s="301"/>
      <c r="HR39" s="301"/>
      <c r="HS39" s="301"/>
      <c r="HT39" s="301"/>
      <c r="HU39" s="301"/>
      <c r="HV39" s="301"/>
      <c r="HW39" s="301"/>
      <c r="HX39" s="301"/>
      <c r="HY39" s="301"/>
      <c r="HZ39" s="301"/>
      <c r="IA39" s="301"/>
      <c r="IB39" s="301"/>
      <c r="IC39" s="301"/>
      <c r="ID39" s="301"/>
      <c r="IE39" s="301"/>
      <c r="IF39" s="301"/>
      <c r="IG39" s="301"/>
      <c r="IH39" s="301"/>
      <c r="II39" s="301"/>
      <c r="IJ39" s="301"/>
      <c r="IK39" s="301"/>
      <c r="IL39" s="301"/>
      <c r="IM39" s="301"/>
      <c r="IN39" s="301"/>
      <c r="IO39" s="301"/>
      <c r="IP39" s="301"/>
      <c r="IQ39" s="301"/>
      <c r="IR39" s="301"/>
      <c r="IS39" s="301"/>
      <c r="IT39" s="301"/>
      <c r="IU39" s="301"/>
      <c r="IV39" s="301"/>
    </row>
    <row r="40" spans="1:256" ht="15" hidden="1">
      <c r="A40" s="301"/>
      <c r="B40" s="302"/>
      <c r="C40" s="1534"/>
      <c r="D40" s="1534"/>
      <c r="E40" s="1534"/>
      <c r="F40" s="1534"/>
      <c r="G40" s="1534"/>
      <c r="H40" s="1534"/>
      <c r="I40" s="1534"/>
      <c r="J40" s="1534"/>
      <c r="K40" s="1534"/>
      <c r="L40" s="301"/>
      <c r="M40" s="301"/>
      <c r="N40" s="301"/>
      <c r="O40" s="301"/>
      <c r="P40" s="301"/>
      <c r="Q40" s="301"/>
      <c r="R40" s="301"/>
      <c r="S40" s="301"/>
      <c r="T40" s="301"/>
      <c r="U40" s="301"/>
      <c r="V40" s="301"/>
      <c r="W40" s="301"/>
      <c r="X40" s="301"/>
      <c r="Y40" s="301"/>
      <c r="Z40" s="301"/>
      <c r="AA40" s="301"/>
      <c r="AB40" s="301"/>
      <c r="AC40" s="301"/>
      <c r="AD40" s="301"/>
      <c r="AE40" s="301"/>
      <c r="AF40" s="301"/>
      <c r="AG40" s="301"/>
      <c r="AH40" s="301"/>
      <c r="AI40" s="301"/>
      <c r="AJ40" s="301"/>
      <c r="AK40" s="301"/>
      <c r="AL40" s="301"/>
      <c r="AM40" s="301"/>
      <c r="AN40" s="301"/>
      <c r="AO40" s="301"/>
      <c r="AP40" s="301"/>
      <c r="AQ40" s="301"/>
      <c r="AR40" s="301"/>
      <c r="AS40" s="301"/>
      <c r="AT40" s="301"/>
      <c r="AU40" s="301"/>
      <c r="AV40" s="301"/>
      <c r="AW40" s="301"/>
      <c r="AX40" s="301"/>
      <c r="AY40" s="301"/>
      <c r="AZ40" s="301"/>
      <c r="BA40" s="301"/>
      <c r="BB40" s="301"/>
      <c r="BC40" s="301"/>
      <c r="BD40" s="301"/>
      <c r="BE40" s="301"/>
      <c r="BF40" s="301"/>
      <c r="BG40" s="301"/>
      <c r="BH40" s="301"/>
      <c r="BI40" s="301"/>
      <c r="BJ40" s="301"/>
      <c r="BK40" s="301"/>
      <c r="BL40" s="301"/>
      <c r="BM40" s="301"/>
      <c r="BN40" s="301"/>
      <c r="BO40" s="301"/>
      <c r="BP40" s="301"/>
      <c r="BQ40" s="301"/>
      <c r="BR40" s="301"/>
      <c r="BS40" s="301"/>
      <c r="BT40" s="301"/>
      <c r="BU40" s="301"/>
      <c r="BV40" s="301"/>
      <c r="BW40" s="301"/>
      <c r="BX40" s="301"/>
      <c r="BY40" s="301"/>
      <c r="BZ40" s="301"/>
      <c r="CA40" s="301"/>
      <c r="CB40" s="301"/>
      <c r="CC40" s="301"/>
      <c r="CD40" s="301"/>
      <c r="CE40" s="301"/>
      <c r="CF40" s="301"/>
      <c r="CG40" s="301"/>
      <c r="CH40" s="301"/>
      <c r="CI40" s="301"/>
      <c r="CJ40" s="301"/>
      <c r="CK40" s="301"/>
      <c r="CL40" s="301"/>
      <c r="CM40" s="301"/>
      <c r="CN40" s="301"/>
      <c r="CO40" s="301"/>
      <c r="CP40" s="301"/>
      <c r="CQ40" s="301"/>
      <c r="CR40" s="301"/>
      <c r="CS40" s="301"/>
      <c r="CT40" s="301"/>
      <c r="CU40" s="301"/>
      <c r="CV40" s="301"/>
      <c r="CW40" s="301"/>
      <c r="CX40" s="301"/>
      <c r="CY40" s="301"/>
      <c r="CZ40" s="301"/>
      <c r="DA40" s="301"/>
      <c r="DB40" s="301"/>
      <c r="DC40" s="301"/>
      <c r="DD40" s="301"/>
      <c r="DE40" s="301"/>
      <c r="DF40" s="301"/>
      <c r="DG40" s="301"/>
      <c r="DH40" s="301"/>
      <c r="DI40" s="301"/>
      <c r="DJ40" s="301"/>
      <c r="DK40" s="301"/>
      <c r="DL40" s="301"/>
      <c r="DM40" s="301"/>
      <c r="DN40" s="301"/>
      <c r="DO40" s="301"/>
      <c r="DP40" s="301"/>
      <c r="DQ40" s="301"/>
      <c r="DR40" s="301"/>
      <c r="DS40" s="301"/>
      <c r="DT40" s="301"/>
      <c r="DU40" s="301"/>
      <c r="DV40" s="301"/>
      <c r="DW40" s="301"/>
      <c r="DX40" s="301"/>
      <c r="DY40" s="301"/>
      <c r="DZ40" s="301"/>
      <c r="EA40" s="301"/>
      <c r="EB40" s="301"/>
      <c r="EC40" s="301"/>
      <c r="ED40" s="301"/>
      <c r="EE40" s="301"/>
      <c r="EF40" s="301"/>
      <c r="EG40" s="301"/>
      <c r="EH40" s="301"/>
      <c r="EI40" s="301"/>
      <c r="EJ40" s="301"/>
      <c r="EK40" s="301"/>
      <c r="EL40" s="301"/>
      <c r="EM40" s="301"/>
      <c r="EN40" s="301"/>
      <c r="EO40" s="301"/>
      <c r="EP40" s="301"/>
      <c r="EQ40" s="301"/>
      <c r="ER40" s="301"/>
      <c r="ES40" s="301"/>
      <c r="ET40" s="301"/>
      <c r="EU40" s="301"/>
      <c r="EV40" s="301"/>
      <c r="EW40" s="301"/>
      <c r="EX40" s="301"/>
      <c r="EY40" s="301"/>
      <c r="EZ40" s="301"/>
      <c r="FA40" s="301"/>
      <c r="FB40" s="301"/>
      <c r="FC40" s="301"/>
      <c r="FD40" s="301"/>
      <c r="FE40" s="301"/>
      <c r="FF40" s="301"/>
      <c r="FG40" s="301"/>
      <c r="FH40" s="301"/>
      <c r="FI40" s="301"/>
      <c r="FJ40" s="301"/>
      <c r="FK40" s="301"/>
      <c r="FL40" s="301"/>
      <c r="FM40" s="301"/>
      <c r="FN40" s="301"/>
      <c r="FO40" s="301"/>
      <c r="FP40" s="301"/>
      <c r="FQ40" s="301"/>
      <c r="FR40" s="301"/>
      <c r="FS40" s="301"/>
      <c r="FT40" s="301"/>
      <c r="FU40" s="301"/>
      <c r="FV40" s="301"/>
      <c r="FW40" s="301"/>
      <c r="FX40" s="301"/>
      <c r="FY40" s="301"/>
      <c r="FZ40" s="301"/>
      <c r="GA40" s="301"/>
      <c r="GB40" s="301"/>
      <c r="GC40" s="301"/>
      <c r="GD40" s="301"/>
      <c r="GE40" s="301"/>
      <c r="GF40" s="301"/>
      <c r="GG40" s="301"/>
      <c r="GH40" s="301"/>
      <c r="GI40" s="301"/>
      <c r="GJ40" s="301"/>
      <c r="GK40" s="301"/>
      <c r="GL40" s="301"/>
      <c r="GM40" s="301"/>
      <c r="GN40" s="301"/>
      <c r="GO40" s="301"/>
      <c r="GP40" s="301"/>
      <c r="GQ40" s="301"/>
      <c r="GR40" s="301"/>
      <c r="GS40" s="301"/>
      <c r="GT40" s="301"/>
      <c r="GU40" s="301"/>
      <c r="GV40" s="301"/>
      <c r="GW40" s="301"/>
      <c r="GX40" s="301"/>
      <c r="GY40" s="301"/>
      <c r="GZ40" s="301"/>
      <c r="HA40" s="301"/>
      <c r="HB40" s="301"/>
      <c r="HC40" s="301"/>
      <c r="HD40" s="301"/>
      <c r="HE40" s="301"/>
      <c r="HF40" s="301"/>
      <c r="HG40" s="301"/>
      <c r="HH40" s="301"/>
      <c r="HI40" s="301"/>
      <c r="HJ40" s="301"/>
      <c r="HK40" s="301"/>
      <c r="HL40" s="301"/>
      <c r="HM40" s="301"/>
      <c r="HN40" s="301"/>
      <c r="HO40" s="301"/>
      <c r="HP40" s="301"/>
      <c r="HQ40" s="301"/>
      <c r="HR40" s="301"/>
      <c r="HS40" s="301"/>
      <c r="HT40" s="301"/>
      <c r="HU40" s="301"/>
      <c r="HV40" s="301"/>
      <c r="HW40" s="301"/>
      <c r="HX40" s="301"/>
      <c r="HY40" s="301"/>
      <c r="HZ40" s="301"/>
      <c r="IA40" s="301"/>
      <c r="IB40" s="301"/>
      <c r="IC40" s="301"/>
      <c r="ID40" s="301"/>
      <c r="IE40" s="301"/>
      <c r="IF40" s="301"/>
      <c r="IG40" s="301"/>
      <c r="IH40" s="301"/>
      <c r="II40" s="301"/>
      <c r="IJ40" s="301"/>
      <c r="IK40" s="301"/>
      <c r="IL40" s="301"/>
      <c r="IM40" s="301"/>
      <c r="IN40" s="301"/>
      <c r="IO40" s="301"/>
      <c r="IP40" s="301"/>
      <c r="IQ40" s="301"/>
      <c r="IR40" s="301"/>
      <c r="IS40" s="301"/>
      <c r="IT40" s="301"/>
      <c r="IU40" s="301"/>
      <c r="IV40" s="301"/>
    </row>
    <row r="41" spans="1:256" ht="15" hidden="1">
      <c r="A41" s="338"/>
      <c r="B41" s="310"/>
      <c r="C41" s="1532" t="s">
        <v>810</v>
      </c>
      <c r="D41" s="1532"/>
      <c r="E41" s="310"/>
      <c r="F41" s="310"/>
      <c r="G41" s="310"/>
      <c r="H41" s="310"/>
      <c r="I41" s="311"/>
      <c r="J41" s="311"/>
      <c r="K41" s="311"/>
      <c r="L41" s="338"/>
      <c r="M41" s="338"/>
      <c r="N41" s="338"/>
      <c r="O41" s="338"/>
      <c r="P41" s="338"/>
      <c r="Q41" s="338"/>
      <c r="R41" s="338"/>
      <c r="S41" s="338"/>
      <c r="T41" s="338"/>
      <c r="U41" s="338"/>
      <c r="V41" s="338"/>
      <c r="W41" s="338"/>
      <c r="X41" s="338"/>
      <c r="Y41" s="338"/>
      <c r="Z41" s="338"/>
      <c r="AA41" s="338"/>
      <c r="AB41" s="338"/>
      <c r="AC41" s="338"/>
      <c r="AD41" s="338"/>
      <c r="AE41" s="338"/>
      <c r="AF41" s="338"/>
      <c r="AG41" s="338"/>
      <c r="AH41" s="338"/>
      <c r="AI41" s="338"/>
      <c r="AJ41" s="338"/>
      <c r="AK41" s="338"/>
      <c r="AL41" s="338"/>
      <c r="AM41" s="338"/>
      <c r="AN41" s="338"/>
      <c r="AO41" s="338"/>
      <c r="AP41" s="338"/>
      <c r="AQ41" s="338"/>
      <c r="AR41" s="338"/>
      <c r="AS41" s="338"/>
      <c r="AT41" s="338"/>
      <c r="AU41" s="338"/>
      <c r="AV41" s="338"/>
      <c r="AW41" s="338"/>
      <c r="AX41" s="338"/>
      <c r="AY41" s="338"/>
      <c r="AZ41" s="338"/>
      <c r="BA41" s="338"/>
      <c r="BB41" s="338"/>
      <c r="BC41" s="338"/>
      <c r="BD41" s="338"/>
      <c r="BE41" s="338"/>
      <c r="BF41" s="338"/>
      <c r="BG41" s="338"/>
      <c r="BH41" s="338"/>
      <c r="BI41" s="338"/>
      <c r="BJ41" s="338"/>
      <c r="BK41" s="338"/>
      <c r="BL41" s="338"/>
      <c r="BM41" s="338"/>
      <c r="BN41" s="338"/>
      <c r="BO41" s="338"/>
      <c r="BP41" s="338"/>
      <c r="BQ41" s="338"/>
      <c r="BR41" s="338"/>
      <c r="BS41" s="338"/>
      <c r="BT41" s="338"/>
      <c r="BU41" s="338"/>
      <c r="BV41" s="338"/>
      <c r="BW41" s="338"/>
      <c r="BX41" s="338"/>
      <c r="BY41" s="338"/>
      <c r="BZ41" s="338"/>
      <c r="CA41" s="338"/>
      <c r="CB41" s="338"/>
      <c r="CC41" s="338"/>
      <c r="CD41" s="338"/>
      <c r="CE41" s="338"/>
      <c r="CF41" s="338"/>
      <c r="CG41" s="338"/>
      <c r="CH41" s="338"/>
      <c r="CI41" s="338"/>
      <c r="CJ41" s="338"/>
      <c r="CK41" s="338"/>
      <c r="CL41" s="338"/>
      <c r="CM41" s="338"/>
      <c r="CN41" s="338"/>
      <c r="CO41" s="338"/>
      <c r="CP41" s="338"/>
      <c r="CQ41" s="338"/>
      <c r="CR41" s="338"/>
      <c r="CS41" s="338"/>
      <c r="CT41" s="338"/>
      <c r="CU41" s="338"/>
      <c r="CV41" s="338"/>
      <c r="CW41" s="338"/>
      <c r="CX41" s="338"/>
      <c r="CY41" s="338"/>
      <c r="CZ41" s="338"/>
      <c r="DA41" s="338"/>
      <c r="DB41" s="338"/>
      <c r="DC41" s="338"/>
      <c r="DD41" s="338"/>
      <c r="DE41" s="338"/>
      <c r="DF41" s="338"/>
      <c r="DG41" s="338"/>
      <c r="DH41" s="338"/>
      <c r="DI41" s="338"/>
      <c r="DJ41" s="338"/>
      <c r="DK41" s="338"/>
      <c r="DL41" s="338"/>
      <c r="DM41" s="338"/>
      <c r="DN41" s="338"/>
      <c r="DO41" s="338"/>
      <c r="DP41" s="338"/>
      <c r="DQ41" s="338"/>
      <c r="DR41" s="338"/>
      <c r="DS41" s="338"/>
      <c r="DT41" s="338"/>
      <c r="DU41" s="338"/>
      <c r="DV41" s="338"/>
      <c r="DW41" s="338"/>
      <c r="DX41" s="338"/>
      <c r="DY41" s="338"/>
      <c r="DZ41" s="338"/>
      <c r="EA41" s="338"/>
      <c r="EB41" s="338"/>
      <c r="EC41" s="338"/>
      <c r="ED41" s="338"/>
      <c r="EE41" s="338"/>
      <c r="EF41" s="338"/>
      <c r="EG41" s="338"/>
      <c r="EH41" s="338"/>
      <c r="EI41" s="338"/>
      <c r="EJ41" s="338"/>
      <c r="EK41" s="338"/>
      <c r="EL41" s="338"/>
      <c r="EM41" s="338"/>
      <c r="EN41" s="338"/>
      <c r="EO41" s="338"/>
      <c r="EP41" s="338"/>
      <c r="EQ41" s="338"/>
      <c r="ER41" s="338"/>
      <c r="ES41" s="338"/>
      <c r="ET41" s="338"/>
      <c r="EU41" s="338"/>
      <c r="EV41" s="338"/>
      <c r="EW41" s="338"/>
      <c r="EX41" s="338"/>
      <c r="EY41" s="338"/>
      <c r="EZ41" s="338"/>
      <c r="FA41" s="338"/>
      <c r="FB41" s="338"/>
      <c r="FC41" s="338"/>
      <c r="FD41" s="338"/>
      <c r="FE41" s="338"/>
      <c r="FF41" s="338"/>
      <c r="FG41" s="338"/>
      <c r="FH41" s="338"/>
      <c r="FI41" s="338"/>
      <c r="FJ41" s="338"/>
      <c r="FK41" s="338"/>
      <c r="FL41" s="338"/>
      <c r="FM41" s="338"/>
      <c r="FN41" s="338"/>
      <c r="FO41" s="338"/>
      <c r="FP41" s="338"/>
      <c r="FQ41" s="338"/>
      <c r="FR41" s="338"/>
      <c r="FS41" s="338"/>
      <c r="FT41" s="338"/>
      <c r="FU41" s="338"/>
      <c r="FV41" s="338"/>
      <c r="FW41" s="338"/>
      <c r="FX41" s="338"/>
      <c r="FY41" s="338"/>
      <c r="FZ41" s="338"/>
      <c r="GA41" s="338"/>
      <c r="GB41" s="338"/>
      <c r="GC41" s="338"/>
      <c r="GD41" s="338"/>
      <c r="GE41" s="338"/>
      <c r="GF41" s="338"/>
      <c r="GG41" s="338"/>
      <c r="GH41" s="338"/>
      <c r="GI41" s="338"/>
      <c r="GJ41" s="338"/>
      <c r="GK41" s="338"/>
      <c r="GL41" s="338"/>
      <c r="GM41" s="338"/>
      <c r="GN41" s="338"/>
      <c r="GO41" s="338"/>
      <c r="GP41" s="338"/>
      <c r="GQ41" s="338"/>
      <c r="GR41" s="338"/>
      <c r="GS41" s="338"/>
      <c r="GT41" s="338"/>
      <c r="GU41" s="338"/>
      <c r="GV41" s="338"/>
      <c r="GW41" s="338"/>
      <c r="GX41" s="338"/>
      <c r="GY41" s="338"/>
      <c r="GZ41" s="338"/>
      <c r="HA41" s="338"/>
      <c r="HB41" s="338"/>
      <c r="HC41" s="338"/>
      <c r="HD41" s="338"/>
      <c r="HE41" s="338"/>
      <c r="HF41" s="338"/>
      <c r="HG41" s="338"/>
      <c r="HH41" s="338"/>
      <c r="HI41" s="338"/>
      <c r="HJ41" s="338"/>
      <c r="HK41" s="338"/>
      <c r="HL41" s="338"/>
      <c r="HM41" s="338"/>
      <c r="HN41" s="338"/>
      <c r="HO41" s="338"/>
      <c r="HP41" s="338"/>
      <c r="HQ41" s="338"/>
      <c r="HR41" s="338"/>
      <c r="HS41" s="338"/>
      <c r="HT41" s="338"/>
      <c r="HU41" s="338"/>
      <c r="HV41" s="338"/>
      <c r="HW41" s="338"/>
      <c r="HX41" s="338"/>
      <c r="HY41" s="338"/>
      <c r="HZ41" s="338"/>
      <c r="IA41" s="338"/>
      <c r="IB41" s="338"/>
      <c r="IC41" s="338"/>
      <c r="ID41" s="338"/>
      <c r="IE41" s="338"/>
      <c r="IF41" s="338"/>
      <c r="IG41" s="338"/>
      <c r="IH41" s="338"/>
      <c r="II41" s="338"/>
      <c r="IJ41" s="338"/>
      <c r="IK41" s="338"/>
      <c r="IL41" s="338"/>
      <c r="IM41" s="338"/>
      <c r="IN41" s="338"/>
      <c r="IO41" s="338"/>
      <c r="IP41" s="338"/>
      <c r="IQ41" s="338"/>
      <c r="IR41" s="338"/>
      <c r="IS41" s="338"/>
      <c r="IT41" s="338"/>
      <c r="IU41" s="338"/>
      <c r="IV41" s="338"/>
    </row>
    <row r="42" spans="1:256" ht="15" hidden="1">
      <c r="A42" s="301"/>
      <c r="B42" s="302"/>
      <c r="C42" s="1532" t="s">
        <v>811</v>
      </c>
      <c r="D42" s="1532"/>
      <c r="E42" s="1532"/>
      <c r="F42" s="1532"/>
      <c r="G42" s="313" t="s">
        <v>832</v>
      </c>
      <c r="H42" s="310"/>
      <c r="I42" s="311"/>
      <c r="J42" s="311"/>
      <c r="K42" s="31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301"/>
      <c r="BR42" s="301"/>
      <c r="BS42" s="301"/>
      <c r="BT42" s="301"/>
      <c r="BU42" s="301"/>
      <c r="BV42" s="301"/>
      <c r="BW42" s="301"/>
      <c r="BX42" s="301"/>
      <c r="BY42" s="301"/>
      <c r="BZ42" s="301"/>
      <c r="CA42" s="301"/>
      <c r="CB42" s="301"/>
      <c r="CC42" s="301"/>
      <c r="CD42" s="301"/>
      <c r="CE42" s="301"/>
      <c r="CF42" s="301"/>
      <c r="CG42" s="301"/>
      <c r="CH42" s="301"/>
      <c r="CI42" s="301"/>
      <c r="CJ42" s="301"/>
      <c r="CK42" s="301"/>
      <c r="CL42" s="301"/>
      <c r="CM42" s="301"/>
      <c r="CN42" s="301"/>
      <c r="CO42" s="301"/>
      <c r="CP42" s="301"/>
      <c r="CQ42" s="301"/>
      <c r="CR42" s="301"/>
      <c r="CS42" s="301"/>
      <c r="CT42" s="301"/>
      <c r="CU42" s="301"/>
      <c r="CV42" s="301"/>
      <c r="CW42" s="301"/>
      <c r="CX42" s="301"/>
      <c r="CY42" s="301"/>
      <c r="CZ42" s="301"/>
      <c r="DA42" s="301"/>
      <c r="DB42" s="301"/>
      <c r="DC42" s="301"/>
      <c r="DD42" s="301"/>
      <c r="DE42" s="301"/>
      <c r="DF42" s="301"/>
      <c r="DG42" s="301"/>
      <c r="DH42" s="301"/>
      <c r="DI42" s="301"/>
      <c r="DJ42" s="301"/>
      <c r="DK42" s="301"/>
      <c r="DL42" s="301"/>
      <c r="DM42" s="301"/>
      <c r="DN42" s="301"/>
      <c r="DO42" s="301"/>
      <c r="DP42" s="301"/>
      <c r="DQ42" s="301"/>
      <c r="DR42" s="301"/>
      <c r="DS42" s="301"/>
      <c r="DT42" s="301"/>
      <c r="DU42" s="301"/>
      <c r="DV42" s="301"/>
      <c r="DW42" s="301"/>
      <c r="DX42" s="301"/>
      <c r="DY42" s="301"/>
      <c r="DZ42" s="301"/>
      <c r="EA42" s="301"/>
      <c r="EB42" s="301"/>
      <c r="EC42" s="301"/>
      <c r="ED42" s="301"/>
      <c r="EE42" s="301"/>
      <c r="EF42" s="301"/>
      <c r="EG42" s="301"/>
      <c r="EH42" s="301"/>
      <c r="EI42" s="301"/>
      <c r="EJ42" s="301"/>
      <c r="EK42" s="301"/>
      <c r="EL42" s="301"/>
      <c r="EM42" s="301"/>
      <c r="EN42" s="301"/>
      <c r="EO42" s="301"/>
      <c r="EP42" s="301"/>
      <c r="EQ42" s="301"/>
      <c r="ER42" s="301"/>
      <c r="ES42" s="301"/>
      <c r="ET42" s="301"/>
      <c r="EU42" s="301"/>
      <c r="EV42" s="301"/>
      <c r="EW42" s="301"/>
      <c r="EX42" s="301"/>
      <c r="EY42" s="301"/>
      <c r="EZ42" s="301"/>
      <c r="FA42" s="301"/>
      <c r="FB42" s="301"/>
      <c r="FC42" s="301"/>
      <c r="FD42" s="301"/>
      <c r="FE42" s="301"/>
      <c r="FF42" s="301"/>
      <c r="FG42" s="301"/>
      <c r="FH42" s="301"/>
      <c r="FI42" s="301"/>
      <c r="FJ42" s="301"/>
      <c r="FK42" s="301"/>
      <c r="FL42" s="301"/>
      <c r="FM42" s="301"/>
      <c r="FN42" s="301"/>
      <c r="FO42" s="301"/>
      <c r="FP42" s="301"/>
      <c r="FQ42" s="301"/>
      <c r="FR42" s="301"/>
      <c r="FS42" s="301"/>
      <c r="FT42" s="301"/>
      <c r="FU42" s="301"/>
      <c r="FV42" s="301"/>
      <c r="FW42" s="301"/>
      <c r="FX42" s="301"/>
      <c r="FY42" s="301"/>
      <c r="FZ42" s="301"/>
      <c r="GA42" s="301"/>
      <c r="GB42" s="301"/>
      <c r="GC42" s="301"/>
      <c r="GD42" s="301"/>
      <c r="GE42" s="301"/>
      <c r="GF42" s="301"/>
      <c r="GG42" s="301"/>
      <c r="GH42" s="301"/>
      <c r="GI42" s="301"/>
      <c r="GJ42" s="301"/>
      <c r="GK42" s="301"/>
      <c r="GL42" s="301"/>
      <c r="GM42" s="301"/>
      <c r="GN42" s="301"/>
      <c r="GO42" s="301"/>
      <c r="GP42" s="301"/>
      <c r="GQ42" s="301"/>
      <c r="GR42" s="301"/>
      <c r="GS42" s="301"/>
      <c r="GT42" s="301"/>
      <c r="GU42" s="301"/>
      <c r="GV42" s="301"/>
      <c r="GW42" s="301"/>
      <c r="GX42" s="301"/>
      <c r="GY42" s="301"/>
      <c r="GZ42" s="301"/>
      <c r="HA42" s="301"/>
      <c r="HB42" s="301"/>
      <c r="HC42" s="301"/>
      <c r="HD42" s="301"/>
      <c r="HE42" s="301"/>
      <c r="HF42" s="301"/>
      <c r="HG42" s="301"/>
      <c r="HH42" s="301"/>
      <c r="HI42" s="301"/>
      <c r="HJ42" s="301"/>
      <c r="HK42" s="301"/>
      <c r="HL42" s="301"/>
      <c r="HM42" s="301"/>
      <c r="HN42" s="301"/>
      <c r="HO42" s="301"/>
      <c r="HP42" s="301"/>
      <c r="HQ42" s="301"/>
      <c r="HR42" s="301"/>
      <c r="HS42" s="301"/>
      <c r="HT42" s="301"/>
      <c r="HU42" s="301"/>
      <c r="HV42" s="301"/>
      <c r="HW42" s="301"/>
      <c r="HX42" s="301"/>
      <c r="HY42" s="301"/>
      <c r="HZ42" s="301"/>
      <c r="IA42" s="301"/>
      <c r="IB42" s="301"/>
      <c r="IC42" s="301"/>
      <c r="ID42" s="301"/>
      <c r="IE42" s="301"/>
      <c r="IF42" s="301"/>
      <c r="IG42" s="301"/>
      <c r="IH42" s="301"/>
      <c r="II42" s="301"/>
      <c r="IJ42" s="301"/>
      <c r="IK42" s="301"/>
      <c r="IL42" s="301"/>
      <c r="IM42" s="301"/>
      <c r="IN42" s="301"/>
      <c r="IO42" s="301"/>
      <c r="IP42" s="301"/>
      <c r="IQ42" s="301"/>
      <c r="IR42" s="301"/>
      <c r="IS42" s="301"/>
      <c r="IT42" s="301"/>
      <c r="IU42" s="301"/>
      <c r="IV42" s="301"/>
    </row>
    <row r="43" spans="1:256" ht="15" hidden="1">
      <c r="A43" s="301"/>
      <c r="B43" s="302"/>
      <c r="C43" s="312" t="s">
        <v>813</v>
      </c>
      <c r="D43" s="313" t="s">
        <v>690</v>
      </c>
      <c r="E43" s="310"/>
      <c r="F43" s="310"/>
      <c r="G43" s="310"/>
      <c r="H43" s="310"/>
      <c r="I43" s="311"/>
      <c r="J43" s="311"/>
      <c r="K43" s="311"/>
      <c r="L43" s="301"/>
      <c r="M43" s="301"/>
      <c r="N43" s="301"/>
      <c r="O43" s="301"/>
      <c r="P43" s="301"/>
      <c r="Q43" s="301"/>
      <c r="R43" s="301"/>
      <c r="S43" s="301"/>
      <c r="T43" s="301"/>
      <c r="U43" s="301"/>
      <c r="V43" s="301"/>
      <c r="W43" s="301"/>
      <c r="X43" s="301"/>
      <c r="Y43" s="301"/>
      <c r="Z43" s="301"/>
      <c r="AA43" s="301"/>
      <c r="AB43" s="301"/>
      <c r="AC43" s="301"/>
      <c r="AD43" s="301"/>
      <c r="AE43" s="301"/>
      <c r="AF43" s="301"/>
      <c r="AG43" s="301"/>
      <c r="AH43" s="301"/>
      <c r="AI43" s="301"/>
      <c r="AJ43" s="301"/>
      <c r="AK43" s="301"/>
      <c r="AL43" s="301"/>
      <c r="AM43" s="301"/>
      <c r="AN43" s="301"/>
      <c r="AO43" s="301"/>
      <c r="AP43" s="301"/>
      <c r="AQ43" s="301"/>
      <c r="AR43" s="301"/>
      <c r="AS43" s="301"/>
      <c r="AT43" s="301"/>
      <c r="AU43" s="301"/>
      <c r="AV43" s="301"/>
      <c r="AW43" s="301"/>
      <c r="AX43" s="301"/>
      <c r="AY43" s="301"/>
      <c r="AZ43" s="301"/>
      <c r="BA43" s="301"/>
      <c r="BB43" s="301"/>
      <c r="BC43" s="301"/>
      <c r="BD43" s="301"/>
      <c r="BE43" s="301"/>
      <c r="BF43" s="301"/>
      <c r="BG43" s="301"/>
      <c r="BH43" s="301"/>
      <c r="BI43" s="301"/>
      <c r="BJ43" s="301"/>
      <c r="BK43" s="301"/>
      <c r="BL43" s="301"/>
      <c r="BM43" s="301"/>
      <c r="BN43" s="301"/>
      <c r="BO43" s="301"/>
      <c r="BP43" s="301"/>
      <c r="BQ43" s="301"/>
      <c r="BR43" s="301"/>
      <c r="BS43" s="301"/>
      <c r="BT43" s="301"/>
      <c r="BU43" s="301"/>
      <c r="BV43" s="301"/>
      <c r="BW43" s="301"/>
      <c r="BX43" s="301"/>
      <c r="BY43" s="301"/>
      <c r="BZ43" s="301"/>
      <c r="CA43" s="301"/>
      <c r="CB43" s="301"/>
      <c r="CC43" s="301"/>
      <c r="CD43" s="301"/>
      <c r="CE43" s="301"/>
      <c r="CF43" s="301"/>
      <c r="CG43" s="301"/>
      <c r="CH43" s="301"/>
      <c r="CI43" s="301"/>
      <c r="CJ43" s="301"/>
      <c r="CK43" s="301"/>
      <c r="CL43" s="301"/>
      <c r="CM43" s="301"/>
      <c r="CN43" s="301"/>
      <c r="CO43" s="301"/>
      <c r="CP43" s="301"/>
      <c r="CQ43" s="301"/>
      <c r="CR43" s="301"/>
      <c r="CS43" s="301"/>
      <c r="CT43" s="301"/>
      <c r="CU43" s="301"/>
      <c r="CV43" s="301"/>
      <c r="CW43" s="301"/>
      <c r="CX43" s="301"/>
      <c r="CY43" s="301"/>
      <c r="CZ43" s="301"/>
      <c r="DA43" s="301"/>
      <c r="DB43" s="301"/>
      <c r="DC43" s="301"/>
      <c r="DD43" s="301"/>
      <c r="DE43" s="301"/>
      <c r="DF43" s="301"/>
      <c r="DG43" s="301"/>
      <c r="DH43" s="301"/>
      <c r="DI43" s="301"/>
      <c r="DJ43" s="301"/>
      <c r="DK43" s="301"/>
      <c r="DL43" s="301"/>
      <c r="DM43" s="301"/>
      <c r="DN43" s="301"/>
      <c r="DO43" s="301"/>
      <c r="DP43" s="301"/>
      <c r="DQ43" s="301"/>
      <c r="DR43" s="301"/>
      <c r="DS43" s="301"/>
      <c r="DT43" s="301"/>
      <c r="DU43" s="301"/>
      <c r="DV43" s="301"/>
      <c r="DW43" s="301"/>
      <c r="DX43" s="301"/>
      <c r="DY43" s="301"/>
      <c r="DZ43" s="301"/>
      <c r="EA43" s="301"/>
      <c r="EB43" s="301"/>
      <c r="EC43" s="301"/>
      <c r="ED43" s="301"/>
      <c r="EE43" s="301"/>
      <c r="EF43" s="301"/>
      <c r="EG43" s="301"/>
      <c r="EH43" s="301"/>
      <c r="EI43" s="301"/>
      <c r="EJ43" s="301"/>
      <c r="EK43" s="301"/>
      <c r="EL43" s="301"/>
      <c r="EM43" s="301"/>
      <c r="EN43" s="301"/>
      <c r="EO43" s="301"/>
      <c r="EP43" s="301"/>
      <c r="EQ43" s="301"/>
      <c r="ER43" s="301"/>
      <c r="ES43" s="301"/>
      <c r="ET43" s="301"/>
      <c r="EU43" s="301"/>
      <c r="EV43" s="301"/>
      <c r="EW43" s="301"/>
      <c r="EX43" s="301"/>
      <c r="EY43" s="301"/>
      <c r="EZ43" s="301"/>
      <c r="FA43" s="301"/>
      <c r="FB43" s="301"/>
      <c r="FC43" s="301"/>
      <c r="FD43" s="301"/>
      <c r="FE43" s="301"/>
      <c r="FF43" s="301"/>
      <c r="FG43" s="301"/>
      <c r="FH43" s="301"/>
      <c r="FI43" s="301"/>
      <c r="FJ43" s="301"/>
      <c r="FK43" s="301"/>
      <c r="FL43" s="301"/>
      <c r="FM43" s="301"/>
      <c r="FN43" s="301"/>
      <c r="FO43" s="301"/>
      <c r="FP43" s="301"/>
      <c r="FQ43" s="301"/>
      <c r="FR43" s="301"/>
      <c r="FS43" s="301"/>
      <c r="FT43" s="301"/>
      <c r="FU43" s="301"/>
      <c r="FV43" s="301"/>
      <c r="FW43" s="301"/>
      <c r="FX43" s="301"/>
      <c r="FY43" s="301"/>
      <c r="FZ43" s="301"/>
      <c r="GA43" s="301"/>
      <c r="GB43" s="301"/>
      <c r="GC43" s="301"/>
      <c r="GD43" s="301"/>
      <c r="GE43" s="301"/>
      <c r="GF43" s="301"/>
      <c r="GG43" s="301"/>
      <c r="GH43" s="301"/>
      <c r="GI43" s="301"/>
      <c r="GJ43" s="301"/>
      <c r="GK43" s="301"/>
      <c r="GL43" s="301"/>
      <c r="GM43" s="301"/>
      <c r="GN43" s="301"/>
      <c r="GO43" s="301"/>
      <c r="GP43" s="301"/>
      <c r="GQ43" s="301"/>
      <c r="GR43" s="301"/>
      <c r="GS43" s="301"/>
      <c r="GT43" s="301"/>
      <c r="GU43" s="301"/>
      <c r="GV43" s="301"/>
      <c r="GW43" s="301"/>
      <c r="GX43" s="301"/>
      <c r="GY43" s="301"/>
      <c r="GZ43" s="301"/>
      <c r="HA43" s="301"/>
      <c r="HB43" s="301"/>
      <c r="HC43" s="301"/>
      <c r="HD43" s="301"/>
      <c r="HE43" s="301"/>
      <c r="HF43" s="301"/>
      <c r="HG43" s="301"/>
      <c r="HH43" s="301"/>
      <c r="HI43" s="301"/>
      <c r="HJ43" s="301"/>
      <c r="HK43" s="301"/>
      <c r="HL43" s="301"/>
      <c r="HM43" s="301"/>
      <c r="HN43" s="301"/>
      <c r="HO43" s="301"/>
      <c r="HP43" s="301"/>
      <c r="HQ43" s="301"/>
      <c r="HR43" s="301"/>
      <c r="HS43" s="301"/>
      <c r="HT43" s="301"/>
      <c r="HU43" s="301"/>
      <c r="HV43" s="301"/>
      <c r="HW43" s="301"/>
      <c r="HX43" s="301"/>
      <c r="HY43" s="301"/>
      <c r="HZ43" s="301"/>
      <c r="IA43" s="301"/>
      <c r="IB43" s="301"/>
      <c r="IC43" s="301"/>
      <c r="ID43" s="301"/>
      <c r="IE43" s="301"/>
      <c r="IF43" s="301"/>
      <c r="IG43" s="301"/>
      <c r="IH43" s="301"/>
      <c r="II43" s="301"/>
      <c r="IJ43" s="301"/>
      <c r="IK43" s="301"/>
      <c r="IL43" s="301"/>
      <c r="IM43" s="301"/>
      <c r="IN43" s="301"/>
      <c r="IO43" s="301"/>
      <c r="IP43" s="301"/>
      <c r="IQ43" s="301"/>
      <c r="IR43" s="301"/>
      <c r="IS43" s="301"/>
      <c r="IT43" s="301"/>
      <c r="IU43" s="301"/>
      <c r="IV43" s="301"/>
    </row>
    <row r="44" spans="1:256" ht="15" hidden="1">
      <c r="A44" s="301"/>
      <c r="B44" s="302"/>
      <c r="C44" s="314">
        <v>0.04</v>
      </c>
      <c r="D44" s="315" t="s">
        <v>594</v>
      </c>
      <c r="E44" s="316" t="s">
        <v>814</v>
      </c>
      <c r="F44" s="304"/>
      <c r="G44" s="316"/>
      <c r="H44" s="317"/>
      <c r="I44" s="318">
        <f>I17</f>
        <v>515</v>
      </c>
      <c r="J44" s="319" t="s">
        <v>594</v>
      </c>
      <c r="K44" s="320">
        <f>ROUND(C44*I44,2)</f>
        <v>20.6</v>
      </c>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H44" s="301"/>
      <c r="BI44" s="301"/>
      <c r="BJ44" s="301"/>
      <c r="BK44" s="301"/>
      <c r="BL44" s="301"/>
      <c r="BM44" s="301"/>
      <c r="BN44" s="301"/>
      <c r="BO44" s="301"/>
      <c r="BP44" s="301"/>
      <c r="BQ44" s="301"/>
      <c r="BR44" s="301"/>
      <c r="BS44" s="301"/>
      <c r="BT44" s="301"/>
      <c r="BU44" s="301"/>
      <c r="BV44" s="301"/>
      <c r="BW44" s="301"/>
      <c r="BX44" s="301"/>
      <c r="BY44" s="301"/>
      <c r="BZ44" s="301"/>
      <c r="CA44" s="301"/>
      <c r="CB44" s="301"/>
      <c r="CC44" s="301"/>
      <c r="CD44" s="301"/>
      <c r="CE44" s="301"/>
      <c r="CF44" s="301"/>
      <c r="CG44" s="301"/>
      <c r="CH44" s="301"/>
      <c r="CI44" s="301"/>
      <c r="CJ44" s="301"/>
      <c r="CK44" s="301"/>
      <c r="CL44" s="301"/>
      <c r="CM44" s="301"/>
      <c r="CN44" s="301"/>
      <c r="CO44" s="301"/>
      <c r="CP44" s="301"/>
      <c r="CQ44" s="301"/>
      <c r="CR44" s="301"/>
      <c r="CS44" s="301"/>
      <c r="CT44" s="301"/>
      <c r="CU44" s="301"/>
      <c r="CV44" s="301"/>
      <c r="CW44" s="301"/>
      <c r="CX44" s="301"/>
      <c r="CY44" s="301"/>
      <c r="CZ44" s="301"/>
      <c r="DA44" s="301"/>
      <c r="DB44" s="301"/>
      <c r="DC44" s="301"/>
      <c r="DD44" s="301"/>
      <c r="DE44" s="301"/>
      <c r="DF44" s="301"/>
      <c r="DG44" s="301"/>
      <c r="DH44" s="301"/>
      <c r="DI44" s="301"/>
      <c r="DJ44" s="301"/>
      <c r="DK44" s="301"/>
      <c r="DL44" s="301"/>
      <c r="DM44" s="301"/>
      <c r="DN44" s="301"/>
      <c r="DO44" s="301"/>
      <c r="DP44" s="301"/>
      <c r="DQ44" s="301"/>
      <c r="DR44" s="301"/>
      <c r="DS44" s="301"/>
      <c r="DT44" s="301"/>
      <c r="DU44" s="301"/>
      <c r="DV44" s="301"/>
      <c r="DW44" s="301"/>
      <c r="DX44" s="301"/>
      <c r="DY44" s="301"/>
      <c r="DZ44" s="301"/>
      <c r="EA44" s="301"/>
      <c r="EB44" s="301"/>
      <c r="EC44" s="301"/>
      <c r="ED44" s="301"/>
      <c r="EE44" s="301"/>
      <c r="EF44" s="301"/>
      <c r="EG44" s="301"/>
      <c r="EH44" s="301"/>
      <c r="EI44" s="301"/>
      <c r="EJ44" s="301"/>
      <c r="EK44" s="301"/>
      <c r="EL44" s="301"/>
      <c r="EM44" s="301"/>
      <c r="EN44" s="301"/>
      <c r="EO44" s="301"/>
      <c r="EP44" s="301"/>
      <c r="EQ44" s="301"/>
      <c r="ER44" s="301"/>
      <c r="ES44" s="301"/>
      <c r="ET44" s="301"/>
      <c r="EU44" s="301"/>
      <c r="EV44" s="301"/>
      <c r="EW44" s="301"/>
      <c r="EX44" s="301"/>
      <c r="EY44" s="301"/>
      <c r="EZ44" s="301"/>
      <c r="FA44" s="301"/>
      <c r="FB44" s="301"/>
      <c r="FC44" s="301"/>
      <c r="FD44" s="301"/>
      <c r="FE44" s="301"/>
      <c r="FF44" s="301"/>
      <c r="FG44" s="301"/>
      <c r="FH44" s="301"/>
      <c r="FI44" s="301"/>
      <c r="FJ44" s="301"/>
      <c r="FK44" s="301"/>
      <c r="FL44" s="301"/>
      <c r="FM44" s="301"/>
      <c r="FN44" s="301"/>
      <c r="FO44" s="301"/>
      <c r="FP44" s="301"/>
      <c r="FQ44" s="301"/>
      <c r="FR44" s="301"/>
      <c r="FS44" s="301"/>
      <c r="FT44" s="301"/>
      <c r="FU44" s="301"/>
      <c r="FV44" s="301"/>
      <c r="FW44" s="301"/>
      <c r="FX44" s="301"/>
      <c r="FY44" s="301"/>
      <c r="FZ44" s="301"/>
      <c r="GA44" s="301"/>
      <c r="GB44" s="301"/>
      <c r="GC44" s="301"/>
      <c r="GD44" s="301"/>
      <c r="GE44" s="301"/>
      <c r="GF44" s="301"/>
      <c r="GG44" s="301"/>
      <c r="GH44" s="301"/>
      <c r="GI44" s="301"/>
      <c r="GJ44" s="301"/>
      <c r="GK44" s="301"/>
      <c r="GL44" s="301"/>
      <c r="GM44" s="301"/>
      <c r="GN44" s="301"/>
      <c r="GO44" s="301"/>
      <c r="GP44" s="301"/>
      <c r="GQ44" s="301"/>
      <c r="GR44" s="301"/>
      <c r="GS44" s="301"/>
      <c r="GT44" s="301"/>
      <c r="GU44" s="301"/>
      <c r="GV44" s="301"/>
      <c r="GW44" s="301"/>
      <c r="GX44" s="301"/>
      <c r="GY44" s="301"/>
      <c r="GZ44" s="301"/>
      <c r="HA44" s="301"/>
      <c r="HB44" s="301"/>
      <c r="HC44" s="301"/>
      <c r="HD44" s="301"/>
      <c r="HE44" s="301"/>
      <c r="HF44" s="301"/>
      <c r="HG44" s="301"/>
      <c r="HH44" s="301"/>
      <c r="HI44" s="301"/>
      <c r="HJ44" s="301"/>
      <c r="HK44" s="301"/>
      <c r="HL44" s="301"/>
      <c r="HM44" s="301"/>
      <c r="HN44" s="301"/>
      <c r="HO44" s="301"/>
      <c r="HP44" s="301"/>
      <c r="HQ44" s="301"/>
      <c r="HR44" s="301"/>
      <c r="HS44" s="301"/>
      <c r="HT44" s="301"/>
      <c r="HU44" s="301"/>
      <c r="HV44" s="301"/>
      <c r="HW44" s="301"/>
      <c r="HX44" s="301"/>
      <c r="HY44" s="301"/>
      <c r="HZ44" s="301"/>
      <c r="IA44" s="301"/>
      <c r="IB44" s="301"/>
      <c r="IC44" s="301"/>
      <c r="ID44" s="301"/>
      <c r="IE44" s="301"/>
      <c r="IF44" s="301"/>
      <c r="IG44" s="301"/>
      <c r="IH44" s="301"/>
      <c r="II44" s="301"/>
      <c r="IJ44" s="301"/>
      <c r="IK44" s="301"/>
      <c r="IL44" s="301"/>
      <c r="IM44" s="301"/>
      <c r="IN44" s="301"/>
      <c r="IO44" s="301"/>
      <c r="IP44" s="301"/>
      <c r="IQ44" s="301"/>
      <c r="IR44" s="301"/>
      <c r="IS44" s="301"/>
      <c r="IT44" s="301"/>
      <c r="IU44" s="301"/>
      <c r="IV44" s="301"/>
    </row>
    <row r="45" spans="1:256" ht="15" hidden="1">
      <c r="A45" s="301"/>
      <c r="B45" s="302"/>
      <c r="C45" s="321">
        <v>1</v>
      </c>
      <c r="D45" s="307" t="s">
        <v>594</v>
      </c>
      <c r="E45" s="316" t="s">
        <v>815</v>
      </c>
      <c r="F45" s="304"/>
      <c r="G45" s="316"/>
      <c r="H45" s="317"/>
      <c r="I45" s="318">
        <f>I18</f>
        <v>515</v>
      </c>
      <c r="J45" s="319" t="s">
        <v>594</v>
      </c>
      <c r="K45" s="320">
        <f>ROUND(C45*I45,2)</f>
        <v>515</v>
      </c>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301"/>
      <c r="BS45" s="301"/>
      <c r="BT45" s="301"/>
      <c r="BU45" s="301"/>
      <c r="BV45" s="301"/>
      <c r="BW45" s="301"/>
      <c r="BX45" s="301"/>
      <c r="BY45" s="301"/>
      <c r="BZ45" s="301"/>
      <c r="CA45" s="301"/>
      <c r="CB45" s="301"/>
      <c r="CC45" s="301"/>
      <c r="CD45" s="301"/>
      <c r="CE45" s="301"/>
      <c r="CF45" s="301"/>
      <c r="CG45" s="301"/>
      <c r="CH45" s="301"/>
      <c r="CI45" s="301"/>
      <c r="CJ45" s="301"/>
      <c r="CK45" s="301"/>
      <c r="CL45" s="301"/>
      <c r="CM45" s="301"/>
      <c r="CN45" s="301"/>
      <c r="CO45" s="301"/>
      <c r="CP45" s="301"/>
      <c r="CQ45" s="301"/>
      <c r="CR45" s="301"/>
      <c r="CS45" s="301"/>
      <c r="CT45" s="301"/>
      <c r="CU45" s="301"/>
      <c r="CV45" s="301"/>
      <c r="CW45" s="301"/>
      <c r="CX45" s="301"/>
      <c r="CY45" s="301"/>
      <c r="CZ45" s="301"/>
      <c r="DA45" s="301"/>
      <c r="DB45" s="301"/>
      <c r="DC45" s="301"/>
      <c r="DD45" s="301"/>
      <c r="DE45" s="301"/>
      <c r="DF45" s="301"/>
      <c r="DG45" s="301"/>
      <c r="DH45" s="301"/>
      <c r="DI45" s="301"/>
      <c r="DJ45" s="301"/>
      <c r="DK45" s="301"/>
      <c r="DL45" s="301"/>
      <c r="DM45" s="301"/>
      <c r="DN45" s="301"/>
      <c r="DO45" s="301"/>
      <c r="DP45" s="301"/>
      <c r="DQ45" s="301"/>
      <c r="DR45" s="301"/>
      <c r="DS45" s="301"/>
      <c r="DT45" s="301"/>
      <c r="DU45" s="301"/>
      <c r="DV45" s="301"/>
      <c r="DW45" s="301"/>
      <c r="DX45" s="301"/>
      <c r="DY45" s="301"/>
      <c r="DZ45" s="301"/>
      <c r="EA45" s="301"/>
      <c r="EB45" s="301"/>
      <c r="EC45" s="301"/>
      <c r="ED45" s="301"/>
      <c r="EE45" s="301"/>
      <c r="EF45" s="301"/>
      <c r="EG45" s="301"/>
      <c r="EH45" s="301"/>
      <c r="EI45" s="301"/>
      <c r="EJ45" s="301"/>
      <c r="EK45" s="301"/>
      <c r="EL45" s="301"/>
      <c r="EM45" s="301"/>
      <c r="EN45" s="301"/>
      <c r="EO45" s="301"/>
      <c r="EP45" s="301"/>
      <c r="EQ45" s="301"/>
      <c r="ER45" s="301"/>
      <c r="ES45" s="301"/>
      <c r="ET45" s="301"/>
      <c r="EU45" s="301"/>
      <c r="EV45" s="301"/>
      <c r="EW45" s="301"/>
      <c r="EX45" s="301"/>
      <c r="EY45" s="301"/>
      <c r="EZ45" s="301"/>
      <c r="FA45" s="301"/>
      <c r="FB45" s="301"/>
      <c r="FC45" s="301"/>
      <c r="FD45" s="301"/>
      <c r="FE45" s="301"/>
      <c r="FF45" s="301"/>
      <c r="FG45" s="301"/>
      <c r="FH45" s="301"/>
      <c r="FI45" s="301"/>
      <c r="FJ45" s="301"/>
      <c r="FK45" s="301"/>
      <c r="FL45" s="301"/>
      <c r="FM45" s="301"/>
      <c r="FN45" s="301"/>
      <c r="FO45" s="301"/>
      <c r="FP45" s="301"/>
      <c r="FQ45" s="301"/>
      <c r="FR45" s="301"/>
      <c r="FS45" s="301"/>
      <c r="FT45" s="301"/>
      <c r="FU45" s="301"/>
      <c r="FV45" s="301"/>
      <c r="FW45" s="301"/>
      <c r="FX45" s="301"/>
      <c r="FY45" s="301"/>
      <c r="FZ45" s="301"/>
      <c r="GA45" s="301"/>
      <c r="GB45" s="301"/>
      <c r="GC45" s="301"/>
      <c r="GD45" s="301"/>
      <c r="GE45" s="301"/>
      <c r="GF45" s="301"/>
      <c r="GG45" s="301"/>
      <c r="GH45" s="301"/>
      <c r="GI45" s="301"/>
      <c r="GJ45" s="301"/>
      <c r="GK45" s="301"/>
      <c r="GL45" s="301"/>
      <c r="GM45" s="301"/>
      <c r="GN45" s="301"/>
      <c r="GO45" s="301"/>
      <c r="GP45" s="301"/>
      <c r="GQ45" s="301"/>
      <c r="GR45" s="301"/>
      <c r="GS45" s="301"/>
      <c r="GT45" s="301"/>
      <c r="GU45" s="301"/>
      <c r="GV45" s="301"/>
      <c r="GW45" s="301"/>
      <c r="GX45" s="301"/>
      <c r="GY45" s="301"/>
      <c r="GZ45" s="301"/>
      <c r="HA45" s="301"/>
      <c r="HB45" s="301"/>
      <c r="HC45" s="301"/>
      <c r="HD45" s="301"/>
      <c r="HE45" s="301"/>
      <c r="HF45" s="301"/>
      <c r="HG45" s="301"/>
      <c r="HH45" s="301"/>
      <c r="HI45" s="301"/>
      <c r="HJ45" s="301"/>
      <c r="HK45" s="301"/>
      <c r="HL45" s="301"/>
      <c r="HM45" s="301"/>
      <c r="HN45" s="301"/>
      <c r="HO45" s="301"/>
      <c r="HP45" s="301"/>
      <c r="HQ45" s="301"/>
      <c r="HR45" s="301"/>
      <c r="HS45" s="301"/>
      <c r="HT45" s="301"/>
      <c r="HU45" s="301"/>
      <c r="HV45" s="301"/>
      <c r="HW45" s="301"/>
      <c r="HX45" s="301"/>
      <c r="HY45" s="301"/>
      <c r="HZ45" s="301"/>
      <c r="IA45" s="301"/>
      <c r="IB45" s="301"/>
      <c r="IC45" s="301"/>
      <c r="ID45" s="301"/>
      <c r="IE45" s="301"/>
      <c r="IF45" s="301"/>
      <c r="IG45" s="301"/>
      <c r="IH45" s="301"/>
      <c r="II45" s="301"/>
      <c r="IJ45" s="301"/>
      <c r="IK45" s="301"/>
      <c r="IL45" s="301"/>
      <c r="IM45" s="301"/>
      <c r="IN45" s="301"/>
      <c r="IO45" s="301"/>
      <c r="IP45" s="301"/>
      <c r="IQ45" s="301"/>
      <c r="IR45" s="301"/>
      <c r="IS45" s="301"/>
      <c r="IT45" s="301"/>
      <c r="IU45" s="301"/>
      <c r="IV45" s="301"/>
    </row>
    <row r="46" spans="1:256" ht="15" hidden="1">
      <c r="A46" s="301"/>
      <c r="B46" s="302"/>
      <c r="C46" s="321"/>
      <c r="D46" s="307"/>
      <c r="E46" s="322"/>
      <c r="F46" s="316"/>
      <c r="G46" s="316"/>
      <c r="H46" s="317"/>
      <c r="I46" s="318"/>
      <c r="J46" s="319"/>
      <c r="K46" s="323">
        <f>SUM(K44:K45)</f>
        <v>535.6</v>
      </c>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c r="AJ46" s="301"/>
      <c r="AK46" s="301"/>
      <c r="AL46" s="301"/>
      <c r="AM46" s="301"/>
      <c r="AN46" s="301"/>
      <c r="AO46" s="301"/>
      <c r="AP46" s="301"/>
      <c r="AQ46" s="301"/>
      <c r="AR46" s="301"/>
      <c r="AS46" s="301"/>
      <c r="AT46" s="301"/>
      <c r="AU46" s="301"/>
      <c r="AV46" s="301"/>
      <c r="AW46" s="301"/>
      <c r="AX46" s="301"/>
      <c r="AY46" s="301"/>
      <c r="AZ46" s="301"/>
      <c r="BA46" s="301"/>
      <c r="BB46" s="301"/>
      <c r="BC46" s="301"/>
      <c r="BD46" s="301"/>
      <c r="BE46" s="301"/>
      <c r="BF46" s="301"/>
      <c r="BG46" s="301"/>
      <c r="BH46" s="301"/>
      <c r="BI46" s="301"/>
      <c r="BJ46" s="301"/>
      <c r="BK46" s="301"/>
      <c r="BL46" s="301"/>
      <c r="BM46" s="301"/>
      <c r="BN46" s="301"/>
      <c r="BO46" s="301"/>
      <c r="BP46" s="301"/>
      <c r="BQ46" s="301"/>
      <c r="BR46" s="301"/>
      <c r="BS46" s="301"/>
      <c r="BT46" s="301"/>
      <c r="BU46" s="301"/>
      <c r="BV46" s="301"/>
      <c r="BW46" s="301"/>
      <c r="BX46" s="301"/>
      <c r="BY46" s="301"/>
      <c r="BZ46" s="301"/>
      <c r="CA46" s="301"/>
      <c r="CB46" s="301"/>
      <c r="CC46" s="301"/>
      <c r="CD46" s="301"/>
      <c r="CE46" s="301"/>
      <c r="CF46" s="301"/>
      <c r="CG46" s="301"/>
      <c r="CH46" s="301"/>
      <c r="CI46" s="301"/>
      <c r="CJ46" s="301"/>
      <c r="CK46" s="301"/>
      <c r="CL46" s="301"/>
      <c r="CM46" s="301"/>
      <c r="CN46" s="301"/>
      <c r="CO46" s="301"/>
      <c r="CP46" s="301"/>
      <c r="CQ46" s="301"/>
      <c r="CR46" s="301"/>
      <c r="CS46" s="301"/>
      <c r="CT46" s="301"/>
      <c r="CU46" s="301"/>
      <c r="CV46" s="301"/>
      <c r="CW46" s="301"/>
      <c r="CX46" s="301"/>
      <c r="CY46" s="301"/>
      <c r="CZ46" s="301"/>
      <c r="DA46" s="301"/>
      <c r="DB46" s="301"/>
      <c r="DC46" s="301"/>
      <c r="DD46" s="301"/>
      <c r="DE46" s="301"/>
      <c r="DF46" s="301"/>
      <c r="DG46" s="301"/>
      <c r="DH46" s="301"/>
      <c r="DI46" s="301"/>
      <c r="DJ46" s="301"/>
      <c r="DK46" s="301"/>
      <c r="DL46" s="301"/>
      <c r="DM46" s="301"/>
      <c r="DN46" s="301"/>
      <c r="DO46" s="301"/>
      <c r="DP46" s="301"/>
      <c r="DQ46" s="301"/>
      <c r="DR46" s="301"/>
      <c r="DS46" s="301"/>
      <c r="DT46" s="301"/>
      <c r="DU46" s="301"/>
      <c r="DV46" s="301"/>
      <c r="DW46" s="301"/>
      <c r="DX46" s="301"/>
      <c r="DY46" s="301"/>
      <c r="DZ46" s="301"/>
      <c r="EA46" s="301"/>
      <c r="EB46" s="301"/>
      <c r="EC46" s="301"/>
      <c r="ED46" s="301"/>
      <c r="EE46" s="301"/>
      <c r="EF46" s="301"/>
      <c r="EG46" s="301"/>
      <c r="EH46" s="301"/>
      <c r="EI46" s="301"/>
      <c r="EJ46" s="301"/>
      <c r="EK46" s="301"/>
      <c r="EL46" s="301"/>
      <c r="EM46" s="301"/>
      <c r="EN46" s="301"/>
      <c r="EO46" s="301"/>
      <c r="EP46" s="301"/>
      <c r="EQ46" s="301"/>
      <c r="ER46" s="301"/>
      <c r="ES46" s="301"/>
      <c r="ET46" s="301"/>
      <c r="EU46" s="301"/>
      <c r="EV46" s="301"/>
      <c r="EW46" s="301"/>
      <c r="EX46" s="301"/>
      <c r="EY46" s="301"/>
      <c r="EZ46" s="301"/>
      <c r="FA46" s="301"/>
      <c r="FB46" s="301"/>
      <c r="FC46" s="301"/>
      <c r="FD46" s="301"/>
      <c r="FE46" s="301"/>
      <c r="FF46" s="301"/>
      <c r="FG46" s="301"/>
      <c r="FH46" s="301"/>
      <c r="FI46" s="301"/>
      <c r="FJ46" s="301"/>
      <c r="FK46" s="301"/>
      <c r="FL46" s="301"/>
      <c r="FM46" s="301"/>
      <c r="FN46" s="301"/>
      <c r="FO46" s="301"/>
      <c r="FP46" s="301"/>
      <c r="FQ46" s="301"/>
      <c r="FR46" s="301"/>
      <c r="FS46" s="301"/>
      <c r="FT46" s="301"/>
      <c r="FU46" s="301"/>
      <c r="FV46" s="301"/>
      <c r="FW46" s="301"/>
      <c r="FX46" s="301"/>
      <c r="FY46" s="301"/>
      <c r="FZ46" s="301"/>
      <c r="GA46" s="301"/>
      <c r="GB46" s="301"/>
      <c r="GC46" s="301"/>
      <c r="GD46" s="301"/>
      <c r="GE46" s="301"/>
      <c r="GF46" s="301"/>
      <c r="GG46" s="301"/>
      <c r="GH46" s="301"/>
      <c r="GI46" s="301"/>
      <c r="GJ46" s="301"/>
      <c r="GK46" s="301"/>
      <c r="GL46" s="301"/>
      <c r="GM46" s="301"/>
      <c r="GN46" s="301"/>
      <c r="GO46" s="301"/>
      <c r="GP46" s="301"/>
      <c r="GQ46" s="301"/>
      <c r="GR46" s="301"/>
      <c r="GS46" s="301"/>
      <c r="GT46" s="301"/>
      <c r="GU46" s="301"/>
      <c r="GV46" s="301"/>
      <c r="GW46" s="301"/>
      <c r="GX46" s="301"/>
      <c r="GY46" s="301"/>
      <c r="GZ46" s="301"/>
      <c r="HA46" s="301"/>
      <c r="HB46" s="301"/>
      <c r="HC46" s="301"/>
      <c r="HD46" s="301"/>
      <c r="HE46" s="301"/>
      <c r="HF46" s="301"/>
      <c r="HG46" s="301"/>
      <c r="HH46" s="301"/>
      <c r="HI46" s="301"/>
      <c r="HJ46" s="301"/>
      <c r="HK46" s="301"/>
      <c r="HL46" s="301"/>
      <c r="HM46" s="301"/>
      <c r="HN46" s="301"/>
      <c r="HO46" s="301"/>
      <c r="HP46" s="301"/>
      <c r="HQ46" s="301"/>
      <c r="HR46" s="301"/>
      <c r="HS46" s="301"/>
      <c r="HT46" s="301"/>
      <c r="HU46" s="301"/>
      <c r="HV46" s="301"/>
      <c r="HW46" s="301"/>
      <c r="HX46" s="301"/>
      <c r="HY46" s="301"/>
      <c r="HZ46" s="301"/>
      <c r="IA46" s="301"/>
      <c r="IB46" s="301"/>
      <c r="IC46" s="301"/>
      <c r="ID46" s="301"/>
      <c r="IE46" s="301"/>
      <c r="IF46" s="301"/>
      <c r="IG46" s="301"/>
      <c r="IH46" s="301"/>
      <c r="II46" s="301"/>
      <c r="IJ46" s="301"/>
      <c r="IK46" s="301"/>
      <c r="IL46" s="301"/>
      <c r="IM46" s="301"/>
      <c r="IN46" s="301"/>
      <c r="IO46" s="301"/>
      <c r="IP46" s="301"/>
      <c r="IQ46" s="301"/>
      <c r="IR46" s="301"/>
      <c r="IS46" s="301"/>
      <c r="IT46" s="301"/>
      <c r="IU46" s="301"/>
      <c r="IV46" s="301"/>
    </row>
    <row r="47" spans="1:256" ht="15" hidden="1">
      <c r="A47" s="301"/>
      <c r="B47" s="302"/>
      <c r="C47" s="312" t="s">
        <v>816</v>
      </c>
      <c r="D47" s="313" t="s">
        <v>424</v>
      </c>
      <c r="E47" s="304"/>
      <c r="F47" s="304"/>
      <c r="G47" s="316"/>
      <c r="H47" s="317"/>
      <c r="I47" s="317"/>
      <c r="J47" s="317"/>
      <c r="K47" s="304"/>
      <c r="L47" s="301"/>
      <c r="M47" s="301"/>
      <c r="N47" s="301"/>
      <c r="O47" s="301"/>
      <c r="P47" s="301"/>
      <c r="Q47" s="301"/>
      <c r="R47" s="301"/>
      <c r="S47" s="301"/>
      <c r="T47" s="301"/>
      <c r="U47" s="301"/>
      <c r="V47" s="301"/>
      <c r="W47" s="301"/>
      <c r="X47" s="301"/>
      <c r="Y47" s="301"/>
      <c r="Z47" s="301"/>
      <c r="AA47" s="301"/>
      <c r="AB47" s="301"/>
      <c r="AC47" s="301"/>
      <c r="AD47" s="301"/>
      <c r="AE47" s="301"/>
      <c r="AF47" s="301"/>
      <c r="AG47" s="301"/>
      <c r="AH47" s="301"/>
      <c r="AI47" s="301"/>
      <c r="AJ47" s="301"/>
      <c r="AK47" s="301"/>
      <c r="AL47" s="301"/>
      <c r="AM47" s="301"/>
      <c r="AN47" s="301"/>
      <c r="AO47" s="301"/>
      <c r="AP47" s="301"/>
      <c r="AQ47" s="301"/>
      <c r="AR47" s="301"/>
      <c r="AS47" s="301"/>
      <c r="AT47" s="301"/>
      <c r="AU47" s="301"/>
      <c r="AV47" s="301"/>
      <c r="AW47" s="301"/>
      <c r="AX47" s="301"/>
      <c r="AY47" s="301"/>
      <c r="AZ47" s="301"/>
      <c r="BA47" s="301"/>
      <c r="BB47" s="301"/>
      <c r="BC47" s="301"/>
      <c r="BD47" s="301"/>
      <c r="BE47" s="301"/>
      <c r="BF47" s="301"/>
      <c r="BG47" s="301"/>
      <c r="BH47" s="301"/>
      <c r="BI47" s="301"/>
      <c r="BJ47" s="301"/>
      <c r="BK47" s="301"/>
      <c r="BL47" s="301"/>
      <c r="BM47" s="301"/>
      <c r="BN47" s="301"/>
      <c r="BO47" s="301"/>
      <c r="BP47" s="301"/>
      <c r="BQ47" s="301"/>
      <c r="BR47" s="301"/>
      <c r="BS47" s="301"/>
      <c r="BT47" s="301"/>
      <c r="BU47" s="301"/>
      <c r="BV47" s="301"/>
      <c r="BW47" s="301"/>
      <c r="BX47" s="301"/>
      <c r="BY47" s="301"/>
      <c r="BZ47" s="301"/>
      <c r="CA47" s="301"/>
      <c r="CB47" s="301"/>
      <c r="CC47" s="301"/>
      <c r="CD47" s="301"/>
      <c r="CE47" s="301"/>
      <c r="CF47" s="301"/>
      <c r="CG47" s="301"/>
      <c r="CH47" s="301"/>
      <c r="CI47" s="301"/>
      <c r="CJ47" s="301"/>
      <c r="CK47" s="301"/>
      <c r="CL47" s="301"/>
      <c r="CM47" s="301"/>
      <c r="CN47" s="301"/>
      <c r="CO47" s="301"/>
      <c r="CP47" s="301"/>
      <c r="CQ47" s="301"/>
      <c r="CR47" s="301"/>
      <c r="CS47" s="301"/>
      <c r="CT47" s="301"/>
      <c r="CU47" s="301"/>
      <c r="CV47" s="301"/>
      <c r="CW47" s="301"/>
      <c r="CX47" s="301"/>
      <c r="CY47" s="301"/>
      <c r="CZ47" s="301"/>
      <c r="DA47" s="301"/>
      <c r="DB47" s="301"/>
      <c r="DC47" s="301"/>
      <c r="DD47" s="301"/>
      <c r="DE47" s="301"/>
      <c r="DF47" s="301"/>
      <c r="DG47" s="301"/>
      <c r="DH47" s="301"/>
      <c r="DI47" s="301"/>
      <c r="DJ47" s="301"/>
      <c r="DK47" s="301"/>
      <c r="DL47" s="301"/>
      <c r="DM47" s="301"/>
      <c r="DN47" s="301"/>
      <c r="DO47" s="301"/>
      <c r="DP47" s="301"/>
      <c r="DQ47" s="301"/>
      <c r="DR47" s="301"/>
      <c r="DS47" s="301"/>
      <c r="DT47" s="301"/>
      <c r="DU47" s="301"/>
      <c r="DV47" s="301"/>
      <c r="DW47" s="301"/>
      <c r="DX47" s="301"/>
      <c r="DY47" s="301"/>
      <c r="DZ47" s="301"/>
      <c r="EA47" s="301"/>
      <c r="EB47" s="301"/>
      <c r="EC47" s="301"/>
      <c r="ED47" s="301"/>
      <c r="EE47" s="301"/>
      <c r="EF47" s="301"/>
      <c r="EG47" s="301"/>
      <c r="EH47" s="301"/>
      <c r="EI47" s="301"/>
      <c r="EJ47" s="301"/>
      <c r="EK47" s="301"/>
      <c r="EL47" s="301"/>
      <c r="EM47" s="301"/>
      <c r="EN47" s="301"/>
      <c r="EO47" s="301"/>
      <c r="EP47" s="301"/>
      <c r="EQ47" s="301"/>
      <c r="ER47" s="301"/>
      <c r="ES47" s="301"/>
      <c r="ET47" s="301"/>
      <c r="EU47" s="301"/>
      <c r="EV47" s="301"/>
      <c r="EW47" s="301"/>
      <c r="EX47" s="301"/>
      <c r="EY47" s="301"/>
      <c r="EZ47" s="301"/>
      <c r="FA47" s="301"/>
      <c r="FB47" s="301"/>
      <c r="FC47" s="301"/>
      <c r="FD47" s="301"/>
      <c r="FE47" s="301"/>
      <c r="FF47" s="301"/>
      <c r="FG47" s="301"/>
      <c r="FH47" s="301"/>
      <c r="FI47" s="301"/>
      <c r="FJ47" s="301"/>
      <c r="FK47" s="301"/>
      <c r="FL47" s="301"/>
      <c r="FM47" s="301"/>
      <c r="FN47" s="301"/>
      <c r="FO47" s="301"/>
      <c r="FP47" s="301"/>
      <c r="FQ47" s="301"/>
      <c r="FR47" s="301"/>
      <c r="FS47" s="301"/>
      <c r="FT47" s="301"/>
      <c r="FU47" s="301"/>
      <c r="FV47" s="301"/>
      <c r="FW47" s="301"/>
      <c r="FX47" s="301"/>
      <c r="FY47" s="301"/>
      <c r="FZ47" s="301"/>
      <c r="GA47" s="301"/>
      <c r="GB47" s="301"/>
      <c r="GC47" s="301"/>
      <c r="GD47" s="301"/>
      <c r="GE47" s="301"/>
      <c r="GF47" s="301"/>
      <c r="GG47" s="301"/>
      <c r="GH47" s="301"/>
      <c r="GI47" s="301"/>
      <c r="GJ47" s="301"/>
      <c r="GK47" s="301"/>
      <c r="GL47" s="301"/>
      <c r="GM47" s="301"/>
      <c r="GN47" s="301"/>
      <c r="GO47" s="301"/>
      <c r="GP47" s="301"/>
      <c r="GQ47" s="301"/>
      <c r="GR47" s="301"/>
      <c r="GS47" s="301"/>
      <c r="GT47" s="301"/>
      <c r="GU47" s="301"/>
      <c r="GV47" s="301"/>
      <c r="GW47" s="301"/>
      <c r="GX47" s="301"/>
      <c r="GY47" s="301"/>
      <c r="GZ47" s="301"/>
      <c r="HA47" s="301"/>
      <c r="HB47" s="301"/>
      <c r="HC47" s="301"/>
      <c r="HD47" s="301"/>
      <c r="HE47" s="301"/>
      <c r="HF47" s="301"/>
      <c r="HG47" s="301"/>
      <c r="HH47" s="301"/>
      <c r="HI47" s="301"/>
      <c r="HJ47" s="301"/>
      <c r="HK47" s="301"/>
      <c r="HL47" s="301"/>
      <c r="HM47" s="301"/>
      <c r="HN47" s="301"/>
      <c r="HO47" s="301"/>
      <c r="HP47" s="301"/>
      <c r="HQ47" s="301"/>
      <c r="HR47" s="301"/>
      <c r="HS47" s="301"/>
      <c r="HT47" s="301"/>
      <c r="HU47" s="301"/>
      <c r="HV47" s="301"/>
      <c r="HW47" s="301"/>
      <c r="HX47" s="301"/>
      <c r="HY47" s="301"/>
      <c r="HZ47" s="301"/>
      <c r="IA47" s="301"/>
      <c r="IB47" s="301"/>
      <c r="IC47" s="301"/>
      <c r="ID47" s="301"/>
      <c r="IE47" s="301"/>
      <c r="IF47" s="301"/>
      <c r="IG47" s="301"/>
      <c r="IH47" s="301"/>
      <c r="II47" s="301"/>
      <c r="IJ47" s="301"/>
      <c r="IK47" s="301"/>
      <c r="IL47" s="301"/>
      <c r="IM47" s="301"/>
      <c r="IN47" s="301"/>
      <c r="IO47" s="301"/>
      <c r="IP47" s="301"/>
      <c r="IQ47" s="301"/>
      <c r="IR47" s="301"/>
      <c r="IS47" s="301"/>
      <c r="IT47" s="301"/>
      <c r="IU47" s="301"/>
      <c r="IV47" s="301"/>
    </row>
    <row r="48" spans="1:256" ht="15" hidden="1">
      <c r="A48" s="301"/>
      <c r="B48" s="302"/>
      <c r="C48" s="324">
        <v>100</v>
      </c>
      <c r="D48" s="325" t="s">
        <v>644</v>
      </c>
      <c r="E48" s="1533" t="s">
        <v>817</v>
      </c>
      <c r="F48" s="1533"/>
      <c r="G48" s="1533"/>
      <c r="H48" s="1533"/>
      <c r="I48" s="326">
        <v>13</v>
      </c>
      <c r="J48" s="326" t="s">
        <v>644</v>
      </c>
      <c r="K48" s="327">
        <f>ROUND(C48*I48,2)</f>
        <v>1300</v>
      </c>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1"/>
      <c r="AI48" s="301"/>
      <c r="AJ48" s="301"/>
      <c r="AK48" s="301"/>
      <c r="AL48" s="301"/>
      <c r="AM48" s="301"/>
      <c r="AN48" s="301"/>
      <c r="AO48" s="301"/>
      <c r="AP48" s="301"/>
      <c r="AQ48" s="301"/>
      <c r="AR48" s="301"/>
      <c r="AS48" s="301"/>
      <c r="AT48" s="301"/>
      <c r="AU48" s="301"/>
      <c r="AV48" s="301"/>
      <c r="AW48" s="301"/>
      <c r="AX48" s="301"/>
      <c r="AY48" s="301"/>
      <c r="AZ48" s="301"/>
      <c r="BA48" s="301"/>
      <c r="BB48" s="301"/>
      <c r="BC48" s="301"/>
      <c r="BD48" s="301"/>
      <c r="BE48" s="301"/>
      <c r="BF48" s="301"/>
      <c r="BG48" s="301"/>
      <c r="BH48" s="301"/>
      <c r="BI48" s="301"/>
      <c r="BJ48" s="301"/>
      <c r="BK48" s="301"/>
      <c r="BL48" s="301"/>
      <c r="BM48" s="301"/>
      <c r="BN48" s="301"/>
      <c r="BO48" s="301"/>
      <c r="BP48" s="301"/>
      <c r="BQ48" s="301"/>
      <c r="BR48" s="301"/>
      <c r="BS48" s="301"/>
      <c r="BT48" s="301"/>
      <c r="BU48" s="301"/>
      <c r="BV48" s="301"/>
      <c r="BW48" s="301"/>
      <c r="BX48" s="301"/>
      <c r="BY48" s="301"/>
      <c r="BZ48" s="301"/>
      <c r="CA48" s="301"/>
      <c r="CB48" s="301"/>
      <c r="CC48" s="301"/>
      <c r="CD48" s="301"/>
      <c r="CE48" s="301"/>
      <c r="CF48" s="301"/>
      <c r="CG48" s="301"/>
      <c r="CH48" s="301"/>
      <c r="CI48" s="301"/>
      <c r="CJ48" s="301"/>
      <c r="CK48" s="301"/>
      <c r="CL48" s="301"/>
      <c r="CM48" s="301"/>
      <c r="CN48" s="301"/>
      <c r="CO48" s="301"/>
      <c r="CP48" s="301"/>
      <c r="CQ48" s="301"/>
      <c r="CR48" s="301"/>
      <c r="CS48" s="301"/>
      <c r="CT48" s="301"/>
      <c r="CU48" s="301"/>
      <c r="CV48" s="301"/>
      <c r="CW48" s="301"/>
      <c r="CX48" s="301"/>
      <c r="CY48" s="301"/>
      <c r="CZ48" s="301"/>
      <c r="DA48" s="301"/>
      <c r="DB48" s="301"/>
      <c r="DC48" s="301"/>
      <c r="DD48" s="301"/>
      <c r="DE48" s="301"/>
      <c r="DF48" s="301"/>
      <c r="DG48" s="301"/>
      <c r="DH48" s="301"/>
      <c r="DI48" s="301"/>
      <c r="DJ48" s="301"/>
      <c r="DK48" s="301"/>
      <c r="DL48" s="301"/>
      <c r="DM48" s="301"/>
      <c r="DN48" s="301"/>
      <c r="DO48" s="301"/>
      <c r="DP48" s="301"/>
      <c r="DQ48" s="301"/>
      <c r="DR48" s="301"/>
      <c r="DS48" s="301"/>
      <c r="DT48" s="301"/>
      <c r="DU48" s="301"/>
      <c r="DV48" s="301"/>
      <c r="DW48" s="301"/>
      <c r="DX48" s="301"/>
      <c r="DY48" s="301"/>
      <c r="DZ48" s="301"/>
      <c r="EA48" s="301"/>
      <c r="EB48" s="301"/>
      <c r="EC48" s="301"/>
      <c r="ED48" s="301"/>
      <c r="EE48" s="301"/>
      <c r="EF48" s="301"/>
      <c r="EG48" s="301"/>
      <c r="EH48" s="301"/>
      <c r="EI48" s="301"/>
      <c r="EJ48" s="301"/>
      <c r="EK48" s="301"/>
      <c r="EL48" s="301"/>
      <c r="EM48" s="301"/>
      <c r="EN48" s="301"/>
      <c r="EO48" s="301"/>
      <c r="EP48" s="301"/>
      <c r="EQ48" s="301"/>
      <c r="ER48" s="301"/>
      <c r="ES48" s="301"/>
      <c r="ET48" s="301"/>
      <c r="EU48" s="301"/>
      <c r="EV48" s="301"/>
      <c r="EW48" s="301"/>
      <c r="EX48" s="301"/>
      <c r="EY48" s="301"/>
      <c r="EZ48" s="301"/>
      <c r="FA48" s="301"/>
      <c r="FB48" s="301"/>
      <c r="FC48" s="301"/>
      <c r="FD48" s="301"/>
      <c r="FE48" s="301"/>
      <c r="FF48" s="301"/>
      <c r="FG48" s="301"/>
      <c r="FH48" s="301"/>
      <c r="FI48" s="301"/>
      <c r="FJ48" s="301"/>
      <c r="FK48" s="301"/>
      <c r="FL48" s="301"/>
      <c r="FM48" s="301"/>
      <c r="FN48" s="301"/>
      <c r="FO48" s="301"/>
      <c r="FP48" s="301"/>
      <c r="FQ48" s="301"/>
      <c r="FR48" s="301"/>
      <c r="FS48" s="301"/>
      <c r="FT48" s="301"/>
      <c r="FU48" s="301"/>
      <c r="FV48" s="301"/>
      <c r="FW48" s="301"/>
      <c r="FX48" s="301"/>
      <c r="FY48" s="301"/>
      <c r="FZ48" s="301"/>
      <c r="GA48" s="301"/>
      <c r="GB48" s="301"/>
      <c r="GC48" s="301"/>
      <c r="GD48" s="301"/>
      <c r="GE48" s="301"/>
      <c r="GF48" s="301"/>
      <c r="GG48" s="301"/>
      <c r="GH48" s="301"/>
      <c r="GI48" s="301"/>
      <c r="GJ48" s="301"/>
      <c r="GK48" s="301"/>
      <c r="GL48" s="301"/>
      <c r="GM48" s="301"/>
      <c r="GN48" s="301"/>
      <c r="GO48" s="301"/>
      <c r="GP48" s="301"/>
      <c r="GQ48" s="301"/>
      <c r="GR48" s="301"/>
      <c r="GS48" s="301"/>
      <c r="GT48" s="301"/>
      <c r="GU48" s="301"/>
      <c r="GV48" s="301"/>
      <c r="GW48" s="301"/>
      <c r="GX48" s="301"/>
      <c r="GY48" s="301"/>
      <c r="GZ48" s="301"/>
      <c r="HA48" s="301"/>
      <c r="HB48" s="301"/>
      <c r="HC48" s="301"/>
      <c r="HD48" s="301"/>
      <c r="HE48" s="301"/>
      <c r="HF48" s="301"/>
      <c r="HG48" s="301"/>
      <c r="HH48" s="301"/>
      <c r="HI48" s="301"/>
      <c r="HJ48" s="301"/>
      <c r="HK48" s="301"/>
      <c r="HL48" s="301"/>
      <c r="HM48" s="301"/>
      <c r="HN48" s="301"/>
      <c r="HO48" s="301"/>
      <c r="HP48" s="301"/>
      <c r="HQ48" s="301"/>
      <c r="HR48" s="301"/>
      <c r="HS48" s="301"/>
      <c r="HT48" s="301"/>
      <c r="HU48" s="301"/>
      <c r="HV48" s="301"/>
      <c r="HW48" s="301"/>
      <c r="HX48" s="301"/>
      <c r="HY48" s="301"/>
      <c r="HZ48" s="301"/>
      <c r="IA48" s="301"/>
      <c r="IB48" s="301"/>
      <c r="IC48" s="301"/>
      <c r="ID48" s="301"/>
      <c r="IE48" s="301"/>
      <c r="IF48" s="301"/>
      <c r="IG48" s="301"/>
      <c r="IH48" s="301"/>
      <c r="II48" s="301"/>
      <c r="IJ48" s="301"/>
      <c r="IK48" s="301"/>
      <c r="IL48" s="301"/>
      <c r="IM48" s="301"/>
      <c r="IN48" s="301"/>
      <c r="IO48" s="301"/>
      <c r="IP48" s="301"/>
      <c r="IQ48" s="301"/>
      <c r="IR48" s="301"/>
      <c r="IS48" s="301"/>
      <c r="IT48" s="301"/>
      <c r="IU48" s="301"/>
      <c r="IV48" s="301"/>
    </row>
    <row r="49" spans="1:256" ht="15" hidden="1">
      <c r="A49" s="301"/>
      <c r="B49" s="302"/>
      <c r="C49" s="321">
        <v>160</v>
      </c>
      <c r="D49" s="307" t="s">
        <v>833</v>
      </c>
      <c r="E49" s="316" t="s">
        <v>834</v>
      </c>
      <c r="F49" s="304"/>
      <c r="G49" s="316"/>
      <c r="H49" s="317"/>
      <c r="I49" s="318">
        <v>3.8</v>
      </c>
      <c r="J49" s="318" t="s">
        <v>833</v>
      </c>
      <c r="K49" s="320">
        <f>ROUND(C49*I49,2)</f>
        <v>608</v>
      </c>
      <c r="L49" s="301"/>
      <c r="M49" s="301"/>
      <c r="N49" s="301"/>
      <c r="O49" s="301"/>
      <c r="P49" s="301"/>
      <c r="Q49" s="301"/>
      <c r="R49" s="301"/>
      <c r="S49" s="301"/>
      <c r="T49" s="301"/>
      <c r="U49" s="301"/>
      <c r="V49" s="301"/>
      <c r="W49" s="301"/>
      <c r="X49" s="301"/>
      <c r="Y49" s="301"/>
      <c r="Z49" s="301"/>
      <c r="AA49" s="301"/>
      <c r="AB49" s="301"/>
      <c r="AC49" s="301"/>
      <c r="AD49" s="301"/>
      <c r="AE49" s="301"/>
      <c r="AF49" s="301"/>
      <c r="AG49" s="301"/>
      <c r="AH49" s="301"/>
      <c r="AI49" s="301"/>
      <c r="AJ49" s="301"/>
      <c r="AK49" s="301"/>
      <c r="AL49" s="301"/>
      <c r="AM49" s="301"/>
      <c r="AN49" s="301"/>
      <c r="AO49" s="301"/>
      <c r="AP49" s="301"/>
      <c r="AQ49" s="301"/>
      <c r="AR49" s="301"/>
      <c r="AS49" s="301"/>
      <c r="AT49" s="301"/>
      <c r="AU49" s="301"/>
      <c r="AV49" s="301"/>
      <c r="AW49" s="301"/>
      <c r="AX49" s="301"/>
      <c r="AY49" s="301"/>
      <c r="AZ49" s="301"/>
      <c r="BA49" s="301"/>
      <c r="BB49" s="301"/>
      <c r="BC49" s="301"/>
      <c r="BD49" s="301"/>
      <c r="BE49" s="301"/>
      <c r="BF49" s="301"/>
      <c r="BG49" s="301"/>
      <c r="BH49" s="301"/>
      <c r="BI49" s="301"/>
      <c r="BJ49" s="301"/>
      <c r="BK49" s="301"/>
      <c r="BL49" s="301"/>
      <c r="BM49" s="301"/>
      <c r="BN49" s="301"/>
      <c r="BO49" s="301"/>
      <c r="BP49" s="301"/>
      <c r="BQ49" s="301"/>
      <c r="BR49" s="301"/>
      <c r="BS49" s="301"/>
      <c r="BT49" s="301"/>
      <c r="BU49" s="301"/>
      <c r="BV49" s="301"/>
      <c r="BW49" s="301"/>
      <c r="BX49" s="301"/>
      <c r="BY49" s="301"/>
      <c r="BZ49" s="301"/>
      <c r="CA49" s="301"/>
      <c r="CB49" s="301"/>
      <c r="CC49" s="301"/>
      <c r="CD49" s="301"/>
      <c r="CE49" s="301"/>
      <c r="CF49" s="301"/>
      <c r="CG49" s="301"/>
      <c r="CH49" s="301"/>
      <c r="CI49" s="301"/>
      <c r="CJ49" s="301"/>
      <c r="CK49" s="301"/>
      <c r="CL49" s="301"/>
      <c r="CM49" s="301"/>
      <c r="CN49" s="301"/>
      <c r="CO49" s="301"/>
      <c r="CP49" s="301"/>
      <c r="CQ49" s="301"/>
      <c r="CR49" s="301"/>
      <c r="CS49" s="301"/>
      <c r="CT49" s="301"/>
      <c r="CU49" s="301"/>
      <c r="CV49" s="301"/>
      <c r="CW49" s="301"/>
      <c r="CX49" s="301"/>
      <c r="CY49" s="301"/>
      <c r="CZ49" s="301"/>
      <c r="DA49" s="301"/>
      <c r="DB49" s="301"/>
      <c r="DC49" s="301"/>
      <c r="DD49" s="301"/>
      <c r="DE49" s="301"/>
      <c r="DF49" s="301"/>
      <c r="DG49" s="301"/>
      <c r="DH49" s="301"/>
      <c r="DI49" s="301"/>
      <c r="DJ49" s="301"/>
      <c r="DK49" s="301"/>
      <c r="DL49" s="301"/>
      <c r="DM49" s="301"/>
      <c r="DN49" s="301"/>
      <c r="DO49" s="301"/>
      <c r="DP49" s="301"/>
      <c r="DQ49" s="301"/>
      <c r="DR49" s="301"/>
      <c r="DS49" s="301"/>
      <c r="DT49" s="301"/>
      <c r="DU49" s="301"/>
      <c r="DV49" s="301"/>
      <c r="DW49" s="301"/>
      <c r="DX49" s="301"/>
      <c r="DY49" s="301"/>
      <c r="DZ49" s="301"/>
      <c r="EA49" s="301"/>
      <c r="EB49" s="301"/>
      <c r="EC49" s="301"/>
      <c r="ED49" s="301"/>
      <c r="EE49" s="301"/>
      <c r="EF49" s="301"/>
      <c r="EG49" s="301"/>
      <c r="EH49" s="301"/>
      <c r="EI49" s="301"/>
      <c r="EJ49" s="301"/>
      <c r="EK49" s="301"/>
      <c r="EL49" s="301"/>
      <c r="EM49" s="301"/>
      <c r="EN49" s="301"/>
      <c r="EO49" s="301"/>
      <c r="EP49" s="301"/>
      <c r="EQ49" s="301"/>
      <c r="ER49" s="301"/>
      <c r="ES49" s="301"/>
      <c r="ET49" s="301"/>
      <c r="EU49" s="301"/>
      <c r="EV49" s="301"/>
      <c r="EW49" s="301"/>
      <c r="EX49" s="301"/>
      <c r="EY49" s="301"/>
      <c r="EZ49" s="301"/>
      <c r="FA49" s="301"/>
      <c r="FB49" s="301"/>
      <c r="FC49" s="301"/>
      <c r="FD49" s="301"/>
      <c r="FE49" s="301"/>
      <c r="FF49" s="301"/>
      <c r="FG49" s="301"/>
      <c r="FH49" s="301"/>
      <c r="FI49" s="301"/>
      <c r="FJ49" s="301"/>
      <c r="FK49" s="301"/>
      <c r="FL49" s="301"/>
      <c r="FM49" s="301"/>
      <c r="FN49" s="301"/>
      <c r="FO49" s="301"/>
      <c r="FP49" s="301"/>
      <c r="FQ49" s="301"/>
      <c r="FR49" s="301"/>
      <c r="FS49" s="301"/>
      <c r="FT49" s="301"/>
      <c r="FU49" s="301"/>
      <c r="FV49" s="301"/>
      <c r="FW49" s="301"/>
      <c r="FX49" s="301"/>
      <c r="FY49" s="301"/>
      <c r="FZ49" s="301"/>
      <c r="GA49" s="301"/>
      <c r="GB49" s="301"/>
      <c r="GC49" s="301"/>
      <c r="GD49" s="301"/>
      <c r="GE49" s="301"/>
      <c r="GF49" s="301"/>
      <c r="GG49" s="301"/>
      <c r="GH49" s="301"/>
      <c r="GI49" s="301"/>
      <c r="GJ49" s="301"/>
      <c r="GK49" s="301"/>
      <c r="GL49" s="301"/>
      <c r="GM49" s="301"/>
      <c r="GN49" s="301"/>
      <c r="GO49" s="301"/>
      <c r="GP49" s="301"/>
      <c r="GQ49" s="301"/>
      <c r="GR49" s="301"/>
      <c r="GS49" s="301"/>
      <c r="GT49" s="301"/>
      <c r="GU49" s="301"/>
      <c r="GV49" s="301"/>
      <c r="GW49" s="301"/>
      <c r="GX49" s="301"/>
      <c r="GY49" s="301"/>
      <c r="GZ49" s="301"/>
      <c r="HA49" s="301"/>
      <c r="HB49" s="301"/>
      <c r="HC49" s="301"/>
      <c r="HD49" s="301"/>
      <c r="HE49" s="301"/>
      <c r="HF49" s="301"/>
      <c r="HG49" s="301"/>
      <c r="HH49" s="301"/>
      <c r="HI49" s="301"/>
      <c r="HJ49" s="301"/>
      <c r="HK49" s="301"/>
      <c r="HL49" s="301"/>
      <c r="HM49" s="301"/>
      <c r="HN49" s="301"/>
      <c r="HO49" s="301"/>
      <c r="HP49" s="301"/>
      <c r="HQ49" s="301"/>
      <c r="HR49" s="301"/>
      <c r="HS49" s="301"/>
      <c r="HT49" s="301"/>
      <c r="HU49" s="301"/>
      <c r="HV49" s="301"/>
      <c r="HW49" s="301"/>
      <c r="HX49" s="301"/>
      <c r="HY49" s="301"/>
      <c r="HZ49" s="301"/>
      <c r="IA49" s="301"/>
      <c r="IB49" s="301"/>
      <c r="IC49" s="301"/>
      <c r="ID49" s="301"/>
      <c r="IE49" s="301"/>
      <c r="IF49" s="301"/>
      <c r="IG49" s="301"/>
      <c r="IH49" s="301"/>
      <c r="II49" s="301"/>
      <c r="IJ49" s="301"/>
      <c r="IK49" s="301"/>
      <c r="IL49" s="301"/>
      <c r="IM49" s="301"/>
      <c r="IN49" s="301"/>
      <c r="IO49" s="301"/>
      <c r="IP49" s="301"/>
      <c r="IQ49" s="301"/>
      <c r="IR49" s="301"/>
      <c r="IS49" s="301"/>
      <c r="IT49" s="301"/>
      <c r="IU49" s="301"/>
      <c r="IV49" s="301"/>
    </row>
    <row r="50" spans="1:256" ht="15" hidden="1">
      <c r="A50" s="301"/>
      <c r="B50" s="302"/>
      <c r="C50" s="314"/>
      <c r="D50" s="315"/>
      <c r="E50" s="1534" t="s">
        <v>835</v>
      </c>
      <c r="F50" s="1534"/>
      <c r="G50" s="1534"/>
      <c r="H50" s="1534"/>
      <c r="I50" s="326"/>
      <c r="J50" s="320"/>
      <c r="K50" s="318">
        <f>ROUND(K49*10/100,2)</f>
        <v>60.8</v>
      </c>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c r="AJ50" s="301"/>
      <c r="AK50" s="301"/>
      <c r="AL50" s="301"/>
      <c r="AM50" s="301"/>
      <c r="AN50" s="301"/>
      <c r="AO50" s="301"/>
      <c r="AP50" s="301"/>
      <c r="AQ50" s="301"/>
      <c r="AR50" s="301"/>
      <c r="AS50" s="301"/>
      <c r="AT50" s="301"/>
      <c r="AU50" s="301"/>
      <c r="AV50" s="301"/>
      <c r="AW50" s="301"/>
      <c r="AX50" s="301"/>
      <c r="AY50" s="301"/>
      <c r="AZ50" s="301"/>
      <c r="BA50" s="301"/>
      <c r="BB50" s="301"/>
      <c r="BC50" s="301"/>
      <c r="BD50" s="301"/>
      <c r="BE50" s="301"/>
      <c r="BF50" s="301"/>
      <c r="BG50" s="301"/>
      <c r="BH50" s="301"/>
      <c r="BI50" s="301"/>
      <c r="BJ50" s="301"/>
      <c r="BK50" s="301"/>
      <c r="BL50" s="301"/>
      <c r="BM50" s="301"/>
      <c r="BN50" s="301"/>
      <c r="BO50" s="301"/>
      <c r="BP50" s="301"/>
      <c r="BQ50" s="301"/>
      <c r="BR50" s="301"/>
      <c r="BS50" s="301"/>
      <c r="BT50" s="301"/>
      <c r="BU50" s="301"/>
      <c r="BV50" s="301"/>
      <c r="BW50" s="301"/>
      <c r="BX50" s="301"/>
      <c r="BY50" s="301"/>
      <c r="BZ50" s="301"/>
      <c r="CA50" s="301"/>
      <c r="CB50" s="301"/>
      <c r="CC50" s="301"/>
      <c r="CD50" s="301"/>
      <c r="CE50" s="301"/>
      <c r="CF50" s="301"/>
      <c r="CG50" s="301"/>
      <c r="CH50" s="301"/>
      <c r="CI50" s="301"/>
      <c r="CJ50" s="301"/>
      <c r="CK50" s="301"/>
      <c r="CL50" s="301"/>
      <c r="CM50" s="301"/>
      <c r="CN50" s="301"/>
      <c r="CO50" s="301"/>
      <c r="CP50" s="301"/>
      <c r="CQ50" s="301"/>
      <c r="CR50" s="301"/>
      <c r="CS50" s="301"/>
      <c r="CT50" s="301"/>
      <c r="CU50" s="301"/>
      <c r="CV50" s="301"/>
      <c r="CW50" s="301"/>
      <c r="CX50" s="301"/>
      <c r="CY50" s="301"/>
      <c r="CZ50" s="301"/>
      <c r="DA50" s="301"/>
      <c r="DB50" s="301"/>
      <c r="DC50" s="301"/>
      <c r="DD50" s="301"/>
      <c r="DE50" s="301"/>
      <c r="DF50" s="301"/>
      <c r="DG50" s="301"/>
      <c r="DH50" s="301"/>
      <c r="DI50" s="301"/>
      <c r="DJ50" s="301"/>
      <c r="DK50" s="301"/>
      <c r="DL50" s="301"/>
      <c r="DM50" s="301"/>
      <c r="DN50" s="301"/>
      <c r="DO50" s="301"/>
      <c r="DP50" s="301"/>
      <c r="DQ50" s="301"/>
      <c r="DR50" s="301"/>
      <c r="DS50" s="301"/>
      <c r="DT50" s="301"/>
      <c r="DU50" s="301"/>
      <c r="DV50" s="301"/>
      <c r="DW50" s="301"/>
      <c r="DX50" s="301"/>
      <c r="DY50" s="301"/>
      <c r="DZ50" s="301"/>
      <c r="EA50" s="301"/>
      <c r="EB50" s="301"/>
      <c r="EC50" s="301"/>
      <c r="ED50" s="301"/>
      <c r="EE50" s="301"/>
      <c r="EF50" s="301"/>
      <c r="EG50" s="301"/>
      <c r="EH50" s="301"/>
      <c r="EI50" s="301"/>
      <c r="EJ50" s="301"/>
      <c r="EK50" s="301"/>
      <c r="EL50" s="301"/>
      <c r="EM50" s="301"/>
      <c r="EN50" s="301"/>
      <c r="EO50" s="301"/>
      <c r="EP50" s="301"/>
      <c r="EQ50" s="301"/>
      <c r="ER50" s="301"/>
      <c r="ES50" s="301"/>
      <c r="ET50" s="301"/>
      <c r="EU50" s="301"/>
      <c r="EV50" s="301"/>
      <c r="EW50" s="301"/>
      <c r="EX50" s="301"/>
      <c r="EY50" s="301"/>
      <c r="EZ50" s="301"/>
      <c r="FA50" s="301"/>
      <c r="FB50" s="301"/>
      <c r="FC50" s="301"/>
      <c r="FD50" s="301"/>
      <c r="FE50" s="301"/>
      <c r="FF50" s="301"/>
      <c r="FG50" s="301"/>
      <c r="FH50" s="301"/>
      <c r="FI50" s="301"/>
      <c r="FJ50" s="301"/>
      <c r="FK50" s="301"/>
      <c r="FL50" s="301"/>
      <c r="FM50" s="301"/>
      <c r="FN50" s="301"/>
      <c r="FO50" s="301"/>
      <c r="FP50" s="301"/>
      <c r="FQ50" s="301"/>
      <c r="FR50" s="301"/>
      <c r="FS50" s="301"/>
      <c r="FT50" s="301"/>
      <c r="FU50" s="301"/>
      <c r="FV50" s="301"/>
      <c r="FW50" s="301"/>
      <c r="FX50" s="301"/>
      <c r="FY50" s="301"/>
      <c r="FZ50" s="301"/>
      <c r="GA50" s="301"/>
      <c r="GB50" s="301"/>
      <c r="GC50" s="301"/>
      <c r="GD50" s="301"/>
      <c r="GE50" s="301"/>
      <c r="GF50" s="301"/>
      <c r="GG50" s="301"/>
      <c r="GH50" s="301"/>
      <c r="GI50" s="301"/>
      <c r="GJ50" s="301"/>
      <c r="GK50" s="301"/>
      <c r="GL50" s="301"/>
      <c r="GM50" s="301"/>
      <c r="GN50" s="301"/>
      <c r="GO50" s="301"/>
      <c r="GP50" s="301"/>
      <c r="GQ50" s="301"/>
      <c r="GR50" s="301"/>
      <c r="GS50" s="301"/>
      <c r="GT50" s="301"/>
      <c r="GU50" s="301"/>
      <c r="GV50" s="301"/>
      <c r="GW50" s="301"/>
      <c r="GX50" s="301"/>
      <c r="GY50" s="301"/>
      <c r="GZ50" s="301"/>
      <c r="HA50" s="301"/>
      <c r="HB50" s="301"/>
      <c r="HC50" s="301"/>
      <c r="HD50" s="301"/>
      <c r="HE50" s="301"/>
      <c r="HF50" s="301"/>
      <c r="HG50" s="301"/>
      <c r="HH50" s="301"/>
      <c r="HI50" s="301"/>
      <c r="HJ50" s="301"/>
      <c r="HK50" s="301"/>
      <c r="HL50" s="301"/>
      <c r="HM50" s="301"/>
      <c r="HN50" s="301"/>
      <c r="HO50" s="301"/>
      <c r="HP50" s="301"/>
      <c r="HQ50" s="301"/>
      <c r="HR50" s="301"/>
      <c r="HS50" s="301"/>
      <c r="HT50" s="301"/>
      <c r="HU50" s="301"/>
      <c r="HV50" s="301"/>
      <c r="HW50" s="301"/>
      <c r="HX50" s="301"/>
      <c r="HY50" s="301"/>
      <c r="HZ50" s="301"/>
      <c r="IA50" s="301"/>
      <c r="IB50" s="301"/>
      <c r="IC50" s="301"/>
      <c r="ID50" s="301"/>
      <c r="IE50" s="301"/>
      <c r="IF50" s="301"/>
      <c r="IG50" s="301"/>
      <c r="IH50" s="301"/>
      <c r="II50" s="301"/>
      <c r="IJ50" s="301"/>
      <c r="IK50" s="301"/>
      <c r="IL50" s="301"/>
      <c r="IM50" s="301"/>
      <c r="IN50" s="301"/>
      <c r="IO50" s="301"/>
      <c r="IP50" s="301"/>
      <c r="IQ50" s="301"/>
      <c r="IR50" s="301"/>
      <c r="IS50" s="301"/>
      <c r="IT50" s="301"/>
      <c r="IU50" s="301"/>
      <c r="IV50" s="301"/>
    </row>
    <row r="51" spans="1:256" ht="15" hidden="1">
      <c r="A51" s="301"/>
      <c r="B51" s="302"/>
      <c r="C51" s="324">
        <v>0.5</v>
      </c>
      <c r="D51" s="325" t="s">
        <v>818</v>
      </c>
      <c r="E51" s="1533" t="s">
        <v>836</v>
      </c>
      <c r="F51" s="1533"/>
      <c r="G51" s="1533"/>
      <c r="H51" s="1533"/>
      <c r="I51" s="326">
        <v>1729.2</v>
      </c>
      <c r="J51" s="326" t="s">
        <v>818</v>
      </c>
      <c r="K51" s="327">
        <f>ROUND(C51*I51,2)</f>
        <v>864.6</v>
      </c>
      <c r="L51" s="301"/>
      <c r="M51" s="301"/>
      <c r="N51" s="301"/>
      <c r="O51" s="301"/>
      <c r="P51" s="301"/>
      <c r="Q51" s="301"/>
      <c r="R51" s="301"/>
      <c r="S51" s="301"/>
      <c r="T51" s="301"/>
      <c r="U51" s="301"/>
      <c r="V51" s="301"/>
      <c r="W51" s="301"/>
      <c r="X51" s="301"/>
      <c r="Y51" s="301"/>
      <c r="Z51" s="301"/>
      <c r="AA51" s="301"/>
      <c r="AB51" s="301"/>
      <c r="AC51" s="301"/>
      <c r="AD51" s="301"/>
      <c r="AE51" s="301"/>
      <c r="AF51" s="301"/>
      <c r="AG51" s="301"/>
      <c r="AH51" s="301"/>
      <c r="AI51" s="301"/>
      <c r="AJ51" s="301"/>
      <c r="AK51" s="301"/>
      <c r="AL51" s="301"/>
      <c r="AM51" s="301"/>
      <c r="AN51" s="301"/>
      <c r="AO51" s="301"/>
      <c r="AP51" s="301"/>
      <c r="AQ51" s="301"/>
      <c r="AR51" s="301"/>
      <c r="AS51" s="301"/>
      <c r="AT51" s="301"/>
      <c r="AU51" s="301"/>
      <c r="AV51" s="301"/>
      <c r="AW51" s="301"/>
      <c r="AX51" s="301"/>
      <c r="AY51" s="301"/>
      <c r="AZ51" s="301"/>
      <c r="BA51" s="301"/>
      <c r="BB51" s="301"/>
      <c r="BC51" s="301"/>
      <c r="BD51" s="301"/>
      <c r="BE51" s="301"/>
      <c r="BF51" s="301"/>
      <c r="BG51" s="301"/>
      <c r="BH51" s="301"/>
      <c r="BI51" s="301"/>
      <c r="BJ51" s="301"/>
      <c r="BK51" s="301"/>
      <c r="BL51" s="301"/>
      <c r="BM51" s="301"/>
      <c r="BN51" s="301"/>
      <c r="BO51" s="301"/>
      <c r="BP51" s="301"/>
      <c r="BQ51" s="301"/>
      <c r="BR51" s="301"/>
      <c r="BS51" s="301"/>
      <c r="BT51" s="301"/>
      <c r="BU51" s="301"/>
      <c r="BV51" s="301"/>
      <c r="BW51" s="301"/>
      <c r="BX51" s="301"/>
      <c r="BY51" s="301"/>
      <c r="BZ51" s="301"/>
      <c r="CA51" s="301"/>
      <c r="CB51" s="301"/>
      <c r="CC51" s="301"/>
      <c r="CD51" s="301"/>
      <c r="CE51" s="301"/>
      <c r="CF51" s="301"/>
      <c r="CG51" s="301"/>
      <c r="CH51" s="301"/>
      <c r="CI51" s="301"/>
      <c r="CJ51" s="301"/>
      <c r="CK51" s="301"/>
      <c r="CL51" s="301"/>
      <c r="CM51" s="301"/>
      <c r="CN51" s="301"/>
      <c r="CO51" s="301"/>
      <c r="CP51" s="301"/>
      <c r="CQ51" s="301"/>
      <c r="CR51" s="301"/>
      <c r="CS51" s="301"/>
      <c r="CT51" s="301"/>
      <c r="CU51" s="301"/>
      <c r="CV51" s="301"/>
      <c r="CW51" s="301"/>
      <c r="CX51" s="301"/>
      <c r="CY51" s="301"/>
      <c r="CZ51" s="301"/>
      <c r="DA51" s="301"/>
      <c r="DB51" s="301"/>
      <c r="DC51" s="301"/>
      <c r="DD51" s="301"/>
      <c r="DE51" s="301"/>
      <c r="DF51" s="301"/>
      <c r="DG51" s="301"/>
      <c r="DH51" s="301"/>
      <c r="DI51" s="301"/>
      <c r="DJ51" s="301"/>
      <c r="DK51" s="301"/>
      <c r="DL51" s="301"/>
      <c r="DM51" s="301"/>
      <c r="DN51" s="301"/>
      <c r="DO51" s="301"/>
      <c r="DP51" s="301"/>
      <c r="DQ51" s="301"/>
      <c r="DR51" s="301"/>
      <c r="DS51" s="301"/>
      <c r="DT51" s="301"/>
      <c r="DU51" s="301"/>
      <c r="DV51" s="301"/>
      <c r="DW51" s="301"/>
      <c r="DX51" s="301"/>
      <c r="DY51" s="301"/>
      <c r="DZ51" s="301"/>
      <c r="EA51" s="301"/>
      <c r="EB51" s="301"/>
      <c r="EC51" s="301"/>
      <c r="ED51" s="301"/>
      <c r="EE51" s="301"/>
      <c r="EF51" s="301"/>
      <c r="EG51" s="301"/>
      <c r="EH51" s="301"/>
      <c r="EI51" s="301"/>
      <c r="EJ51" s="301"/>
      <c r="EK51" s="301"/>
      <c r="EL51" s="301"/>
      <c r="EM51" s="301"/>
      <c r="EN51" s="301"/>
      <c r="EO51" s="301"/>
      <c r="EP51" s="301"/>
      <c r="EQ51" s="301"/>
      <c r="ER51" s="301"/>
      <c r="ES51" s="301"/>
      <c r="ET51" s="301"/>
      <c r="EU51" s="301"/>
      <c r="EV51" s="301"/>
      <c r="EW51" s="301"/>
      <c r="EX51" s="301"/>
      <c r="EY51" s="301"/>
      <c r="EZ51" s="301"/>
      <c r="FA51" s="301"/>
      <c r="FB51" s="301"/>
      <c r="FC51" s="301"/>
      <c r="FD51" s="301"/>
      <c r="FE51" s="301"/>
      <c r="FF51" s="301"/>
      <c r="FG51" s="301"/>
      <c r="FH51" s="301"/>
      <c r="FI51" s="301"/>
      <c r="FJ51" s="301"/>
      <c r="FK51" s="301"/>
      <c r="FL51" s="301"/>
      <c r="FM51" s="301"/>
      <c r="FN51" s="301"/>
      <c r="FO51" s="301"/>
      <c r="FP51" s="301"/>
      <c r="FQ51" s="301"/>
      <c r="FR51" s="301"/>
      <c r="FS51" s="301"/>
      <c r="FT51" s="301"/>
      <c r="FU51" s="301"/>
      <c r="FV51" s="301"/>
      <c r="FW51" s="301"/>
      <c r="FX51" s="301"/>
      <c r="FY51" s="301"/>
      <c r="FZ51" s="301"/>
      <c r="GA51" s="301"/>
      <c r="GB51" s="301"/>
      <c r="GC51" s="301"/>
      <c r="GD51" s="301"/>
      <c r="GE51" s="301"/>
      <c r="GF51" s="301"/>
      <c r="GG51" s="301"/>
      <c r="GH51" s="301"/>
      <c r="GI51" s="301"/>
      <c r="GJ51" s="301"/>
      <c r="GK51" s="301"/>
      <c r="GL51" s="301"/>
      <c r="GM51" s="301"/>
      <c r="GN51" s="301"/>
      <c r="GO51" s="301"/>
      <c r="GP51" s="301"/>
      <c r="GQ51" s="301"/>
      <c r="GR51" s="301"/>
      <c r="GS51" s="301"/>
      <c r="GT51" s="301"/>
      <c r="GU51" s="301"/>
      <c r="GV51" s="301"/>
      <c r="GW51" s="301"/>
      <c r="GX51" s="301"/>
      <c r="GY51" s="301"/>
      <c r="GZ51" s="301"/>
      <c r="HA51" s="301"/>
      <c r="HB51" s="301"/>
      <c r="HC51" s="301"/>
      <c r="HD51" s="301"/>
      <c r="HE51" s="301"/>
      <c r="HF51" s="301"/>
      <c r="HG51" s="301"/>
      <c r="HH51" s="301"/>
      <c r="HI51" s="301"/>
      <c r="HJ51" s="301"/>
      <c r="HK51" s="301"/>
      <c r="HL51" s="301"/>
      <c r="HM51" s="301"/>
      <c r="HN51" s="301"/>
      <c r="HO51" s="301"/>
      <c r="HP51" s="301"/>
      <c r="HQ51" s="301"/>
      <c r="HR51" s="301"/>
      <c r="HS51" s="301"/>
      <c r="HT51" s="301"/>
      <c r="HU51" s="301"/>
      <c r="HV51" s="301"/>
      <c r="HW51" s="301"/>
      <c r="HX51" s="301"/>
      <c r="HY51" s="301"/>
      <c r="HZ51" s="301"/>
      <c r="IA51" s="301"/>
      <c r="IB51" s="301"/>
      <c r="IC51" s="301"/>
      <c r="ID51" s="301"/>
      <c r="IE51" s="301"/>
      <c r="IF51" s="301"/>
      <c r="IG51" s="301"/>
      <c r="IH51" s="301"/>
      <c r="II51" s="301"/>
      <c r="IJ51" s="301"/>
      <c r="IK51" s="301"/>
      <c r="IL51" s="301"/>
      <c r="IM51" s="301"/>
      <c r="IN51" s="301"/>
      <c r="IO51" s="301"/>
      <c r="IP51" s="301"/>
      <c r="IQ51" s="301"/>
      <c r="IR51" s="301"/>
      <c r="IS51" s="301"/>
      <c r="IT51" s="301"/>
      <c r="IU51" s="301"/>
      <c r="IV51" s="301"/>
    </row>
    <row r="52" spans="1:256" ht="15" hidden="1">
      <c r="A52" s="301"/>
      <c r="B52" s="302"/>
      <c r="C52" s="324">
        <v>1</v>
      </c>
      <c r="D52" s="325" t="s">
        <v>818</v>
      </c>
      <c r="E52" s="1533" t="s">
        <v>819</v>
      </c>
      <c r="F52" s="1533"/>
      <c r="G52" s="1533"/>
      <c r="H52" s="1533"/>
      <c r="I52" s="326">
        <f>I22</f>
        <v>3601.92</v>
      </c>
      <c r="J52" s="326" t="s">
        <v>818</v>
      </c>
      <c r="K52" s="327">
        <f>ROUND(C52*I52,2)</f>
        <v>3601.92</v>
      </c>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1"/>
      <c r="AI52" s="301"/>
      <c r="AJ52" s="301"/>
      <c r="AK52" s="301"/>
      <c r="AL52" s="301"/>
      <c r="AM52" s="301"/>
      <c r="AN52" s="301"/>
      <c r="AO52" s="301"/>
      <c r="AP52" s="301"/>
      <c r="AQ52" s="301"/>
      <c r="AR52" s="301"/>
      <c r="AS52" s="301"/>
      <c r="AT52" s="301"/>
      <c r="AU52" s="301"/>
      <c r="AV52" s="301"/>
      <c r="AW52" s="301"/>
      <c r="AX52" s="301"/>
      <c r="AY52" s="301"/>
      <c r="AZ52" s="301"/>
      <c r="BA52" s="301"/>
      <c r="BB52" s="301"/>
      <c r="BC52" s="301"/>
      <c r="BD52" s="301"/>
      <c r="BE52" s="301"/>
      <c r="BF52" s="301"/>
      <c r="BG52" s="301"/>
      <c r="BH52" s="301"/>
      <c r="BI52" s="301"/>
      <c r="BJ52" s="301"/>
      <c r="BK52" s="301"/>
      <c r="BL52" s="301"/>
      <c r="BM52" s="301"/>
      <c r="BN52" s="301"/>
      <c r="BO52" s="301"/>
      <c r="BP52" s="301"/>
      <c r="BQ52" s="301"/>
      <c r="BR52" s="301"/>
      <c r="BS52" s="301"/>
      <c r="BT52" s="301"/>
      <c r="BU52" s="301"/>
      <c r="BV52" s="301"/>
      <c r="BW52" s="301"/>
      <c r="BX52" s="301"/>
      <c r="BY52" s="301"/>
      <c r="BZ52" s="301"/>
      <c r="CA52" s="301"/>
      <c r="CB52" s="301"/>
      <c r="CC52" s="301"/>
      <c r="CD52" s="301"/>
      <c r="CE52" s="301"/>
      <c r="CF52" s="301"/>
      <c r="CG52" s="301"/>
      <c r="CH52" s="301"/>
      <c r="CI52" s="301"/>
      <c r="CJ52" s="301"/>
      <c r="CK52" s="301"/>
      <c r="CL52" s="301"/>
      <c r="CM52" s="301"/>
      <c r="CN52" s="301"/>
      <c r="CO52" s="301"/>
      <c r="CP52" s="301"/>
      <c r="CQ52" s="301"/>
      <c r="CR52" s="301"/>
      <c r="CS52" s="301"/>
      <c r="CT52" s="301"/>
      <c r="CU52" s="301"/>
      <c r="CV52" s="301"/>
      <c r="CW52" s="301"/>
      <c r="CX52" s="301"/>
      <c r="CY52" s="301"/>
      <c r="CZ52" s="301"/>
      <c r="DA52" s="301"/>
      <c r="DB52" s="301"/>
      <c r="DC52" s="301"/>
      <c r="DD52" s="301"/>
      <c r="DE52" s="301"/>
      <c r="DF52" s="301"/>
      <c r="DG52" s="301"/>
      <c r="DH52" s="301"/>
      <c r="DI52" s="301"/>
      <c r="DJ52" s="301"/>
      <c r="DK52" s="301"/>
      <c r="DL52" s="301"/>
      <c r="DM52" s="301"/>
      <c r="DN52" s="301"/>
      <c r="DO52" s="301"/>
      <c r="DP52" s="301"/>
      <c r="DQ52" s="301"/>
      <c r="DR52" s="301"/>
      <c r="DS52" s="301"/>
      <c r="DT52" s="301"/>
      <c r="DU52" s="301"/>
      <c r="DV52" s="301"/>
      <c r="DW52" s="301"/>
      <c r="DX52" s="301"/>
      <c r="DY52" s="301"/>
      <c r="DZ52" s="301"/>
      <c r="EA52" s="301"/>
      <c r="EB52" s="301"/>
      <c r="EC52" s="301"/>
      <c r="ED52" s="301"/>
      <c r="EE52" s="301"/>
      <c r="EF52" s="301"/>
      <c r="EG52" s="301"/>
      <c r="EH52" s="301"/>
      <c r="EI52" s="301"/>
      <c r="EJ52" s="301"/>
      <c r="EK52" s="301"/>
      <c r="EL52" s="301"/>
      <c r="EM52" s="301"/>
      <c r="EN52" s="301"/>
      <c r="EO52" s="301"/>
      <c r="EP52" s="301"/>
      <c r="EQ52" s="301"/>
      <c r="ER52" s="301"/>
      <c r="ES52" s="301"/>
      <c r="ET52" s="301"/>
      <c r="EU52" s="301"/>
      <c r="EV52" s="301"/>
      <c r="EW52" s="301"/>
      <c r="EX52" s="301"/>
      <c r="EY52" s="301"/>
      <c r="EZ52" s="301"/>
      <c r="FA52" s="301"/>
      <c r="FB52" s="301"/>
      <c r="FC52" s="301"/>
      <c r="FD52" s="301"/>
      <c r="FE52" s="301"/>
      <c r="FF52" s="301"/>
      <c r="FG52" s="301"/>
      <c r="FH52" s="301"/>
      <c r="FI52" s="301"/>
      <c r="FJ52" s="301"/>
      <c r="FK52" s="301"/>
      <c r="FL52" s="301"/>
      <c r="FM52" s="301"/>
      <c r="FN52" s="301"/>
      <c r="FO52" s="301"/>
      <c r="FP52" s="301"/>
      <c r="FQ52" s="301"/>
      <c r="FR52" s="301"/>
      <c r="FS52" s="301"/>
      <c r="FT52" s="301"/>
      <c r="FU52" s="301"/>
      <c r="FV52" s="301"/>
      <c r="FW52" s="301"/>
      <c r="FX52" s="301"/>
      <c r="FY52" s="301"/>
      <c r="FZ52" s="301"/>
      <c r="GA52" s="301"/>
      <c r="GB52" s="301"/>
      <c r="GC52" s="301"/>
      <c r="GD52" s="301"/>
      <c r="GE52" s="301"/>
      <c r="GF52" s="301"/>
      <c r="GG52" s="301"/>
      <c r="GH52" s="301"/>
      <c r="GI52" s="301"/>
      <c r="GJ52" s="301"/>
      <c r="GK52" s="301"/>
      <c r="GL52" s="301"/>
      <c r="GM52" s="301"/>
      <c r="GN52" s="301"/>
      <c r="GO52" s="301"/>
      <c r="GP52" s="301"/>
      <c r="GQ52" s="301"/>
      <c r="GR52" s="301"/>
      <c r="GS52" s="301"/>
      <c r="GT52" s="301"/>
      <c r="GU52" s="301"/>
      <c r="GV52" s="301"/>
      <c r="GW52" s="301"/>
      <c r="GX52" s="301"/>
      <c r="GY52" s="301"/>
      <c r="GZ52" s="301"/>
      <c r="HA52" s="301"/>
      <c r="HB52" s="301"/>
      <c r="HC52" s="301"/>
      <c r="HD52" s="301"/>
      <c r="HE52" s="301"/>
      <c r="HF52" s="301"/>
      <c r="HG52" s="301"/>
      <c r="HH52" s="301"/>
      <c r="HI52" s="301"/>
      <c r="HJ52" s="301"/>
      <c r="HK52" s="301"/>
      <c r="HL52" s="301"/>
      <c r="HM52" s="301"/>
      <c r="HN52" s="301"/>
      <c r="HO52" s="301"/>
      <c r="HP52" s="301"/>
      <c r="HQ52" s="301"/>
      <c r="HR52" s="301"/>
      <c r="HS52" s="301"/>
      <c r="HT52" s="301"/>
      <c r="HU52" s="301"/>
      <c r="HV52" s="301"/>
      <c r="HW52" s="301"/>
      <c r="HX52" s="301"/>
      <c r="HY52" s="301"/>
      <c r="HZ52" s="301"/>
      <c r="IA52" s="301"/>
      <c r="IB52" s="301"/>
      <c r="IC52" s="301"/>
      <c r="ID52" s="301"/>
      <c r="IE52" s="301"/>
      <c r="IF52" s="301"/>
      <c r="IG52" s="301"/>
      <c r="IH52" s="301"/>
      <c r="II52" s="301"/>
      <c r="IJ52" s="301"/>
      <c r="IK52" s="301"/>
      <c r="IL52" s="301"/>
      <c r="IM52" s="301"/>
      <c r="IN52" s="301"/>
      <c r="IO52" s="301"/>
      <c r="IP52" s="301"/>
      <c r="IQ52" s="301"/>
      <c r="IR52" s="301"/>
      <c r="IS52" s="301"/>
      <c r="IT52" s="301"/>
      <c r="IU52" s="301"/>
      <c r="IV52" s="301"/>
    </row>
    <row r="53" spans="1:256" ht="15" hidden="1">
      <c r="A53" s="301"/>
      <c r="B53" s="302"/>
      <c r="C53" s="321">
        <v>4</v>
      </c>
      <c r="D53" s="307" t="s">
        <v>818</v>
      </c>
      <c r="E53" s="316" t="s">
        <v>820</v>
      </c>
      <c r="F53" s="304"/>
      <c r="G53" s="316"/>
      <c r="H53" s="317"/>
      <c r="I53" s="328">
        <f>I23</f>
        <v>698.88</v>
      </c>
      <c r="J53" s="318" t="s">
        <v>818</v>
      </c>
      <c r="K53" s="320">
        <f>ROUND(C53*I53,2)</f>
        <v>2795.52</v>
      </c>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c r="AM53" s="301"/>
      <c r="AN53" s="301"/>
      <c r="AO53" s="301"/>
      <c r="AP53" s="301"/>
      <c r="AQ53" s="301"/>
      <c r="AR53" s="301"/>
      <c r="AS53" s="301"/>
      <c r="AT53" s="301"/>
      <c r="AU53" s="301"/>
      <c r="AV53" s="301"/>
      <c r="AW53" s="301"/>
      <c r="AX53" s="301"/>
      <c r="AY53" s="301"/>
      <c r="AZ53" s="301"/>
      <c r="BA53" s="301"/>
      <c r="BB53" s="301"/>
      <c r="BC53" s="301"/>
      <c r="BD53" s="301"/>
      <c r="BE53" s="301"/>
      <c r="BF53" s="301"/>
      <c r="BG53" s="301"/>
      <c r="BH53" s="301"/>
      <c r="BI53" s="301"/>
      <c r="BJ53" s="301"/>
      <c r="BK53" s="301"/>
      <c r="BL53" s="301"/>
      <c r="BM53" s="301"/>
      <c r="BN53" s="301"/>
      <c r="BO53" s="301"/>
      <c r="BP53" s="301"/>
      <c r="BQ53" s="301"/>
      <c r="BR53" s="301"/>
      <c r="BS53" s="301"/>
      <c r="BT53" s="301"/>
      <c r="BU53" s="301"/>
      <c r="BV53" s="301"/>
      <c r="BW53" s="301"/>
      <c r="BX53" s="301"/>
      <c r="BY53" s="301"/>
      <c r="BZ53" s="301"/>
      <c r="CA53" s="301"/>
      <c r="CB53" s="301"/>
      <c r="CC53" s="301"/>
      <c r="CD53" s="301"/>
      <c r="CE53" s="301"/>
      <c r="CF53" s="301"/>
      <c r="CG53" s="301"/>
      <c r="CH53" s="301"/>
      <c r="CI53" s="301"/>
      <c r="CJ53" s="301"/>
      <c r="CK53" s="301"/>
      <c r="CL53" s="301"/>
      <c r="CM53" s="301"/>
      <c r="CN53" s="301"/>
      <c r="CO53" s="301"/>
      <c r="CP53" s="301"/>
      <c r="CQ53" s="301"/>
      <c r="CR53" s="301"/>
      <c r="CS53" s="301"/>
      <c r="CT53" s="301"/>
      <c r="CU53" s="301"/>
      <c r="CV53" s="301"/>
      <c r="CW53" s="301"/>
      <c r="CX53" s="301"/>
      <c r="CY53" s="301"/>
      <c r="CZ53" s="301"/>
      <c r="DA53" s="301"/>
      <c r="DB53" s="301"/>
      <c r="DC53" s="301"/>
      <c r="DD53" s="301"/>
      <c r="DE53" s="301"/>
      <c r="DF53" s="301"/>
      <c r="DG53" s="301"/>
      <c r="DH53" s="301"/>
      <c r="DI53" s="301"/>
      <c r="DJ53" s="301"/>
      <c r="DK53" s="301"/>
      <c r="DL53" s="301"/>
      <c r="DM53" s="301"/>
      <c r="DN53" s="301"/>
      <c r="DO53" s="301"/>
      <c r="DP53" s="301"/>
      <c r="DQ53" s="301"/>
      <c r="DR53" s="301"/>
      <c r="DS53" s="301"/>
      <c r="DT53" s="301"/>
      <c r="DU53" s="301"/>
      <c r="DV53" s="301"/>
      <c r="DW53" s="301"/>
      <c r="DX53" s="301"/>
      <c r="DY53" s="301"/>
      <c r="DZ53" s="301"/>
      <c r="EA53" s="301"/>
      <c r="EB53" s="301"/>
      <c r="EC53" s="301"/>
      <c r="ED53" s="301"/>
      <c r="EE53" s="301"/>
      <c r="EF53" s="301"/>
      <c r="EG53" s="301"/>
      <c r="EH53" s="301"/>
      <c r="EI53" s="301"/>
      <c r="EJ53" s="301"/>
      <c r="EK53" s="301"/>
      <c r="EL53" s="301"/>
      <c r="EM53" s="301"/>
      <c r="EN53" s="301"/>
      <c r="EO53" s="301"/>
      <c r="EP53" s="301"/>
      <c r="EQ53" s="301"/>
      <c r="ER53" s="301"/>
      <c r="ES53" s="301"/>
      <c r="ET53" s="301"/>
      <c r="EU53" s="301"/>
      <c r="EV53" s="301"/>
      <c r="EW53" s="301"/>
      <c r="EX53" s="301"/>
      <c r="EY53" s="301"/>
      <c r="EZ53" s="301"/>
      <c r="FA53" s="301"/>
      <c r="FB53" s="301"/>
      <c r="FC53" s="301"/>
      <c r="FD53" s="301"/>
      <c r="FE53" s="301"/>
      <c r="FF53" s="301"/>
      <c r="FG53" s="301"/>
      <c r="FH53" s="301"/>
      <c r="FI53" s="301"/>
      <c r="FJ53" s="301"/>
      <c r="FK53" s="301"/>
      <c r="FL53" s="301"/>
      <c r="FM53" s="301"/>
      <c r="FN53" s="301"/>
      <c r="FO53" s="301"/>
      <c r="FP53" s="301"/>
      <c r="FQ53" s="301"/>
      <c r="FR53" s="301"/>
      <c r="FS53" s="301"/>
      <c r="FT53" s="301"/>
      <c r="FU53" s="301"/>
      <c r="FV53" s="301"/>
      <c r="FW53" s="301"/>
      <c r="FX53" s="301"/>
      <c r="FY53" s="301"/>
      <c r="FZ53" s="301"/>
      <c r="GA53" s="301"/>
      <c r="GB53" s="301"/>
      <c r="GC53" s="301"/>
      <c r="GD53" s="301"/>
      <c r="GE53" s="301"/>
      <c r="GF53" s="301"/>
      <c r="GG53" s="301"/>
      <c r="GH53" s="301"/>
      <c r="GI53" s="301"/>
      <c r="GJ53" s="301"/>
      <c r="GK53" s="301"/>
      <c r="GL53" s="301"/>
      <c r="GM53" s="301"/>
      <c r="GN53" s="301"/>
      <c r="GO53" s="301"/>
      <c r="GP53" s="301"/>
      <c r="GQ53" s="301"/>
      <c r="GR53" s="301"/>
      <c r="GS53" s="301"/>
      <c r="GT53" s="301"/>
      <c r="GU53" s="301"/>
      <c r="GV53" s="301"/>
      <c r="GW53" s="301"/>
      <c r="GX53" s="301"/>
      <c r="GY53" s="301"/>
      <c r="GZ53" s="301"/>
      <c r="HA53" s="301"/>
      <c r="HB53" s="301"/>
      <c r="HC53" s="301"/>
      <c r="HD53" s="301"/>
      <c r="HE53" s="301"/>
      <c r="HF53" s="301"/>
      <c r="HG53" s="301"/>
      <c r="HH53" s="301"/>
      <c r="HI53" s="301"/>
      <c r="HJ53" s="301"/>
      <c r="HK53" s="301"/>
      <c r="HL53" s="301"/>
      <c r="HM53" s="301"/>
      <c r="HN53" s="301"/>
      <c r="HO53" s="301"/>
      <c r="HP53" s="301"/>
      <c r="HQ53" s="301"/>
      <c r="HR53" s="301"/>
      <c r="HS53" s="301"/>
      <c r="HT53" s="301"/>
      <c r="HU53" s="301"/>
      <c r="HV53" s="301"/>
      <c r="HW53" s="301"/>
      <c r="HX53" s="301"/>
      <c r="HY53" s="301"/>
      <c r="HZ53" s="301"/>
      <c r="IA53" s="301"/>
      <c r="IB53" s="301"/>
      <c r="IC53" s="301"/>
      <c r="ID53" s="301"/>
      <c r="IE53" s="301"/>
      <c r="IF53" s="301"/>
      <c r="IG53" s="301"/>
      <c r="IH53" s="301"/>
      <c r="II53" s="301"/>
      <c r="IJ53" s="301"/>
      <c r="IK53" s="301"/>
      <c r="IL53" s="301"/>
      <c r="IM53" s="301"/>
      <c r="IN53" s="301"/>
      <c r="IO53" s="301"/>
      <c r="IP53" s="301"/>
      <c r="IQ53" s="301"/>
      <c r="IR53" s="301"/>
      <c r="IS53" s="301"/>
      <c r="IT53" s="301"/>
      <c r="IU53" s="301"/>
      <c r="IV53" s="301"/>
    </row>
    <row r="54" spans="1:256" ht="15" hidden="1">
      <c r="A54" s="301"/>
      <c r="B54" s="302"/>
      <c r="C54" s="321">
        <v>1</v>
      </c>
      <c r="D54" s="307" t="s">
        <v>818</v>
      </c>
      <c r="E54" s="316" t="s">
        <v>821</v>
      </c>
      <c r="F54" s="304"/>
      <c r="G54" s="316"/>
      <c r="H54" s="317"/>
      <c r="I54" s="318">
        <f>I24</f>
        <v>2861.8</v>
      </c>
      <c r="J54" s="318" t="s">
        <v>818</v>
      </c>
      <c r="K54" s="320">
        <f>ROUND(C54*I54,2)</f>
        <v>2861.8</v>
      </c>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c r="AJ54" s="301"/>
      <c r="AK54" s="301"/>
      <c r="AL54" s="301"/>
      <c r="AM54" s="301"/>
      <c r="AN54" s="301"/>
      <c r="AO54" s="301"/>
      <c r="AP54" s="301"/>
      <c r="AQ54" s="301"/>
      <c r="AR54" s="301"/>
      <c r="AS54" s="301"/>
      <c r="AT54" s="301"/>
      <c r="AU54" s="301"/>
      <c r="AV54" s="301"/>
      <c r="AW54" s="301"/>
      <c r="AX54" s="301"/>
      <c r="AY54" s="301"/>
      <c r="AZ54" s="301"/>
      <c r="BA54" s="301"/>
      <c r="BB54" s="301"/>
      <c r="BC54" s="301"/>
      <c r="BD54" s="301"/>
      <c r="BE54" s="301"/>
      <c r="BF54" s="301"/>
      <c r="BG54" s="301"/>
      <c r="BH54" s="301"/>
      <c r="BI54" s="301"/>
      <c r="BJ54" s="301"/>
      <c r="BK54" s="301"/>
      <c r="BL54" s="301"/>
      <c r="BM54" s="301"/>
      <c r="BN54" s="301"/>
      <c r="BO54" s="301"/>
      <c r="BP54" s="301"/>
      <c r="BQ54" s="301"/>
      <c r="BR54" s="301"/>
      <c r="BS54" s="301"/>
      <c r="BT54" s="301"/>
      <c r="BU54" s="301"/>
      <c r="BV54" s="301"/>
      <c r="BW54" s="301"/>
      <c r="BX54" s="301"/>
      <c r="BY54" s="301"/>
      <c r="BZ54" s="301"/>
      <c r="CA54" s="301"/>
      <c r="CB54" s="301"/>
      <c r="CC54" s="301"/>
      <c r="CD54" s="301"/>
      <c r="CE54" s="301"/>
      <c r="CF54" s="301"/>
      <c r="CG54" s="301"/>
      <c r="CH54" s="301"/>
      <c r="CI54" s="301"/>
      <c r="CJ54" s="301"/>
      <c r="CK54" s="301"/>
      <c r="CL54" s="301"/>
      <c r="CM54" s="301"/>
      <c r="CN54" s="301"/>
      <c r="CO54" s="301"/>
      <c r="CP54" s="301"/>
      <c r="CQ54" s="301"/>
      <c r="CR54" s="301"/>
      <c r="CS54" s="301"/>
      <c r="CT54" s="301"/>
      <c r="CU54" s="301"/>
      <c r="CV54" s="301"/>
      <c r="CW54" s="301"/>
      <c r="CX54" s="301"/>
      <c r="CY54" s="301"/>
      <c r="CZ54" s="301"/>
      <c r="DA54" s="301"/>
      <c r="DB54" s="301"/>
      <c r="DC54" s="301"/>
      <c r="DD54" s="301"/>
      <c r="DE54" s="301"/>
      <c r="DF54" s="301"/>
      <c r="DG54" s="301"/>
      <c r="DH54" s="301"/>
      <c r="DI54" s="301"/>
      <c r="DJ54" s="301"/>
      <c r="DK54" s="301"/>
      <c r="DL54" s="301"/>
      <c r="DM54" s="301"/>
      <c r="DN54" s="301"/>
      <c r="DO54" s="301"/>
      <c r="DP54" s="301"/>
      <c r="DQ54" s="301"/>
      <c r="DR54" s="301"/>
      <c r="DS54" s="301"/>
      <c r="DT54" s="301"/>
      <c r="DU54" s="301"/>
      <c r="DV54" s="301"/>
      <c r="DW54" s="301"/>
      <c r="DX54" s="301"/>
      <c r="DY54" s="301"/>
      <c r="DZ54" s="301"/>
      <c r="EA54" s="301"/>
      <c r="EB54" s="301"/>
      <c r="EC54" s="301"/>
      <c r="ED54" s="301"/>
      <c r="EE54" s="301"/>
      <c r="EF54" s="301"/>
      <c r="EG54" s="301"/>
      <c r="EH54" s="301"/>
      <c r="EI54" s="301"/>
      <c r="EJ54" s="301"/>
      <c r="EK54" s="301"/>
      <c r="EL54" s="301"/>
      <c r="EM54" s="301"/>
      <c r="EN54" s="301"/>
      <c r="EO54" s="301"/>
      <c r="EP54" s="301"/>
      <c r="EQ54" s="301"/>
      <c r="ER54" s="301"/>
      <c r="ES54" s="301"/>
      <c r="ET54" s="301"/>
      <c r="EU54" s="301"/>
      <c r="EV54" s="301"/>
      <c r="EW54" s="301"/>
      <c r="EX54" s="301"/>
      <c r="EY54" s="301"/>
      <c r="EZ54" s="301"/>
      <c r="FA54" s="301"/>
      <c r="FB54" s="301"/>
      <c r="FC54" s="301"/>
      <c r="FD54" s="301"/>
      <c r="FE54" s="301"/>
      <c r="FF54" s="301"/>
      <c r="FG54" s="301"/>
      <c r="FH54" s="301"/>
      <c r="FI54" s="301"/>
      <c r="FJ54" s="301"/>
      <c r="FK54" s="301"/>
      <c r="FL54" s="301"/>
      <c r="FM54" s="301"/>
      <c r="FN54" s="301"/>
      <c r="FO54" s="301"/>
      <c r="FP54" s="301"/>
      <c r="FQ54" s="301"/>
      <c r="FR54" s="301"/>
      <c r="FS54" s="301"/>
      <c r="FT54" s="301"/>
      <c r="FU54" s="301"/>
      <c r="FV54" s="301"/>
      <c r="FW54" s="301"/>
      <c r="FX54" s="301"/>
      <c r="FY54" s="301"/>
      <c r="FZ54" s="301"/>
      <c r="GA54" s="301"/>
      <c r="GB54" s="301"/>
      <c r="GC54" s="301"/>
      <c r="GD54" s="301"/>
      <c r="GE54" s="301"/>
      <c r="GF54" s="301"/>
      <c r="GG54" s="301"/>
      <c r="GH54" s="301"/>
      <c r="GI54" s="301"/>
      <c r="GJ54" s="301"/>
      <c r="GK54" s="301"/>
      <c r="GL54" s="301"/>
      <c r="GM54" s="301"/>
      <c r="GN54" s="301"/>
      <c r="GO54" s="301"/>
      <c r="GP54" s="301"/>
      <c r="GQ54" s="301"/>
      <c r="GR54" s="301"/>
      <c r="GS54" s="301"/>
      <c r="GT54" s="301"/>
      <c r="GU54" s="301"/>
      <c r="GV54" s="301"/>
      <c r="GW54" s="301"/>
      <c r="GX54" s="301"/>
      <c r="GY54" s="301"/>
      <c r="GZ54" s="301"/>
      <c r="HA54" s="301"/>
      <c r="HB54" s="301"/>
      <c r="HC54" s="301"/>
      <c r="HD54" s="301"/>
      <c r="HE54" s="301"/>
      <c r="HF54" s="301"/>
      <c r="HG54" s="301"/>
      <c r="HH54" s="301"/>
      <c r="HI54" s="301"/>
      <c r="HJ54" s="301"/>
      <c r="HK54" s="301"/>
      <c r="HL54" s="301"/>
      <c r="HM54" s="301"/>
      <c r="HN54" s="301"/>
      <c r="HO54" s="301"/>
      <c r="HP54" s="301"/>
      <c r="HQ54" s="301"/>
      <c r="HR54" s="301"/>
      <c r="HS54" s="301"/>
      <c r="HT54" s="301"/>
      <c r="HU54" s="301"/>
      <c r="HV54" s="301"/>
      <c r="HW54" s="301"/>
      <c r="HX54" s="301"/>
      <c r="HY54" s="301"/>
      <c r="HZ54" s="301"/>
      <c r="IA54" s="301"/>
      <c r="IB54" s="301"/>
      <c r="IC54" s="301"/>
      <c r="ID54" s="301"/>
      <c r="IE54" s="301"/>
      <c r="IF54" s="301"/>
      <c r="IG54" s="301"/>
      <c r="IH54" s="301"/>
      <c r="II54" s="301"/>
      <c r="IJ54" s="301"/>
      <c r="IK54" s="301"/>
      <c r="IL54" s="301"/>
      <c r="IM54" s="301"/>
      <c r="IN54" s="301"/>
      <c r="IO54" s="301"/>
      <c r="IP54" s="301"/>
      <c r="IQ54" s="301"/>
      <c r="IR54" s="301"/>
      <c r="IS54" s="301"/>
      <c r="IT54" s="301"/>
      <c r="IU54" s="301"/>
      <c r="IV54" s="301"/>
    </row>
    <row r="55" spans="1:256" ht="15" hidden="1">
      <c r="A55" s="301"/>
      <c r="B55" s="302"/>
      <c r="C55" s="304"/>
      <c r="D55" s="304"/>
      <c r="E55" s="316"/>
      <c r="F55" s="304"/>
      <c r="G55" s="316"/>
      <c r="H55" s="317"/>
      <c r="I55" s="318"/>
      <c r="J55" s="318"/>
      <c r="K55" s="323">
        <f>SUM(K48:K54)</f>
        <v>12092.64</v>
      </c>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1"/>
      <c r="AL55" s="301"/>
      <c r="AM55" s="301"/>
      <c r="AN55" s="301"/>
      <c r="AO55" s="301"/>
      <c r="AP55" s="301"/>
      <c r="AQ55" s="301"/>
      <c r="AR55" s="301"/>
      <c r="AS55" s="301"/>
      <c r="AT55" s="301"/>
      <c r="AU55" s="301"/>
      <c r="AV55" s="301"/>
      <c r="AW55" s="301"/>
      <c r="AX55" s="301"/>
      <c r="AY55" s="301"/>
      <c r="AZ55" s="301"/>
      <c r="BA55" s="301"/>
      <c r="BB55" s="301"/>
      <c r="BC55" s="301"/>
      <c r="BD55" s="301"/>
      <c r="BE55" s="301"/>
      <c r="BF55" s="301"/>
      <c r="BG55" s="301"/>
      <c r="BH55" s="301"/>
      <c r="BI55" s="301"/>
      <c r="BJ55" s="301"/>
      <c r="BK55" s="301"/>
      <c r="BL55" s="301"/>
      <c r="BM55" s="301"/>
      <c r="BN55" s="301"/>
      <c r="BO55" s="301"/>
      <c r="BP55" s="301"/>
      <c r="BQ55" s="301"/>
      <c r="BR55" s="301"/>
      <c r="BS55" s="301"/>
      <c r="BT55" s="301"/>
      <c r="BU55" s="301"/>
      <c r="BV55" s="301"/>
      <c r="BW55" s="301"/>
      <c r="BX55" s="301"/>
      <c r="BY55" s="301"/>
      <c r="BZ55" s="301"/>
      <c r="CA55" s="301"/>
      <c r="CB55" s="301"/>
      <c r="CC55" s="301"/>
      <c r="CD55" s="301"/>
      <c r="CE55" s="301"/>
      <c r="CF55" s="301"/>
      <c r="CG55" s="301"/>
      <c r="CH55" s="301"/>
      <c r="CI55" s="301"/>
      <c r="CJ55" s="301"/>
      <c r="CK55" s="301"/>
      <c r="CL55" s="301"/>
      <c r="CM55" s="301"/>
      <c r="CN55" s="301"/>
      <c r="CO55" s="301"/>
      <c r="CP55" s="301"/>
      <c r="CQ55" s="301"/>
      <c r="CR55" s="301"/>
      <c r="CS55" s="301"/>
      <c r="CT55" s="301"/>
      <c r="CU55" s="301"/>
      <c r="CV55" s="301"/>
      <c r="CW55" s="301"/>
      <c r="CX55" s="301"/>
      <c r="CY55" s="301"/>
      <c r="CZ55" s="301"/>
      <c r="DA55" s="301"/>
      <c r="DB55" s="301"/>
      <c r="DC55" s="301"/>
      <c r="DD55" s="301"/>
      <c r="DE55" s="301"/>
      <c r="DF55" s="301"/>
      <c r="DG55" s="301"/>
      <c r="DH55" s="301"/>
      <c r="DI55" s="301"/>
      <c r="DJ55" s="301"/>
      <c r="DK55" s="301"/>
      <c r="DL55" s="301"/>
      <c r="DM55" s="301"/>
      <c r="DN55" s="301"/>
      <c r="DO55" s="301"/>
      <c r="DP55" s="301"/>
      <c r="DQ55" s="301"/>
      <c r="DR55" s="301"/>
      <c r="DS55" s="301"/>
      <c r="DT55" s="301"/>
      <c r="DU55" s="301"/>
      <c r="DV55" s="301"/>
      <c r="DW55" s="301"/>
      <c r="DX55" s="301"/>
      <c r="DY55" s="301"/>
      <c r="DZ55" s="301"/>
      <c r="EA55" s="301"/>
      <c r="EB55" s="301"/>
      <c r="EC55" s="301"/>
      <c r="ED55" s="301"/>
      <c r="EE55" s="301"/>
      <c r="EF55" s="301"/>
      <c r="EG55" s="301"/>
      <c r="EH55" s="301"/>
      <c r="EI55" s="301"/>
      <c r="EJ55" s="301"/>
      <c r="EK55" s="301"/>
      <c r="EL55" s="301"/>
      <c r="EM55" s="301"/>
      <c r="EN55" s="301"/>
      <c r="EO55" s="301"/>
      <c r="EP55" s="301"/>
      <c r="EQ55" s="301"/>
      <c r="ER55" s="301"/>
      <c r="ES55" s="301"/>
      <c r="ET55" s="301"/>
      <c r="EU55" s="301"/>
      <c r="EV55" s="301"/>
      <c r="EW55" s="301"/>
      <c r="EX55" s="301"/>
      <c r="EY55" s="301"/>
      <c r="EZ55" s="301"/>
      <c r="FA55" s="301"/>
      <c r="FB55" s="301"/>
      <c r="FC55" s="301"/>
      <c r="FD55" s="301"/>
      <c r="FE55" s="301"/>
      <c r="FF55" s="301"/>
      <c r="FG55" s="301"/>
      <c r="FH55" s="301"/>
      <c r="FI55" s="301"/>
      <c r="FJ55" s="301"/>
      <c r="FK55" s="301"/>
      <c r="FL55" s="301"/>
      <c r="FM55" s="301"/>
      <c r="FN55" s="301"/>
      <c r="FO55" s="301"/>
      <c r="FP55" s="301"/>
      <c r="FQ55" s="301"/>
      <c r="FR55" s="301"/>
      <c r="FS55" s="301"/>
      <c r="FT55" s="301"/>
      <c r="FU55" s="301"/>
      <c r="FV55" s="301"/>
      <c r="FW55" s="301"/>
      <c r="FX55" s="301"/>
      <c r="FY55" s="301"/>
      <c r="FZ55" s="301"/>
      <c r="GA55" s="301"/>
      <c r="GB55" s="301"/>
      <c r="GC55" s="301"/>
      <c r="GD55" s="301"/>
      <c r="GE55" s="301"/>
      <c r="GF55" s="301"/>
      <c r="GG55" s="301"/>
      <c r="GH55" s="301"/>
      <c r="GI55" s="301"/>
      <c r="GJ55" s="301"/>
      <c r="GK55" s="301"/>
      <c r="GL55" s="301"/>
      <c r="GM55" s="301"/>
      <c r="GN55" s="301"/>
      <c r="GO55" s="301"/>
      <c r="GP55" s="301"/>
      <c r="GQ55" s="301"/>
      <c r="GR55" s="301"/>
      <c r="GS55" s="301"/>
      <c r="GT55" s="301"/>
      <c r="GU55" s="301"/>
      <c r="GV55" s="301"/>
      <c r="GW55" s="301"/>
      <c r="GX55" s="301"/>
      <c r="GY55" s="301"/>
      <c r="GZ55" s="301"/>
      <c r="HA55" s="301"/>
      <c r="HB55" s="301"/>
      <c r="HC55" s="301"/>
      <c r="HD55" s="301"/>
      <c r="HE55" s="301"/>
      <c r="HF55" s="301"/>
      <c r="HG55" s="301"/>
      <c r="HH55" s="301"/>
      <c r="HI55" s="301"/>
      <c r="HJ55" s="301"/>
      <c r="HK55" s="301"/>
      <c r="HL55" s="301"/>
      <c r="HM55" s="301"/>
      <c r="HN55" s="301"/>
      <c r="HO55" s="301"/>
      <c r="HP55" s="301"/>
      <c r="HQ55" s="301"/>
      <c r="HR55" s="301"/>
      <c r="HS55" s="301"/>
      <c r="HT55" s="301"/>
      <c r="HU55" s="301"/>
      <c r="HV55" s="301"/>
      <c r="HW55" s="301"/>
      <c r="HX55" s="301"/>
      <c r="HY55" s="301"/>
      <c r="HZ55" s="301"/>
      <c r="IA55" s="301"/>
      <c r="IB55" s="301"/>
      <c r="IC55" s="301"/>
      <c r="ID55" s="301"/>
      <c r="IE55" s="301"/>
      <c r="IF55" s="301"/>
      <c r="IG55" s="301"/>
      <c r="IH55" s="301"/>
      <c r="II55" s="301"/>
      <c r="IJ55" s="301"/>
      <c r="IK55" s="301"/>
      <c r="IL55" s="301"/>
      <c r="IM55" s="301"/>
      <c r="IN55" s="301"/>
      <c r="IO55" s="301"/>
      <c r="IP55" s="301"/>
      <c r="IQ55" s="301"/>
      <c r="IR55" s="301"/>
      <c r="IS55" s="301"/>
      <c r="IT55" s="301"/>
      <c r="IU55" s="301"/>
      <c r="IV55" s="301"/>
    </row>
    <row r="56" spans="1:256" ht="15" hidden="1">
      <c r="A56" s="301"/>
      <c r="B56" s="302"/>
      <c r="C56" s="312" t="s">
        <v>822</v>
      </c>
      <c r="D56" s="313"/>
      <c r="E56" s="316"/>
      <c r="F56" s="304"/>
      <c r="G56" s="316"/>
      <c r="H56" s="317"/>
      <c r="I56" s="318"/>
      <c r="J56" s="318"/>
      <c r="K56" s="329"/>
      <c r="L56" s="301"/>
      <c r="M56" s="301"/>
      <c r="N56" s="301"/>
      <c r="O56" s="301"/>
      <c r="P56" s="301"/>
      <c r="Q56" s="301"/>
      <c r="R56" s="301"/>
      <c r="S56" s="301"/>
      <c r="T56" s="301"/>
      <c r="U56" s="301"/>
      <c r="V56" s="301"/>
      <c r="W56" s="301"/>
      <c r="X56" s="301"/>
      <c r="Y56" s="301"/>
      <c r="Z56" s="301"/>
      <c r="AA56" s="301"/>
      <c r="AB56" s="301"/>
      <c r="AC56" s="301"/>
      <c r="AD56" s="301"/>
      <c r="AE56" s="301"/>
      <c r="AF56" s="301"/>
      <c r="AG56" s="301"/>
      <c r="AH56" s="301"/>
      <c r="AI56" s="301"/>
      <c r="AJ56" s="301"/>
      <c r="AK56" s="301"/>
      <c r="AL56" s="301"/>
      <c r="AM56" s="301"/>
      <c r="AN56" s="301"/>
      <c r="AO56" s="301"/>
      <c r="AP56" s="301"/>
      <c r="AQ56" s="301"/>
      <c r="AR56" s="301"/>
      <c r="AS56" s="301"/>
      <c r="AT56" s="301"/>
      <c r="AU56" s="301"/>
      <c r="AV56" s="301"/>
      <c r="AW56" s="301"/>
      <c r="AX56" s="301"/>
      <c r="AY56" s="301"/>
      <c r="AZ56" s="301"/>
      <c r="BA56" s="301"/>
      <c r="BB56" s="301"/>
      <c r="BC56" s="301"/>
      <c r="BD56" s="301"/>
      <c r="BE56" s="301"/>
      <c r="BF56" s="301"/>
      <c r="BG56" s="301"/>
      <c r="BH56" s="301"/>
      <c r="BI56" s="301"/>
      <c r="BJ56" s="301"/>
      <c r="BK56" s="301"/>
      <c r="BL56" s="301"/>
      <c r="BM56" s="301"/>
      <c r="BN56" s="301"/>
      <c r="BO56" s="301"/>
      <c r="BP56" s="301"/>
      <c r="BQ56" s="301"/>
      <c r="BR56" s="301"/>
      <c r="BS56" s="301"/>
      <c r="BT56" s="301"/>
      <c r="BU56" s="301"/>
      <c r="BV56" s="301"/>
      <c r="BW56" s="301"/>
      <c r="BX56" s="301"/>
      <c r="BY56" s="301"/>
      <c r="BZ56" s="301"/>
      <c r="CA56" s="301"/>
      <c r="CB56" s="301"/>
      <c r="CC56" s="301"/>
      <c r="CD56" s="301"/>
      <c r="CE56" s="301"/>
      <c r="CF56" s="301"/>
      <c r="CG56" s="301"/>
      <c r="CH56" s="301"/>
      <c r="CI56" s="301"/>
      <c r="CJ56" s="301"/>
      <c r="CK56" s="301"/>
      <c r="CL56" s="301"/>
      <c r="CM56" s="301"/>
      <c r="CN56" s="301"/>
      <c r="CO56" s="301"/>
      <c r="CP56" s="301"/>
      <c r="CQ56" s="301"/>
      <c r="CR56" s="301"/>
      <c r="CS56" s="301"/>
      <c r="CT56" s="301"/>
      <c r="CU56" s="301"/>
      <c r="CV56" s="301"/>
      <c r="CW56" s="301"/>
      <c r="CX56" s="301"/>
      <c r="CY56" s="301"/>
      <c r="CZ56" s="301"/>
      <c r="DA56" s="301"/>
      <c r="DB56" s="301"/>
      <c r="DC56" s="301"/>
      <c r="DD56" s="301"/>
      <c r="DE56" s="301"/>
      <c r="DF56" s="301"/>
      <c r="DG56" s="301"/>
      <c r="DH56" s="301"/>
      <c r="DI56" s="301"/>
      <c r="DJ56" s="301"/>
      <c r="DK56" s="301"/>
      <c r="DL56" s="301"/>
      <c r="DM56" s="301"/>
      <c r="DN56" s="301"/>
      <c r="DO56" s="301"/>
      <c r="DP56" s="301"/>
      <c r="DQ56" s="301"/>
      <c r="DR56" s="301"/>
      <c r="DS56" s="301"/>
      <c r="DT56" s="301"/>
      <c r="DU56" s="301"/>
      <c r="DV56" s="301"/>
      <c r="DW56" s="301"/>
      <c r="DX56" s="301"/>
      <c r="DY56" s="301"/>
      <c r="DZ56" s="301"/>
      <c r="EA56" s="301"/>
      <c r="EB56" s="301"/>
      <c r="EC56" s="301"/>
      <c r="ED56" s="301"/>
      <c r="EE56" s="301"/>
      <c r="EF56" s="301"/>
      <c r="EG56" s="301"/>
      <c r="EH56" s="301"/>
      <c r="EI56" s="301"/>
      <c r="EJ56" s="301"/>
      <c r="EK56" s="301"/>
      <c r="EL56" s="301"/>
      <c r="EM56" s="301"/>
      <c r="EN56" s="301"/>
      <c r="EO56" s="301"/>
      <c r="EP56" s="301"/>
      <c r="EQ56" s="301"/>
      <c r="ER56" s="301"/>
      <c r="ES56" s="301"/>
      <c r="ET56" s="301"/>
      <c r="EU56" s="301"/>
      <c r="EV56" s="301"/>
      <c r="EW56" s="301"/>
      <c r="EX56" s="301"/>
      <c r="EY56" s="301"/>
      <c r="EZ56" s="301"/>
      <c r="FA56" s="301"/>
      <c r="FB56" s="301"/>
      <c r="FC56" s="301"/>
      <c r="FD56" s="301"/>
      <c r="FE56" s="301"/>
      <c r="FF56" s="301"/>
      <c r="FG56" s="301"/>
      <c r="FH56" s="301"/>
      <c r="FI56" s="301"/>
      <c r="FJ56" s="301"/>
      <c r="FK56" s="301"/>
      <c r="FL56" s="301"/>
      <c r="FM56" s="301"/>
      <c r="FN56" s="301"/>
      <c r="FO56" s="301"/>
      <c r="FP56" s="301"/>
      <c r="FQ56" s="301"/>
      <c r="FR56" s="301"/>
      <c r="FS56" s="301"/>
      <c r="FT56" s="301"/>
      <c r="FU56" s="301"/>
      <c r="FV56" s="301"/>
      <c r="FW56" s="301"/>
      <c r="FX56" s="301"/>
      <c r="FY56" s="301"/>
      <c r="FZ56" s="301"/>
      <c r="GA56" s="301"/>
      <c r="GB56" s="301"/>
      <c r="GC56" s="301"/>
      <c r="GD56" s="301"/>
      <c r="GE56" s="301"/>
      <c r="GF56" s="301"/>
      <c r="GG56" s="301"/>
      <c r="GH56" s="301"/>
      <c r="GI56" s="301"/>
      <c r="GJ56" s="301"/>
      <c r="GK56" s="301"/>
      <c r="GL56" s="301"/>
      <c r="GM56" s="301"/>
      <c r="GN56" s="301"/>
      <c r="GO56" s="301"/>
      <c r="GP56" s="301"/>
      <c r="GQ56" s="301"/>
      <c r="GR56" s="301"/>
      <c r="GS56" s="301"/>
      <c r="GT56" s="301"/>
      <c r="GU56" s="301"/>
      <c r="GV56" s="301"/>
      <c r="GW56" s="301"/>
      <c r="GX56" s="301"/>
      <c r="GY56" s="301"/>
      <c r="GZ56" s="301"/>
      <c r="HA56" s="301"/>
      <c r="HB56" s="301"/>
      <c r="HC56" s="301"/>
      <c r="HD56" s="301"/>
      <c r="HE56" s="301"/>
      <c r="HF56" s="301"/>
      <c r="HG56" s="301"/>
      <c r="HH56" s="301"/>
      <c r="HI56" s="301"/>
      <c r="HJ56" s="301"/>
      <c r="HK56" s="301"/>
      <c r="HL56" s="301"/>
      <c r="HM56" s="301"/>
      <c r="HN56" s="301"/>
      <c r="HO56" s="301"/>
      <c r="HP56" s="301"/>
      <c r="HQ56" s="301"/>
      <c r="HR56" s="301"/>
      <c r="HS56" s="301"/>
      <c r="HT56" s="301"/>
      <c r="HU56" s="301"/>
      <c r="HV56" s="301"/>
      <c r="HW56" s="301"/>
      <c r="HX56" s="301"/>
      <c r="HY56" s="301"/>
      <c r="HZ56" s="301"/>
      <c r="IA56" s="301"/>
      <c r="IB56" s="301"/>
      <c r="IC56" s="301"/>
      <c r="ID56" s="301"/>
      <c r="IE56" s="301"/>
      <c r="IF56" s="301"/>
      <c r="IG56" s="301"/>
      <c r="IH56" s="301"/>
      <c r="II56" s="301"/>
      <c r="IJ56" s="301"/>
      <c r="IK56" s="301"/>
      <c r="IL56" s="301"/>
      <c r="IM56" s="301"/>
      <c r="IN56" s="301"/>
      <c r="IO56" s="301"/>
      <c r="IP56" s="301"/>
      <c r="IQ56" s="301"/>
      <c r="IR56" s="301"/>
      <c r="IS56" s="301"/>
      <c r="IT56" s="301"/>
      <c r="IU56" s="301"/>
      <c r="IV56" s="301"/>
    </row>
    <row r="57" spans="1:256" ht="15" hidden="1">
      <c r="A57" s="301"/>
      <c r="B57" s="302"/>
      <c r="C57" s="321">
        <v>100</v>
      </c>
      <c r="D57" s="307" t="s">
        <v>465</v>
      </c>
      <c r="E57" s="316"/>
      <c r="F57" s="304"/>
      <c r="G57" s="316"/>
      <c r="H57" s="317"/>
      <c r="I57" s="328">
        <v>0</v>
      </c>
      <c r="J57" s="318" t="s">
        <v>644</v>
      </c>
      <c r="K57" s="320">
        <f>ROUND(C57*I57,2)</f>
        <v>0</v>
      </c>
      <c r="L57" s="301"/>
      <c r="M57" s="301"/>
      <c r="N57" s="301"/>
      <c r="O57" s="301"/>
      <c r="P57" s="301"/>
      <c r="Q57" s="301"/>
      <c r="R57" s="301"/>
      <c r="S57" s="301"/>
      <c r="T57" s="301"/>
      <c r="U57" s="301"/>
      <c r="V57" s="301"/>
      <c r="W57" s="301"/>
      <c r="X57" s="301"/>
      <c r="Y57" s="301"/>
      <c r="Z57" s="301"/>
      <c r="AA57" s="301"/>
      <c r="AB57" s="301"/>
      <c r="AC57" s="301"/>
      <c r="AD57" s="301"/>
      <c r="AE57" s="301"/>
      <c r="AF57" s="301"/>
      <c r="AG57" s="301"/>
      <c r="AH57" s="301"/>
      <c r="AI57" s="301"/>
      <c r="AJ57" s="301"/>
      <c r="AK57" s="301"/>
      <c r="AL57" s="301"/>
      <c r="AM57" s="301"/>
      <c r="AN57" s="301"/>
      <c r="AO57" s="301"/>
      <c r="AP57" s="301"/>
      <c r="AQ57" s="301"/>
      <c r="AR57" s="301"/>
      <c r="AS57" s="301"/>
      <c r="AT57" s="301"/>
      <c r="AU57" s="301"/>
      <c r="AV57" s="301"/>
      <c r="AW57" s="301"/>
      <c r="AX57" s="301"/>
      <c r="AY57" s="301"/>
      <c r="AZ57" s="301"/>
      <c r="BA57" s="301"/>
      <c r="BB57" s="301"/>
      <c r="BC57" s="301"/>
      <c r="BD57" s="301"/>
      <c r="BE57" s="301"/>
      <c r="BF57" s="301"/>
      <c r="BG57" s="301"/>
      <c r="BH57" s="301"/>
      <c r="BI57" s="301"/>
      <c r="BJ57" s="301"/>
      <c r="BK57" s="301"/>
      <c r="BL57" s="301"/>
      <c r="BM57" s="301"/>
      <c r="BN57" s="301"/>
      <c r="BO57" s="301"/>
      <c r="BP57" s="301"/>
      <c r="BQ57" s="301"/>
      <c r="BR57" s="301"/>
      <c r="BS57" s="301"/>
      <c r="BT57" s="301"/>
      <c r="BU57" s="301"/>
      <c r="BV57" s="301"/>
      <c r="BW57" s="301"/>
      <c r="BX57" s="301"/>
      <c r="BY57" s="301"/>
      <c r="BZ57" s="301"/>
      <c r="CA57" s="301"/>
      <c r="CB57" s="301"/>
      <c r="CC57" s="301"/>
      <c r="CD57" s="301"/>
      <c r="CE57" s="301"/>
      <c r="CF57" s="301"/>
      <c r="CG57" s="301"/>
      <c r="CH57" s="301"/>
      <c r="CI57" s="301"/>
      <c r="CJ57" s="301"/>
      <c r="CK57" s="301"/>
      <c r="CL57" s="301"/>
      <c r="CM57" s="301"/>
      <c r="CN57" s="301"/>
      <c r="CO57" s="301"/>
      <c r="CP57" s="301"/>
      <c r="CQ57" s="301"/>
      <c r="CR57" s="301"/>
      <c r="CS57" s="301"/>
      <c r="CT57" s="301"/>
      <c r="CU57" s="301"/>
      <c r="CV57" s="301"/>
      <c r="CW57" s="301"/>
      <c r="CX57" s="301"/>
      <c r="CY57" s="301"/>
      <c r="CZ57" s="301"/>
      <c r="DA57" s="301"/>
      <c r="DB57" s="301"/>
      <c r="DC57" s="301"/>
      <c r="DD57" s="301"/>
      <c r="DE57" s="301"/>
      <c r="DF57" s="301"/>
      <c r="DG57" s="301"/>
      <c r="DH57" s="301"/>
      <c r="DI57" s="301"/>
      <c r="DJ57" s="301"/>
      <c r="DK57" s="301"/>
      <c r="DL57" s="301"/>
      <c r="DM57" s="301"/>
      <c r="DN57" s="301"/>
      <c r="DO57" s="301"/>
      <c r="DP57" s="301"/>
      <c r="DQ57" s="301"/>
      <c r="DR57" s="301"/>
      <c r="DS57" s="301"/>
      <c r="DT57" s="301"/>
      <c r="DU57" s="301"/>
      <c r="DV57" s="301"/>
      <c r="DW57" s="301"/>
      <c r="DX57" s="301"/>
      <c r="DY57" s="301"/>
      <c r="DZ57" s="301"/>
      <c r="EA57" s="301"/>
      <c r="EB57" s="301"/>
      <c r="EC57" s="301"/>
      <c r="ED57" s="301"/>
      <c r="EE57" s="301"/>
      <c r="EF57" s="301"/>
      <c r="EG57" s="301"/>
      <c r="EH57" s="301"/>
      <c r="EI57" s="301"/>
      <c r="EJ57" s="301"/>
      <c r="EK57" s="301"/>
      <c r="EL57" s="301"/>
      <c r="EM57" s="301"/>
      <c r="EN57" s="301"/>
      <c r="EO57" s="301"/>
      <c r="EP57" s="301"/>
      <c r="EQ57" s="301"/>
      <c r="ER57" s="301"/>
      <c r="ES57" s="301"/>
      <c r="ET57" s="301"/>
      <c r="EU57" s="301"/>
      <c r="EV57" s="301"/>
      <c r="EW57" s="301"/>
      <c r="EX57" s="301"/>
      <c r="EY57" s="301"/>
      <c r="EZ57" s="301"/>
      <c r="FA57" s="301"/>
      <c r="FB57" s="301"/>
      <c r="FC57" s="301"/>
      <c r="FD57" s="301"/>
      <c r="FE57" s="301"/>
      <c r="FF57" s="301"/>
      <c r="FG57" s="301"/>
      <c r="FH57" s="301"/>
      <c r="FI57" s="301"/>
      <c r="FJ57" s="301"/>
      <c r="FK57" s="301"/>
      <c r="FL57" s="301"/>
      <c r="FM57" s="301"/>
      <c r="FN57" s="301"/>
      <c r="FO57" s="301"/>
      <c r="FP57" s="301"/>
      <c r="FQ57" s="301"/>
      <c r="FR57" s="301"/>
      <c r="FS57" s="301"/>
      <c r="FT57" s="301"/>
      <c r="FU57" s="301"/>
      <c r="FV57" s="301"/>
      <c r="FW57" s="301"/>
      <c r="FX57" s="301"/>
      <c r="FY57" s="301"/>
      <c r="FZ57" s="301"/>
      <c r="GA57" s="301"/>
      <c r="GB57" s="301"/>
      <c r="GC57" s="301"/>
      <c r="GD57" s="301"/>
      <c r="GE57" s="301"/>
      <c r="GF57" s="301"/>
      <c r="GG57" s="301"/>
      <c r="GH57" s="301"/>
      <c r="GI57" s="301"/>
      <c r="GJ57" s="301"/>
      <c r="GK57" s="301"/>
      <c r="GL57" s="301"/>
      <c r="GM57" s="301"/>
      <c r="GN57" s="301"/>
      <c r="GO57" s="301"/>
      <c r="GP57" s="301"/>
      <c r="GQ57" s="301"/>
      <c r="GR57" s="301"/>
      <c r="GS57" s="301"/>
      <c r="GT57" s="301"/>
      <c r="GU57" s="301"/>
      <c r="GV57" s="301"/>
      <c r="GW57" s="301"/>
      <c r="GX57" s="301"/>
      <c r="GY57" s="301"/>
      <c r="GZ57" s="301"/>
      <c r="HA57" s="301"/>
      <c r="HB57" s="301"/>
      <c r="HC57" s="301"/>
      <c r="HD57" s="301"/>
      <c r="HE57" s="301"/>
      <c r="HF57" s="301"/>
      <c r="HG57" s="301"/>
      <c r="HH57" s="301"/>
      <c r="HI57" s="301"/>
      <c r="HJ57" s="301"/>
      <c r="HK57" s="301"/>
      <c r="HL57" s="301"/>
      <c r="HM57" s="301"/>
      <c r="HN57" s="301"/>
      <c r="HO57" s="301"/>
      <c r="HP57" s="301"/>
      <c r="HQ57" s="301"/>
      <c r="HR57" s="301"/>
      <c r="HS57" s="301"/>
      <c r="HT57" s="301"/>
      <c r="HU57" s="301"/>
      <c r="HV57" s="301"/>
      <c r="HW57" s="301"/>
      <c r="HX57" s="301"/>
      <c r="HY57" s="301"/>
      <c r="HZ57" s="301"/>
      <c r="IA57" s="301"/>
      <c r="IB57" s="301"/>
      <c r="IC57" s="301"/>
      <c r="ID57" s="301"/>
      <c r="IE57" s="301"/>
      <c r="IF57" s="301"/>
      <c r="IG57" s="301"/>
      <c r="IH57" s="301"/>
      <c r="II57" s="301"/>
      <c r="IJ57" s="301"/>
      <c r="IK57" s="301"/>
      <c r="IL57" s="301"/>
      <c r="IM57" s="301"/>
      <c r="IN57" s="301"/>
      <c r="IO57" s="301"/>
      <c r="IP57" s="301"/>
      <c r="IQ57" s="301"/>
      <c r="IR57" s="301"/>
      <c r="IS57" s="301"/>
      <c r="IT57" s="301"/>
      <c r="IU57" s="301"/>
      <c r="IV57" s="301"/>
    </row>
    <row r="58" spans="1:256" ht="15" hidden="1">
      <c r="A58" s="301"/>
      <c r="B58" s="302"/>
      <c r="C58" s="321"/>
      <c r="D58" s="307"/>
      <c r="E58" s="316"/>
      <c r="F58" s="304"/>
      <c r="G58" s="316"/>
      <c r="H58" s="317"/>
      <c r="I58" s="318"/>
      <c r="J58" s="318"/>
      <c r="K58" s="304"/>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c r="AJ58" s="301"/>
      <c r="AK58" s="301"/>
      <c r="AL58" s="301"/>
      <c r="AM58" s="301"/>
      <c r="AN58" s="301"/>
      <c r="AO58" s="301"/>
      <c r="AP58" s="301"/>
      <c r="AQ58" s="301"/>
      <c r="AR58" s="301"/>
      <c r="AS58" s="301"/>
      <c r="AT58" s="301"/>
      <c r="AU58" s="301"/>
      <c r="AV58" s="301"/>
      <c r="AW58" s="301"/>
      <c r="AX58" s="301"/>
      <c r="AY58" s="301"/>
      <c r="AZ58" s="301"/>
      <c r="BA58" s="301"/>
      <c r="BB58" s="301"/>
      <c r="BC58" s="301"/>
      <c r="BD58" s="301"/>
      <c r="BE58" s="301"/>
      <c r="BF58" s="301"/>
      <c r="BG58" s="301"/>
      <c r="BH58" s="301"/>
      <c r="BI58" s="301"/>
      <c r="BJ58" s="301"/>
      <c r="BK58" s="301"/>
      <c r="BL58" s="301"/>
      <c r="BM58" s="301"/>
      <c r="BN58" s="301"/>
      <c r="BO58" s="301"/>
      <c r="BP58" s="301"/>
      <c r="BQ58" s="301"/>
      <c r="BR58" s="301"/>
      <c r="BS58" s="301"/>
      <c r="BT58" s="301"/>
      <c r="BU58" s="301"/>
      <c r="BV58" s="301"/>
      <c r="BW58" s="301"/>
      <c r="BX58" s="301"/>
      <c r="BY58" s="301"/>
      <c r="BZ58" s="301"/>
      <c r="CA58" s="301"/>
      <c r="CB58" s="301"/>
      <c r="CC58" s="301"/>
      <c r="CD58" s="301"/>
      <c r="CE58" s="301"/>
      <c r="CF58" s="301"/>
      <c r="CG58" s="301"/>
      <c r="CH58" s="301"/>
      <c r="CI58" s="301"/>
      <c r="CJ58" s="301"/>
      <c r="CK58" s="301"/>
      <c r="CL58" s="301"/>
      <c r="CM58" s="301"/>
      <c r="CN58" s="301"/>
      <c r="CO58" s="301"/>
      <c r="CP58" s="301"/>
      <c r="CQ58" s="301"/>
      <c r="CR58" s="301"/>
      <c r="CS58" s="301"/>
      <c r="CT58" s="301"/>
      <c r="CU58" s="301"/>
      <c r="CV58" s="301"/>
      <c r="CW58" s="301"/>
      <c r="CX58" s="301"/>
      <c r="CY58" s="301"/>
      <c r="CZ58" s="301"/>
      <c r="DA58" s="301"/>
      <c r="DB58" s="301"/>
      <c r="DC58" s="301"/>
      <c r="DD58" s="301"/>
      <c r="DE58" s="301"/>
      <c r="DF58" s="301"/>
      <c r="DG58" s="301"/>
      <c r="DH58" s="301"/>
      <c r="DI58" s="301"/>
      <c r="DJ58" s="301"/>
      <c r="DK58" s="301"/>
      <c r="DL58" s="301"/>
      <c r="DM58" s="301"/>
      <c r="DN58" s="301"/>
      <c r="DO58" s="301"/>
      <c r="DP58" s="301"/>
      <c r="DQ58" s="301"/>
      <c r="DR58" s="301"/>
      <c r="DS58" s="301"/>
      <c r="DT58" s="301"/>
      <c r="DU58" s="301"/>
      <c r="DV58" s="301"/>
      <c r="DW58" s="301"/>
      <c r="DX58" s="301"/>
      <c r="DY58" s="301"/>
      <c r="DZ58" s="301"/>
      <c r="EA58" s="301"/>
      <c r="EB58" s="301"/>
      <c r="EC58" s="301"/>
      <c r="ED58" s="301"/>
      <c r="EE58" s="301"/>
      <c r="EF58" s="301"/>
      <c r="EG58" s="301"/>
      <c r="EH58" s="301"/>
      <c r="EI58" s="301"/>
      <c r="EJ58" s="301"/>
      <c r="EK58" s="301"/>
      <c r="EL58" s="301"/>
      <c r="EM58" s="301"/>
      <c r="EN58" s="301"/>
      <c r="EO58" s="301"/>
      <c r="EP58" s="301"/>
      <c r="EQ58" s="301"/>
      <c r="ER58" s="301"/>
      <c r="ES58" s="301"/>
      <c r="ET58" s="301"/>
      <c r="EU58" s="301"/>
      <c r="EV58" s="301"/>
      <c r="EW58" s="301"/>
      <c r="EX58" s="301"/>
      <c r="EY58" s="301"/>
      <c r="EZ58" s="301"/>
      <c r="FA58" s="301"/>
      <c r="FB58" s="301"/>
      <c r="FC58" s="301"/>
      <c r="FD58" s="301"/>
      <c r="FE58" s="301"/>
      <c r="FF58" s="301"/>
      <c r="FG58" s="301"/>
      <c r="FH58" s="301"/>
      <c r="FI58" s="301"/>
      <c r="FJ58" s="301"/>
      <c r="FK58" s="301"/>
      <c r="FL58" s="301"/>
      <c r="FM58" s="301"/>
      <c r="FN58" s="301"/>
      <c r="FO58" s="301"/>
      <c r="FP58" s="301"/>
      <c r="FQ58" s="301"/>
      <c r="FR58" s="301"/>
      <c r="FS58" s="301"/>
      <c r="FT58" s="301"/>
      <c r="FU58" s="301"/>
      <c r="FV58" s="301"/>
      <c r="FW58" s="301"/>
      <c r="FX58" s="301"/>
      <c r="FY58" s="301"/>
      <c r="FZ58" s="301"/>
      <c r="GA58" s="301"/>
      <c r="GB58" s="301"/>
      <c r="GC58" s="301"/>
      <c r="GD58" s="301"/>
      <c r="GE58" s="301"/>
      <c r="GF58" s="301"/>
      <c r="GG58" s="301"/>
      <c r="GH58" s="301"/>
      <c r="GI58" s="301"/>
      <c r="GJ58" s="301"/>
      <c r="GK58" s="301"/>
      <c r="GL58" s="301"/>
      <c r="GM58" s="301"/>
      <c r="GN58" s="301"/>
      <c r="GO58" s="301"/>
      <c r="GP58" s="301"/>
      <c r="GQ58" s="301"/>
      <c r="GR58" s="301"/>
      <c r="GS58" s="301"/>
      <c r="GT58" s="301"/>
      <c r="GU58" s="301"/>
      <c r="GV58" s="301"/>
      <c r="GW58" s="301"/>
      <c r="GX58" s="301"/>
      <c r="GY58" s="301"/>
      <c r="GZ58" s="301"/>
      <c r="HA58" s="301"/>
      <c r="HB58" s="301"/>
      <c r="HC58" s="301"/>
      <c r="HD58" s="301"/>
      <c r="HE58" s="301"/>
      <c r="HF58" s="301"/>
      <c r="HG58" s="301"/>
      <c r="HH58" s="301"/>
      <c r="HI58" s="301"/>
      <c r="HJ58" s="301"/>
      <c r="HK58" s="301"/>
      <c r="HL58" s="301"/>
      <c r="HM58" s="301"/>
      <c r="HN58" s="301"/>
      <c r="HO58" s="301"/>
      <c r="HP58" s="301"/>
      <c r="HQ58" s="301"/>
      <c r="HR58" s="301"/>
      <c r="HS58" s="301"/>
      <c r="HT58" s="301"/>
      <c r="HU58" s="301"/>
      <c r="HV58" s="301"/>
      <c r="HW58" s="301"/>
      <c r="HX58" s="301"/>
      <c r="HY58" s="301"/>
      <c r="HZ58" s="301"/>
      <c r="IA58" s="301"/>
      <c r="IB58" s="301"/>
      <c r="IC58" s="301"/>
      <c r="ID58" s="301"/>
      <c r="IE58" s="301"/>
      <c r="IF58" s="301"/>
      <c r="IG58" s="301"/>
      <c r="IH58" s="301"/>
      <c r="II58" s="301"/>
      <c r="IJ58" s="301"/>
      <c r="IK58" s="301"/>
      <c r="IL58" s="301"/>
      <c r="IM58" s="301"/>
      <c r="IN58" s="301"/>
      <c r="IO58" s="301"/>
      <c r="IP58" s="301"/>
      <c r="IQ58" s="301"/>
      <c r="IR58" s="301"/>
      <c r="IS58" s="301"/>
      <c r="IT58" s="301"/>
      <c r="IU58" s="301"/>
      <c r="IV58" s="301"/>
    </row>
    <row r="59" spans="1:256" ht="15" hidden="1">
      <c r="A59" s="330"/>
      <c r="B59" s="331"/>
      <c r="C59" s="312" t="s">
        <v>823</v>
      </c>
      <c r="D59" s="313" t="s">
        <v>824</v>
      </c>
      <c r="E59" s="331"/>
      <c r="F59" s="331"/>
      <c r="G59" s="331"/>
      <c r="H59" s="331"/>
      <c r="I59" s="331"/>
      <c r="J59" s="331"/>
      <c r="K59" s="332">
        <f>(K55+K46+K57)*4/100</f>
        <v>505.12959999999998</v>
      </c>
      <c r="L59" s="330"/>
      <c r="M59" s="330"/>
      <c r="N59" s="330"/>
      <c r="O59" s="330"/>
      <c r="P59" s="330"/>
      <c r="Q59" s="330"/>
      <c r="R59" s="330"/>
      <c r="S59" s="330"/>
      <c r="T59" s="330"/>
      <c r="U59" s="330"/>
      <c r="V59" s="330"/>
      <c r="W59" s="330"/>
      <c r="X59" s="330"/>
      <c r="Y59" s="330"/>
      <c r="Z59" s="330"/>
      <c r="AA59" s="330"/>
      <c r="AB59" s="330"/>
      <c r="AC59" s="330"/>
      <c r="AD59" s="330"/>
      <c r="AE59" s="330"/>
      <c r="AF59" s="330"/>
      <c r="AG59" s="330"/>
      <c r="AH59" s="330"/>
      <c r="AI59" s="330"/>
      <c r="AJ59" s="330"/>
      <c r="AK59" s="330"/>
      <c r="AL59" s="330"/>
      <c r="AM59" s="330"/>
      <c r="AN59" s="330"/>
      <c r="AO59" s="330"/>
      <c r="AP59" s="330"/>
      <c r="AQ59" s="330"/>
      <c r="AR59" s="330"/>
      <c r="AS59" s="330"/>
      <c r="AT59" s="330"/>
      <c r="AU59" s="330"/>
      <c r="AV59" s="330"/>
      <c r="AW59" s="330"/>
      <c r="AX59" s="330"/>
      <c r="AY59" s="330"/>
      <c r="AZ59" s="330"/>
      <c r="BA59" s="330"/>
      <c r="BB59" s="330"/>
      <c r="BC59" s="330"/>
      <c r="BD59" s="330"/>
      <c r="BE59" s="330"/>
      <c r="BF59" s="330"/>
      <c r="BG59" s="330"/>
      <c r="BH59" s="330"/>
      <c r="BI59" s="330"/>
      <c r="BJ59" s="330"/>
      <c r="BK59" s="330"/>
      <c r="BL59" s="330"/>
      <c r="BM59" s="330"/>
      <c r="BN59" s="330"/>
      <c r="BO59" s="330"/>
      <c r="BP59" s="330"/>
      <c r="BQ59" s="330"/>
      <c r="BR59" s="330"/>
      <c r="BS59" s="330"/>
      <c r="BT59" s="330"/>
      <c r="BU59" s="330"/>
      <c r="BV59" s="330"/>
      <c r="BW59" s="330"/>
      <c r="BX59" s="330"/>
      <c r="BY59" s="330"/>
      <c r="BZ59" s="330"/>
      <c r="CA59" s="330"/>
      <c r="CB59" s="330"/>
      <c r="CC59" s="330"/>
      <c r="CD59" s="330"/>
      <c r="CE59" s="330"/>
      <c r="CF59" s="330"/>
      <c r="CG59" s="330"/>
      <c r="CH59" s="330"/>
      <c r="CI59" s="330"/>
      <c r="CJ59" s="330"/>
      <c r="CK59" s="330"/>
      <c r="CL59" s="330"/>
      <c r="CM59" s="330"/>
      <c r="CN59" s="330"/>
      <c r="CO59" s="330"/>
      <c r="CP59" s="330"/>
      <c r="CQ59" s="330"/>
      <c r="CR59" s="330"/>
      <c r="CS59" s="330"/>
      <c r="CT59" s="330"/>
      <c r="CU59" s="330"/>
      <c r="CV59" s="330"/>
      <c r="CW59" s="330"/>
      <c r="CX59" s="330"/>
      <c r="CY59" s="330"/>
      <c r="CZ59" s="330"/>
      <c r="DA59" s="330"/>
      <c r="DB59" s="330"/>
      <c r="DC59" s="330"/>
      <c r="DD59" s="330"/>
      <c r="DE59" s="330"/>
      <c r="DF59" s="330"/>
      <c r="DG59" s="330"/>
      <c r="DH59" s="330"/>
      <c r="DI59" s="330"/>
      <c r="DJ59" s="330"/>
      <c r="DK59" s="330"/>
      <c r="DL59" s="330"/>
      <c r="DM59" s="330"/>
      <c r="DN59" s="330"/>
      <c r="DO59" s="330"/>
      <c r="DP59" s="330"/>
      <c r="DQ59" s="330"/>
      <c r="DR59" s="330"/>
      <c r="DS59" s="330"/>
      <c r="DT59" s="330"/>
      <c r="DU59" s="330"/>
      <c r="DV59" s="330"/>
      <c r="DW59" s="330"/>
      <c r="DX59" s="330"/>
      <c r="DY59" s="330"/>
      <c r="DZ59" s="330"/>
      <c r="EA59" s="330"/>
      <c r="EB59" s="330"/>
      <c r="EC59" s="330"/>
      <c r="ED59" s="330"/>
      <c r="EE59" s="330"/>
      <c r="EF59" s="330"/>
      <c r="EG59" s="330"/>
      <c r="EH59" s="330"/>
      <c r="EI59" s="330"/>
      <c r="EJ59" s="330"/>
      <c r="EK59" s="330"/>
      <c r="EL59" s="330"/>
      <c r="EM59" s="330"/>
      <c r="EN59" s="330"/>
      <c r="EO59" s="330"/>
      <c r="EP59" s="330"/>
      <c r="EQ59" s="330"/>
      <c r="ER59" s="330"/>
      <c r="ES59" s="330"/>
      <c r="ET59" s="330"/>
      <c r="EU59" s="330"/>
      <c r="EV59" s="330"/>
      <c r="EW59" s="330"/>
      <c r="EX59" s="330"/>
      <c r="EY59" s="330"/>
      <c r="EZ59" s="330"/>
      <c r="FA59" s="330"/>
      <c r="FB59" s="330"/>
      <c r="FC59" s="330"/>
      <c r="FD59" s="330"/>
      <c r="FE59" s="330"/>
      <c r="FF59" s="330"/>
      <c r="FG59" s="330"/>
      <c r="FH59" s="330"/>
      <c r="FI59" s="330"/>
      <c r="FJ59" s="330"/>
      <c r="FK59" s="330"/>
      <c r="FL59" s="330"/>
      <c r="FM59" s="330"/>
      <c r="FN59" s="330"/>
      <c r="FO59" s="330"/>
      <c r="FP59" s="330"/>
      <c r="FQ59" s="330"/>
      <c r="FR59" s="330"/>
      <c r="FS59" s="330"/>
      <c r="FT59" s="330"/>
      <c r="FU59" s="330"/>
      <c r="FV59" s="330"/>
      <c r="FW59" s="330"/>
      <c r="FX59" s="330"/>
      <c r="FY59" s="330"/>
      <c r="FZ59" s="330"/>
      <c r="GA59" s="330"/>
      <c r="GB59" s="330"/>
      <c r="GC59" s="330"/>
      <c r="GD59" s="330"/>
      <c r="GE59" s="330"/>
      <c r="GF59" s="330"/>
      <c r="GG59" s="330"/>
      <c r="GH59" s="330"/>
      <c r="GI59" s="330"/>
      <c r="GJ59" s="330"/>
      <c r="GK59" s="330"/>
      <c r="GL59" s="330"/>
      <c r="GM59" s="330"/>
      <c r="GN59" s="330"/>
      <c r="GO59" s="330"/>
      <c r="GP59" s="330"/>
      <c r="GQ59" s="330"/>
      <c r="GR59" s="330"/>
      <c r="GS59" s="330"/>
      <c r="GT59" s="330"/>
      <c r="GU59" s="330"/>
      <c r="GV59" s="330"/>
      <c r="GW59" s="330"/>
      <c r="GX59" s="330"/>
      <c r="GY59" s="330"/>
      <c r="GZ59" s="330"/>
      <c r="HA59" s="330"/>
      <c r="HB59" s="330"/>
      <c r="HC59" s="330"/>
      <c r="HD59" s="330"/>
      <c r="HE59" s="330"/>
      <c r="HF59" s="330"/>
      <c r="HG59" s="330"/>
      <c r="HH59" s="330"/>
      <c r="HI59" s="330"/>
      <c r="HJ59" s="330"/>
      <c r="HK59" s="330"/>
      <c r="HL59" s="330"/>
      <c r="HM59" s="330"/>
      <c r="HN59" s="330"/>
      <c r="HO59" s="330"/>
      <c r="HP59" s="330"/>
      <c r="HQ59" s="330"/>
      <c r="HR59" s="330"/>
      <c r="HS59" s="330"/>
      <c r="HT59" s="330"/>
      <c r="HU59" s="330"/>
      <c r="HV59" s="330"/>
      <c r="HW59" s="330"/>
      <c r="HX59" s="330"/>
      <c r="HY59" s="330"/>
      <c r="HZ59" s="330"/>
      <c r="IA59" s="330"/>
      <c r="IB59" s="330"/>
      <c r="IC59" s="330"/>
      <c r="ID59" s="330"/>
      <c r="IE59" s="330"/>
      <c r="IF59" s="330"/>
      <c r="IG59" s="330"/>
      <c r="IH59" s="330"/>
      <c r="II59" s="330"/>
      <c r="IJ59" s="330"/>
      <c r="IK59" s="330"/>
      <c r="IL59" s="330"/>
      <c r="IM59" s="330"/>
      <c r="IN59" s="330"/>
      <c r="IO59" s="330"/>
      <c r="IP59" s="330"/>
      <c r="IQ59" s="330"/>
      <c r="IR59" s="330"/>
      <c r="IS59" s="330"/>
      <c r="IT59" s="330"/>
      <c r="IU59" s="330"/>
      <c r="IV59" s="330"/>
    </row>
    <row r="60" spans="1:256" ht="15" hidden="1">
      <c r="A60" s="301"/>
      <c r="B60" s="302"/>
      <c r="C60" s="312" t="s">
        <v>825</v>
      </c>
      <c r="D60" s="313" t="s">
        <v>826</v>
      </c>
      <c r="E60" s="304"/>
      <c r="F60" s="304"/>
      <c r="G60" s="316"/>
      <c r="H60" s="317"/>
      <c r="I60" s="317"/>
      <c r="J60" s="317"/>
      <c r="K60" s="333">
        <f>K46+K55+K57+K59</f>
        <v>13133.3696</v>
      </c>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301"/>
      <c r="AJ60" s="301"/>
      <c r="AK60" s="301"/>
      <c r="AL60" s="301"/>
      <c r="AM60" s="301"/>
      <c r="AN60" s="301"/>
      <c r="AO60" s="301"/>
      <c r="AP60" s="301"/>
      <c r="AQ60" s="301"/>
      <c r="AR60" s="301"/>
      <c r="AS60" s="301"/>
      <c r="AT60" s="301"/>
      <c r="AU60" s="301"/>
      <c r="AV60" s="301"/>
      <c r="AW60" s="301"/>
      <c r="AX60" s="301"/>
      <c r="AY60" s="301"/>
      <c r="AZ60" s="301"/>
      <c r="BA60" s="301"/>
      <c r="BB60" s="301"/>
      <c r="BC60" s="301"/>
      <c r="BD60" s="301"/>
      <c r="BE60" s="301"/>
      <c r="BF60" s="301"/>
      <c r="BG60" s="301"/>
      <c r="BH60" s="301"/>
      <c r="BI60" s="301"/>
      <c r="BJ60" s="301"/>
      <c r="BK60" s="301"/>
      <c r="BL60" s="301"/>
      <c r="BM60" s="301"/>
      <c r="BN60" s="301"/>
      <c r="BO60" s="301"/>
      <c r="BP60" s="301"/>
      <c r="BQ60" s="301"/>
      <c r="BR60" s="301"/>
      <c r="BS60" s="301"/>
      <c r="BT60" s="301"/>
      <c r="BU60" s="301"/>
      <c r="BV60" s="301"/>
      <c r="BW60" s="301"/>
      <c r="BX60" s="301"/>
      <c r="BY60" s="301"/>
      <c r="BZ60" s="301"/>
      <c r="CA60" s="301"/>
      <c r="CB60" s="301"/>
      <c r="CC60" s="301"/>
      <c r="CD60" s="301"/>
      <c r="CE60" s="301"/>
      <c r="CF60" s="301"/>
      <c r="CG60" s="301"/>
      <c r="CH60" s="301"/>
      <c r="CI60" s="301"/>
      <c r="CJ60" s="301"/>
      <c r="CK60" s="301"/>
      <c r="CL60" s="301"/>
      <c r="CM60" s="301"/>
      <c r="CN60" s="301"/>
      <c r="CO60" s="301"/>
      <c r="CP60" s="301"/>
      <c r="CQ60" s="301"/>
      <c r="CR60" s="301"/>
      <c r="CS60" s="301"/>
      <c r="CT60" s="301"/>
      <c r="CU60" s="301"/>
      <c r="CV60" s="301"/>
      <c r="CW60" s="301"/>
      <c r="CX60" s="301"/>
      <c r="CY60" s="301"/>
      <c r="CZ60" s="301"/>
      <c r="DA60" s="301"/>
      <c r="DB60" s="301"/>
      <c r="DC60" s="301"/>
      <c r="DD60" s="301"/>
      <c r="DE60" s="301"/>
      <c r="DF60" s="301"/>
      <c r="DG60" s="301"/>
      <c r="DH60" s="301"/>
      <c r="DI60" s="301"/>
      <c r="DJ60" s="301"/>
      <c r="DK60" s="301"/>
      <c r="DL60" s="301"/>
      <c r="DM60" s="301"/>
      <c r="DN60" s="301"/>
      <c r="DO60" s="301"/>
      <c r="DP60" s="301"/>
      <c r="DQ60" s="301"/>
      <c r="DR60" s="301"/>
      <c r="DS60" s="301"/>
      <c r="DT60" s="301"/>
      <c r="DU60" s="301"/>
      <c r="DV60" s="301"/>
      <c r="DW60" s="301"/>
      <c r="DX60" s="301"/>
      <c r="DY60" s="301"/>
      <c r="DZ60" s="301"/>
      <c r="EA60" s="301"/>
      <c r="EB60" s="301"/>
      <c r="EC60" s="301"/>
      <c r="ED60" s="301"/>
      <c r="EE60" s="301"/>
      <c r="EF60" s="301"/>
      <c r="EG60" s="301"/>
      <c r="EH60" s="301"/>
      <c r="EI60" s="301"/>
      <c r="EJ60" s="301"/>
      <c r="EK60" s="301"/>
      <c r="EL60" s="301"/>
      <c r="EM60" s="301"/>
      <c r="EN60" s="301"/>
      <c r="EO60" s="301"/>
      <c r="EP60" s="301"/>
      <c r="EQ60" s="301"/>
      <c r="ER60" s="301"/>
      <c r="ES60" s="301"/>
      <c r="ET60" s="301"/>
      <c r="EU60" s="301"/>
      <c r="EV60" s="301"/>
      <c r="EW60" s="301"/>
      <c r="EX60" s="301"/>
      <c r="EY60" s="301"/>
      <c r="EZ60" s="301"/>
      <c r="FA60" s="301"/>
      <c r="FB60" s="301"/>
      <c r="FC60" s="301"/>
      <c r="FD60" s="301"/>
      <c r="FE60" s="301"/>
      <c r="FF60" s="301"/>
      <c r="FG60" s="301"/>
      <c r="FH60" s="301"/>
      <c r="FI60" s="301"/>
      <c r="FJ60" s="301"/>
      <c r="FK60" s="301"/>
      <c r="FL60" s="301"/>
      <c r="FM60" s="301"/>
      <c r="FN60" s="301"/>
      <c r="FO60" s="301"/>
      <c r="FP60" s="301"/>
      <c r="FQ60" s="301"/>
      <c r="FR60" s="301"/>
      <c r="FS60" s="301"/>
      <c r="FT60" s="301"/>
      <c r="FU60" s="301"/>
      <c r="FV60" s="301"/>
      <c r="FW60" s="301"/>
      <c r="FX60" s="301"/>
      <c r="FY60" s="301"/>
      <c r="FZ60" s="301"/>
      <c r="GA60" s="301"/>
      <c r="GB60" s="301"/>
      <c r="GC60" s="301"/>
      <c r="GD60" s="301"/>
      <c r="GE60" s="301"/>
      <c r="GF60" s="301"/>
      <c r="GG60" s="301"/>
      <c r="GH60" s="301"/>
      <c r="GI60" s="301"/>
      <c r="GJ60" s="301"/>
      <c r="GK60" s="301"/>
      <c r="GL60" s="301"/>
      <c r="GM60" s="301"/>
      <c r="GN60" s="301"/>
      <c r="GO60" s="301"/>
      <c r="GP60" s="301"/>
      <c r="GQ60" s="301"/>
      <c r="GR60" s="301"/>
      <c r="GS60" s="301"/>
      <c r="GT60" s="301"/>
      <c r="GU60" s="301"/>
      <c r="GV60" s="301"/>
      <c r="GW60" s="301"/>
      <c r="GX60" s="301"/>
      <c r="GY60" s="301"/>
      <c r="GZ60" s="301"/>
      <c r="HA60" s="301"/>
      <c r="HB60" s="301"/>
      <c r="HC60" s="301"/>
      <c r="HD60" s="301"/>
      <c r="HE60" s="301"/>
      <c r="HF60" s="301"/>
      <c r="HG60" s="301"/>
      <c r="HH60" s="301"/>
      <c r="HI60" s="301"/>
      <c r="HJ60" s="301"/>
      <c r="HK60" s="301"/>
      <c r="HL60" s="301"/>
      <c r="HM60" s="301"/>
      <c r="HN60" s="301"/>
      <c r="HO60" s="301"/>
      <c r="HP60" s="301"/>
      <c r="HQ60" s="301"/>
      <c r="HR60" s="301"/>
      <c r="HS60" s="301"/>
      <c r="HT60" s="301"/>
      <c r="HU60" s="301"/>
      <c r="HV60" s="301"/>
      <c r="HW60" s="301"/>
      <c r="HX60" s="301"/>
      <c r="HY60" s="301"/>
      <c r="HZ60" s="301"/>
      <c r="IA60" s="301"/>
      <c r="IB60" s="301"/>
      <c r="IC60" s="301"/>
      <c r="ID60" s="301"/>
      <c r="IE60" s="301"/>
      <c r="IF60" s="301"/>
      <c r="IG60" s="301"/>
      <c r="IH60" s="301"/>
      <c r="II60" s="301"/>
      <c r="IJ60" s="301"/>
      <c r="IK60" s="301"/>
      <c r="IL60" s="301"/>
      <c r="IM60" s="301"/>
      <c r="IN60" s="301"/>
      <c r="IO60" s="301"/>
      <c r="IP60" s="301"/>
      <c r="IQ60" s="301"/>
      <c r="IR60" s="301"/>
      <c r="IS60" s="301"/>
      <c r="IT60" s="301"/>
      <c r="IU60" s="301"/>
      <c r="IV60" s="301"/>
    </row>
    <row r="61" spans="1:256" ht="15" hidden="1">
      <c r="A61" s="301"/>
      <c r="B61" s="302"/>
      <c r="C61" s="312" t="s">
        <v>827</v>
      </c>
      <c r="D61" s="313" t="s">
        <v>828</v>
      </c>
      <c r="E61" s="316"/>
      <c r="F61" s="304"/>
      <c r="G61" s="316"/>
      <c r="H61" s="317"/>
      <c r="I61" s="317"/>
      <c r="J61" s="317"/>
      <c r="K61" s="334">
        <f>K60*10/100</f>
        <v>1313.3369599999999</v>
      </c>
      <c r="L61" s="301"/>
      <c r="M61" s="301"/>
      <c r="N61" s="301"/>
      <c r="O61" s="301"/>
      <c r="P61" s="301"/>
      <c r="Q61" s="301"/>
      <c r="R61" s="301"/>
      <c r="S61" s="301"/>
      <c r="T61" s="301"/>
      <c r="U61" s="301"/>
      <c r="V61" s="301"/>
      <c r="W61" s="301"/>
      <c r="X61" s="301"/>
      <c r="Y61" s="301"/>
      <c r="Z61" s="301"/>
      <c r="AA61" s="301"/>
      <c r="AB61" s="301"/>
      <c r="AC61" s="301"/>
      <c r="AD61" s="301"/>
      <c r="AE61" s="301"/>
      <c r="AF61" s="301"/>
      <c r="AG61" s="301"/>
      <c r="AH61" s="301"/>
      <c r="AI61" s="301"/>
      <c r="AJ61" s="301"/>
      <c r="AK61" s="301"/>
      <c r="AL61" s="301"/>
      <c r="AM61" s="301"/>
      <c r="AN61" s="301"/>
      <c r="AO61" s="301"/>
      <c r="AP61" s="301"/>
      <c r="AQ61" s="301"/>
      <c r="AR61" s="301"/>
      <c r="AS61" s="301"/>
      <c r="AT61" s="301"/>
      <c r="AU61" s="301"/>
      <c r="AV61" s="301"/>
      <c r="AW61" s="301"/>
      <c r="AX61" s="301"/>
      <c r="AY61" s="301"/>
      <c r="AZ61" s="301"/>
      <c r="BA61" s="301"/>
      <c r="BB61" s="301"/>
      <c r="BC61" s="301"/>
      <c r="BD61" s="301"/>
      <c r="BE61" s="301"/>
      <c r="BF61" s="301"/>
      <c r="BG61" s="301"/>
      <c r="BH61" s="301"/>
      <c r="BI61" s="301"/>
      <c r="BJ61" s="301"/>
      <c r="BK61" s="301"/>
      <c r="BL61" s="301"/>
      <c r="BM61" s="301"/>
      <c r="BN61" s="301"/>
      <c r="BO61" s="301"/>
      <c r="BP61" s="301"/>
      <c r="BQ61" s="301"/>
      <c r="BR61" s="301"/>
      <c r="BS61" s="301"/>
      <c r="BT61" s="301"/>
      <c r="BU61" s="301"/>
      <c r="BV61" s="301"/>
      <c r="BW61" s="301"/>
      <c r="BX61" s="301"/>
      <c r="BY61" s="301"/>
      <c r="BZ61" s="301"/>
      <c r="CA61" s="301"/>
      <c r="CB61" s="301"/>
      <c r="CC61" s="301"/>
      <c r="CD61" s="301"/>
      <c r="CE61" s="301"/>
      <c r="CF61" s="301"/>
      <c r="CG61" s="301"/>
      <c r="CH61" s="301"/>
      <c r="CI61" s="301"/>
      <c r="CJ61" s="301"/>
      <c r="CK61" s="301"/>
      <c r="CL61" s="301"/>
      <c r="CM61" s="301"/>
      <c r="CN61" s="301"/>
      <c r="CO61" s="301"/>
      <c r="CP61" s="301"/>
      <c r="CQ61" s="301"/>
      <c r="CR61" s="301"/>
      <c r="CS61" s="301"/>
      <c r="CT61" s="301"/>
      <c r="CU61" s="301"/>
      <c r="CV61" s="301"/>
      <c r="CW61" s="301"/>
      <c r="CX61" s="301"/>
      <c r="CY61" s="301"/>
      <c r="CZ61" s="301"/>
      <c r="DA61" s="301"/>
      <c r="DB61" s="301"/>
      <c r="DC61" s="301"/>
      <c r="DD61" s="301"/>
      <c r="DE61" s="301"/>
      <c r="DF61" s="301"/>
      <c r="DG61" s="301"/>
      <c r="DH61" s="301"/>
      <c r="DI61" s="301"/>
      <c r="DJ61" s="301"/>
      <c r="DK61" s="301"/>
      <c r="DL61" s="301"/>
      <c r="DM61" s="301"/>
      <c r="DN61" s="301"/>
      <c r="DO61" s="301"/>
      <c r="DP61" s="301"/>
      <c r="DQ61" s="301"/>
      <c r="DR61" s="301"/>
      <c r="DS61" s="301"/>
      <c r="DT61" s="301"/>
      <c r="DU61" s="301"/>
      <c r="DV61" s="301"/>
      <c r="DW61" s="301"/>
      <c r="DX61" s="301"/>
      <c r="DY61" s="301"/>
      <c r="DZ61" s="301"/>
      <c r="EA61" s="301"/>
      <c r="EB61" s="301"/>
      <c r="EC61" s="301"/>
      <c r="ED61" s="301"/>
      <c r="EE61" s="301"/>
      <c r="EF61" s="301"/>
      <c r="EG61" s="301"/>
      <c r="EH61" s="301"/>
      <c r="EI61" s="301"/>
      <c r="EJ61" s="301"/>
      <c r="EK61" s="301"/>
      <c r="EL61" s="301"/>
      <c r="EM61" s="301"/>
      <c r="EN61" s="301"/>
      <c r="EO61" s="301"/>
      <c r="EP61" s="301"/>
      <c r="EQ61" s="301"/>
      <c r="ER61" s="301"/>
      <c r="ES61" s="301"/>
      <c r="ET61" s="301"/>
      <c r="EU61" s="301"/>
      <c r="EV61" s="301"/>
      <c r="EW61" s="301"/>
      <c r="EX61" s="301"/>
      <c r="EY61" s="301"/>
      <c r="EZ61" s="301"/>
      <c r="FA61" s="301"/>
      <c r="FB61" s="301"/>
      <c r="FC61" s="301"/>
      <c r="FD61" s="301"/>
      <c r="FE61" s="301"/>
      <c r="FF61" s="301"/>
      <c r="FG61" s="301"/>
      <c r="FH61" s="301"/>
      <c r="FI61" s="301"/>
      <c r="FJ61" s="301"/>
      <c r="FK61" s="301"/>
      <c r="FL61" s="301"/>
      <c r="FM61" s="301"/>
      <c r="FN61" s="301"/>
      <c r="FO61" s="301"/>
      <c r="FP61" s="301"/>
      <c r="FQ61" s="301"/>
      <c r="FR61" s="301"/>
      <c r="FS61" s="301"/>
      <c r="FT61" s="301"/>
      <c r="FU61" s="301"/>
      <c r="FV61" s="301"/>
      <c r="FW61" s="301"/>
      <c r="FX61" s="301"/>
      <c r="FY61" s="301"/>
      <c r="FZ61" s="301"/>
      <c r="GA61" s="301"/>
      <c r="GB61" s="301"/>
      <c r="GC61" s="301"/>
      <c r="GD61" s="301"/>
      <c r="GE61" s="301"/>
      <c r="GF61" s="301"/>
      <c r="GG61" s="301"/>
      <c r="GH61" s="301"/>
      <c r="GI61" s="301"/>
      <c r="GJ61" s="301"/>
      <c r="GK61" s="301"/>
      <c r="GL61" s="301"/>
      <c r="GM61" s="301"/>
      <c r="GN61" s="301"/>
      <c r="GO61" s="301"/>
      <c r="GP61" s="301"/>
      <c r="GQ61" s="301"/>
      <c r="GR61" s="301"/>
      <c r="GS61" s="301"/>
      <c r="GT61" s="301"/>
      <c r="GU61" s="301"/>
      <c r="GV61" s="301"/>
      <c r="GW61" s="301"/>
      <c r="GX61" s="301"/>
      <c r="GY61" s="301"/>
      <c r="GZ61" s="301"/>
      <c r="HA61" s="301"/>
      <c r="HB61" s="301"/>
      <c r="HC61" s="301"/>
      <c r="HD61" s="301"/>
      <c r="HE61" s="301"/>
      <c r="HF61" s="301"/>
      <c r="HG61" s="301"/>
      <c r="HH61" s="301"/>
      <c r="HI61" s="301"/>
      <c r="HJ61" s="301"/>
      <c r="HK61" s="301"/>
      <c r="HL61" s="301"/>
      <c r="HM61" s="301"/>
      <c r="HN61" s="301"/>
      <c r="HO61" s="301"/>
      <c r="HP61" s="301"/>
      <c r="HQ61" s="301"/>
      <c r="HR61" s="301"/>
      <c r="HS61" s="301"/>
      <c r="HT61" s="301"/>
      <c r="HU61" s="301"/>
      <c r="HV61" s="301"/>
      <c r="HW61" s="301"/>
      <c r="HX61" s="301"/>
      <c r="HY61" s="301"/>
      <c r="HZ61" s="301"/>
      <c r="IA61" s="301"/>
      <c r="IB61" s="301"/>
      <c r="IC61" s="301"/>
      <c r="ID61" s="301"/>
      <c r="IE61" s="301"/>
      <c r="IF61" s="301"/>
      <c r="IG61" s="301"/>
      <c r="IH61" s="301"/>
      <c r="II61" s="301"/>
      <c r="IJ61" s="301"/>
      <c r="IK61" s="301"/>
      <c r="IL61" s="301"/>
      <c r="IM61" s="301"/>
      <c r="IN61" s="301"/>
      <c r="IO61" s="301"/>
      <c r="IP61" s="301"/>
      <c r="IQ61" s="301"/>
      <c r="IR61" s="301"/>
      <c r="IS61" s="301"/>
      <c r="IT61" s="301"/>
      <c r="IU61" s="301"/>
      <c r="IV61" s="301"/>
    </row>
    <row r="62" spans="1:256" ht="15" hidden="1">
      <c r="A62" s="301"/>
      <c r="B62" s="302"/>
      <c r="C62" s="316"/>
      <c r="D62" s="313" t="s">
        <v>829</v>
      </c>
      <c r="E62" s="316"/>
      <c r="F62" s="304"/>
      <c r="G62" s="316"/>
      <c r="H62" s="317"/>
      <c r="I62" s="317"/>
      <c r="J62" s="317"/>
      <c r="K62" s="333">
        <f>SUM(K60:K61)</f>
        <v>14446.706560000001</v>
      </c>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c r="AJ62" s="301"/>
      <c r="AK62" s="301"/>
      <c r="AL62" s="301"/>
      <c r="AM62" s="301"/>
      <c r="AN62" s="301"/>
      <c r="AO62" s="301"/>
      <c r="AP62" s="301"/>
      <c r="AQ62" s="301"/>
      <c r="AR62" s="301"/>
      <c r="AS62" s="301"/>
      <c r="AT62" s="301"/>
      <c r="AU62" s="301"/>
      <c r="AV62" s="301"/>
      <c r="AW62" s="301"/>
      <c r="AX62" s="301"/>
      <c r="AY62" s="301"/>
      <c r="AZ62" s="301"/>
      <c r="BA62" s="301"/>
      <c r="BB62" s="301"/>
      <c r="BC62" s="301"/>
      <c r="BD62" s="301"/>
      <c r="BE62" s="301"/>
      <c r="BF62" s="301"/>
      <c r="BG62" s="301"/>
      <c r="BH62" s="301"/>
      <c r="BI62" s="301"/>
      <c r="BJ62" s="301"/>
      <c r="BK62" s="301"/>
      <c r="BL62" s="301"/>
      <c r="BM62" s="301"/>
      <c r="BN62" s="301"/>
      <c r="BO62" s="301"/>
      <c r="BP62" s="301"/>
      <c r="BQ62" s="301"/>
      <c r="BR62" s="301"/>
      <c r="BS62" s="301"/>
      <c r="BT62" s="301"/>
      <c r="BU62" s="301"/>
      <c r="BV62" s="301"/>
      <c r="BW62" s="301"/>
      <c r="BX62" s="301"/>
      <c r="BY62" s="301"/>
      <c r="BZ62" s="301"/>
      <c r="CA62" s="301"/>
      <c r="CB62" s="301"/>
      <c r="CC62" s="301"/>
      <c r="CD62" s="301"/>
      <c r="CE62" s="301"/>
      <c r="CF62" s="301"/>
      <c r="CG62" s="301"/>
      <c r="CH62" s="301"/>
      <c r="CI62" s="301"/>
      <c r="CJ62" s="301"/>
      <c r="CK62" s="301"/>
      <c r="CL62" s="301"/>
      <c r="CM62" s="301"/>
      <c r="CN62" s="301"/>
      <c r="CO62" s="301"/>
      <c r="CP62" s="301"/>
      <c r="CQ62" s="301"/>
      <c r="CR62" s="301"/>
      <c r="CS62" s="301"/>
      <c r="CT62" s="301"/>
      <c r="CU62" s="301"/>
      <c r="CV62" s="301"/>
      <c r="CW62" s="301"/>
      <c r="CX62" s="301"/>
      <c r="CY62" s="301"/>
      <c r="CZ62" s="301"/>
      <c r="DA62" s="301"/>
      <c r="DB62" s="301"/>
      <c r="DC62" s="301"/>
      <c r="DD62" s="301"/>
      <c r="DE62" s="301"/>
      <c r="DF62" s="301"/>
      <c r="DG62" s="301"/>
      <c r="DH62" s="301"/>
      <c r="DI62" s="301"/>
      <c r="DJ62" s="301"/>
      <c r="DK62" s="301"/>
      <c r="DL62" s="301"/>
      <c r="DM62" s="301"/>
      <c r="DN62" s="301"/>
      <c r="DO62" s="301"/>
      <c r="DP62" s="301"/>
      <c r="DQ62" s="301"/>
      <c r="DR62" s="301"/>
      <c r="DS62" s="301"/>
      <c r="DT62" s="301"/>
      <c r="DU62" s="301"/>
      <c r="DV62" s="301"/>
      <c r="DW62" s="301"/>
      <c r="DX62" s="301"/>
      <c r="DY62" s="301"/>
      <c r="DZ62" s="301"/>
      <c r="EA62" s="301"/>
      <c r="EB62" s="301"/>
      <c r="EC62" s="301"/>
      <c r="ED62" s="301"/>
      <c r="EE62" s="301"/>
      <c r="EF62" s="301"/>
      <c r="EG62" s="301"/>
      <c r="EH62" s="301"/>
      <c r="EI62" s="301"/>
      <c r="EJ62" s="301"/>
      <c r="EK62" s="301"/>
      <c r="EL62" s="301"/>
      <c r="EM62" s="301"/>
      <c r="EN62" s="301"/>
      <c r="EO62" s="301"/>
      <c r="EP62" s="301"/>
      <c r="EQ62" s="301"/>
      <c r="ER62" s="301"/>
      <c r="ES62" s="301"/>
      <c r="ET62" s="301"/>
      <c r="EU62" s="301"/>
      <c r="EV62" s="301"/>
      <c r="EW62" s="301"/>
      <c r="EX62" s="301"/>
      <c r="EY62" s="301"/>
      <c r="EZ62" s="301"/>
      <c r="FA62" s="301"/>
      <c r="FB62" s="301"/>
      <c r="FC62" s="301"/>
      <c r="FD62" s="301"/>
      <c r="FE62" s="301"/>
      <c r="FF62" s="301"/>
      <c r="FG62" s="301"/>
      <c r="FH62" s="301"/>
      <c r="FI62" s="301"/>
      <c r="FJ62" s="301"/>
      <c r="FK62" s="301"/>
      <c r="FL62" s="301"/>
      <c r="FM62" s="301"/>
      <c r="FN62" s="301"/>
      <c r="FO62" s="301"/>
      <c r="FP62" s="301"/>
      <c r="FQ62" s="301"/>
      <c r="FR62" s="301"/>
      <c r="FS62" s="301"/>
      <c r="FT62" s="301"/>
      <c r="FU62" s="301"/>
      <c r="FV62" s="301"/>
      <c r="FW62" s="301"/>
      <c r="FX62" s="301"/>
      <c r="FY62" s="301"/>
      <c r="FZ62" s="301"/>
      <c r="GA62" s="301"/>
      <c r="GB62" s="301"/>
      <c r="GC62" s="301"/>
      <c r="GD62" s="301"/>
      <c r="GE62" s="301"/>
      <c r="GF62" s="301"/>
      <c r="GG62" s="301"/>
      <c r="GH62" s="301"/>
      <c r="GI62" s="301"/>
      <c r="GJ62" s="301"/>
      <c r="GK62" s="301"/>
      <c r="GL62" s="301"/>
      <c r="GM62" s="301"/>
      <c r="GN62" s="301"/>
      <c r="GO62" s="301"/>
      <c r="GP62" s="301"/>
      <c r="GQ62" s="301"/>
      <c r="GR62" s="301"/>
      <c r="GS62" s="301"/>
      <c r="GT62" s="301"/>
      <c r="GU62" s="301"/>
      <c r="GV62" s="301"/>
      <c r="GW62" s="301"/>
      <c r="GX62" s="301"/>
      <c r="GY62" s="301"/>
      <c r="GZ62" s="301"/>
      <c r="HA62" s="301"/>
      <c r="HB62" s="301"/>
      <c r="HC62" s="301"/>
      <c r="HD62" s="301"/>
      <c r="HE62" s="301"/>
      <c r="HF62" s="301"/>
      <c r="HG62" s="301"/>
      <c r="HH62" s="301"/>
      <c r="HI62" s="301"/>
      <c r="HJ62" s="301"/>
      <c r="HK62" s="301"/>
      <c r="HL62" s="301"/>
      <c r="HM62" s="301"/>
      <c r="HN62" s="301"/>
      <c r="HO62" s="301"/>
      <c r="HP62" s="301"/>
      <c r="HQ62" s="301"/>
      <c r="HR62" s="301"/>
      <c r="HS62" s="301"/>
      <c r="HT62" s="301"/>
      <c r="HU62" s="301"/>
      <c r="HV62" s="301"/>
      <c r="HW62" s="301"/>
      <c r="HX62" s="301"/>
      <c r="HY62" s="301"/>
      <c r="HZ62" s="301"/>
      <c r="IA62" s="301"/>
      <c r="IB62" s="301"/>
      <c r="IC62" s="301"/>
      <c r="ID62" s="301"/>
      <c r="IE62" s="301"/>
      <c r="IF62" s="301"/>
      <c r="IG62" s="301"/>
      <c r="IH62" s="301"/>
      <c r="II62" s="301"/>
      <c r="IJ62" s="301"/>
      <c r="IK62" s="301"/>
      <c r="IL62" s="301"/>
      <c r="IM62" s="301"/>
      <c r="IN62" s="301"/>
      <c r="IO62" s="301"/>
      <c r="IP62" s="301"/>
      <c r="IQ62" s="301"/>
      <c r="IR62" s="301"/>
      <c r="IS62" s="301"/>
      <c r="IT62" s="301"/>
      <c r="IU62" s="301"/>
      <c r="IV62" s="301"/>
    </row>
    <row r="63" spans="1:256" ht="15" hidden="1">
      <c r="A63" s="301"/>
      <c r="B63" s="302"/>
      <c r="C63" s="316"/>
      <c r="D63" s="316" t="s">
        <v>595</v>
      </c>
      <c r="E63" s="316"/>
      <c r="F63" s="304"/>
      <c r="G63" s="316"/>
      <c r="H63" s="317"/>
      <c r="I63" s="317"/>
      <c r="J63" s="317"/>
      <c r="K63" s="329">
        <f>K62/100</f>
        <v>144.46706560000001</v>
      </c>
      <c r="L63" s="301"/>
      <c r="M63" s="301"/>
      <c r="N63" s="301"/>
      <c r="O63" s="301"/>
      <c r="P63" s="301"/>
      <c r="Q63" s="301"/>
      <c r="R63" s="301"/>
      <c r="S63" s="301"/>
      <c r="T63" s="301"/>
      <c r="U63" s="301"/>
      <c r="V63" s="301"/>
      <c r="W63" s="301"/>
      <c r="X63" s="301"/>
      <c r="Y63" s="301"/>
      <c r="Z63" s="301"/>
      <c r="AA63" s="301"/>
      <c r="AB63" s="301"/>
      <c r="AC63" s="301"/>
      <c r="AD63" s="301"/>
      <c r="AE63" s="301"/>
      <c r="AF63" s="301"/>
      <c r="AG63" s="301"/>
      <c r="AH63" s="301"/>
      <c r="AI63" s="301"/>
      <c r="AJ63" s="301"/>
      <c r="AK63" s="301"/>
      <c r="AL63" s="301"/>
      <c r="AM63" s="301"/>
      <c r="AN63" s="301"/>
      <c r="AO63" s="301"/>
      <c r="AP63" s="301"/>
      <c r="AQ63" s="301"/>
      <c r="AR63" s="301"/>
      <c r="AS63" s="301"/>
      <c r="AT63" s="301"/>
      <c r="AU63" s="301"/>
      <c r="AV63" s="301"/>
      <c r="AW63" s="301"/>
      <c r="AX63" s="301"/>
      <c r="AY63" s="301"/>
      <c r="AZ63" s="301"/>
      <c r="BA63" s="301"/>
      <c r="BB63" s="301"/>
      <c r="BC63" s="301"/>
      <c r="BD63" s="301"/>
      <c r="BE63" s="301"/>
      <c r="BF63" s="301"/>
      <c r="BG63" s="301"/>
      <c r="BH63" s="301"/>
      <c r="BI63" s="301"/>
      <c r="BJ63" s="301"/>
      <c r="BK63" s="301"/>
      <c r="BL63" s="301"/>
      <c r="BM63" s="301"/>
      <c r="BN63" s="301"/>
      <c r="BO63" s="301"/>
      <c r="BP63" s="301"/>
      <c r="BQ63" s="301"/>
      <c r="BR63" s="301"/>
      <c r="BS63" s="301"/>
      <c r="BT63" s="301"/>
      <c r="BU63" s="301"/>
      <c r="BV63" s="301"/>
      <c r="BW63" s="301"/>
      <c r="BX63" s="301"/>
      <c r="BY63" s="301"/>
      <c r="BZ63" s="301"/>
      <c r="CA63" s="301"/>
      <c r="CB63" s="301"/>
      <c r="CC63" s="301"/>
      <c r="CD63" s="301"/>
      <c r="CE63" s="301"/>
      <c r="CF63" s="301"/>
      <c r="CG63" s="301"/>
      <c r="CH63" s="301"/>
      <c r="CI63" s="301"/>
      <c r="CJ63" s="301"/>
      <c r="CK63" s="301"/>
      <c r="CL63" s="301"/>
      <c r="CM63" s="301"/>
      <c r="CN63" s="301"/>
      <c r="CO63" s="301"/>
      <c r="CP63" s="301"/>
      <c r="CQ63" s="301"/>
      <c r="CR63" s="301"/>
      <c r="CS63" s="301"/>
      <c r="CT63" s="301"/>
      <c r="CU63" s="301"/>
      <c r="CV63" s="301"/>
      <c r="CW63" s="301"/>
      <c r="CX63" s="301"/>
      <c r="CY63" s="301"/>
      <c r="CZ63" s="301"/>
      <c r="DA63" s="301"/>
      <c r="DB63" s="301"/>
      <c r="DC63" s="301"/>
      <c r="DD63" s="301"/>
      <c r="DE63" s="301"/>
      <c r="DF63" s="301"/>
      <c r="DG63" s="301"/>
      <c r="DH63" s="301"/>
      <c r="DI63" s="301"/>
      <c r="DJ63" s="301"/>
      <c r="DK63" s="301"/>
      <c r="DL63" s="301"/>
      <c r="DM63" s="301"/>
      <c r="DN63" s="301"/>
      <c r="DO63" s="301"/>
      <c r="DP63" s="301"/>
      <c r="DQ63" s="301"/>
      <c r="DR63" s="301"/>
      <c r="DS63" s="301"/>
      <c r="DT63" s="301"/>
      <c r="DU63" s="301"/>
      <c r="DV63" s="301"/>
      <c r="DW63" s="301"/>
      <c r="DX63" s="301"/>
      <c r="DY63" s="301"/>
      <c r="DZ63" s="301"/>
      <c r="EA63" s="301"/>
      <c r="EB63" s="301"/>
      <c r="EC63" s="301"/>
      <c r="ED63" s="301"/>
      <c r="EE63" s="301"/>
      <c r="EF63" s="301"/>
      <c r="EG63" s="301"/>
      <c r="EH63" s="301"/>
      <c r="EI63" s="301"/>
      <c r="EJ63" s="301"/>
      <c r="EK63" s="301"/>
      <c r="EL63" s="301"/>
      <c r="EM63" s="301"/>
      <c r="EN63" s="301"/>
      <c r="EO63" s="301"/>
      <c r="EP63" s="301"/>
      <c r="EQ63" s="301"/>
      <c r="ER63" s="301"/>
      <c r="ES63" s="301"/>
      <c r="ET63" s="301"/>
      <c r="EU63" s="301"/>
      <c r="EV63" s="301"/>
      <c r="EW63" s="301"/>
      <c r="EX63" s="301"/>
      <c r="EY63" s="301"/>
      <c r="EZ63" s="301"/>
      <c r="FA63" s="301"/>
      <c r="FB63" s="301"/>
      <c r="FC63" s="301"/>
      <c r="FD63" s="301"/>
      <c r="FE63" s="301"/>
      <c r="FF63" s="301"/>
      <c r="FG63" s="301"/>
      <c r="FH63" s="301"/>
      <c r="FI63" s="301"/>
      <c r="FJ63" s="301"/>
      <c r="FK63" s="301"/>
      <c r="FL63" s="301"/>
      <c r="FM63" s="301"/>
      <c r="FN63" s="301"/>
      <c r="FO63" s="301"/>
      <c r="FP63" s="301"/>
      <c r="FQ63" s="301"/>
      <c r="FR63" s="301"/>
      <c r="FS63" s="301"/>
      <c r="FT63" s="301"/>
      <c r="FU63" s="301"/>
      <c r="FV63" s="301"/>
      <c r="FW63" s="301"/>
      <c r="FX63" s="301"/>
      <c r="FY63" s="301"/>
      <c r="FZ63" s="301"/>
      <c r="GA63" s="301"/>
      <c r="GB63" s="301"/>
      <c r="GC63" s="301"/>
      <c r="GD63" s="301"/>
      <c r="GE63" s="301"/>
      <c r="GF63" s="301"/>
      <c r="GG63" s="301"/>
      <c r="GH63" s="301"/>
      <c r="GI63" s="301"/>
      <c r="GJ63" s="301"/>
      <c r="GK63" s="301"/>
      <c r="GL63" s="301"/>
      <c r="GM63" s="301"/>
      <c r="GN63" s="301"/>
      <c r="GO63" s="301"/>
      <c r="GP63" s="301"/>
      <c r="GQ63" s="301"/>
      <c r="GR63" s="301"/>
      <c r="GS63" s="301"/>
      <c r="GT63" s="301"/>
      <c r="GU63" s="301"/>
      <c r="GV63" s="301"/>
      <c r="GW63" s="301"/>
      <c r="GX63" s="301"/>
      <c r="GY63" s="301"/>
      <c r="GZ63" s="301"/>
      <c r="HA63" s="301"/>
      <c r="HB63" s="301"/>
      <c r="HC63" s="301"/>
      <c r="HD63" s="301"/>
      <c r="HE63" s="301"/>
      <c r="HF63" s="301"/>
      <c r="HG63" s="301"/>
      <c r="HH63" s="301"/>
      <c r="HI63" s="301"/>
      <c r="HJ63" s="301"/>
      <c r="HK63" s="301"/>
      <c r="HL63" s="301"/>
      <c r="HM63" s="301"/>
      <c r="HN63" s="301"/>
      <c r="HO63" s="301"/>
      <c r="HP63" s="301"/>
      <c r="HQ63" s="301"/>
      <c r="HR63" s="301"/>
      <c r="HS63" s="301"/>
      <c r="HT63" s="301"/>
      <c r="HU63" s="301"/>
      <c r="HV63" s="301"/>
      <c r="HW63" s="301"/>
      <c r="HX63" s="301"/>
      <c r="HY63" s="301"/>
      <c r="HZ63" s="301"/>
      <c r="IA63" s="301"/>
      <c r="IB63" s="301"/>
      <c r="IC63" s="301"/>
      <c r="ID63" s="301"/>
      <c r="IE63" s="301"/>
      <c r="IF63" s="301"/>
      <c r="IG63" s="301"/>
      <c r="IH63" s="301"/>
      <c r="II63" s="301"/>
      <c r="IJ63" s="301"/>
      <c r="IK63" s="301"/>
      <c r="IL63" s="301"/>
      <c r="IM63" s="301"/>
      <c r="IN63" s="301"/>
      <c r="IO63" s="301"/>
      <c r="IP63" s="301"/>
      <c r="IQ63" s="301"/>
      <c r="IR63" s="301"/>
      <c r="IS63" s="301"/>
      <c r="IT63" s="301"/>
      <c r="IU63" s="301"/>
      <c r="IV63" s="301"/>
    </row>
    <row r="64" spans="1:256" ht="15" hidden="1">
      <c r="A64" s="301"/>
      <c r="B64" s="302"/>
      <c r="C64" s="307"/>
      <c r="D64" s="306"/>
      <c r="E64" s="1535" t="s">
        <v>830</v>
      </c>
      <c r="F64" s="1536"/>
      <c r="G64" s="306"/>
      <c r="H64" s="306"/>
      <c r="I64" s="321"/>
      <c r="J64" s="306"/>
      <c r="K64" s="335">
        <f>ROUND(K63,0)</f>
        <v>144</v>
      </c>
      <c r="L64" s="301"/>
      <c r="M64" s="301">
        <v>131</v>
      </c>
      <c r="N64" s="301"/>
      <c r="O64" s="301"/>
      <c r="P64" s="301"/>
      <c r="Q64" s="301"/>
      <c r="R64" s="301"/>
      <c r="S64" s="301"/>
      <c r="T64" s="301"/>
      <c r="U64" s="301"/>
      <c r="V64" s="301"/>
      <c r="W64" s="301"/>
      <c r="X64" s="301"/>
      <c r="Y64" s="301"/>
      <c r="Z64" s="301"/>
      <c r="AA64" s="301"/>
      <c r="AB64" s="301"/>
      <c r="AC64" s="301"/>
      <c r="AD64" s="301"/>
      <c r="AE64" s="301"/>
      <c r="AF64" s="301"/>
      <c r="AG64" s="301"/>
      <c r="AH64" s="301"/>
      <c r="AI64" s="301"/>
      <c r="AJ64" s="301"/>
      <c r="AK64" s="301"/>
      <c r="AL64" s="301"/>
      <c r="AM64" s="301"/>
      <c r="AN64" s="301"/>
      <c r="AO64" s="301"/>
      <c r="AP64" s="301"/>
      <c r="AQ64" s="301"/>
      <c r="AR64" s="301"/>
      <c r="AS64" s="301"/>
      <c r="AT64" s="301"/>
      <c r="AU64" s="301"/>
      <c r="AV64" s="301"/>
      <c r="AW64" s="301"/>
      <c r="AX64" s="301"/>
      <c r="AY64" s="301"/>
      <c r="AZ64" s="301"/>
      <c r="BA64" s="301"/>
      <c r="BB64" s="301"/>
      <c r="BC64" s="301"/>
      <c r="BD64" s="301"/>
      <c r="BE64" s="301"/>
      <c r="BF64" s="301"/>
      <c r="BG64" s="301"/>
      <c r="BH64" s="301"/>
      <c r="BI64" s="301"/>
      <c r="BJ64" s="301"/>
      <c r="BK64" s="301"/>
      <c r="BL64" s="301"/>
      <c r="BM64" s="301"/>
      <c r="BN64" s="301"/>
      <c r="BO64" s="301"/>
      <c r="BP64" s="301"/>
      <c r="BQ64" s="301"/>
      <c r="BR64" s="301"/>
      <c r="BS64" s="301"/>
      <c r="BT64" s="301"/>
      <c r="BU64" s="301"/>
      <c r="BV64" s="301"/>
      <c r="BW64" s="301"/>
      <c r="BX64" s="301"/>
      <c r="BY64" s="301"/>
      <c r="BZ64" s="301"/>
      <c r="CA64" s="301"/>
      <c r="CB64" s="301"/>
      <c r="CC64" s="301"/>
      <c r="CD64" s="301"/>
      <c r="CE64" s="301"/>
      <c r="CF64" s="301"/>
      <c r="CG64" s="301"/>
      <c r="CH64" s="301"/>
      <c r="CI64" s="301"/>
      <c r="CJ64" s="301"/>
      <c r="CK64" s="301"/>
      <c r="CL64" s="301"/>
      <c r="CM64" s="301"/>
      <c r="CN64" s="301"/>
      <c r="CO64" s="301"/>
      <c r="CP64" s="301"/>
      <c r="CQ64" s="301"/>
      <c r="CR64" s="301"/>
      <c r="CS64" s="301"/>
      <c r="CT64" s="301"/>
      <c r="CU64" s="301"/>
      <c r="CV64" s="301"/>
      <c r="CW64" s="301"/>
      <c r="CX64" s="301"/>
      <c r="CY64" s="301"/>
      <c r="CZ64" s="301"/>
      <c r="DA64" s="301"/>
      <c r="DB64" s="301"/>
      <c r="DC64" s="301"/>
      <c r="DD64" s="301"/>
      <c r="DE64" s="301"/>
      <c r="DF64" s="301"/>
      <c r="DG64" s="301"/>
      <c r="DH64" s="301"/>
      <c r="DI64" s="301"/>
      <c r="DJ64" s="301"/>
      <c r="DK64" s="301"/>
      <c r="DL64" s="301"/>
      <c r="DM64" s="301"/>
      <c r="DN64" s="301"/>
      <c r="DO64" s="301"/>
      <c r="DP64" s="301"/>
      <c r="DQ64" s="301"/>
      <c r="DR64" s="301"/>
      <c r="DS64" s="301"/>
      <c r="DT64" s="301"/>
      <c r="DU64" s="301"/>
      <c r="DV64" s="301"/>
      <c r="DW64" s="301"/>
      <c r="DX64" s="301"/>
      <c r="DY64" s="301"/>
      <c r="DZ64" s="301"/>
      <c r="EA64" s="301"/>
      <c r="EB64" s="301"/>
      <c r="EC64" s="301"/>
      <c r="ED64" s="301"/>
      <c r="EE64" s="301"/>
      <c r="EF64" s="301"/>
      <c r="EG64" s="301"/>
      <c r="EH64" s="301"/>
      <c r="EI64" s="301"/>
      <c r="EJ64" s="301"/>
      <c r="EK64" s="301"/>
      <c r="EL64" s="301"/>
      <c r="EM64" s="301"/>
      <c r="EN64" s="301"/>
      <c r="EO64" s="301"/>
      <c r="EP64" s="301"/>
      <c r="EQ64" s="301"/>
      <c r="ER64" s="301"/>
      <c r="ES64" s="301"/>
      <c r="ET64" s="301"/>
      <c r="EU64" s="301"/>
      <c r="EV64" s="301"/>
      <c r="EW64" s="301"/>
      <c r="EX64" s="301"/>
      <c r="EY64" s="301"/>
      <c r="EZ64" s="301"/>
      <c r="FA64" s="301"/>
      <c r="FB64" s="301"/>
      <c r="FC64" s="301"/>
      <c r="FD64" s="301"/>
      <c r="FE64" s="301"/>
      <c r="FF64" s="301"/>
      <c r="FG64" s="301"/>
      <c r="FH64" s="301"/>
      <c r="FI64" s="301"/>
      <c r="FJ64" s="301"/>
      <c r="FK64" s="301"/>
      <c r="FL64" s="301"/>
      <c r="FM64" s="301"/>
      <c r="FN64" s="301"/>
      <c r="FO64" s="301"/>
      <c r="FP64" s="301"/>
      <c r="FQ64" s="301"/>
      <c r="FR64" s="301"/>
      <c r="FS64" s="301"/>
      <c r="FT64" s="301"/>
      <c r="FU64" s="301"/>
      <c r="FV64" s="301"/>
      <c r="FW64" s="301"/>
      <c r="FX64" s="301"/>
      <c r="FY64" s="301"/>
      <c r="FZ64" s="301"/>
      <c r="GA64" s="301"/>
      <c r="GB64" s="301"/>
      <c r="GC64" s="301"/>
      <c r="GD64" s="301"/>
      <c r="GE64" s="301"/>
      <c r="GF64" s="301"/>
      <c r="GG64" s="301"/>
      <c r="GH64" s="301"/>
      <c r="GI64" s="301"/>
      <c r="GJ64" s="301"/>
      <c r="GK64" s="301"/>
      <c r="GL64" s="301"/>
      <c r="GM64" s="301"/>
      <c r="GN64" s="301"/>
      <c r="GO64" s="301"/>
      <c r="GP64" s="301"/>
      <c r="GQ64" s="301"/>
      <c r="GR64" s="301"/>
      <c r="GS64" s="301"/>
      <c r="GT64" s="301"/>
      <c r="GU64" s="301"/>
      <c r="GV64" s="301"/>
      <c r="GW64" s="301"/>
      <c r="GX64" s="301"/>
      <c r="GY64" s="301"/>
      <c r="GZ64" s="301"/>
      <c r="HA64" s="301"/>
      <c r="HB64" s="301"/>
      <c r="HC64" s="301"/>
      <c r="HD64" s="301"/>
      <c r="HE64" s="301"/>
      <c r="HF64" s="301"/>
      <c r="HG64" s="301"/>
      <c r="HH64" s="301"/>
      <c r="HI64" s="301"/>
      <c r="HJ64" s="301"/>
      <c r="HK64" s="301"/>
      <c r="HL64" s="301"/>
      <c r="HM64" s="301"/>
      <c r="HN64" s="301"/>
      <c r="HO64" s="301"/>
      <c r="HP64" s="301"/>
      <c r="HQ64" s="301"/>
      <c r="HR64" s="301"/>
      <c r="HS64" s="301"/>
      <c r="HT64" s="301"/>
      <c r="HU64" s="301"/>
      <c r="HV64" s="301"/>
      <c r="HW64" s="301"/>
      <c r="HX64" s="301"/>
      <c r="HY64" s="301"/>
      <c r="HZ64" s="301"/>
      <c r="IA64" s="301"/>
      <c r="IB64" s="301"/>
      <c r="IC64" s="301"/>
      <c r="ID64" s="301"/>
      <c r="IE64" s="301"/>
      <c r="IF64" s="301"/>
      <c r="IG64" s="301"/>
      <c r="IH64" s="301"/>
      <c r="II64" s="301"/>
      <c r="IJ64" s="301"/>
      <c r="IK64" s="301"/>
      <c r="IL64" s="301"/>
      <c r="IM64" s="301"/>
      <c r="IN64" s="301"/>
      <c r="IO64" s="301"/>
      <c r="IP64" s="301"/>
      <c r="IQ64" s="301"/>
      <c r="IR64" s="301"/>
      <c r="IS64" s="301"/>
      <c r="IT64" s="301"/>
      <c r="IU64" s="301"/>
      <c r="IV64" s="301"/>
    </row>
    <row r="65" spans="1:256" ht="15" hidden="1">
      <c r="A65" s="301"/>
      <c r="B65" s="302"/>
      <c r="C65" s="307"/>
      <c r="D65" s="306"/>
      <c r="E65" s="336"/>
      <c r="F65" s="304"/>
      <c r="G65" s="306"/>
      <c r="H65" s="306"/>
      <c r="I65" s="321"/>
      <c r="J65" s="306"/>
      <c r="K65" s="337" t="s">
        <v>367</v>
      </c>
      <c r="L65" s="301"/>
      <c r="M65" s="301"/>
      <c r="N65" s="301"/>
      <c r="O65" s="301"/>
      <c r="P65" s="301"/>
      <c r="Q65" s="301"/>
      <c r="R65" s="301"/>
      <c r="S65" s="301"/>
      <c r="T65" s="301"/>
      <c r="U65" s="301"/>
      <c r="V65" s="301"/>
      <c r="W65" s="301"/>
      <c r="X65" s="301"/>
      <c r="Y65" s="301"/>
      <c r="Z65" s="301"/>
      <c r="AA65" s="301"/>
      <c r="AB65" s="301"/>
      <c r="AC65" s="301"/>
      <c r="AD65" s="301"/>
      <c r="AE65" s="301"/>
      <c r="AF65" s="301"/>
      <c r="AG65" s="301"/>
      <c r="AH65" s="301"/>
      <c r="AI65" s="301"/>
      <c r="AJ65" s="301"/>
      <c r="AK65" s="301"/>
      <c r="AL65" s="301"/>
      <c r="AM65" s="301"/>
      <c r="AN65" s="301"/>
      <c r="AO65" s="301"/>
      <c r="AP65" s="301"/>
      <c r="AQ65" s="301"/>
      <c r="AR65" s="301"/>
      <c r="AS65" s="301"/>
      <c r="AT65" s="301"/>
      <c r="AU65" s="301"/>
      <c r="AV65" s="301"/>
      <c r="AW65" s="301"/>
      <c r="AX65" s="301"/>
      <c r="AY65" s="301"/>
      <c r="AZ65" s="301"/>
      <c r="BA65" s="301"/>
      <c r="BB65" s="301"/>
      <c r="BC65" s="301"/>
      <c r="BD65" s="301"/>
      <c r="BE65" s="301"/>
      <c r="BF65" s="301"/>
      <c r="BG65" s="301"/>
      <c r="BH65" s="301"/>
      <c r="BI65" s="301"/>
      <c r="BJ65" s="301"/>
      <c r="BK65" s="301"/>
      <c r="BL65" s="301"/>
      <c r="BM65" s="301"/>
      <c r="BN65" s="301"/>
      <c r="BO65" s="301"/>
      <c r="BP65" s="301"/>
      <c r="BQ65" s="301"/>
      <c r="BR65" s="301"/>
      <c r="BS65" s="301"/>
      <c r="BT65" s="301"/>
      <c r="BU65" s="301"/>
      <c r="BV65" s="301"/>
      <c r="BW65" s="301"/>
      <c r="BX65" s="301"/>
      <c r="BY65" s="301"/>
      <c r="BZ65" s="301"/>
      <c r="CA65" s="301"/>
      <c r="CB65" s="301"/>
      <c r="CC65" s="301"/>
      <c r="CD65" s="301"/>
      <c r="CE65" s="301"/>
      <c r="CF65" s="301"/>
      <c r="CG65" s="301"/>
      <c r="CH65" s="301"/>
      <c r="CI65" s="301"/>
      <c r="CJ65" s="301"/>
      <c r="CK65" s="301"/>
      <c r="CL65" s="301"/>
      <c r="CM65" s="301"/>
      <c r="CN65" s="301"/>
      <c r="CO65" s="301"/>
      <c r="CP65" s="301"/>
      <c r="CQ65" s="301"/>
      <c r="CR65" s="301"/>
      <c r="CS65" s="301"/>
      <c r="CT65" s="301"/>
      <c r="CU65" s="301"/>
      <c r="CV65" s="301"/>
      <c r="CW65" s="301"/>
      <c r="CX65" s="301"/>
      <c r="CY65" s="301"/>
      <c r="CZ65" s="301"/>
      <c r="DA65" s="301"/>
      <c r="DB65" s="301"/>
      <c r="DC65" s="301"/>
      <c r="DD65" s="301"/>
      <c r="DE65" s="301"/>
      <c r="DF65" s="301"/>
      <c r="DG65" s="301"/>
      <c r="DH65" s="301"/>
      <c r="DI65" s="301"/>
      <c r="DJ65" s="301"/>
      <c r="DK65" s="301"/>
      <c r="DL65" s="301"/>
      <c r="DM65" s="301"/>
      <c r="DN65" s="301"/>
      <c r="DO65" s="301"/>
      <c r="DP65" s="301"/>
      <c r="DQ65" s="301"/>
      <c r="DR65" s="301"/>
      <c r="DS65" s="301"/>
      <c r="DT65" s="301"/>
      <c r="DU65" s="301"/>
      <c r="DV65" s="301"/>
      <c r="DW65" s="301"/>
      <c r="DX65" s="301"/>
      <c r="DY65" s="301"/>
      <c r="DZ65" s="301"/>
      <c r="EA65" s="301"/>
      <c r="EB65" s="301"/>
      <c r="EC65" s="301"/>
      <c r="ED65" s="301"/>
      <c r="EE65" s="301"/>
      <c r="EF65" s="301"/>
      <c r="EG65" s="301"/>
      <c r="EH65" s="301"/>
      <c r="EI65" s="301"/>
      <c r="EJ65" s="301"/>
      <c r="EK65" s="301"/>
      <c r="EL65" s="301"/>
      <c r="EM65" s="301"/>
      <c r="EN65" s="301"/>
      <c r="EO65" s="301"/>
      <c r="EP65" s="301"/>
      <c r="EQ65" s="301"/>
      <c r="ER65" s="301"/>
      <c r="ES65" s="301"/>
      <c r="ET65" s="301"/>
      <c r="EU65" s="301"/>
      <c r="EV65" s="301"/>
      <c r="EW65" s="301"/>
      <c r="EX65" s="301"/>
      <c r="EY65" s="301"/>
      <c r="EZ65" s="301"/>
      <c r="FA65" s="301"/>
      <c r="FB65" s="301"/>
      <c r="FC65" s="301"/>
      <c r="FD65" s="301"/>
      <c r="FE65" s="301"/>
      <c r="FF65" s="301"/>
      <c r="FG65" s="301"/>
      <c r="FH65" s="301"/>
      <c r="FI65" s="301"/>
      <c r="FJ65" s="301"/>
      <c r="FK65" s="301"/>
      <c r="FL65" s="301"/>
      <c r="FM65" s="301"/>
      <c r="FN65" s="301"/>
      <c r="FO65" s="301"/>
      <c r="FP65" s="301"/>
      <c r="FQ65" s="301"/>
      <c r="FR65" s="301"/>
      <c r="FS65" s="301"/>
      <c r="FT65" s="301"/>
      <c r="FU65" s="301"/>
      <c r="FV65" s="301"/>
      <c r="FW65" s="301"/>
      <c r="FX65" s="301"/>
      <c r="FY65" s="301"/>
      <c r="FZ65" s="301"/>
      <c r="GA65" s="301"/>
      <c r="GB65" s="301"/>
      <c r="GC65" s="301"/>
      <c r="GD65" s="301"/>
      <c r="GE65" s="301"/>
      <c r="GF65" s="301"/>
      <c r="GG65" s="301"/>
      <c r="GH65" s="301"/>
      <c r="GI65" s="301"/>
      <c r="GJ65" s="301"/>
      <c r="GK65" s="301"/>
      <c r="GL65" s="301"/>
      <c r="GM65" s="301"/>
      <c r="GN65" s="301"/>
      <c r="GO65" s="301"/>
      <c r="GP65" s="301"/>
      <c r="GQ65" s="301"/>
      <c r="GR65" s="301"/>
      <c r="GS65" s="301"/>
      <c r="GT65" s="301"/>
      <c r="GU65" s="301"/>
      <c r="GV65" s="301"/>
      <c r="GW65" s="301"/>
      <c r="GX65" s="301"/>
      <c r="GY65" s="301"/>
      <c r="GZ65" s="301"/>
      <c r="HA65" s="301"/>
      <c r="HB65" s="301"/>
      <c r="HC65" s="301"/>
      <c r="HD65" s="301"/>
      <c r="HE65" s="301"/>
      <c r="HF65" s="301"/>
      <c r="HG65" s="301"/>
      <c r="HH65" s="301"/>
      <c r="HI65" s="301"/>
      <c r="HJ65" s="301"/>
      <c r="HK65" s="301"/>
      <c r="HL65" s="301"/>
      <c r="HM65" s="301"/>
      <c r="HN65" s="301"/>
      <c r="HO65" s="301"/>
      <c r="HP65" s="301"/>
      <c r="HQ65" s="301"/>
      <c r="HR65" s="301"/>
      <c r="HS65" s="301"/>
      <c r="HT65" s="301"/>
      <c r="HU65" s="301"/>
      <c r="HV65" s="301"/>
      <c r="HW65" s="301"/>
      <c r="HX65" s="301"/>
      <c r="HY65" s="301"/>
      <c r="HZ65" s="301"/>
      <c r="IA65" s="301"/>
      <c r="IB65" s="301"/>
      <c r="IC65" s="301"/>
      <c r="ID65" s="301"/>
      <c r="IE65" s="301"/>
      <c r="IF65" s="301"/>
      <c r="IG65" s="301"/>
      <c r="IH65" s="301"/>
      <c r="II65" s="301"/>
      <c r="IJ65" s="301"/>
      <c r="IK65" s="301"/>
      <c r="IL65" s="301"/>
      <c r="IM65" s="301"/>
      <c r="IN65" s="301"/>
      <c r="IO65" s="301"/>
      <c r="IP65" s="301"/>
      <c r="IQ65" s="301"/>
      <c r="IR65" s="301"/>
      <c r="IS65" s="301"/>
      <c r="IT65" s="301"/>
      <c r="IU65" s="301"/>
      <c r="IV65" s="301"/>
    </row>
    <row r="66" spans="1:256" ht="114.75" customHeight="1">
      <c r="A66" s="301"/>
      <c r="B66" s="302">
        <v>2</v>
      </c>
      <c r="C66" s="1531" t="s">
        <v>1256</v>
      </c>
      <c r="D66" s="1531"/>
      <c r="E66" s="1531"/>
      <c r="F66" s="1531"/>
      <c r="G66" s="1531"/>
      <c r="H66" s="1531"/>
      <c r="I66" s="1531"/>
      <c r="J66" s="1531"/>
      <c r="K66" s="153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c r="AJ66" s="301"/>
      <c r="AK66" s="301"/>
      <c r="AL66" s="301"/>
      <c r="AM66" s="301"/>
      <c r="AN66" s="301"/>
      <c r="AO66" s="301"/>
      <c r="AP66" s="301"/>
      <c r="AQ66" s="301"/>
      <c r="AR66" s="301"/>
      <c r="AS66" s="301"/>
      <c r="AT66" s="301"/>
      <c r="AU66" s="301"/>
      <c r="AV66" s="301"/>
      <c r="AW66" s="301"/>
      <c r="AX66" s="301"/>
      <c r="AY66" s="301"/>
      <c r="AZ66" s="301"/>
      <c r="BA66" s="301"/>
      <c r="BB66" s="301"/>
      <c r="BC66" s="301"/>
      <c r="BD66" s="301"/>
      <c r="BE66" s="301"/>
      <c r="BF66" s="301"/>
      <c r="BG66" s="301"/>
      <c r="BH66" s="301"/>
      <c r="BI66" s="301"/>
      <c r="BJ66" s="301"/>
      <c r="BK66" s="301"/>
      <c r="BL66" s="301"/>
      <c r="BM66" s="301"/>
      <c r="BN66" s="301"/>
      <c r="BO66" s="301"/>
      <c r="BP66" s="301"/>
      <c r="BQ66" s="301"/>
      <c r="BR66" s="301"/>
      <c r="BS66" s="301"/>
      <c r="BT66" s="301"/>
      <c r="BU66" s="301"/>
      <c r="BV66" s="301"/>
      <c r="BW66" s="301"/>
      <c r="BX66" s="301"/>
      <c r="BY66" s="301"/>
      <c r="BZ66" s="301"/>
      <c r="CA66" s="301"/>
      <c r="CB66" s="301"/>
      <c r="CC66" s="301"/>
      <c r="CD66" s="301"/>
      <c r="CE66" s="301"/>
      <c r="CF66" s="301"/>
      <c r="CG66" s="301"/>
      <c r="CH66" s="301"/>
      <c r="CI66" s="301"/>
      <c r="CJ66" s="301"/>
      <c r="CK66" s="301"/>
      <c r="CL66" s="301"/>
      <c r="CM66" s="301"/>
      <c r="CN66" s="301"/>
      <c r="CO66" s="301"/>
      <c r="CP66" s="301"/>
      <c r="CQ66" s="301"/>
      <c r="CR66" s="301"/>
      <c r="CS66" s="301"/>
      <c r="CT66" s="301"/>
      <c r="CU66" s="301"/>
      <c r="CV66" s="301"/>
      <c r="CW66" s="301"/>
      <c r="CX66" s="301"/>
      <c r="CY66" s="301"/>
      <c r="CZ66" s="301"/>
      <c r="DA66" s="301"/>
      <c r="DB66" s="301"/>
      <c r="DC66" s="301"/>
      <c r="DD66" s="301"/>
      <c r="DE66" s="301"/>
      <c r="DF66" s="301"/>
      <c r="DG66" s="301"/>
      <c r="DH66" s="301"/>
      <c r="DI66" s="301"/>
      <c r="DJ66" s="301"/>
      <c r="DK66" s="301"/>
      <c r="DL66" s="301"/>
      <c r="DM66" s="301"/>
      <c r="DN66" s="301"/>
      <c r="DO66" s="301"/>
      <c r="DP66" s="301"/>
      <c r="DQ66" s="301"/>
      <c r="DR66" s="301"/>
      <c r="DS66" s="301"/>
      <c r="DT66" s="301"/>
      <c r="DU66" s="301"/>
      <c r="DV66" s="301"/>
      <c r="DW66" s="301"/>
      <c r="DX66" s="301"/>
      <c r="DY66" s="301"/>
      <c r="DZ66" s="301"/>
      <c r="EA66" s="301"/>
      <c r="EB66" s="301"/>
      <c r="EC66" s="301"/>
      <c r="ED66" s="301"/>
      <c r="EE66" s="301"/>
      <c r="EF66" s="301"/>
      <c r="EG66" s="301"/>
      <c r="EH66" s="301"/>
      <c r="EI66" s="301"/>
      <c r="EJ66" s="301"/>
      <c r="EK66" s="301"/>
      <c r="EL66" s="301"/>
      <c r="EM66" s="301"/>
      <c r="EN66" s="301"/>
      <c r="EO66" s="301"/>
      <c r="EP66" s="301"/>
      <c r="EQ66" s="301"/>
      <c r="ER66" s="301"/>
      <c r="ES66" s="301"/>
      <c r="ET66" s="301"/>
      <c r="EU66" s="301"/>
      <c r="EV66" s="301"/>
      <c r="EW66" s="301"/>
      <c r="EX66" s="301"/>
      <c r="EY66" s="301"/>
      <c r="EZ66" s="301"/>
      <c r="FA66" s="301"/>
      <c r="FB66" s="301"/>
      <c r="FC66" s="301"/>
      <c r="FD66" s="301"/>
      <c r="FE66" s="301"/>
      <c r="FF66" s="301"/>
      <c r="FG66" s="301"/>
      <c r="FH66" s="301"/>
      <c r="FI66" s="301"/>
      <c r="FJ66" s="301"/>
      <c r="FK66" s="301"/>
      <c r="FL66" s="301"/>
      <c r="FM66" s="301"/>
      <c r="FN66" s="301"/>
      <c r="FO66" s="301"/>
      <c r="FP66" s="301"/>
      <c r="FQ66" s="301"/>
      <c r="FR66" s="301"/>
      <c r="FS66" s="301"/>
      <c r="FT66" s="301"/>
      <c r="FU66" s="301"/>
      <c r="FV66" s="301"/>
      <c r="FW66" s="301"/>
      <c r="FX66" s="301"/>
      <c r="FY66" s="301"/>
      <c r="FZ66" s="301"/>
      <c r="GA66" s="301"/>
      <c r="GB66" s="301"/>
      <c r="GC66" s="301"/>
      <c r="GD66" s="301"/>
      <c r="GE66" s="301"/>
      <c r="GF66" s="301"/>
      <c r="GG66" s="301"/>
      <c r="GH66" s="301"/>
      <c r="GI66" s="301"/>
      <c r="GJ66" s="301"/>
      <c r="GK66" s="301"/>
      <c r="GL66" s="301"/>
      <c r="GM66" s="301"/>
      <c r="GN66" s="301"/>
      <c r="GO66" s="301"/>
      <c r="GP66" s="301"/>
      <c r="GQ66" s="301"/>
      <c r="GR66" s="301"/>
      <c r="GS66" s="301"/>
      <c r="GT66" s="301"/>
      <c r="GU66" s="301"/>
      <c r="GV66" s="301"/>
      <c r="GW66" s="301"/>
      <c r="GX66" s="301"/>
      <c r="GY66" s="301"/>
      <c r="GZ66" s="301"/>
      <c r="HA66" s="301"/>
      <c r="HB66" s="301"/>
      <c r="HC66" s="301"/>
      <c r="HD66" s="301"/>
      <c r="HE66" s="301"/>
      <c r="HF66" s="301"/>
      <c r="HG66" s="301"/>
      <c r="HH66" s="301"/>
      <c r="HI66" s="301"/>
      <c r="HJ66" s="301"/>
      <c r="HK66" s="301"/>
      <c r="HL66" s="301"/>
      <c r="HM66" s="301"/>
      <c r="HN66" s="301"/>
      <c r="HO66" s="301"/>
      <c r="HP66" s="301"/>
      <c r="HQ66" s="301"/>
      <c r="HR66" s="301"/>
      <c r="HS66" s="301"/>
      <c r="HT66" s="301"/>
      <c r="HU66" s="301"/>
      <c r="HV66" s="301"/>
      <c r="HW66" s="301"/>
      <c r="HX66" s="301"/>
      <c r="HY66" s="301"/>
      <c r="HZ66" s="301"/>
      <c r="IA66" s="301"/>
      <c r="IB66" s="301"/>
      <c r="IC66" s="301"/>
      <c r="ID66" s="301"/>
      <c r="IE66" s="301"/>
      <c r="IF66" s="301"/>
      <c r="IG66" s="301"/>
      <c r="IH66" s="301"/>
      <c r="II66" s="301"/>
      <c r="IJ66" s="301"/>
      <c r="IK66" s="301"/>
      <c r="IL66" s="301"/>
      <c r="IM66" s="301"/>
      <c r="IN66" s="301"/>
      <c r="IO66" s="301"/>
      <c r="IP66" s="301"/>
      <c r="IQ66" s="301"/>
      <c r="IR66" s="301"/>
      <c r="IS66" s="301"/>
      <c r="IT66" s="301"/>
      <c r="IU66" s="301"/>
      <c r="IV66" s="301"/>
    </row>
    <row r="67" spans="1:256" ht="15">
      <c r="A67" s="301"/>
      <c r="B67" s="339"/>
      <c r="C67" s="304"/>
      <c r="D67" s="304"/>
      <c r="E67" s="340" t="s">
        <v>837</v>
      </c>
      <c r="F67" s="304"/>
      <c r="G67" s="304"/>
      <c r="H67" s="304"/>
      <c r="I67" s="304"/>
      <c r="J67" s="304"/>
      <c r="K67" s="304"/>
      <c r="L67" s="301"/>
      <c r="M67" s="301"/>
      <c r="N67" s="301"/>
      <c r="O67" s="301"/>
      <c r="P67" s="301"/>
      <c r="Q67" s="301"/>
      <c r="R67" s="301"/>
      <c r="S67" s="301"/>
      <c r="T67" s="301"/>
      <c r="U67" s="301"/>
      <c r="V67" s="301"/>
      <c r="W67" s="301"/>
      <c r="X67" s="301"/>
      <c r="Y67" s="301"/>
      <c r="Z67" s="301"/>
      <c r="AA67" s="301"/>
      <c r="AB67" s="301"/>
      <c r="AC67" s="301"/>
      <c r="AD67" s="301"/>
      <c r="AE67" s="301"/>
      <c r="AF67" s="301"/>
      <c r="AG67" s="301"/>
      <c r="AH67" s="301"/>
      <c r="AI67" s="301"/>
      <c r="AJ67" s="301"/>
      <c r="AK67" s="301"/>
      <c r="AL67" s="301"/>
      <c r="AM67" s="301"/>
      <c r="AN67" s="301"/>
      <c r="AO67" s="301"/>
      <c r="AP67" s="301"/>
      <c r="AQ67" s="301"/>
      <c r="AR67" s="301"/>
      <c r="AS67" s="301"/>
      <c r="AT67" s="301"/>
      <c r="AU67" s="301"/>
      <c r="AV67" s="301"/>
      <c r="AW67" s="301"/>
      <c r="AX67" s="301"/>
      <c r="AY67" s="301"/>
      <c r="AZ67" s="301"/>
      <c r="BA67" s="301"/>
      <c r="BB67" s="301"/>
      <c r="BC67" s="301"/>
      <c r="BD67" s="301"/>
      <c r="BE67" s="301"/>
      <c r="BF67" s="301"/>
      <c r="BG67" s="301"/>
      <c r="BH67" s="301"/>
      <c r="BI67" s="301"/>
      <c r="BJ67" s="301"/>
      <c r="BK67" s="301"/>
      <c r="BL67" s="301"/>
      <c r="BM67" s="301"/>
      <c r="BN67" s="301"/>
      <c r="BO67" s="301"/>
      <c r="BP67" s="301"/>
      <c r="BQ67" s="301"/>
      <c r="BR67" s="301"/>
      <c r="BS67" s="301"/>
      <c r="BT67" s="301"/>
      <c r="BU67" s="301"/>
      <c r="BV67" s="301"/>
      <c r="BW67" s="301"/>
      <c r="BX67" s="301"/>
      <c r="BY67" s="301"/>
      <c r="BZ67" s="301"/>
      <c r="CA67" s="301"/>
      <c r="CB67" s="301"/>
      <c r="CC67" s="301"/>
      <c r="CD67" s="301"/>
      <c r="CE67" s="301"/>
      <c r="CF67" s="301"/>
      <c r="CG67" s="301"/>
      <c r="CH67" s="301"/>
      <c r="CI67" s="301"/>
      <c r="CJ67" s="301"/>
      <c r="CK67" s="301"/>
      <c r="CL67" s="301"/>
      <c r="CM67" s="301"/>
      <c r="CN67" s="301"/>
      <c r="CO67" s="301"/>
      <c r="CP67" s="301"/>
      <c r="CQ67" s="301"/>
      <c r="CR67" s="301"/>
      <c r="CS67" s="301"/>
      <c r="CT67" s="301"/>
      <c r="CU67" s="301"/>
      <c r="CV67" s="301"/>
      <c r="CW67" s="301"/>
      <c r="CX67" s="301"/>
      <c r="CY67" s="301"/>
      <c r="CZ67" s="301"/>
      <c r="DA67" s="301"/>
      <c r="DB67" s="301"/>
      <c r="DC67" s="301"/>
      <c r="DD67" s="301"/>
      <c r="DE67" s="301"/>
      <c r="DF67" s="301"/>
      <c r="DG67" s="301"/>
      <c r="DH67" s="301"/>
      <c r="DI67" s="301"/>
      <c r="DJ67" s="301"/>
      <c r="DK67" s="301"/>
      <c r="DL67" s="301"/>
      <c r="DM67" s="301"/>
      <c r="DN67" s="301"/>
      <c r="DO67" s="301"/>
      <c r="DP67" s="301"/>
      <c r="DQ67" s="301"/>
      <c r="DR67" s="301"/>
      <c r="DS67" s="301"/>
      <c r="DT67" s="301"/>
      <c r="DU67" s="301"/>
      <c r="DV67" s="301"/>
      <c r="DW67" s="301"/>
      <c r="DX67" s="301"/>
      <c r="DY67" s="301"/>
      <c r="DZ67" s="301"/>
      <c r="EA67" s="301"/>
      <c r="EB67" s="301"/>
      <c r="EC67" s="301"/>
      <c r="ED67" s="301"/>
      <c r="EE67" s="301"/>
      <c r="EF67" s="301"/>
      <c r="EG67" s="301"/>
      <c r="EH67" s="301"/>
      <c r="EI67" s="301"/>
      <c r="EJ67" s="301"/>
      <c r="EK67" s="301"/>
      <c r="EL67" s="301"/>
      <c r="EM67" s="301"/>
      <c r="EN67" s="301"/>
      <c r="EO67" s="301"/>
      <c r="EP67" s="301"/>
      <c r="EQ67" s="301"/>
      <c r="ER67" s="301"/>
      <c r="ES67" s="301"/>
      <c r="ET67" s="301"/>
      <c r="EU67" s="301"/>
      <c r="EV67" s="301"/>
      <c r="EW67" s="301"/>
      <c r="EX67" s="301"/>
      <c r="EY67" s="301"/>
      <c r="EZ67" s="301"/>
      <c r="FA67" s="301"/>
      <c r="FB67" s="301"/>
      <c r="FC67" s="301"/>
      <c r="FD67" s="301"/>
      <c r="FE67" s="301"/>
      <c r="FF67" s="301"/>
      <c r="FG67" s="301"/>
      <c r="FH67" s="301"/>
      <c r="FI67" s="301"/>
      <c r="FJ67" s="301"/>
      <c r="FK67" s="301"/>
      <c r="FL67" s="301"/>
      <c r="FM67" s="301"/>
      <c r="FN67" s="301"/>
      <c r="FO67" s="301"/>
      <c r="FP67" s="301"/>
      <c r="FQ67" s="301"/>
      <c r="FR67" s="301"/>
      <c r="FS67" s="301"/>
      <c r="FT67" s="301"/>
      <c r="FU67" s="301"/>
      <c r="FV67" s="301"/>
      <c r="FW67" s="301"/>
      <c r="FX67" s="301"/>
      <c r="FY67" s="301"/>
      <c r="FZ67" s="301"/>
      <c r="GA67" s="301"/>
      <c r="GB67" s="301"/>
      <c r="GC67" s="301"/>
      <c r="GD67" s="301"/>
      <c r="GE67" s="301"/>
      <c r="GF67" s="301"/>
      <c r="GG67" s="301"/>
      <c r="GH67" s="301"/>
      <c r="GI67" s="301"/>
      <c r="GJ67" s="301"/>
      <c r="GK67" s="301"/>
      <c r="GL67" s="301"/>
      <c r="GM67" s="301"/>
      <c r="GN67" s="301"/>
      <c r="GO67" s="301"/>
      <c r="GP67" s="301"/>
      <c r="GQ67" s="301"/>
      <c r="GR67" s="301"/>
      <c r="GS67" s="301"/>
      <c r="GT67" s="301"/>
      <c r="GU67" s="301"/>
      <c r="GV67" s="301"/>
      <c r="GW67" s="301"/>
      <c r="GX67" s="301"/>
      <c r="GY67" s="301"/>
      <c r="GZ67" s="301"/>
      <c r="HA67" s="301"/>
      <c r="HB67" s="301"/>
      <c r="HC67" s="301"/>
      <c r="HD67" s="301"/>
      <c r="HE67" s="301"/>
      <c r="HF67" s="301"/>
      <c r="HG67" s="301"/>
      <c r="HH67" s="301"/>
      <c r="HI67" s="301"/>
      <c r="HJ67" s="301"/>
      <c r="HK67" s="301"/>
      <c r="HL67" s="301"/>
      <c r="HM67" s="301"/>
      <c r="HN67" s="301"/>
      <c r="HO67" s="301"/>
      <c r="HP67" s="301"/>
      <c r="HQ67" s="301"/>
      <c r="HR67" s="301"/>
      <c r="HS67" s="301"/>
      <c r="HT67" s="301"/>
      <c r="HU67" s="301"/>
      <c r="HV67" s="301"/>
      <c r="HW67" s="301"/>
      <c r="HX67" s="301"/>
      <c r="HY67" s="301"/>
      <c r="HZ67" s="301"/>
      <c r="IA67" s="301"/>
      <c r="IB67" s="301"/>
      <c r="IC67" s="301"/>
      <c r="ID67" s="301"/>
      <c r="IE67" s="301"/>
      <c r="IF67" s="301"/>
      <c r="IG67" s="301"/>
      <c r="IH67" s="301"/>
      <c r="II67" s="301"/>
      <c r="IJ67" s="301"/>
      <c r="IK67" s="301"/>
      <c r="IL67" s="301"/>
      <c r="IM67" s="301"/>
      <c r="IN67" s="301"/>
      <c r="IO67" s="301"/>
      <c r="IP67" s="301"/>
      <c r="IQ67" s="301"/>
      <c r="IR67" s="301"/>
      <c r="IS67" s="301"/>
      <c r="IT67" s="301"/>
      <c r="IU67" s="301"/>
      <c r="IV67" s="301"/>
    </row>
    <row r="68" spans="1:256" ht="15">
      <c r="A68" s="301"/>
      <c r="B68" s="339"/>
      <c r="C68" s="304"/>
      <c r="D68" s="304"/>
      <c r="E68" s="340" t="s">
        <v>838</v>
      </c>
      <c r="F68" s="304"/>
      <c r="G68" s="304"/>
      <c r="H68" s="304"/>
      <c r="I68" s="304"/>
      <c r="J68" s="304"/>
      <c r="K68" s="304"/>
      <c r="L68" s="301"/>
      <c r="M68" s="301"/>
      <c r="N68" s="301"/>
      <c r="O68" s="301"/>
      <c r="P68" s="301"/>
      <c r="Q68" s="301"/>
      <c r="R68" s="301"/>
      <c r="S68" s="301"/>
      <c r="T68" s="301"/>
      <c r="U68" s="301"/>
      <c r="V68" s="301"/>
      <c r="W68" s="301"/>
      <c r="X68" s="301"/>
      <c r="Y68" s="301"/>
      <c r="Z68" s="301"/>
      <c r="AA68" s="301"/>
      <c r="AB68" s="301"/>
      <c r="AC68" s="301"/>
      <c r="AD68" s="301"/>
      <c r="AE68" s="301"/>
      <c r="AF68" s="301"/>
      <c r="AG68" s="301"/>
      <c r="AH68" s="301"/>
      <c r="AI68" s="301"/>
      <c r="AJ68" s="301"/>
      <c r="AK68" s="301"/>
      <c r="AL68" s="301"/>
      <c r="AM68" s="301"/>
      <c r="AN68" s="301"/>
      <c r="AO68" s="301"/>
      <c r="AP68" s="301"/>
      <c r="AQ68" s="301"/>
      <c r="AR68" s="301"/>
      <c r="AS68" s="301"/>
      <c r="AT68" s="301"/>
      <c r="AU68" s="301"/>
      <c r="AV68" s="301"/>
      <c r="AW68" s="301"/>
      <c r="AX68" s="301"/>
      <c r="AY68" s="301"/>
      <c r="AZ68" s="301"/>
      <c r="BA68" s="301"/>
      <c r="BB68" s="301"/>
      <c r="BC68" s="301"/>
      <c r="BD68" s="301"/>
      <c r="BE68" s="301"/>
      <c r="BF68" s="301"/>
      <c r="BG68" s="301"/>
      <c r="BH68" s="301"/>
      <c r="BI68" s="301"/>
      <c r="BJ68" s="301"/>
      <c r="BK68" s="301"/>
      <c r="BL68" s="301"/>
      <c r="BM68" s="301"/>
      <c r="BN68" s="301"/>
      <c r="BO68" s="301"/>
      <c r="BP68" s="301"/>
      <c r="BQ68" s="301"/>
      <c r="BR68" s="301"/>
      <c r="BS68" s="301"/>
      <c r="BT68" s="301"/>
      <c r="BU68" s="301"/>
      <c r="BV68" s="301"/>
      <c r="BW68" s="301"/>
      <c r="BX68" s="301"/>
      <c r="BY68" s="301"/>
      <c r="BZ68" s="301"/>
      <c r="CA68" s="301"/>
      <c r="CB68" s="301"/>
      <c r="CC68" s="301"/>
      <c r="CD68" s="301"/>
      <c r="CE68" s="301"/>
      <c r="CF68" s="301"/>
      <c r="CG68" s="301"/>
      <c r="CH68" s="301"/>
      <c r="CI68" s="301"/>
      <c r="CJ68" s="301"/>
      <c r="CK68" s="301"/>
      <c r="CL68" s="301"/>
      <c r="CM68" s="301"/>
      <c r="CN68" s="301"/>
      <c r="CO68" s="301"/>
      <c r="CP68" s="301"/>
      <c r="CQ68" s="301"/>
      <c r="CR68" s="301"/>
      <c r="CS68" s="301"/>
      <c r="CT68" s="301"/>
      <c r="CU68" s="301"/>
      <c r="CV68" s="301"/>
      <c r="CW68" s="301"/>
      <c r="CX68" s="301"/>
      <c r="CY68" s="301"/>
      <c r="CZ68" s="301"/>
      <c r="DA68" s="301"/>
      <c r="DB68" s="301"/>
      <c r="DC68" s="301"/>
      <c r="DD68" s="301"/>
      <c r="DE68" s="301"/>
      <c r="DF68" s="301"/>
      <c r="DG68" s="301"/>
      <c r="DH68" s="301"/>
      <c r="DI68" s="301"/>
      <c r="DJ68" s="301"/>
      <c r="DK68" s="301"/>
      <c r="DL68" s="301"/>
      <c r="DM68" s="301"/>
      <c r="DN68" s="301"/>
      <c r="DO68" s="301"/>
      <c r="DP68" s="301"/>
      <c r="DQ68" s="301"/>
      <c r="DR68" s="301"/>
      <c r="DS68" s="301"/>
      <c r="DT68" s="301"/>
      <c r="DU68" s="301"/>
      <c r="DV68" s="301"/>
      <c r="DW68" s="301"/>
      <c r="DX68" s="301"/>
      <c r="DY68" s="301"/>
      <c r="DZ68" s="301"/>
      <c r="EA68" s="301"/>
      <c r="EB68" s="301"/>
      <c r="EC68" s="301"/>
      <c r="ED68" s="301"/>
      <c r="EE68" s="301"/>
      <c r="EF68" s="301"/>
      <c r="EG68" s="301"/>
      <c r="EH68" s="301"/>
      <c r="EI68" s="301"/>
      <c r="EJ68" s="301"/>
      <c r="EK68" s="301"/>
      <c r="EL68" s="301"/>
      <c r="EM68" s="301"/>
      <c r="EN68" s="301"/>
      <c r="EO68" s="301"/>
      <c r="EP68" s="301"/>
      <c r="EQ68" s="301"/>
      <c r="ER68" s="301"/>
      <c r="ES68" s="301"/>
      <c r="ET68" s="301"/>
      <c r="EU68" s="301"/>
      <c r="EV68" s="301"/>
      <c r="EW68" s="301"/>
      <c r="EX68" s="301"/>
      <c r="EY68" s="301"/>
      <c r="EZ68" s="301"/>
      <c r="FA68" s="301"/>
      <c r="FB68" s="301"/>
      <c r="FC68" s="301"/>
      <c r="FD68" s="301"/>
      <c r="FE68" s="301"/>
      <c r="FF68" s="301"/>
      <c r="FG68" s="301"/>
      <c r="FH68" s="301"/>
      <c r="FI68" s="301"/>
      <c r="FJ68" s="301"/>
      <c r="FK68" s="301"/>
      <c r="FL68" s="301"/>
      <c r="FM68" s="301"/>
      <c r="FN68" s="301"/>
      <c r="FO68" s="301"/>
      <c r="FP68" s="301"/>
      <c r="FQ68" s="301"/>
      <c r="FR68" s="301"/>
      <c r="FS68" s="301"/>
      <c r="FT68" s="301"/>
      <c r="FU68" s="301"/>
      <c r="FV68" s="301"/>
      <c r="FW68" s="301"/>
      <c r="FX68" s="301"/>
      <c r="FY68" s="301"/>
      <c r="FZ68" s="301"/>
      <c r="GA68" s="301"/>
      <c r="GB68" s="301"/>
      <c r="GC68" s="301"/>
      <c r="GD68" s="301"/>
      <c r="GE68" s="301"/>
      <c r="GF68" s="301"/>
      <c r="GG68" s="301"/>
      <c r="GH68" s="301"/>
      <c r="GI68" s="301"/>
      <c r="GJ68" s="301"/>
      <c r="GK68" s="301"/>
      <c r="GL68" s="301"/>
      <c r="GM68" s="301"/>
      <c r="GN68" s="301"/>
      <c r="GO68" s="301"/>
      <c r="GP68" s="301"/>
      <c r="GQ68" s="301"/>
      <c r="GR68" s="301"/>
      <c r="GS68" s="301"/>
      <c r="GT68" s="301"/>
      <c r="GU68" s="301"/>
      <c r="GV68" s="301"/>
      <c r="GW68" s="301"/>
      <c r="GX68" s="301"/>
      <c r="GY68" s="301"/>
      <c r="GZ68" s="301"/>
      <c r="HA68" s="301"/>
      <c r="HB68" s="301"/>
      <c r="HC68" s="301"/>
      <c r="HD68" s="301"/>
      <c r="HE68" s="301"/>
      <c r="HF68" s="301"/>
      <c r="HG68" s="301"/>
      <c r="HH68" s="301"/>
      <c r="HI68" s="301"/>
      <c r="HJ68" s="301"/>
      <c r="HK68" s="301"/>
      <c r="HL68" s="301"/>
      <c r="HM68" s="301"/>
      <c r="HN68" s="301"/>
      <c r="HO68" s="301"/>
      <c r="HP68" s="301"/>
      <c r="HQ68" s="301"/>
      <c r="HR68" s="301"/>
      <c r="HS68" s="301"/>
      <c r="HT68" s="301"/>
      <c r="HU68" s="301"/>
      <c r="HV68" s="301"/>
      <c r="HW68" s="301"/>
      <c r="HX68" s="301"/>
      <c r="HY68" s="301"/>
      <c r="HZ68" s="301"/>
      <c r="IA68" s="301"/>
      <c r="IB68" s="301"/>
      <c r="IC68" s="301"/>
      <c r="ID68" s="301"/>
      <c r="IE68" s="301"/>
      <c r="IF68" s="301"/>
      <c r="IG68" s="301"/>
      <c r="IH68" s="301"/>
      <c r="II68" s="301"/>
      <c r="IJ68" s="301"/>
      <c r="IK68" s="301"/>
      <c r="IL68" s="301"/>
      <c r="IM68" s="301"/>
      <c r="IN68" s="301"/>
      <c r="IO68" s="301"/>
      <c r="IP68" s="301"/>
      <c r="IQ68" s="301"/>
      <c r="IR68" s="301"/>
      <c r="IS68" s="301"/>
      <c r="IT68" s="301"/>
      <c r="IU68" s="301"/>
      <c r="IV68" s="301"/>
    </row>
    <row r="69" spans="1:256" ht="15">
      <c r="A69" s="301"/>
      <c r="B69" s="339"/>
      <c r="C69" s="341" t="s">
        <v>813</v>
      </c>
      <c r="D69" s="342" t="s">
        <v>690</v>
      </c>
      <c r="E69" s="304"/>
      <c r="F69" s="304"/>
      <c r="G69" s="304"/>
      <c r="H69" s="304"/>
      <c r="I69" s="304"/>
      <c r="J69" s="304"/>
      <c r="K69" s="304"/>
      <c r="L69" s="301"/>
      <c r="M69" s="301"/>
      <c r="N69" s="301"/>
      <c r="O69" s="301"/>
      <c r="P69" s="301"/>
      <c r="Q69" s="301"/>
      <c r="R69" s="301"/>
      <c r="S69" s="301"/>
      <c r="T69" s="301"/>
      <c r="U69" s="301"/>
      <c r="V69" s="301"/>
      <c r="W69" s="301"/>
      <c r="X69" s="301"/>
      <c r="Y69" s="301"/>
      <c r="Z69" s="301"/>
      <c r="AA69" s="301"/>
      <c r="AB69" s="301"/>
      <c r="AC69" s="301"/>
      <c r="AD69" s="301"/>
      <c r="AE69" s="301"/>
      <c r="AF69" s="301"/>
      <c r="AG69" s="301"/>
      <c r="AH69" s="301"/>
      <c r="AI69" s="301"/>
      <c r="AJ69" s="301"/>
      <c r="AK69" s="301"/>
      <c r="AL69" s="301"/>
      <c r="AM69" s="301"/>
      <c r="AN69" s="301"/>
      <c r="AO69" s="301"/>
      <c r="AP69" s="301"/>
      <c r="AQ69" s="301"/>
      <c r="AR69" s="301"/>
      <c r="AS69" s="301"/>
      <c r="AT69" s="301"/>
      <c r="AU69" s="301"/>
      <c r="AV69" s="301"/>
      <c r="AW69" s="301"/>
      <c r="AX69" s="301"/>
      <c r="AY69" s="301"/>
      <c r="AZ69" s="301"/>
      <c r="BA69" s="301"/>
      <c r="BB69" s="301"/>
      <c r="BC69" s="301"/>
      <c r="BD69" s="301"/>
      <c r="BE69" s="301"/>
      <c r="BF69" s="301"/>
      <c r="BG69" s="301"/>
      <c r="BH69" s="301"/>
      <c r="BI69" s="301"/>
      <c r="BJ69" s="301"/>
      <c r="BK69" s="301"/>
      <c r="BL69" s="301"/>
      <c r="BM69" s="301"/>
      <c r="BN69" s="301"/>
      <c r="BO69" s="301"/>
      <c r="BP69" s="301"/>
      <c r="BQ69" s="301"/>
      <c r="BR69" s="301"/>
      <c r="BS69" s="301"/>
      <c r="BT69" s="301"/>
      <c r="BU69" s="301"/>
      <c r="BV69" s="301"/>
      <c r="BW69" s="301"/>
      <c r="BX69" s="301"/>
      <c r="BY69" s="301"/>
      <c r="BZ69" s="301"/>
      <c r="CA69" s="301"/>
      <c r="CB69" s="301"/>
      <c r="CC69" s="301"/>
      <c r="CD69" s="301"/>
      <c r="CE69" s="301"/>
      <c r="CF69" s="301"/>
      <c r="CG69" s="301"/>
      <c r="CH69" s="301"/>
      <c r="CI69" s="301"/>
      <c r="CJ69" s="301"/>
      <c r="CK69" s="301"/>
      <c r="CL69" s="301"/>
      <c r="CM69" s="301"/>
      <c r="CN69" s="301"/>
      <c r="CO69" s="301"/>
      <c r="CP69" s="301"/>
      <c r="CQ69" s="301"/>
      <c r="CR69" s="301"/>
      <c r="CS69" s="301"/>
      <c r="CT69" s="301"/>
      <c r="CU69" s="301"/>
      <c r="CV69" s="301"/>
      <c r="CW69" s="301"/>
      <c r="CX69" s="301"/>
      <c r="CY69" s="301"/>
      <c r="CZ69" s="301"/>
      <c r="DA69" s="301"/>
      <c r="DB69" s="301"/>
      <c r="DC69" s="301"/>
      <c r="DD69" s="301"/>
      <c r="DE69" s="301"/>
      <c r="DF69" s="301"/>
      <c r="DG69" s="301"/>
      <c r="DH69" s="301"/>
      <c r="DI69" s="301"/>
      <c r="DJ69" s="301"/>
      <c r="DK69" s="301"/>
      <c r="DL69" s="301"/>
      <c r="DM69" s="301"/>
      <c r="DN69" s="301"/>
      <c r="DO69" s="301"/>
      <c r="DP69" s="301"/>
      <c r="DQ69" s="301"/>
      <c r="DR69" s="301"/>
      <c r="DS69" s="301"/>
      <c r="DT69" s="301"/>
      <c r="DU69" s="301"/>
      <c r="DV69" s="301"/>
      <c r="DW69" s="301"/>
      <c r="DX69" s="301"/>
      <c r="DY69" s="301"/>
      <c r="DZ69" s="301"/>
      <c r="EA69" s="301"/>
      <c r="EB69" s="301"/>
      <c r="EC69" s="301"/>
      <c r="ED69" s="301"/>
      <c r="EE69" s="301"/>
      <c r="EF69" s="301"/>
      <c r="EG69" s="301"/>
      <c r="EH69" s="301"/>
      <c r="EI69" s="301"/>
      <c r="EJ69" s="301"/>
      <c r="EK69" s="301"/>
      <c r="EL69" s="301"/>
      <c r="EM69" s="301"/>
      <c r="EN69" s="301"/>
      <c r="EO69" s="301"/>
      <c r="EP69" s="301"/>
      <c r="EQ69" s="301"/>
      <c r="ER69" s="301"/>
      <c r="ES69" s="301"/>
      <c r="ET69" s="301"/>
      <c r="EU69" s="301"/>
      <c r="EV69" s="301"/>
      <c r="EW69" s="301"/>
      <c r="EX69" s="301"/>
      <c r="EY69" s="301"/>
      <c r="EZ69" s="301"/>
      <c r="FA69" s="301"/>
      <c r="FB69" s="301"/>
      <c r="FC69" s="301"/>
      <c r="FD69" s="301"/>
      <c r="FE69" s="301"/>
      <c r="FF69" s="301"/>
      <c r="FG69" s="301"/>
      <c r="FH69" s="301"/>
      <c r="FI69" s="301"/>
      <c r="FJ69" s="301"/>
      <c r="FK69" s="301"/>
      <c r="FL69" s="301"/>
      <c r="FM69" s="301"/>
      <c r="FN69" s="301"/>
      <c r="FO69" s="301"/>
      <c r="FP69" s="301"/>
      <c r="FQ69" s="301"/>
      <c r="FR69" s="301"/>
      <c r="FS69" s="301"/>
      <c r="FT69" s="301"/>
      <c r="FU69" s="301"/>
      <c r="FV69" s="301"/>
      <c r="FW69" s="301"/>
      <c r="FX69" s="301"/>
      <c r="FY69" s="301"/>
      <c r="FZ69" s="301"/>
      <c r="GA69" s="301"/>
      <c r="GB69" s="301"/>
      <c r="GC69" s="301"/>
      <c r="GD69" s="301"/>
      <c r="GE69" s="301"/>
      <c r="GF69" s="301"/>
      <c r="GG69" s="301"/>
      <c r="GH69" s="301"/>
      <c r="GI69" s="301"/>
      <c r="GJ69" s="301"/>
      <c r="GK69" s="301"/>
      <c r="GL69" s="301"/>
      <c r="GM69" s="301"/>
      <c r="GN69" s="301"/>
      <c r="GO69" s="301"/>
      <c r="GP69" s="301"/>
      <c r="GQ69" s="301"/>
      <c r="GR69" s="301"/>
      <c r="GS69" s="301"/>
      <c r="GT69" s="301"/>
      <c r="GU69" s="301"/>
      <c r="GV69" s="301"/>
      <c r="GW69" s="301"/>
      <c r="GX69" s="301"/>
      <c r="GY69" s="301"/>
      <c r="GZ69" s="301"/>
      <c r="HA69" s="301"/>
      <c r="HB69" s="301"/>
      <c r="HC69" s="301"/>
      <c r="HD69" s="301"/>
      <c r="HE69" s="301"/>
      <c r="HF69" s="301"/>
      <c r="HG69" s="301"/>
      <c r="HH69" s="301"/>
      <c r="HI69" s="301"/>
      <c r="HJ69" s="301"/>
      <c r="HK69" s="301"/>
      <c r="HL69" s="301"/>
      <c r="HM69" s="301"/>
      <c r="HN69" s="301"/>
      <c r="HO69" s="301"/>
      <c r="HP69" s="301"/>
      <c r="HQ69" s="301"/>
      <c r="HR69" s="301"/>
      <c r="HS69" s="301"/>
      <c r="HT69" s="301"/>
      <c r="HU69" s="301"/>
      <c r="HV69" s="301"/>
      <c r="HW69" s="301"/>
      <c r="HX69" s="301"/>
      <c r="HY69" s="301"/>
      <c r="HZ69" s="301"/>
      <c r="IA69" s="301"/>
      <c r="IB69" s="301"/>
      <c r="IC69" s="301"/>
      <c r="ID69" s="301"/>
      <c r="IE69" s="301"/>
      <c r="IF69" s="301"/>
      <c r="IG69" s="301"/>
      <c r="IH69" s="301"/>
      <c r="II69" s="301"/>
      <c r="IJ69" s="301"/>
      <c r="IK69" s="301"/>
      <c r="IL69" s="301"/>
      <c r="IM69" s="301"/>
      <c r="IN69" s="301"/>
      <c r="IO69" s="301"/>
      <c r="IP69" s="301"/>
      <c r="IQ69" s="301"/>
      <c r="IR69" s="301"/>
      <c r="IS69" s="301"/>
      <c r="IT69" s="301"/>
      <c r="IU69" s="301"/>
      <c r="IV69" s="301"/>
    </row>
    <row r="70" spans="1:256" ht="15">
      <c r="A70" s="301"/>
      <c r="B70" s="339"/>
      <c r="C70" s="321">
        <v>0.64</v>
      </c>
      <c r="D70" s="343" t="s">
        <v>658</v>
      </c>
      <c r="E70" s="340" t="s">
        <v>814</v>
      </c>
      <c r="F70" s="304"/>
      <c r="G70" s="304"/>
      <c r="H70" s="304"/>
      <c r="I70" s="318">
        <f>'C-data'!F17</f>
        <v>515</v>
      </c>
      <c r="J70" s="329" t="s">
        <v>594</v>
      </c>
      <c r="K70" s="329">
        <f>ROUND(C70*I70,2)</f>
        <v>329.6</v>
      </c>
      <c r="L70" s="344"/>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c r="AJ70" s="301"/>
      <c r="AK70" s="301"/>
      <c r="AL70" s="301"/>
      <c r="AM70" s="301"/>
      <c r="AN70" s="301"/>
      <c r="AO70" s="301"/>
      <c r="AP70" s="301"/>
      <c r="AQ70" s="301"/>
      <c r="AR70" s="301"/>
      <c r="AS70" s="301"/>
      <c r="AT70" s="301"/>
      <c r="AU70" s="301"/>
      <c r="AV70" s="301"/>
      <c r="AW70" s="301"/>
      <c r="AX70" s="301"/>
      <c r="AY70" s="301"/>
      <c r="AZ70" s="301"/>
      <c r="BA70" s="301"/>
      <c r="BB70" s="301"/>
      <c r="BC70" s="301"/>
      <c r="BD70" s="301"/>
      <c r="BE70" s="301"/>
      <c r="BF70" s="301"/>
      <c r="BG70" s="301"/>
      <c r="BH70" s="301"/>
      <c r="BI70" s="301"/>
      <c r="BJ70" s="301"/>
      <c r="BK70" s="301"/>
      <c r="BL70" s="301"/>
      <c r="BM70" s="301"/>
      <c r="BN70" s="301"/>
      <c r="BO70" s="301"/>
      <c r="BP70" s="301"/>
      <c r="BQ70" s="301"/>
      <c r="BR70" s="301"/>
      <c r="BS70" s="301"/>
      <c r="BT70" s="301"/>
      <c r="BU70" s="301"/>
      <c r="BV70" s="301"/>
      <c r="BW70" s="301"/>
      <c r="BX70" s="301"/>
      <c r="BY70" s="301"/>
      <c r="BZ70" s="301"/>
      <c r="CA70" s="301"/>
      <c r="CB70" s="301"/>
      <c r="CC70" s="301"/>
      <c r="CD70" s="301"/>
      <c r="CE70" s="301"/>
      <c r="CF70" s="301"/>
      <c r="CG70" s="301"/>
      <c r="CH70" s="301"/>
      <c r="CI70" s="301"/>
      <c r="CJ70" s="301"/>
      <c r="CK70" s="301"/>
      <c r="CL70" s="301"/>
      <c r="CM70" s="301"/>
      <c r="CN70" s="301"/>
      <c r="CO70" s="301"/>
      <c r="CP70" s="301"/>
      <c r="CQ70" s="301"/>
      <c r="CR70" s="301"/>
      <c r="CS70" s="301"/>
      <c r="CT70" s="301"/>
      <c r="CU70" s="301"/>
      <c r="CV70" s="301"/>
      <c r="CW70" s="301"/>
      <c r="CX70" s="301"/>
      <c r="CY70" s="301"/>
      <c r="CZ70" s="301"/>
      <c r="DA70" s="301"/>
      <c r="DB70" s="301"/>
      <c r="DC70" s="301"/>
      <c r="DD70" s="301"/>
      <c r="DE70" s="301"/>
      <c r="DF70" s="301"/>
      <c r="DG70" s="301"/>
      <c r="DH70" s="301"/>
      <c r="DI70" s="301"/>
      <c r="DJ70" s="301"/>
      <c r="DK70" s="301"/>
      <c r="DL70" s="301"/>
      <c r="DM70" s="301"/>
      <c r="DN70" s="301"/>
      <c r="DO70" s="301"/>
      <c r="DP70" s="301"/>
      <c r="DQ70" s="301"/>
      <c r="DR70" s="301"/>
      <c r="DS70" s="301"/>
      <c r="DT70" s="301"/>
      <c r="DU70" s="301"/>
      <c r="DV70" s="301"/>
      <c r="DW70" s="301"/>
      <c r="DX70" s="301"/>
      <c r="DY70" s="301"/>
      <c r="DZ70" s="301"/>
      <c r="EA70" s="301"/>
      <c r="EB70" s="301"/>
      <c r="EC70" s="301"/>
      <c r="ED70" s="301"/>
      <c r="EE70" s="301"/>
      <c r="EF70" s="301"/>
      <c r="EG70" s="301"/>
      <c r="EH70" s="301"/>
      <c r="EI70" s="301"/>
      <c r="EJ70" s="301"/>
      <c r="EK70" s="301"/>
      <c r="EL70" s="301"/>
      <c r="EM70" s="301"/>
      <c r="EN70" s="301"/>
      <c r="EO70" s="301"/>
      <c r="EP70" s="301"/>
      <c r="EQ70" s="301"/>
      <c r="ER70" s="301"/>
      <c r="ES70" s="301"/>
      <c r="ET70" s="301"/>
      <c r="EU70" s="301"/>
      <c r="EV70" s="301"/>
      <c r="EW70" s="301"/>
      <c r="EX70" s="301"/>
      <c r="EY70" s="301"/>
      <c r="EZ70" s="301"/>
      <c r="FA70" s="301"/>
      <c r="FB70" s="301"/>
      <c r="FC70" s="301"/>
      <c r="FD70" s="301"/>
      <c r="FE70" s="301"/>
      <c r="FF70" s="301"/>
      <c r="FG70" s="301"/>
      <c r="FH70" s="301"/>
      <c r="FI70" s="301"/>
      <c r="FJ70" s="301"/>
      <c r="FK70" s="301"/>
      <c r="FL70" s="301"/>
      <c r="FM70" s="301"/>
      <c r="FN70" s="301"/>
      <c r="FO70" s="301"/>
      <c r="FP70" s="301"/>
      <c r="FQ70" s="301"/>
      <c r="FR70" s="301"/>
      <c r="FS70" s="301"/>
      <c r="FT70" s="301"/>
      <c r="FU70" s="301"/>
      <c r="FV70" s="301"/>
      <c r="FW70" s="301"/>
      <c r="FX70" s="301"/>
      <c r="FY70" s="301"/>
      <c r="FZ70" s="301"/>
      <c r="GA70" s="301"/>
      <c r="GB70" s="301"/>
      <c r="GC70" s="301"/>
      <c r="GD70" s="301"/>
      <c r="GE70" s="301"/>
      <c r="GF70" s="301"/>
      <c r="GG70" s="301"/>
      <c r="GH70" s="301"/>
      <c r="GI70" s="301"/>
      <c r="GJ70" s="301"/>
      <c r="GK70" s="301"/>
      <c r="GL70" s="301"/>
      <c r="GM70" s="301"/>
      <c r="GN70" s="301"/>
      <c r="GO70" s="301"/>
      <c r="GP70" s="301"/>
      <c r="GQ70" s="301"/>
      <c r="GR70" s="301"/>
      <c r="GS70" s="301"/>
      <c r="GT70" s="301"/>
      <c r="GU70" s="301"/>
      <c r="GV70" s="301"/>
      <c r="GW70" s="301"/>
      <c r="GX70" s="301"/>
      <c r="GY70" s="301"/>
      <c r="GZ70" s="301"/>
      <c r="HA70" s="301"/>
      <c r="HB70" s="301"/>
      <c r="HC70" s="301"/>
      <c r="HD70" s="301"/>
      <c r="HE70" s="301"/>
      <c r="HF70" s="301"/>
      <c r="HG70" s="301"/>
      <c r="HH70" s="301"/>
      <c r="HI70" s="301"/>
      <c r="HJ70" s="301"/>
      <c r="HK70" s="301"/>
      <c r="HL70" s="301"/>
      <c r="HM70" s="301"/>
      <c r="HN70" s="301"/>
      <c r="HO70" s="301"/>
      <c r="HP70" s="301"/>
      <c r="HQ70" s="301"/>
      <c r="HR70" s="301"/>
      <c r="HS70" s="301"/>
      <c r="HT70" s="301"/>
      <c r="HU70" s="301"/>
      <c r="HV70" s="301"/>
      <c r="HW70" s="301"/>
      <c r="HX70" s="301"/>
      <c r="HY70" s="301"/>
      <c r="HZ70" s="301"/>
      <c r="IA70" s="301"/>
      <c r="IB70" s="301"/>
      <c r="IC70" s="301"/>
      <c r="ID70" s="301"/>
      <c r="IE70" s="301"/>
      <c r="IF70" s="301"/>
      <c r="IG70" s="301"/>
      <c r="IH70" s="301"/>
      <c r="II70" s="301"/>
      <c r="IJ70" s="301"/>
      <c r="IK70" s="301"/>
      <c r="IL70" s="301"/>
      <c r="IM70" s="301"/>
      <c r="IN70" s="301"/>
      <c r="IO70" s="301"/>
      <c r="IP70" s="301"/>
      <c r="IQ70" s="301"/>
      <c r="IR70" s="301"/>
      <c r="IS70" s="301"/>
      <c r="IT70" s="301"/>
      <c r="IU70" s="301"/>
      <c r="IV70" s="301"/>
    </row>
    <row r="71" spans="1:256" ht="15">
      <c r="A71" s="301"/>
      <c r="B71" s="339"/>
      <c r="C71" s="321">
        <v>1</v>
      </c>
      <c r="D71" s="343" t="s">
        <v>658</v>
      </c>
      <c r="E71" s="340" t="s">
        <v>394</v>
      </c>
      <c r="F71" s="304"/>
      <c r="G71" s="304"/>
      <c r="H71" s="304"/>
      <c r="I71" s="318">
        <f>'C-data'!F18</f>
        <v>515</v>
      </c>
      <c r="J71" s="329" t="s">
        <v>594</v>
      </c>
      <c r="K71" s="329">
        <f>ROUND(C71*I71,2)</f>
        <v>515</v>
      </c>
      <c r="L71" s="301"/>
      <c r="M71" s="301"/>
      <c r="N71" s="301"/>
      <c r="O71" s="301"/>
      <c r="P71" s="301"/>
      <c r="Q71" s="301"/>
      <c r="R71" s="301"/>
      <c r="S71" s="301"/>
      <c r="T71" s="301"/>
      <c r="U71" s="301"/>
      <c r="V71" s="301"/>
      <c r="W71" s="301"/>
      <c r="X71" s="301"/>
      <c r="Y71" s="301"/>
      <c r="Z71" s="301"/>
      <c r="AA71" s="301"/>
      <c r="AB71" s="301"/>
      <c r="AC71" s="301"/>
      <c r="AD71" s="301"/>
      <c r="AE71" s="301"/>
      <c r="AF71" s="301"/>
      <c r="AG71" s="301"/>
      <c r="AH71" s="301"/>
      <c r="AI71" s="301"/>
      <c r="AJ71" s="301"/>
      <c r="AK71" s="301"/>
      <c r="AL71" s="301"/>
      <c r="AM71" s="301"/>
      <c r="AN71" s="301"/>
      <c r="AO71" s="301"/>
      <c r="AP71" s="301"/>
      <c r="AQ71" s="301"/>
      <c r="AR71" s="301"/>
      <c r="AS71" s="301"/>
      <c r="AT71" s="301"/>
      <c r="AU71" s="301"/>
      <c r="AV71" s="301"/>
      <c r="AW71" s="301"/>
      <c r="AX71" s="301"/>
      <c r="AY71" s="301"/>
      <c r="AZ71" s="301"/>
      <c r="BA71" s="301"/>
      <c r="BB71" s="301"/>
      <c r="BC71" s="301"/>
      <c r="BD71" s="301"/>
      <c r="BE71" s="301"/>
      <c r="BF71" s="301"/>
      <c r="BG71" s="301"/>
      <c r="BH71" s="301"/>
      <c r="BI71" s="301"/>
      <c r="BJ71" s="301"/>
      <c r="BK71" s="301"/>
      <c r="BL71" s="301"/>
      <c r="BM71" s="301"/>
      <c r="BN71" s="301"/>
      <c r="BO71" s="301"/>
      <c r="BP71" s="301"/>
      <c r="BQ71" s="301"/>
      <c r="BR71" s="301"/>
      <c r="BS71" s="301"/>
      <c r="BT71" s="301"/>
      <c r="BU71" s="301"/>
      <c r="BV71" s="301"/>
      <c r="BW71" s="301"/>
      <c r="BX71" s="301"/>
      <c r="BY71" s="301"/>
      <c r="BZ71" s="301"/>
      <c r="CA71" s="301"/>
      <c r="CB71" s="301"/>
      <c r="CC71" s="301"/>
      <c r="CD71" s="301"/>
      <c r="CE71" s="301"/>
      <c r="CF71" s="301"/>
      <c r="CG71" s="301"/>
      <c r="CH71" s="301"/>
      <c r="CI71" s="301"/>
      <c r="CJ71" s="301"/>
      <c r="CK71" s="301"/>
      <c r="CL71" s="301"/>
      <c r="CM71" s="301"/>
      <c r="CN71" s="301"/>
      <c r="CO71" s="301"/>
      <c r="CP71" s="301"/>
      <c r="CQ71" s="301"/>
      <c r="CR71" s="301"/>
      <c r="CS71" s="301"/>
      <c r="CT71" s="301"/>
      <c r="CU71" s="301"/>
      <c r="CV71" s="301"/>
      <c r="CW71" s="301"/>
      <c r="CX71" s="301"/>
      <c r="CY71" s="301"/>
      <c r="CZ71" s="301"/>
      <c r="DA71" s="301"/>
      <c r="DB71" s="301"/>
      <c r="DC71" s="301"/>
      <c r="DD71" s="301"/>
      <c r="DE71" s="301"/>
      <c r="DF71" s="301"/>
      <c r="DG71" s="301"/>
      <c r="DH71" s="301"/>
      <c r="DI71" s="301"/>
      <c r="DJ71" s="301"/>
      <c r="DK71" s="301"/>
      <c r="DL71" s="301"/>
      <c r="DM71" s="301"/>
      <c r="DN71" s="301"/>
      <c r="DO71" s="301"/>
      <c r="DP71" s="301"/>
      <c r="DQ71" s="301"/>
      <c r="DR71" s="301"/>
      <c r="DS71" s="301"/>
      <c r="DT71" s="301"/>
      <c r="DU71" s="301"/>
      <c r="DV71" s="301"/>
      <c r="DW71" s="301"/>
      <c r="DX71" s="301"/>
      <c r="DY71" s="301"/>
      <c r="DZ71" s="301"/>
      <c r="EA71" s="301"/>
      <c r="EB71" s="301"/>
      <c r="EC71" s="301"/>
      <c r="ED71" s="301"/>
      <c r="EE71" s="301"/>
      <c r="EF71" s="301"/>
      <c r="EG71" s="301"/>
      <c r="EH71" s="301"/>
      <c r="EI71" s="301"/>
      <c r="EJ71" s="301"/>
      <c r="EK71" s="301"/>
      <c r="EL71" s="301"/>
      <c r="EM71" s="301"/>
      <c r="EN71" s="301"/>
      <c r="EO71" s="301"/>
      <c r="EP71" s="301"/>
      <c r="EQ71" s="301"/>
      <c r="ER71" s="301"/>
      <c r="ES71" s="301"/>
      <c r="ET71" s="301"/>
      <c r="EU71" s="301"/>
      <c r="EV71" s="301"/>
      <c r="EW71" s="301"/>
      <c r="EX71" s="301"/>
      <c r="EY71" s="301"/>
      <c r="EZ71" s="301"/>
      <c r="FA71" s="301"/>
      <c r="FB71" s="301"/>
      <c r="FC71" s="301"/>
      <c r="FD71" s="301"/>
      <c r="FE71" s="301"/>
      <c r="FF71" s="301"/>
      <c r="FG71" s="301"/>
      <c r="FH71" s="301"/>
      <c r="FI71" s="301"/>
      <c r="FJ71" s="301"/>
      <c r="FK71" s="301"/>
      <c r="FL71" s="301"/>
      <c r="FM71" s="301"/>
      <c r="FN71" s="301"/>
      <c r="FO71" s="301"/>
      <c r="FP71" s="301"/>
      <c r="FQ71" s="301"/>
      <c r="FR71" s="301"/>
      <c r="FS71" s="301"/>
      <c r="FT71" s="301"/>
      <c r="FU71" s="301"/>
      <c r="FV71" s="301"/>
      <c r="FW71" s="301"/>
      <c r="FX71" s="301"/>
      <c r="FY71" s="301"/>
      <c r="FZ71" s="301"/>
      <c r="GA71" s="301"/>
      <c r="GB71" s="301"/>
      <c r="GC71" s="301"/>
      <c r="GD71" s="301"/>
      <c r="GE71" s="301"/>
      <c r="GF71" s="301"/>
      <c r="GG71" s="301"/>
      <c r="GH71" s="301"/>
      <c r="GI71" s="301"/>
      <c r="GJ71" s="301"/>
      <c r="GK71" s="301"/>
      <c r="GL71" s="301"/>
      <c r="GM71" s="301"/>
      <c r="GN71" s="301"/>
      <c r="GO71" s="301"/>
      <c r="GP71" s="301"/>
      <c r="GQ71" s="301"/>
      <c r="GR71" s="301"/>
      <c r="GS71" s="301"/>
      <c r="GT71" s="301"/>
      <c r="GU71" s="301"/>
      <c r="GV71" s="301"/>
      <c r="GW71" s="301"/>
      <c r="GX71" s="301"/>
      <c r="GY71" s="301"/>
      <c r="GZ71" s="301"/>
      <c r="HA71" s="301"/>
      <c r="HB71" s="301"/>
      <c r="HC71" s="301"/>
      <c r="HD71" s="301"/>
      <c r="HE71" s="301"/>
      <c r="HF71" s="301"/>
      <c r="HG71" s="301"/>
      <c r="HH71" s="301"/>
      <c r="HI71" s="301"/>
      <c r="HJ71" s="301"/>
      <c r="HK71" s="301"/>
      <c r="HL71" s="301"/>
      <c r="HM71" s="301"/>
      <c r="HN71" s="301"/>
      <c r="HO71" s="301"/>
      <c r="HP71" s="301"/>
      <c r="HQ71" s="301"/>
      <c r="HR71" s="301"/>
      <c r="HS71" s="301"/>
      <c r="HT71" s="301"/>
      <c r="HU71" s="301"/>
      <c r="HV71" s="301"/>
      <c r="HW71" s="301"/>
      <c r="HX71" s="301"/>
      <c r="HY71" s="301"/>
      <c r="HZ71" s="301"/>
      <c r="IA71" s="301"/>
      <c r="IB71" s="301"/>
      <c r="IC71" s="301"/>
      <c r="ID71" s="301"/>
      <c r="IE71" s="301"/>
      <c r="IF71" s="301"/>
      <c r="IG71" s="301"/>
      <c r="IH71" s="301"/>
      <c r="II71" s="301"/>
      <c r="IJ71" s="301"/>
      <c r="IK71" s="301"/>
      <c r="IL71" s="301"/>
      <c r="IM71" s="301"/>
      <c r="IN71" s="301"/>
      <c r="IO71" s="301"/>
      <c r="IP71" s="301"/>
      <c r="IQ71" s="301"/>
      <c r="IR71" s="301"/>
      <c r="IS71" s="301"/>
      <c r="IT71" s="301"/>
      <c r="IU71" s="301"/>
      <c r="IV71" s="301"/>
    </row>
    <row r="72" spans="1:256" ht="15">
      <c r="A72" s="301"/>
      <c r="B72" s="339"/>
      <c r="C72" s="321">
        <v>15</v>
      </c>
      <c r="D72" s="343" t="s">
        <v>658</v>
      </c>
      <c r="E72" s="340" t="s">
        <v>839</v>
      </c>
      <c r="F72" s="304"/>
      <c r="G72" s="304"/>
      <c r="H72" s="304"/>
      <c r="I72" s="318">
        <f>'C-data'!F22</f>
        <v>490</v>
      </c>
      <c r="J72" s="329" t="s">
        <v>594</v>
      </c>
      <c r="K72" s="329">
        <f>ROUND(C72*I72,2)</f>
        <v>7350</v>
      </c>
      <c r="L72" s="301"/>
      <c r="M72" s="301"/>
      <c r="N72" s="301"/>
      <c r="O72" s="301"/>
      <c r="P72" s="301"/>
      <c r="Q72" s="301"/>
      <c r="R72" s="301"/>
      <c r="S72" s="301"/>
      <c r="T72" s="301"/>
      <c r="U72" s="301"/>
      <c r="V72" s="301"/>
      <c r="W72" s="301"/>
      <c r="X72" s="301"/>
      <c r="Y72" s="301"/>
      <c r="Z72" s="301"/>
      <c r="AA72" s="301"/>
      <c r="AB72" s="301"/>
      <c r="AC72" s="301"/>
      <c r="AD72" s="301"/>
      <c r="AE72" s="301"/>
      <c r="AF72" s="301"/>
      <c r="AG72" s="301"/>
      <c r="AH72" s="301"/>
      <c r="AI72" s="301"/>
      <c r="AJ72" s="301"/>
      <c r="AK72" s="301"/>
      <c r="AL72" s="301"/>
      <c r="AM72" s="301"/>
      <c r="AN72" s="301"/>
      <c r="AO72" s="301"/>
      <c r="AP72" s="301"/>
      <c r="AQ72" s="301"/>
      <c r="AR72" s="301"/>
      <c r="AS72" s="301"/>
      <c r="AT72" s="301"/>
      <c r="AU72" s="301"/>
      <c r="AV72" s="301"/>
      <c r="AW72" s="301"/>
      <c r="AX72" s="301"/>
      <c r="AY72" s="301"/>
      <c r="AZ72" s="301"/>
      <c r="BA72" s="301"/>
      <c r="BB72" s="301"/>
      <c r="BC72" s="301"/>
      <c r="BD72" s="301"/>
      <c r="BE72" s="301"/>
      <c r="BF72" s="301"/>
      <c r="BG72" s="301"/>
      <c r="BH72" s="301"/>
      <c r="BI72" s="301"/>
      <c r="BJ72" s="301"/>
      <c r="BK72" s="301"/>
      <c r="BL72" s="301"/>
      <c r="BM72" s="301"/>
      <c r="BN72" s="301"/>
      <c r="BO72" s="301"/>
      <c r="BP72" s="301"/>
      <c r="BQ72" s="301"/>
      <c r="BR72" s="301"/>
      <c r="BS72" s="301"/>
      <c r="BT72" s="301"/>
      <c r="BU72" s="301"/>
      <c r="BV72" s="301"/>
      <c r="BW72" s="301"/>
      <c r="BX72" s="301"/>
      <c r="BY72" s="301"/>
      <c r="BZ72" s="301"/>
      <c r="CA72" s="301"/>
      <c r="CB72" s="301"/>
      <c r="CC72" s="301"/>
      <c r="CD72" s="301"/>
      <c r="CE72" s="301"/>
      <c r="CF72" s="301"/>
      <c r="CG72" s="301"/>
      <c r="CH72" s="301"/>
      <c r="CI72" s="301"/>
      <c r="CJ72" s="301"/>
      <c r="CK72" s="301"/>
      <c r="CL72" s="301"/>
      <c r="CM72" s="301"/>
      <c r="CN72" s="301"/>
      <c r="CO72" s="301"/>
      <c r="CP72" s="301"/>
      <c r="CQ72" s="301"/>
      <c r="CR72" s="301"/>
      <c r="CS72" s="301"/>
      <c r="CT72" s="301"/>
      <c r="CU72" s="301"/>
      <c r="CV72" s="301"/>
      <c r="CW72" s="301"/>
      <c r="CX72" s="301"/>
      <c r="CY72" s="301"/>
      <c r="CZ72" s="301"/>
      <c r="DA72" s="301"/>
      <c r="DB72" s="301"/>
      <c r="DC72" s="301"/>
      <c r="DD72" s="301"/>
      <c r="DE72" s="301"/>
      <c r="DF72" s="301"/>
      <c r="DG72" s="301"/>
      <c r="DH72" s="301"/>
      <c r="DI72" s="301"/>
      <c r="DJ72" s="301"/>
      <c r="DK72" s="301"/>
      <c r="DL72" s="301"/>
      <c r="DM72" s="301"/>
      <c r="DN72" s="301"/>
      <c r="DO72" s="301"/>
      <c r="DP72" s="301"/>
      <c r="DQ72" s="301"/>
      <c r="DR72" s="301"/>
      <c r="DS72" s="301"/>
      <c r="DT72" s="301"/>
      <c r="DU72" s="301"/>
      <c r="DV72" s="301"/>
      <c r="DW72" s="301"/>
      <c r="DX72" s="301"/>
      <c r="DY72" s="301"/>
      <c r="DZ72" s="301"/>
      <c r="EA72" s="301"/>
      <c r="EB72" s="301"/>
      <c r="EC72" s="301"/>
      <c r="ED72" s="301"/>
      <c r="EE72" s="301"/>
      <c r="EF72" s="301"/>
      <c r="EG72" s="301"/>
      <c r="EH72" s="301"/>
      <c r="EI72" s="301"/>
      <c r="EJ72" s="301"/>
      <c r="EK72" s="301"/>
      <c r="EL72" s="301"/>
      <c r="EM72" s="301"/>
      <c r="EN72" s="301"/>
      <c r="EO72" s="301"/>
      <c r="EP72" s="301"/>
      <c r="EQ72" s="301"/>
      <c r="ER72" s="301"/>
      <c r="ES72" s="301"/>
      <c r="ET72" s="301"/>
      <c r="EU72" s="301"/>
      <c r="EV72" s="301"/>
      <c r="EW72" s="301"/>
      <c r="EX72" s="301"/>
      <c r="EY72" s="301"/>
      <c r="EZ72" s="301"/>
      <c r="FA72" s="301"/>
      <c r="FB72" s="301"/>
      <c r="FC72" s="301"/>
      <c r="FD72" s="301"/>
      <c r="FE72" s="301"/>
      <c r="FF72" s="301"/>
      <c r="FG72" s="301"/>
      <c r="FH72" s="301"/>
      <c r="FI72" s="301"/>
      <c r="FJ72" s="301"/>
      <c r="FK72" s="301"/>
      <c r="FL72" s="301"/>
      <c r="FM72" s="301"/>
      <c r="FN72" s="301"/>
      <c r="FO72" s="301"/>
      <c r="FP72" s="301"/>
      <c r="FQ72" s="301"/>
      <c r="FR72" s="301"/>
      <c r="FS72" s="301"/>
      <c r="FT72" s="301"/>
      <c r="FU72" s="301"/>
      <c r="FV72" s="301"/>
      <c r="FW72" s="301"/>
      <c r="FX72" s="301"/>
      <c r="FY72" s="301"/>
      <c r="FZ72" s="301"/>
      <c r="GA72" s="301"/>
      <c r="GB72" s="301"/>
      <c r="GC72" s="301"/>
      <c r="GD72" s="301"/>
      <c r="GE72" s="301"/>
      <c r="GF72" s="301"/>
      <c r="GG72" s="301"/>
      <c r="GH72" s="301"/>
      <c r="GI72" s="301"/>
      <c r="GJ72" s="301"/>
      <c r="GK72" s="301"/>
      <c r="GL72" s="301"/>
      <c r="GM72" s="301"/>
      <c r="GN72" s="301"/>
      <c r="GO72" s="301"/>
      <c r="GP72" s="301"/>
      <c r="GQ72" s="301"/>
      <c r="GR72" s="301"/>
      <c r="GS72" s="301"/>
      <c r="GT72" s="301"/>
      <c r="GU72" s="301"/>
      <c r="GV72" s="301"/>
      <c r="GW72" s="301"/>
      <c r="GX72" s="301"/>
      <c r="GY72" s="301"/>
      <c r="GZ72" s="301"/>
      <c r="HA72" s="301"/>
      <c r="HB72" s="301"/>
      <c r="HC72" s="301"/>
      <c r="HD72" s="301"/>
      <c r="HE72" s="301"/>
      <c r="HF72" s="301"/>
      <c r="HG72" s="301"/>
      <c r="HH72" s="301"/>
      <c r="HI72" s="301"/>
      <c r="HJ72" s="301"/>
      <c r="HK72" s="301"/>
      <c r="HL72" s="301"/>
      <c r="HM72" s="301"/>
      <c r="HN72" s="301"/>
      <c r="HO72" s="301"/>
      <c r="HP72" s="301"/>
      <c r="HQ72" s="301"/>
      <c r="HR72" s="301"/>
      <c r="HS72" s="301"/>
      <c r="HT72" s="301"/>
      <c r="HU72" s="301"/>
      <c r="HV72" s="301"/>
      <c r="HW72" s="301"/>
      <c r="HX72" s="301"/>
      <c r="HY72" s="301"/>
      <c r="HZ72" s="301"/>
      <c r="IA72" s="301"/>
      <c r="IB72" s="301"/>
      <c r="IC72" s="301"/>
      <c r="ID72" s="301"/>
      <c r="IE72" s="301"/>
      <c r="IF72" s="301"/>
      <c r="IG72" s="301"/>
      <c r="IH72" s="301"/>
      <c r="II72" s="301"/>
      <c r="IJ72" s="301"/>
      <c r="IK72" s="301"/>
      <c r="IL72" s="301"/>
      <c r="IM72" s="301"/>
      <c r="IN72" s="301"/>
      <c r="IO72" s="301"/>
      <c r="IP72" s="301"/>
      <c r="IQ72" s="301"/>
      <c r="IR72" s="301"/>
      <c r="IS72" s="301"/>
      <c r="IT72" s="301"/>
      <c r="IU72" s="301"/>
      <c r="IV72" s="301"/>
    </row>
    <row r="73" spans="1:256" ht="15">
      <c r="A73" s="301"/>
      <c r="B73" s="339"/>
      <c r="C73" s="321"/>
      <c r="D73" s="304"/>
      <c r="E73" s="340" t="s">
        <v>466</v>
      </c>
      <c r="F73" s="304"/>
      <c r="G73" s="304"/>
      <c r="H73" s="304"/>
      <c r="I73" s="329"/>
      <c r="J73" s="329"/>
      <c r="K73" s="323">
        <f>SUM(K70:K72)</f>
        <v>8194.6</v>
      </c>
      <c r="L73" s="301"/>
      <c r="M73" s="301"/>
      <c r="N73" s="301"/>
      <c r="O73" s="301"/>
      <c r="P73" s="301"/>
      <c r="Q73" s="301"/>
      <c r="R73" s="301"/>
      <c r="S73" s="301"/>
      <c r="T73" s="301"/>
      <c r="U73" s="301"/>
      <c r="V73" s="301"/>
      <c r="W73" s="301"/>
      <c r="X73" s="301"/>
      <c r="Y73" s="301"/>
      <c r="Z73" s="301"/>
      <c r="AA73" s="301"/>
      <c r="AB73" s="301"/>
      <c r="AC73" s="301"/>
      <c r="AD73" s="301"/>
      <c r="AE73" s="301"/>
      <c r="AF73" s="301"/>
      <c r="AG73" s="301"/>
      <c r="AH73" s="301"/>
      <c r="AI73" s="301"/>
      <c r="AJ73" s="301"/>
      <c r="AK73" s="301"/>
      <c r="AL73" s="301"/>
      <c r="AM73" s="301"/>
      <c r="AN73" s="301"/>
      <c r="AO73" s="301"/>
      <c r="AP73" s="301"/>
      <c r="AQ73" s="301"/>
      <c r="AR73" s="301"/>
      <c r="AS73" s="301"/>
      <c r="AT73" s="301"/>
      <c r="AU73" s="301"/>
      <c r="AV73" s="301"/>
      <c r="AW73" s="301"/>
      <c r="AX73" s="301"/>
      <c r="AY73" s="301"/>
      <c r="AZ73" s="301"/>
      <c r="BA73" s="301"/>
      <c r="BB73" s="301"/>
      <c r="BC73" s="301"/>
      <c r="BD73" s="301"/>
      <c r="BE73" s="301"/>
      <c r="BF73" s="301"/>
      <c r="BG73" s="301"/>
      <c r="BH73" s="301"/>
      <c r="BI73" s="301"/>
      <c r="BJ73" s="301"/>
      <c r="BK73" s="301"/>
      <c r="BL73" s="301"/>
      <c r="BM73" s="301"/>
      <c r="BN73" s="301"/>
      <c r="BO73" s="301"/>
      <c r="BP73" s="301"/>
      <c r="BQ73" s="301"/>
      <c r="BR73" s="301"/>
      <c r="BS73" s="301"/>
      <c r="BT73" s="301"/>
      <c r="BU73" s="301"/>
      <c r="BV73" s="301"/>
      <c r="BW73" s="301"/>
      <c r="BX73" s="301"/>
      <c r="BY73" s="301"/>
      <c r="BZ73" s="301"/>
      <c r="CA73" s="301"/>
      <c r="CB73" s="301"/>
      <c r="CC73" s="301"/>
      <c r="CD73" s="301"/>
      <c r="CE73" s="301"/>
      <c r="CF73" s="301"/>
      <c r="CG73" s="301"/>
      <c r="CH73" s="301"/>
      <c r="CI73" s="301"/>
      <c r="CJ73" s="301"/>
      <c r="CK73" s="301"/>
      <c r="CL73" s="301"/>
      <c r="CM73" s="301"/>
      <c r="CN73" s="301"/>
      <c r="CO73" s="301"/>
      <c r="CP73" s="301"/>
      <c r="CQ73" s="301"/>
      <c r="CR73" s="301"/>
      <c r="CS73" s="301"/>
      <c r="CT73" s="301"/>
      <c r="CU73" s="301"/>
      <c r="CV73" s="301"/>
      <c r="CW73" s="301"/>
      <c r="CX73" s="301"/>
      <c r="CY73" s="301"/>
      <c r="CZ73" s="301"/>
      <c r="DA73" s="301"/>
      <c r="DB73" s="301"/>
      <c r="DC73" s="301"/>
      <c r="DD73" s="301"/>
      <c r="DE73" s="301"/>
      <c r="DF73" s="301"/>
      <c r="DG73" s="301"/>
      <c r="DH73" s="301"/>
      <c r="DI73" s="301"/>
      <c r="DJ73" s="301"/>
      <c r="DK73" s="301"/>
      <c r="DL73" s="301"/>
      <c r="DM73" s="301"/>
      <c r="DN73" s="301"/>
      <c r="DO73" s="301"/>
      <c r="DP73" s="301"/>
      <c r="DQ73" s="301"/>
      <c r="DR73" s="301"/>
      <c r="DS73" s="301"/>
      <c r="DT73" s="301"/>
      <c r="DU73" s="301"/>
      <c r="DV73" s="301"/>
      <c r="DW73" s="301"/>
      <c r="DX73" s="301"/>
      <c r="DY73" s="301"/>
      <c r="DZ73" s="301"/>
      <c r="EA73" s="301"/>
      <c r="EB73" s="301"/>
      <c r="EC73" s="301"/>
      <c r="ED73" s="301"/>
      <c r="EE73" s="301"/>
      <c r="EF73" s="301"/>
      <c r="EG73" s="301"/>
      <c r="EH73" s="301"/>
      <c r="EI73" s="301"/>
      <c r="EJ73" s="301"/>
      <c r="EK73" s="301"/>
      <c r="EL73" s="301"/>
      <c r="EM73" s="301"/>
      <c r="EN73" s="301"/>
      <c r="EO73" s="301"/>
      <c r="EP73" s="301"/>
      <c r="EQ73" s="301"/>
      <c r="ER73" s="301"/>
      <c r="ES73" s="301"/>
      <c r="ET73" s="301"/>
      <c r="EU73" s="301"/>
      <c r="EV73" s="301"/>
      <c r="EW73" s="301"/>
      <c r="EX73" s="301"/>
      <c r="EY73" s="301"/>
      <c r="EZ73" s="301"/>
      <c r="FA73" s="301"/>
      <c r="FB73" s="301"/>
      <c r="FC73" s="301"/>
      <c r="FD73" s="301"/>
      <c r="FE73" s="301"/>
      <c r="FF73" s="301"/>
      <c r="FG73" s="301"/>
      <c r="FH73" s="301"/>
      <c r="FI73" s="301"/>
      <c r="FJ73" s="301"/>
      <c r="FK73" s="301"/>
      <c r="FL73" s="301"/>
      <c r="FM73" s="301"/>
      <c r="FN73" s="301"/>
      <c r="FO73" s="301"/>
      <c r="FP73" s="301"/>
      <c r="FQ73" s="301"/>
      <c r="FR73" s="301"/>
      <c r="FS73" s="301"/>
      <c r="FT73" s="301"/>
      <c r="FU73" s="301"/>
      <c r="FV73" s="301"/>
      <c r="FW73" s="301"/>
      <c r="FX73" s="301"/>
      <c r="FY73" s="301"/>
      <c r="FZ73" s="301"/>
      <c r="GA73" s="301"/>
      <c r="GB73" s="301"/>
      <c r="GC73" s="301"/>
      <c r="GD73" s="301"/>
      <c r="GE73" s="301"/>
      <c r="GF73" s="301"/>
      <c r="GG73" s="301"/>
      <c r="GH73" s="301"/>
      <c r="GI73" s="301"/>
      <c r="GJ73" s="301"/>
      <c r="GK73" s="301"/>
      <c r="GL73" s="301"/>
      <c r="GM73" s="301"/>
      <c r="GN73" s="301"/>
      <c r="GO73" s="301"/>
      <c r="GP73" s="301"/>
      <c r="GQ73" s="301"/>
      <c r="GR73" s="301"/>
      <c r="GS73" s="301"/>
      <c r="GT73" s="301"/>
      <c r="GU73" s="301"/>
      <c r="GV73" s="301"/>
      <c r="GW73" s="301"/>
      <c r="GX73" s="301"/>
      <c r="GY73" s="301"/>
      <c r="GZ73" s="301"/>
      <c r="HA73" s="301"/>
      <c r="HB73" s="301"/>
      <c r="HC73" s="301"/>
      <c r="HD73" s="301"/>
      <c r="HE73" s="301"/>
      <c r="HF73" s="301"/>
      <c r="HG73" s="301"/>
      <c r="HH73" s="301"/>
      <c r="HI73" s="301"/>
      <c r="HJ73" s="301"/>
      <c r="HK73" s="301"/>
      <c r="HL73" s="301"/>
      <c r="HM73" s="301"/>
      <c r="HN73" s="301"/>
      <c r="HO73" s="301"/>
      <c r="HP73" s="301"/>
      <c r="HQ73" s="301"/>
      <c r="HR73" s="301"/>
      <c r="HS73" s="301"/>
      <c r="HT73" s="301"/>
      <c r="HU73" s="301"/>
      <c r="HV73" s="301"/>
      <c r="HW73" s="301"/>
      <c r="HX73" s="301"/>
      <c r="HY73" s="301"/>
      <c r="HZ73" s="301"/>
      <c r="IA73" s="301"/>
      <c r="IB73" s="301"/>
      <c r="IC73" s="301"/>
      <c r="ID73" s="301"/>
      <c r="IE73" s="301"/>
      <c r="IF73" s="301"/>
      <c r="IG73" s="301"/>
      <c r="IH73" s="301"/>
      <c r="II73" s="301"/>
      <c r="IJ73" s="301"/>
      <c r="IK73" s="301"/>
      <c r="IL73" s="301"/>
      <c r="IM73" s="301"/>
      <c r="IN73" s="301"/>
      <c r="IO73" s="301"/>
      <c r="IP73" s="301"/>
      <c r="IQ73" s="301"/>
      <c r="IR73" s="301"/>
      <c r="IS73" s="301"/>
      <c r="IT73" s="301"/>
      <c r="IU73" s="301"/>
      <c r="IV73" s="301"/>
    </row>
    <row r="74" spans="1:256" ht="15">
      <c r="A74" s="301"/>
      <c r="B74" s="339"/>
      <c r="C74" s="341" t="s">
        <v>816</v>
      </c>
      <c r="D74" s="342" t="s">
        <v>557</v>
      </c>
      <c r="E74" s="304"/>
      <c r="F74" s="304"/>
      <c r="G74" s="304"/>
      <c r="H74" s="304"/>
      <c r="I74" s="329"/>
      <c r="J74" s="329"/>
      <c r="K74" s="329"/>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c r="AJ74" s="301"/>
      <c r="AK74" s="301"/>
      <c r="AL74" s="301"/>
      <c r="AM74" s="301"/>
      <c r="AN74" s="301"/>
      <c r="AO74" s="301"/>
      <c r="AP74" s="301"/>
      <c r="AQ74" s="301"/>
      <c r="AR74" s="301"/>
      <c r="AS74" s="301"/>
      <c r="AT74" s="301"/>
      <c r="AU74" s="301"/>
      <c r="AV74" s="301"/>
      <c r="AW74" s="301"/>
      <c r="AX74" s="301"/>
      <c r="AY74" s="301"/>
      <c r="AZ74" s="301"/>
      <c r="BA74" s="301"/>
      <c r="BB74" s="301"/>
      <c r="BC74" s="301"/>
      <c r="BD74" s="301"/>
      <c r="BE74" s="301"/>
      <c r="BF74" s="301"/>
      <c r="BG74" s="301"/>
      <c r="BH74" s="301"/>
      <c r="BI74" s="301"/>
      <c r="BJ74" s="301"/>
      <c r="BK74" s="301"/>
      <c r="BL74" s="301"/>
      <c r="BM74" s="301"/>
      <c r="BN74" s="301"/>
      <c r="BO74" s="301"/>
      <c r="BP74" s="301"/>
      <c r="BQ74" s="301"/>
      <c r="BR74" s="301"/>
      <c r="BS74" s="301"/>
      <c r="BT74" s="301"/>
      <c r="BU74" s="301"/>
      <c r="BV74" s="301"/>
      <c r="BW74" s="301"/>
      <c r="BX74" s="301"/>
      <c r="BY74" s="301"/>
      <c r="BZ74" s="301"/>
      <c r="CA74" s="301"/>
      <c r="CB74" s="301"/>
      <c r="CC74" s="301"/>
      <c r="CD74" s="301"/>
      <c r="CE74" s="301"/>
      <c r="CF74" s="301"/>
      <c r="CG74" s="301"/>
      <c r="CH74" s="301"/>
      <c r="CI74" s="301"/>
      <c r="CJ74" s="301"/>
      <c r="CK74" s="301"/>
      <c r="CL74" s="301"/>
      <c r="CM74" s="301"/>
      <c r="CN74" s="301"/>
      <c r="CO74" s="301"/>
      <c r="CP74" s="301"/>
      <c r="CQ74" s="301"/>
      <c r="CR74" s="301"/>
      <c r="CS74" s="301"/>
      <c r="CT74" s="301"/>
      <c r="CU74" s="301"/>
      <c r="CV74" s="301"/>
      <c r="CW74" s="301"/>
      <c r="CX74" s="301"/>
      <c r="CY74" s="301"/>
      <c r="CZ74" s="301"/>
      <c r="DA74" s="301"/>
      <c r="DB74" s="301"/>
      <c r="DC74" s="301"/>
      <c r="DD74" s="301"/>
      <c r="DE74" s="301"/>
      <c r="DF74" s="301"/>
      <c r="DG74" s="301"/>
      <c r="DH74" s="301"/>
      <c r="DI74" s="301"/>
      <c r="DJ74" s="301"/>
      <c r="DK74" s="301"/>
      <c r="DL74" s="301"/>
      <c r="DM74" s="301"/>
      <c r="DN74" s="301"/>
      <c r="DO74" s="301"/>
      <c r="DP74" s="301"/>
      <c r="DQ74" s="301"/>
      <c r="DR74" s="301"/>
      <c r="DS74" s="301"/>
      <c r="DT74" s="301"/>
      <c r="DU74" s="301"/>
      <c r="DV74" s="301"/>
      <c r="DW74" s="301"/>
      <c r="DX74" s="301"/>
      <c r="DY74" s="301"/>
      <c r="DZ74" s="301"/>
      <c r="EA74" s="301"/>
      <c r="EB74" s="301"/>
      <c r="EC74" s="301"/>
      <c r="ED74" s="301"/>
      <c r="EE74" s="301"/>
      <c r="EF74" s="301"/>
      <c r="EG74" s="301"/>
      <c r="EH74" s="301"/>
      <c r="EI74" s="301"/>
      <c r="EJ74" s="301"/>
      <c r="EK74" s="301"/>
      <c r="EL74" s="301"/>
      <c r="EM74" s="301"/>
      <c r="EN74" s="301"/>
      <c r="EO74" s="301"/>
      <c r="EP74" s="301"/>
      <c r="EQ74" s="301"/>
      <c r="ER74" s="301"/>
      <c r="ES74" s="301"/>
      <c r="ET74" s="301"/>
      <c r="EU74" s="301"/>
      <c r="EV74" s="301"/>
      <c r="EW74" s="301"/>
      <c r="EX74" s="301"/>
      <c r="EY74" s="301"/>
      <c r="EZ74" s="301"/>
      <c r="FA74" s="301"/>
      <c r="FB74" s="301"/>
      <c r="FC74" s="301"/>
      <c r="FD74" s="301"/>
      <c r="FE74" s="301"/>
      <c r="FF74" s="301"/>
      <c r="FG74" s="301"/>
      <c r="FH74" s="301"/>
      <c r="FI74" s="301"/>
      <c r="FJ74" s="301"/>
      <c r="FK74" s="301"/>
      <c r="FL74" s="301"/>
      <c r="FM74" s="301"/>
      <c r="FN74" s="301"/>
      <c r="FO74" s="301"/>
      <c r="FP74" s="301"/>
      <c r="FQ74" s="301"/>
      <c r="FR74" s="301"/>
      <c r="FS74" s="301"/>
      <c r="FT74" s="301"/>
      <c r="FU74" s="301"/>
      <c r="FV74" s="301"/>
      <c r="FW74" s="301"/>
      <c r="FX74" s="301"/>
      <c r="FY74" s="301"/>
      <c r="FZ74" s="301"/>
      <c r="GA74" s="301"/>
      <c r="GB74" s="301"/>
      <c r="GC74" s="301"/>
      <c r="GD74" s="301"/>
      <c r="GE74" s="301"/>
      <c r="GF74" s="301"/>
      <c r="GG74" s="301"/>
      <c r="GH74" s="301"/>
      <c r="GI74" s="301"/>
      <c r="GJ74" s="301"/>
      <c r="GK74" s="301"/>
      <c r="GL74" s="301"/>
      <c r="GM74" s="301"/>
      <c r="GN74" s="301"/>
      <c r="GO74" s="301"/>
      <c r="GP74" s="301"/>
      <c r="GQ74" s="301"/>
      <c r="GR74" s="301"/>
      <c r="GS74" s="301"/>
      <c r="GT74" s="301"/>
      <c r="GU74" s="301"/>
      <c r="GV74" s="301"/>
      <c r="GW74" s="301"/>
      <c r="GX74" s="301"/>
      <c r="GY74" s="301"/>
      <c r="GZ74" s="301"/>
      <c r="HA74" s="301"/>
      <c r="HB74" s="301"/>
      <c r="HC74" s="301"/>
      <c r="HD74" s="301"/>
      <c r="HE74" s="301"/>
      <c r="HF74" s="301"/>
      <c r="HG74" s="301"/>
      <c r="HH74" s="301"/>
      <c r="HI74" s="301"/>
      <c r="HJ74" s="301"/>
      <c r="HK74" s="301"/>
      <c r="HL74" s="301"/>
      <c r="HM74" s="301"/>
      <c r="HN74" s="301"/>
      <c r="HO74" s="301"/>
      <c r="HP74" s="301"/>
      <c r="HQ74" s="301"/>
      <c r="HR74" s="301"/>
      <c r="HS74" s="301"/>
      <c r="HT74" s="301"/>
      <c r="HU74" s="301"/>
      <c r="HV74" s="301"/>
      <c r="HW74" s="301"/>
      <c r="HX74" s="301"/>
      <c r="HY74" s="301"/>
      <c r="HZ74" s="301"/>
      <c r="IA74" s="301"/>
      <c r="IB74" s="301"/>
      <c r="IC74" s="301"/>
      <c r="ID74" s="301"/>
      <c r="IE74" s="301"/>
      <c r="IF74" s="301"/>
      <c r="IG74" s="301"/>
      <c r="IH74" s="301"/>
      <c r="II74" s="301"/>
      <c r="IJ74" s="301"/>
      <c r="IK74" s="301"/>
      <c r="IL74" s="301"/>
      <c r="IM74" s="301"/>
      <c r="IN74" s="301"/>
      <c r="IO74" s="301"/>
      <c r="IP74" s="301"/>
      <c r="IQ74" s="301"/>
      <c r="IR74" s="301"/>
      <c r="IS74" s="301"/>
      <c r="IT74" s="301"/>
      <c r="IU74" s="301"/>
      <c r="IV74" s="301"/>
    </row>
    <row r="75" spans="1:256" ht="15">
      <c r="A75" s="301"/>
      <c r="B75" s="339"/>
      <c r="C75" s="320">
        <v>13.5</v>
      </c>
      <c r="D75" s="343" t="s">
        <v>644</v>
      </c>
      <c r="E75" s="345" t="s">
        <v>840</v>
      </c>
      <c r="F75" s="304"/>
      <c r="G75" s="304"/>
      <c r="H75" s="304"/>
      <c r="I75" s="329">
        <f>+LEAD!P15</f>
        <v>1247.6699999999998</v>
      </c>
      <c r="J75" s="329" t="s">
        <v>644</v>
      </c>
      <c r="K75" s="329">
        <f>ROUND(C75*I75,2)</f>
        <v>16843.55</v>
      </c>
      <c r="L75" s="301"/>
      <c r="M75" s="301"/>
      <c r="N75" s="301"/>
      <c r="O75" s="301"/>
      <c r="P75" s="301"/>
      <c r="Q75" s="301"/>
      <c r="R75" s="301"/>
      <c r="S75" s="301"/>
      <c r="T75" s="301"/>
      <c r="U75" s="301"/>
      <c r="V75" s="301"/>
      <c r="W75" s="301"/>
      <c r="X75" s="301"/>
      <c r="Y75" s="301"/>
      <c r="Z75" s="301"/>
      <c r="AA75" s="301"/>
      <c r="AB75" s="301"/>
      <c r="AC75" s="301"/>
      <c r="AD75" s="301"/>
      <c r="AE75" s="301"/>
      <c r="AF75" s="301"/>
      <c r="AG75" s="301"/>
      <c r="AH75" s="301"/>
      <c r="AI75" s="301"/>
      <c r="AJ75" s="301"/>
      <c r="AK75" s="301"/>
      <c r="AL75" s="301"/>
      <c r="AM75" s="301"/>
      <c r="AN75" s="301"/>
      <c r="AO75" s="301"/>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301"/>
      <c r="BS75" s="301"/>
      <c r="BT75" s="301"/>
      <c r="BU75" s="301"/>
      <c r="BV75" s="301"/>
      <c r="BW75" s="301"/>
      <c r="BX75" s="301"/>
      <c r="BY75" s="301"/>
      <c r="BZ75" s="301"/>
      <c r="CA75" s="301"/>
      <c r="CB75" s="301"/>
      <c r="CC75" s="301"/>
      <c r="CD75" s="301"/>
      <c r="CE75" s="301"/>
      <c r="CF75" s="301"/>
      <c r="CG75" s="301"/>
      <c r="CH75" s="301"/>
      <c r="CI75" s="301"/>
      <c r="CJ75" s="301"/>
      <c r="CK75" s="301"/>
      <c r="CL75" s="301"/>
      <c r="CM75" s="301"/>
      <c r="CN75" s="301"/>
      <c r="CO75" s="301"/>
      <c r="CP75" s="301"/>
      <c r="CQ75" s="301"/>
      <c r="CR75" s="301"/>
      <c r="CS75" s="301"/>
      <c r="CT75" s="301"/>
      <c r="CU75" s="301"/>
      <c r="CV75" s="301"/>
      <c r="CW75" s="301"/>
      <c r="CX75" s="301"/>
      <c r="CY75" s="301"/>
      <c r="CZ75" s="301"/>
      <c r="DA75" s="301"/>
      <c r="DB75" s="301"/>
      <c r="DC75" s="301"/>
      <c r="DD75" s="301"/>
      <c r="DE75" s="301"/>
      <c r="DF75" s="301"/>
      <c r="DG75" s="301"/>
      <c r="DH75" s="301"/>
      <c r="DI75" s="301"/>
      <c r="DJ75" s="301"/>
      <c r="DK75" s="301"/>
      <c r="DL75" s="301"/>
      <c r="DM75" s="301"/>
      <c r="DN75" s="301"/>
      <c r="DO75" s="301"/>
      <c r="DP75" s="301"/>
      <c r="DQ75" s="301"/>
      <c r="DR75" s="301"/>
      <c r="DS75" s="301"/>
      <c r="DT75" s="301"/>
      <c r="DU75" s="301"/>
      <c r="DV75" s="301"/>
      <c r="DW75" s="301"/>
      <c r="DX75" s="301"/>
      <c r="DY75" s="301"/>
      <c r="DZ75" s="301"/>
      <c r="EA75" s="301"/>
      <c r="EB75" s="301"/>
      <c r="EC75" s="301"/>
      <c r="ED75" s="301"/>
      <c r="EE75" s="301"/>
      <c r="EF75" s="301"/>
      <c r="EG75" s="301"/>
      <c r="EH75" s="301"/>
      <c r="EI75" s="301"/>
      <c r="EJ75" s="301"/>
      <c r="EK75" s="301"/>
      <c r="EL75" s="301"/>
      <c r="EM75" s="301"/>
      <c r="EN75" s="301"/>
      <c r="EO75" s="301"/>
      <c r="EP75" s="301"/>
      <c r="EQ75" s="301"/>
      <c r="ER75" s="301"/>
      <c r="ES75" s="301"/>
      <c r="ET75" s="301"/>
      <c r="EU75" s="301"/>
      <c r="EV75" s="301"/>
      <c r="EW75" s="301"/>
      <c r="EX75" s="301"/>
      <c r="EY75" s="301"/>
      <c r="EZ75" s="301"/>
      <c r="FA75" s="301"/>
      <c r="FB75" s="301"/>
      <c r="FC75" s="301"/>
      <c r="FD75" s="301"/>
      <c r="FE75" s="301"/>
      <c r="FF75" s="301"/>
      <c r="FG75" s="301"/>
      <c r="FH75" s="301"/>
      <c r="FI75" s="301"/>
      <c r="FJ75" s="301"/>
      <c r="FK75" s="301"/>
      <c r="FL75" s="301"/>
      <c r="FM75" s="301"/>
      <c r="FN75" s="301"/>
      <c r="FO75" s="301"/>
      <c r="FP75" s="301"/>
      <c r="FQ75" s="301"/>
      <c r="FR75" s="301"/>
      <c r="FS75" s="301"/>
      <c r="FT75" s="301"/>
      <c r="FU75" s="301"/>
      <c r="FV75" s="301"/>
      <c r="FW75" s="301"/>
      <c r="FX75" s="301"/>
      <c r="FY75" s="301"/>
      <c r="FZ75" s="301"/>
      <c r="GA75" s="301"/>
      <c r="GB75" s="301"/>
      <c r="GC75" s="301"/>
      <c r="GD75" s="301"/>
      <c r="GE75" s="301"/>
      <c r="GF75" s="301"/>
      <c r="GG75" s="301"/>
      <c r="GH75" s="301"/>
      <c r="GI75" s="301"/>
      <c r="GJ75" s="301"/>
      <c r="GK75" s="301"/>
      <c r="GL75" s="301"/>
      <c r="GM75" s="301"/>
      <c r="GN75" s="301"/>
      <c r="GO75" s="301"/>
      <c r="GP75" s="301"/>
      <c r="GQ75" s="301"/>
      <c r="GR75" s="301"/>
      <c r="GS75" s="301"/>
      <c r="GT75" s="301"/>
      <c r="GU75" s="301"/>
      <c r="GV75" s="301"/>
      <c r="GW75" s="301"/>
      <c r="GX75" s="301"/>
      <c r="GY75" s="301"/>
      <c r="GZ75" s="301"/>
      <c r="HA75" s="301"/>
      <c r="HB75" s="301"/>
      <c r="HC75" s="301"/>
      <c r="HD75" s="301"/>
      <c r="HE75" s="301"/>
      <c r="HF75" s="301"/>
      <c r="HG75" s="301"/>
      <c r="HH75" s="301"/>
      <c r="HI75" s="301"/>
      <c r="HJ75" s="301"/>
      <c r="HK75" s="301"/>
      <c r="HL75" s="301"/>
      <c r="HM75" s="301"/>
      <c r="HN75" s="301"/>
      <c r="HO75" s="301"/>
      <c r="HP75" s="301"/>
      <c r="HQ75" s="301"/>
      <c r="HR75" s="301"/>
      <c r="HS75" s="301"/>
      <c r="HT75" s="301"/>
      <c r="HU75" s="301"/>
      <c r="HV75" s="301"/>
      <c r="HW75" s="301"/>
      <c r="HX75" s="301"/>
      <c r="HY75" s="301"/>
      <c r="HZ75" s="301"/>
      <c r="IA75" s="301"/>
      <c r="IB75" s="301"/>
      <c r="IC75" s="301"/>
      <c r="ID75" s="301"/>
      <c r="IE75" s="301"/>
      <c r="IF75" s="301"/>
      <c r="IG75" s="301"/>
      <c r="IH75" s="301"/>
      <c r="II75" s="301"/>
      <c r="IJ75" s="301"/>
      <c r="IK75" s="301"/>
      <c r="IL75" s="301"/>
      <c r="IM75" s="301"/>
      <c r="IN75" s="301"/>
      <c r="IO75" s="301"/>
      <c r="IP75" s="301"/>
      <c r="IQ75" s="301"/>
      <c r="IR75" s="301"/>
      <c r="IS75" s="301"/>
      <c r="IT75" s="301"/>
      <c r="IU75" s="301"/>
      <c r="IV75" s="301"/>
    </row>
    <row r="76" spans="1:256" ht="15">
      <c r="A76" s="301"/>
      <c r="B76" s="339"/>
      <c r="C76" s="320">
        <v>6.75</v>
      </c>
      <c r="D76" s="343" t="s">
        <v>644</v>
      </c>
      <c r="E76" s="340" t="s">
        <v>841</v>
      </c>
      <c r="F76" s="304"/>
      <c r="G76" s="304"/>
      <c r="H76" s="304"/>
      <c r="I76" s="329">
        <f>+LEAD!P7</f>
        <v>437.11999999999983</v>
      </c>
      <c r="J76" s="329" t="s">
        <v>644</v>
      </c>
      <c r="K76" s="329">
        <f>ROUND(C76*I76,2)</f>
        <v>2950.56</v>
      </c>
      <c r="L76" s="301"/>
      <c r="M76" s="301"/>
      <c r="N76" s="301"/>
      <c r="O76" s="301"/>
      <c r="P76" s="301"/>
      <c r="Q76" s="301"/>
      <c r="R76" s="301"/>
      <c r="S76" s="301"/>
      <c r="T76" s="301"/>
      <c r="U76" s="301"/>
      <c r="V76" s="301"/>
      <c r="W76" s="301"/>
      <c r="X76" s="301"/>
      <c r="Y76" s="301"/>
      <c r="Z76" s="301"/>
      <c r="AA76" s="301"/>
      <c r="AB76" s="301"/>
      <c r="AC76" s="301"/>
      <c r="AD76" s="301"/>
      <c r="AE76" s="301"/>
      <c r="AF76" s="301"/>
      <c r="AG76" s="301"/>
      <c r="AH76" s="301"/>
      <c r="AI76" s="301"/>
      <c r="AJ76" s="301"/>
      <c r="AK76" s="301"/>
      <c r="AL76" s="301"/>
      <c r="AM76" s="301"/>
      <c r="AN76" s="301"/>
      <c r="AO76" s="301"/>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301"/>
      <c r="BS76" s="301"/>
      <c r="BT76" s="301"/>
      <c r="BU76" s="301"/>
      <c r="BV76" s="301"/>
      <c r="BW76" s="301"/>
      <c r="BX76" s="301"/>
      <c r="BY76" s="301"/>
      <c r="BZ76" s="301"/>
      <c r="CA76" s="301"/>
      <c r="CB76" s="301"/>
      <c r="CC76" s="301"/>
      <c r="CD76" s="301"/>
      <c r="CE76" s="301"/>
      <c r="CF76" s="301"/>
      <c r="CG76" s="301"/>
      <c r="CH76" s="301"/>
      <c r="CI76" s="301"/>
      <c r="CJ76" s="301"/>
      <c r="CK76" s="301"/>
      <c r="CL76" s="301"/>
      <c r="CM76" s="301"/>
      <c r="CN76" s="301"/>
      <c r="CO76" s="301"/>
      <c r="CP76" s="301"/>
      <c r="CQ76" s="301"/>
      <c r="CR76" s="301"/>
      <c r="CS76" s="301"/>
      <c r="CT76" s="301"/>
      <c r="CU76" s="301"/>
      <c r="CV76" s="301"/>
      <c r="CW76" s="301"/>
      <c r="CX76" s="301"/>
      <c r="CY76" s="301"/>
      <c r="CZ76" s="301"/>
      <c r="DA76" s="301"/>
      <c r="DB76" s="301"/>
      <c r="DC76" s="301"/>
      <c r="DD76" s="301"/>
      <c r="DE76" s="301"/>
      <c r="DF76" s="301"/>
      <c r="DG76" s="301"/>
      <c r="DH76" s="301"/>
      <c r="DI76" s="301"/>
      <c r="DJ76" s="301"/>
      <c r="DK76" s="301"/>
      <c r="DL76" s="301"/>
      <c r="DM76" s="301"/>
      <c r="DN76" s="301"/>
      <c r="DO76" s="301"/>
      <c r="DP76" s="301"/>
      <c r="DQ76" s="301"/>
      <c r="DR76" s="301"/>
      <c r="DS76" s="301"/>
      <c r="DT76" s="301"/>
      <c r="DU76" s="301"/>
      <c r="DV76" s="301"/>
      <c r="DW76" s="301"/>
      <c r="DX76" s="301"/>
      <c r="DY76" s="301"/>
      <c r="DZ76" s="301"/>
      <c r="EA76" s="301"/>
      <c r="EB76" s="301"/>
      <c r="EC76" s="301"/>
      <c r="ED76" s="301"/>
      <c r="EE76" s="301"/>
      <c r="EF76" s="301"/>
      <c r="EG76" s="301"/>
      <c r="EH76" s="301"/>
      <c r="EI76" s="301"/>
      <c r="EJ76" s="301"/>
      <c r="EK76" s="301"/>
      <c r="EL76" s="301"/>
      <c r="EM76" s="301"/>
      <c r="EN76" s="301"/>
      <c r="EO76" s="301"/>
      <c r="EP76" s="301"/>
      <c r="EQ76" s="301"/>
      <c r="ER76" s="301"/>
      <c r="ES76" s="301"/>
      <c r="ET76" s="301"/>
      <c r="EU76" s="301"/>
      <c r="EV76" s="301"/>
      <c r="EW76" s="301"/>
      <c r="EX76" s="301"/>
      <c r="EY76" s="301"/>
      <c r="EZ76" s="301"/>
      <c r="FA76" s="301"/>
      <c r="FB76" s="301"/>
      <c r="FC76" s="301"/>
      <c r="FD76" s="301"/>
      <c r="FE76" s="301"/>
      <c r="FF76" s="301"/>
      <c r="FG76" s="301"/>
      <c r="FH76" s="301"/>
      <c r="FI76" s="301"/>
      <c r="FJ76" s="301"/>
      <c r="FK76" s="301"/>
      <c r="FL76" s="301"/>
      <c r="FM76" s="301"/>
      <c r="FN76" s="301"/>
      <c r="FO76" s="301"/>
      <c r="FP76" s="301"/>
      <c r="FQ76" s="301"/>
      <c r="FR76" s="301"/>
      <c r="FS76" s="301"/>
      <c r="FT76" s="301"/>
      <c r="FU76" s="301"/>
      <c r="FV76" s="301"/>
      <c r="FW76" s="301"/>
      <c r="FX76" s="301"/>
      <c r="FY76" s="301"/>
      <c r="FZ76" s="301"/>
      <c r="GA76" s="301"/>
      <c r="GB76" s="301"/>
      <c r="GC76" s="301"/>
      <c r="GD76" s="301"/>
      <c r="GE76" s="301"/>
      <c r="GF76" s="301"/>
      <c r="GG76" s="301"/>
      <c r="GH76" s="301"/>
      <c r="GI76" s="301"/>
      <c r="GJ76" s="301"/>
      <c r="GK76" s="301"/>
      <c r="GL76" s="301"/>
      <c r="GM76" s="301"/>
      <c r="GN76" s="301"/>
      <c r="GO76" s="301"/>
      <c r="GP76" s="301"/>
      <c r="GQ76" s="301"/>
      <c r="GR76" s="301"/>
      <c r="GS76" s="301"/>
      <c r="GT76" s="301"/>
      <c r="GU76" s="301"/>
      <c r="GV76" s="301"/>
      <c r="GW76" s="301"/>
      <c r="GX76" s="301"/>
      <c r="GY76" s="301"/>
      <c r="GZ76" s="301"/>
      <c r="HA76" s="301"/>
      <c r="HB76" s="301"/>
      <c r="HC76" s="301"/>
      <c r="HD76" s="301"/>
      <c r="HE76" s="301"/>
      <c r="HF76" s="301"/>
      <c r="HG76" s="301"/>
      <c r="HH76" s="301"/>
      <c r="HI76" s="301"/>
      <c r="HJ76" s="301"/>
      <c r="HK76" s="301"/>
      <c r="HL76" s="301"/>
      <c r="HM76" s="301"/>
      <c r="HN76" s="301"/>
      <c r="HO76" s="301"/>
      <c r="HP76" s="301"/>
      <c r="HQ76" s="301"/>
      <c r="HR76" s="301"/>
      <c r="HS76" s="301"/>
      <c r="HT76" s="301"/>
      <c r="HU76" s="301"/>
      <c r="HV76" s="301"/>
      <c r="HW76" s="301"/>
      <c r="HX76" s="301"/>
      <c r="HY76" s="301"/>
      <c r="HZ76" s="301"/>
      <c r="IA76" s="301"/>
      <c r="IB76" s="301"/>
      <c r="IC76" s="301"/>
      <c r="ID76" s="301"/>
      <c r="IE76" s="301"/>
      <c r="IF76" s="301"/>
      <c r="IG76" s="301"/>
      <c r="IH76" s="301"/>
      <c r="II76" s="301"/>
      <c r="IJ76" s="301"/>
      <c r="IK76" s="301"/>
      <c r="IL76" s="301"/>
      <c r="IM76" s="301"/>
      <c r="IN76" s="301"/>
      <c r="IO76" s="301"/>
      <c r="IP76" s="301"/>
      <c r="IQ76" s="301"/>
      <c r="IR76" s="301"/>
      <c r="IS76" s="301"/>
      <c r="IT76" s="301"/>
      <c r="IU76" s="301"/>
      <c r="IV76" s="301"/>
    </row>
    <row r="77" spans="1:256" ht="15">
      <c r="A77" s="301"/>
      <c r="B77" s="339"/>
      <c r="C77" s="320">
        <v>2.4300000000000002</v>
      </c>
      <c r="D77" s="343" t="s">
        <v>50</v>
      </c>
      <c r="E77" s="340" t="s">
        <v>842</v>
      </c>
      <c r="F77" s="304"/>
      <c r="G77" s="304"/>
      <c r="H77" s="304"/>
      <c r="I77" s="329">
        <f>+LEAD!P28</f>
        <v>7168</v>
      </c>
      <c r="J77" s="329" t="s">
        <v>50</v>
      </c>
      <c r="K77" s="329">
        <f>ROUND(C77*I77,2)</f>
        <v>17418.240000000002</v>
      </c>
      <c r="L77" s="301"/>
      <c r="M77" s="301"/>
      <c r="N77" s="301"/>
      <c r="O77" s="301"/>
      <c r="P77" s="301"/>
      <c r="Q77" s="301"/>
      <c r="R77" s="301"/>
      <c r="S77" s="301"/>
      <c r="T77" s="301"/>
      <c r="U77" s="301"/>
      <c r="V77" s="301"/>
      <c r="W77" s="301"/>
      <c r="X77" s="301"/>
      <c r="Y77" s="301"/>
      <c r="Z77" s="301"/>
      <c r="AA77" s="301"/>
      <c r="AB77" s="301"/>
      <c r="AC77" s="301"/>
      <c r="AD77" s="301"/>
      <c r="AE77" s="301"/>
      <c r="AF77" s="301"/>
      <c r="AG77" s="301"/>
      <c r="AH77" s="301"/>
      <c r="AI77" s="301"/>
      <c r="AJ77" s="301"/>
      <c r="AK77" s="301"/>
      <c r="AL77" s="301"/>
      <c r="AM77" s="301"/>
      <c r="AN77" s="301"/>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301"/>
      <c r="BS77" s="301"/>
      <c r="BT77" s="301"/>
      <c r="BU77" s="301"/>
      <c r="BV77" s="301"/>
      <c r="BW77" s="301"/>
      <c r="BX77" s="301"/>
      <c r="BY77" s="301"/>
      <c r="BZ77" s="301"/>
      <c r="CA77" s="301"/>
      <c r="CB77" s="301"/>
      <c r="CC77" s="301"/>
      <c r="CD77" s="301"/>
      <c r="CE77" s="301"/>
      <c r="CF77" s="301"/>
      <c r="CG77" s="301"/>
      <c r="CH77" s="301"/>
      <c r="CI77" s="301"/>
      <c r="CJ77" s="301"/>
      <c r="CK77" s="301"/>
      <c r="CL77" s="301"/>
      <c r="CM77" s="301"/>
      <c r="CN77" s="301"/>
      <c r="CO77" s="301"/>
      <c r="CP77" s="301"/>
      <c r="CQ77" s="301"/>
      <c r="CR77" s="301"/>
      <c r="CS77" s="301"/>
      <c r="CT77" s="301"/>
      <c r="CU77" s="301"/>
      <c r="CV77" s="301"/>
      <c r="CW77" s="301"/>
      <c r="CX77" s="301"/>
      <c r="CY77" s="301"/>
      <c r="CZ77" s="301"/>
      <c r="DA77" s="301"/>
      <c r="DB77" s="301"/>
      <c r="DC77" s="301"/>
      <c r="DD77" s="301"/>
      <c r="DE77" s="301"/>
      <c r="DF77" s="301"/>
      <c r="DG77" s="301"/>
      <c r="DH77" s="301"/>
      <c r="DI77" s="301"/>
      <c r="DJ77" s="301"/>
      <c r="DK77" s="301"/>
      <c r="DL77" s="301"/>
      <c r="DM77" s="301"/>
      <c r="DN77" s="301"/>
      <c r="DO77" s="301"/>
      <c r="DP77" s="301"/>
      <c r="DQ77" s="301"/>
      <c r="DR77" s="301"/>
      <c r="DS77" s="301"/>
      <c r="DT77" s="301"/>
      <c r="DU77" s="301"/>
      <c r="DV77" s="301"/>
      <c r="DW77" s="301"/>
      <c r="DX77" s="301"/>
      <c r="DY77" s="301"/>
      <c r="DZ77" s="301"/>
      <c r="EA77" s="301"/>
      <c r="EB77" s="301"/>
      <c r="EC77" s="301"/>
      <c r="ED77" s="301"/>
      <c r="EE77" s="301"/>
      <c r="EF77" s="301"/>
      <c r="EG77" s="301"/>
      <c r="EH77" s="301"/>
      <c r="EI77" s="301"/>
      <c r="EJ77" s="301"/>
      <c r="EK77" s="301"/>
      <c r="EL77" s="301"/>
      <c r="EM77" s="301"/>
      <c r="EN77" s="301"/>
      <c r="EO77" s="301"/>
      <c r="EP77" s="301"/>
      <c r="EQ77" s="301"/>
      <c r="ER77" s="301"/>
      <c r="ES77" s="301"/>
      <c r="ET77" s="301"/>
      <c r="EU77" s="301"/>
      <c r="EV77" s="301"/>
      <c r="EW77" s="301"/>
      <c r="EX77" s="301"/>
      <c r="EY77" s="301"/>
      <c r="EZ77" s="301"/>
      <c r="FA77" s="301"/>
      <c r="FB77" s="301"/>
      <c r="FC77" s="301"/>
      <c r="FD77" s="301"/>
      <c r="FE77" s="301"/>
      <c r="FF77" s="301"/>
      <c r="FG77" s="301"/>
      <c r="FH77" s="301"/>
      <c r="FI77" s="301"/>
      <c r="FJ77" s="301"/>
      <c r="FK77" s="301"/>
      <c r="FL77" s="301"/>
      <c r="FM77" s="301"/>
      <c r="FN77" s="301"/>
      <c r="FO77" s="301"/>
      <c r="FP77" s="301"/>
      <c r="FQ77" s="301"/>
      <c r="FR77" s="301"/>
      <c r="FS77" s="301"/>
      <c r="FT77" s="301"/>
      <c r="FU77" s="301"/>
      <c r="FV77" s="301"/>
      <c r="FW77" s="301"/>
      <c r="FX77" s="301"/>
      <c r="FY77" s="301"/>
      <c r="FZ77" s="301"/>
      <c r="GA77" s="301"/>
      <c r="GB77" s="301"/>
      <c r="GC77" s="301"/>
      <c r="GD77" s="301"/>
      <c r="GE77" s="301"/>
      <c r="GF77" s="301"/>
      <c r="GG77" s="301"/>
      <c r="GH77" s="301"/>
      <c r="GI77" s="301"/>
      <c r="GJ77" s="301"/>
      <c r="GK77" s="301"/>
      <c r="GL77" s="301"/>
      <c r="GM77" s="301"/>
      <c r="GN77" s="301"/>
      <c r="GO77" s="301"/>
      <c r="GP77" s="301"/>
      <c r="GQ77" s="301"/>
      <c r="GR77" s="301"/>
      <c r="GS77" s="301"/>
      <c r="GT77" s="301"/>
      <c r="GU77" s="301"/>
      <c r="GV77" s="301"/>
      <c r="GW77" s="301"/>
      <c r="GX77" s="301"/>
      <c r="GY77" s="301"/>
      <c r="GZ77" s="301"/>
      <c r="HA77" s="301"/>
      <c r="HB77" s="301"/>
      <c r="HC77" s="301"/>
      <c r="HD77" s="301"/>
      <c r="HE77" s="301"/>
      <c r="HF77" s="301"/>
      <c r="HG77" s="301"/>
      <c r="HH77" s="301"/>
      <c r="HI77" s="301"/>
      <c r="HJ77" s="301"/>
      <c r="HK77" s="301"/>
      <c r="HL77" s="301"/>
      <c r="HM77" s="301"/>
      <c r="HN77" s="301"/>
      <c r="HO77" s="301"/>
      <c r="HP77" s="301"/>
      <c r="HQ77" s="301"/>
      <c r="HR77" s="301"/>
      <c r="HS77" s="301"/>
      <c r="HT77" s="301"/>
      <c r="HU77" s="301"/>
      <c r="HV77" s="301"/>
      <c r="HW77" s="301"/>
      <c r="HX77" s="301"/>
      <c r="HY77" s="301"/>
      <c r="HZ77" s="301"/>
      <c r="IA77" s="301"/>
      <c r="IB77" s="301"/>
      <c r="IC77" s="301"/>
      <c r="ID77" s="301"/>
      <c r="IE77" s="301"/>
      <c r="IF77" s="301"/>
      <c r="IG77" s="301"/>
      <c r="IH77" s="301"/>
      <c r="II77" s="301"/>
      <c r="IJ77" s="301"/>
      <c r="IK77" s="301"/>
      <c r="IL77" s="301"/>
      <c r="IM77" s="301"/>
      <c r="IN77" s="301"/>
      <c r="IO77" s="301"/>
      <c r="IP77" s="301"/>
      <c r="IQ77" s="301"/>
      <c r="IR77" s="301"/>
      <c r="IS77" s="301"/>
      <c r="IT77" s="301"/>
      <c r="IU77" s="301"/>
      <c r="IV77" s="301"/>
    </row>
    <row r="78" spans="1:256" ht="15">
      <c r="A78" s="301"/>
      <c r="B78" s="339"/>
      <c r="C78" s="346"/>
      <c r="D78" s="315"/>
      <c r="E78" s="340" t="s">
        <v>466</v>
      </c>
      <c r="F78" s="304"/>
      <c r="G78" s="304"/>
      <c r="H78" s="304"/>
      <c r="I78" s="329"/>
      <c r="J78" s="329"/>
      <c r="K78" s="323">
        <f>SUM(K75:K77)</f>
        <v>37212.350000000006</v>
      </c>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c r="AJ78" s="301"/>
      <c r="AK78" s="301"/>
      <c r="AL78" s="301"/>
      <c r="AM78" s="301"/>
      <c r="AN78" s="301"/>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301"/>
      <c r="BS78" s="301"/>
      <c r="BT78" s="301"/>
      <c r="BU78" s="301"/>
      <c r="BV78" s="301"/>
      <c r="BW78" s="301"/>
      <c r="BX78" s="301"/>
      <c r="BY78" s="301"/>
      <c r="BZ78" s="301"/>
      <c r="CA78" s="301"/>
      <c r="CB78" s="301"/>
      <c r="CC78" s="301"/>
      <c r="CD78" s="301"/>
      <c r="CE78" s="301"/>
      <c r="CF78" s="301"/>
      <c r="CG78" s="301"/>
      <c r="CH78" s="301"/>
      <c r="CI78" s="301"/>
      <c r="CJ78" s="301"/>
      <c r="CK78" s="301"/>
      <c r="CL78" s="301"/>
      <c r="CM78" s="301"/>
      <c r="CN78" s="301"/>
      <c r="CO78" s="301"/>
      <c r="CP78" s="301"/>
      <c r="CQ78" s="301"/>
      <c r="CR78" s="301"/>
      <c r="CS78" s="301"/>
      <c r="CT78" s="301"/>
      <c r="CU78" s="301"/>
      <c r="CV78" s="301"/>
      <c r="CW78" s="301"/>
      <c r="CX78" s="301"/>
      <c r="CY78" s="301"/>
      <c r="CZ78" s="301"/>
      <c r="DA78" s="301"/>
      <c r="DB78" s="301"/>
      <c r="DC78" s="301"/>
      <c r="DD78" s="301"/>
      <c r="DE78" s="301"/>
      <c r="DF78" s="301"/>
      <c r="DG78" s="301"/>
      <c r="DH78" s="301"/>
      <c r="DI78" s="301"/>
      <c r="DJ78" s="301"/>
      <c r="DK78" s="301"/>
      <c r="DL78" s="301"/>
      <c r="DM78" s="301"/>
      <c r="DN78" s="301"/>
      <c r="DO78" s="301"/>
      <c r="DP78" s="301"/>
      <c r="DQ78" s="301"/>
      <c r="DR78" s="301"/>
      <c r="DS78" s="301"/>
      <c r="DT78" s="301"/>
      <c r="DU78" s="301"/>
      <c r="DV78" s="301"/>
      <c r="DW78" s="301"/>
      <c r="DX78" s="301"/>
      <c r="DY78" s="301"/>
      <c r="DZ78" s="301"/>
      <c r="EA78" s="301"/>
      <c r="EB78" s="301"/>
      <c r="EC78" s="301"/>
      <c r="ED78" s="301"/>
      <c r="EE78" s="301"/>
      <c r="EF78" s="301"/>
      <c r="EG78" s="301"/>
      <c r="EH78" s="301"/>
      <c r="EI78" s="301"/>
      <c r="EJ78" s="301"/>
      <c r="EK78" s="301"/>
      <c r="EL78" s="301"/>
      <c r="EM78" s="301"/>
      <c r="EN78" s="301"/>
      <c r="EO78" s="301"/>
      <c r="EP78" s="301"/>
      <c r="EQ78" s="301"/>
      <c r="ER78" s="301"/>
      <c r="ES78" s="301"/>
      <c r="ET78" s="301"/>
      <c r="EU78" s="301"/>
      <c r="EV78" s="301"/>
      <c r="EW78" s="301"/>
      <c r="EX78" s="301"/>
      <c r="EY78" s="301"/>
      <c r="EZ78" s="301"/>
      <c r="FA78" s="301"/>
      <c r="FB78" s="301"/>
      <c r="FC78" s="301"/>
      <c r="FD78" s="301"/>
      <c r="FE78" s="301"/>
      <c r="FF78" s="301"/>
      <c r="FG78" s="301"/>
      <c r="FH78" s="301"/>
      <c r="FI78" s="301"/>
      <c r="FJ78" s="301"/>
      <c r="FK78" s="301"/>
      <c r="FL78" s="301"/>
      <c r="FM78" s="301"/>
      <c r="FN78" s="301"/>
      <c r="FO78" s="301"/>
      <c r="FP78" s="301"/>
      <c r="FQ78" s="301"/>
      <c r="FR78" s="301"/>
      <c r="FS78" s="301"/>
      <c r="FT78" s="301"/>
      <c r="FU78" s="301"/>
      <c r="FV78" s="301"/>
      <c r="FW78" s="301"/>
      <c r="FX78" s="301"/>
      <c r="FY78" s="301"/>
      <c r="FZ78" s="301"/>
      <c r="GA78" s="301"/>
      <c r="GB78" s="301"/>
      <c r="GC78" s="301"/>
      <c r="GD78" s="301"/>
      <c r="GE78" s="301"/>
      <c r="GF78" s="301"/>
      <c r="GG78" s="301"/>
      <c r="GH78" s="301"/>
      <c r="GI78" s="301"/>
      <c r="GJ78" s="301"/>
      <c r="GK78" s="301"/>
      <c r="GL78" s="301"/>
      <c r="GM78" s="301"/>
      <c r="GN78" s="301"/>
      <c r="GO78" s="301"/>
      <c r="GP78" s="301"/>
      <c r="GQ78" s="301"/>
      <c r="GR78" s="301"/>
      <c r="GS78" s="301"/>
      <c r="GT78" s="301"/>
      <c r="GU78" s="301"/>
      <c r="GV78" s="301"/>
      <c r="GW78" s="301"/>
      <c r="GX78" s="301"/>
      <c r="GY78" s="301"/>
      <c r="GZ78" s="301"/>
      <c r="HA78" s="301"/>
      <c r="HB78" s="301"/>
      <c r="HC78" s="301"/>
      <c r="HD78" s="301"/>
      <c r="HE78" s="301"/>
      <c r="HF78" s="301"/>
      <c r="HG78" s="301"/>
      <c r="HH78" s="301"/>
      <c r="HI78" s="301"/>
      <c r="HJ78" s="301"/>
      <c r="HK78" s="301"/>
      <c r="HL78" s="301"/>
      <c r="HM78" s="301"/>
      <c r="HN78" s="301"/>
      <c r="HO78" s="301"/>
      <c r="HP78" s="301"/>
      <c r="HQ78" s="301"/>
      <c r="HR78" s="301"/>
      <c r="HS78" s="301"/>
      <c r="HT78" s="301"/>
      <c r="HU78" s="301"/>
      <c r="HV78" s="301"/>
      <c r="HW78" s="301"/>
      <c r="HX78" s="301"/>
      <c r="HY78" s="301"/>
      <c r="HZ78" s="301"/>
      <c r="IA78" s="301"/>
      <c r="IB78" s="301"/>
      <c r="IC78" s="301"/>
      <c r="ID78" s="301"/>
      <c r="IE78" s="301"/>
      <c r="IF78" s="301"/>
      <c r="IG78" s="301"/>
      <c r="IH78" s="301"/>
      <c r="II78" s="301"/>
      <c r="IJ78" s="301"/>
      <c r="IK78" s="301"/>
      <c r="IL78" s="301"/>
      <c r="IM78" s="301"/>
      <c r="IN78" s="301"/>
      <c r="IO78" s="301"/>
      <c r="IP78" s="301"/>
      <c r="IQ78" s="301"/>
      <c r="IR78" s="301"/>
      <c r="IS78" s="301"/>
      <c r="IT78" s="301"/>
      <c r="IU78" s="301"/>
      <c r="IV78" s="301"/>
    </row>
    <row r="79" spans="1:256" ht="15">
      <c r="A79" s="301"/>
      <c r="B79" s="339"/>
      <c r="C79" s="341" t="s">
        <v>843</v>
      </c>
      <c r="D79" s="342" t="s">
        <v>424</v>
      </c>
      <c r="E79" s="304"/>
      <c r="F79" s="304"/>
      <c r="G79" s="304"/>
      <c r="H79" s="304"/>
      <c r="I79" s="329"/>
      <c r="J79" s="329"/>
      <c r="K79" s="329"/>
      <c r="L79" s="301"/>
      <c r="M79" s="301"/>
      <c r="N79" s="301"/>
      <c r="O79" s="301"/>
      <c r="P79" s="301"/>
      <c r="Q79" s="301"/>
      <c r="R79" s="301"/>
      <c r="S79" s="301"/>
      <c r="T79" s="301"/>
      <c r="U79" s="301"/>
      <c r="V79" s="301"/>
      <c r="W79" s="301"/>
      <c r="X79" s="301"/>
      <c r="Y79" s="301"/>
      <c r="Z79" s="301"/>
      <c r="AA79" s="301"/>
      <c r="AB79" s="301"/>
      <c r="AC79" s="301"/>
      <c r="AD79" s="301"/>
      <c r="AE79" s="301"/>
      <c r="AF79" s="301"/>
      <c r="AG79" s="301"/>
      <c r="AH79" s="301"/>
      <c r="AI79" s="301"/>
      <c r="AJ79" s="301"/>
      <c r="AK79" s="301"/>
      <c r="AL79" s="301"/>
      <c r="AM79" s="301"/>
      <c r="AN79" s="301"/>
      <c r="AO79" s="301"/>
      <c r="AP79" s="301"/>
      <c r="AQ79" s="301"/>
      <c r="AR79" s="301"/>
      <c r="AS79" s="301"/>
      <c r="AT79" s="301"/>
      <c r="AU79" s="301"/>
      <c r="AV79" s="301"/>
      <c r="AW79" s="301"/>
      <c r="AX79" s="301"/>
      <c r="AY79" s="301"/>
      <c r="AZ79" s="301"/>
      <c r="BA79" s="301"/>
      <c r="BB79" s="301"/>
      <c r="BC79" s="301"/>
      <c r="BD79" s="301"/>
      <c r="BE79" s="301"/>
      <c r="BF79" s="301"/>
      <c r="BG79" s="301"/>
      <c r="BH79" s="301"/>
      <c r="BI79" s="301"/>
      <c r="BJ79" s="301"/>
      <c r="BK79" s="301"/>
      <c r="BL79" s="301"/>
      <c r="BM79" s="301"/>
      <c r="BN79" s="301"/>
      <c r="BO79" s="301"/>
      <c r="BP79" s="301"/>
      <c r="BQ79" s="301"/>
      <c r="BR79" s="301"/>
      <c r="BS79" s="301"/>
      <c r="BT79" s="301"/>
      <c r="BU79" s="301"/>
      <c r="BV79" s="301"/>
      <c r="BW79" s="301"/>
      <c r="BX79" s="301"/>
      <c r="BY79" s="301"/>
      <c r="BZ79" s="301"/>
      <c r="CA79" s="301"/>
      <c r="CB79" s="301"/>
      <c r="CC79" s="301"/>
      <c r="CD79" s="301"/>
      <c r="CE79" s="301"/>
      <c r="CF79" s="301"/>
      <c r="CG79" s="301"/>
      <c r="CH79" s="301"/>
      <c r="CI79" s="301"/>
      <c r="CJ79" s="301"/>
      <c r="CK79" s="301"/>
      <c r="CL79" s="301"/>
      <c r="CM79" s="301"/>
      <c r="CN79" s="301"/>
      <c r="CO79" s="301"/>
      <c r="CP79" s="301"/>
      <c r="CQ79" s="301"/>
      <c r="CR79" s="301"/>
      <c r="CS79" s="301"/>
      <c r="CT79" s="301"/>
      <c r="CU79" s="301"/>
      <c r="CV79" s="301"/>
      <c r="CW79" s="301"/>
      <c r="CX79" s="301"/>
      <c r="CY79" s="301"/>
      <c r="CZ79" s="301"/>
      <c r="DA79" s="301"/>
      <c r="DB79" s="301"/>
      <c r="DC79" s="301"/>
      <c r="DD79" s="301"/>
      <c r="DE79" s="301"/>
      <c r="DF79" s="301"/>
      <c r="DG79" s="301"/>
      <c r="DH79" s="301"/>
      <c r="DI79" s="301"/>
      <c r="DJ79" s="301"/>
      <c r="DK79" s="301"/>
      <c r="DL79" s="301"/>
      <c r="DM79" s="301"/>
      <c r="DN79" s="301"/>
      <c r="DO79" s="301"/>
      <c r="DP79" s="301"/>
      <c r="DQ79" s="301"/>
      <c r="DR79" s="301"/>
      <c r="DS79" s="301"/>
      <c r="DT79" s="301"/>
      <c r="DU79" s="301"/>
      <c r="DV79" s="301"/>
      <c r="DW79" s="301"/>
      <c r="DX79" s="301"/>
      <c r="DY79" s="301"/>
      <c r="DZ79" s="301"/>
      <c r="EA79" s="301"/>
      <c r="EB79" s="301"/>
      <c r="EC79" s="301"/>
      <c r="ED79" s="301"/>
      <c r="EE79" s="301"/>
      <c r="EF79" s="301"/>
      <c r="EG79" s="301"/>
      <c r="EH79" s="301"/>
      <c r="EI79" s="301"/>
      <c r="EJ79" s="301"/>
      <c r="EK79" s="301"/>
      <c r="EL79" s="301"/>
      <c r="EM79" s="301"/>
      <c r="EN79" s="301"/>
      <c r="EO79" s="301"/>
      <c r="EP79" s="301"/>
      <c r="EQ79" s="301"/>
      <c r="ER79" s="301"/>
      <c r="ES79" s="301"/>
      <c r="ET79" s="301"/>
      <c r="EU79" s="301"/>
      <c r="EV79" s="301"/>
      <c r="EW79" s="301"/>
      <c r="EX79" s="301"/>
      <c r="EY79" s="301"/>
      <c r="EZ79" s="301"/>
      <c r="FA79" s="301"/>
      <c r="FB79" s="301"/>
      <c r="FC79" s="301"/>
      <c r="FD79" s="301"/>
      <c r="FE79" s="301"/>
      <c r="FF79" s="301"/>
      <c r="FG79" s="301"/>
      <c r="FH79" s="301"/>
      <c r="FI79" s="301"/>
      <c r="FJ79" s="301"/>
      <c r="FK79" s="301"/>
      <c r="FL79" s="301"/>
      <c r="FM79" s="301"/>
      <c r="FN79" s="301"/>
      <c r="FO79" s="301"/>
      <c r="FP79" s="301"/>
      <c r="FQ79" s="301"/>
      <c r="FR79" s="301"/>
      <c r="FS79" s="301"/>
      <c r="FT79" s="301"/>
      <c r="FU79" s="301"/>
      <c r="FV79" s="301"/>
      <c r="FW79" s="301"/>
      <c r="FX79" s="301"/>
      <c r="FY79" s="301"/>
      <c r="FZ79" s="301"/>
      <c r="GA79" s="301"/>
      <c r="GB79" s="301"/>
      <c r="GC79" s="301"/>
      <c r="GD79" s="301"/>
      <c r="GE79" s="301"/>
      <c r="GF79" s="301"/>
      <c r="GG79" s="301"/>
      <c r="GH79" s="301"/>
      <c r="GI79" s="301"/>
      <c r="GJ79" s="301"/>
      <c r="GK79" s="301"/>
      <c r="GL79" s="301"/>
      <c r="GM79" s="301"/>
      <c r="GN79" s="301"/>
      <c r="GO79" s="301"/>
      <c r="GP79" s="301"/>
      <c r="GQ79" s="301"/>
      <c r="GR79" s="301"/>
      <c r="GS79" s="301"/>
      <c r="GT79" s="301"/>
      <c r="GU79" s="301"/>
      <c r="GV79" s="301"/>
      <c r="GW79" s="301"/>
      <c r="GX79" s="301"/>
      <c r="GY79" s="301"/>
      <c r="GZ79" s="301"/>
      <c r="HA79" s="301"/>
      <c r="HB79" s="301"/>
      <c r="HC79" s="301"/>
      <c r="HD79" s="301"/>
      <c r="HE79" s="301"/>
      <c r="HF79" s="301"/>
      <c r="HG79" s="301"/>
      <c r="HH79" s="301"/>
      <c r="HI79" s="301"/>
      <c r="HJ79" s="301"/>
      <c r="HK79" s="301"/>
      <c r="HL79" s="301"/>
      <c r="HM79" s="301"/>
      <c r="HN79" s="301"/>
      <c r="HO79" s="301"/>
      <c r="HP79" s="301"/>
      <c r="HQ79" s="301"/>
      <c r="HR79" s="301"/>
      <c r="HS79" s="301"/>
      <c r="HT79" s="301"/>
      <c r="HU79" s="301"/>
      <c r="HV79" s="301"/>
      <c r="HW79" s="301"/>
      <c r="HX79" s="301"/>
      <c r="HY79" s="301"/>
      <c r="HZ79" s="301"/>
      <c r="IA79" s="301"/>
      <c r="IB79" s="301"/>
      <c r="IC79" s="301"/>
      <c r="ID79" s="301"/>
      <c r="IE79" s="301"/>
      <c r="IF79" s="301"/>
      <c r="IG79" s="301"/>
      <c r="IH79" s="301"/>
      <c r="II79" s="301"/>
      <c r="IJ79" s="301"/>
      <c r="IK79" s="301"/>
      <c r="IL79" s="301"/>
      <c r="IM79" s="301"/>
      <c r="IN79" s="301"/>
      <c r="IO79" s="301"/>
      <c r="IP79" s="301"/>
      <c r="IQ79" s="301"/>
      <c r="IR79" s="301"/>
      <c r="IS79" s="301"/>
      <c r="IT79" s="301"/>
      <c r="IU79" s="301"/>
      <c r="IV79" s="301"/>
    </row>
    <row r="80" spans="1:256" ht="15">
      <c r="A80" s="301"/>
      <c r="B80" s="339"/>
      <c r="C80" s="320">
        <v>6</v>
      </c>
      <c r="D80" s="343" t="s">
        <v>818</v>
      </c>
      <c r="E80" s="340" t="s">
        <v>844</v>
      </c>
      <c r="F80" s="304"/>
      <c r="G80" s="304"/>
      <c r="H80" s="304"/>
      <c r="I80" s="329">
        <f>'C-data'!H208</f>
        <v>465.5</v>
      </c>
      <c r="J80" s="329" t="s">
        <v>818</v>
      </c>
      <c r="K80" s="329">
        <f>ROUND(C80*I80,2)</f>
        <v>2793</v>
      </c>
      <c r="L80" s="301"/>
      <c r="M80" s="301"/>
      <c r="N80" s="301"/>
      <c r="O80" s="301"/>
      <c r="P80" s="301"/>
      <c r="Q80" s="301"/>
      <c r="R80" s="301"/>
      <c r="S80" s="301"/>
      <c r="T80" s="301"/>
      <c r="U80" s="301"/>
      <c r="V80" s="301"/>
      <c r="W80" s="301"/>
      <c r="X80" s="301"/>
      <c r="Y80" s="301"/>
      <c r="Z80" s="301"/>
      <c r="AA80" s="301"/>
      <c r="AB80" s="301"/>
      <c r="AC80" s="301"/>
      <c r="AD80" s="301"/>
      <c r="AE80" s="301"/>
      <c r="AF80" s="301"/>
      <c r="AG80" s="301"/>
      <c r="AH80" s="301"/>
      <c r="AI80" s="301"/>
      <c r="AJ80" s="301"/>
      <c r="AK80" s="301"/>
      <c r="AL80" s="301"/>
      <c r="AM80" s="301"/>
      <c r="AN80" s="301"/>
      <c r="AO80" s="301"/>
      <c r="AP80" s="301"/>
      <c r="AQ80" s="301"/>
      <c r="AR80" s="301"/>
      <c r="AS80" s="301"/>
      <c r="AT80" s="301"/>
      <c r="AU80" s="301"/>
      <c r="AV80" s="301"/>
      <c r="AW80" s="301"/>
      <c r="AX80" s="301"/>
      <c r="AY80" s="301"/>
      <c r="AZ80" s="301"/>
      <c r="BA80" s="301"/>
      <c r="BB80" s="301"/>
      <c r="BC80" s="301"/>
      <c r="BD80" s="301"/>
      <c r="BE80" s="301"/>
      <c r="BF80" s="301"/>
      <c r="BG80" s="301"/>
      <c r="BH80" s="301"/>
      <c r="BI80" s="301"/>
      <c r="BJ80" s="301"/>
      <c r="BK80" s="301"/>
      <c r="BL80" s="301"/>
      <c r="BM80" s="301"/>
      <c r="BN80" s="301"/>
      <c r="BO80" s="301"/>
      <c r="BP80" s="301"/>
      <c r="BQ80" s="301"/>
      <c r="BR80" s="301"/>
      <c r="BS80" s="301"/>
      <c r="BT80" s="301"/>
      <c r="BU80" s="301"/>
      <c r="BV80" s="301"/>
      <c r="BW80" s="301"/>
      <c r="BX80" s="301"/>
      <c r="BY80" s="301"/>
      <c r="BZ80" s="301"/>
      <c r="CA80" s="301"/>
      <c r="CB80" s="301"/>
      <c r="CC80" s="301"/>
      <c r="CD80" s="301"/>
      <c r="CE80" s="301"/>
      <c r="CF80" s="301"/>
      <c r="CG80" s="301"/>
      <c r="CH80" s="301"/>
      <c r="CI80" s="301"/>
      <c r="CJ80" s="301"/>
      <c r="CK80" s="301"/>
      <c r="CL80" s="301"/>
      <c r="CM80" s="301"/>
      <c r="CN80" s="301"/>
      <c r="CO80" s="301"/>
      <c r="CP80" s="301"/>
      <c r="CQ80" s="301"/>
      <c r="CR80" s="301"/>
      <c r="CS80" s="301"/>
      <c r="CT80" s="301"/>
      <c r="CU80" s="301"/>
      <c r="CV80" s="301"/>
      <c r="CW80" s="301"/>
      <c r="CX80" s="301"/>
      <c r="CY80" s="301"/>
      <c r="CZ80" s="301"/>
      <c r="DA80" s="301"/>
      <c r="DB80" s="301"/>
      <c r="DC80" s="301"/>
      <c r="DD80" s="301"/>
      <c r="DE80" s="301"/>
      <c r="DF80" s="301"/>
      <c r="DG80" s="301"/>
      <c r="DH80" s="301"/>
      <c r="DI80" s="301"/>
      <c r="DJ80" s="301"/>
      <c r="DK80" s="301"/>
      <c r="DL80" s="301"/>
      <c r="DM80" s="301"/>
      <c r="DN80" s="301"/>
      <c r="DO80" s="301"/>
      <c r="DP80" s="301"/>
      <c r="DQ80" s="301"/>
      <c r="DR80" s="301"/>
      <c r="DS80" s="301"/>
      <c r="DT80" s="301"/>
      <c r="DU80" s="301"/>
      <c r="DV80" s="301"/>
      <c r="DW80" s="301"/>
      <c r="DX80" s="301"/>
      <c r="DY80" s="301"/>
      <c r="DZ80" s="301"/>
      <c r="EA80" s="301"/>
      <c r="EB80" s="301"/>
      <c r="EC80" s="301"/>
      <c r="ED80" s="301"/>
      <c r="EE80" s="301"/>
      <c r="EF80" s="301"/>
      <c r="EG80" s="301"/>
      <c r="EH80" s="301"/>
      <c r="EI80" s="301"/>
      <c r="EJ80" s="301"/>
      <c r="EK80" s="301"/>
      <c r="EL80" s="301"/>
      <c r="EM80" s="301"/>
      <c r="EN80" s="301"/>
      <c r="EO80" s="301"/>
      <c r="EP80" s="301"/>
      <c r="EQ80" s="301"/>
      <c r="ER80" s="301"/>
      <c r="ES80" s="301"/>
      <c r="ET80" s="301"/>
      <c r="EU80" s="301"/>
      <c r="EV80" s="301"/>
      <c r="EW80" s="301"/>
      <c r="EX80" s="301"/>
      <c r="EY80" s="301"/>
      <c r="EZ80" s="301"/>
      <c r="FA80" s="301"/>
      <c r="FB80" s="301"/>
      <c r="FC80" s="301"/>
      <c r="FD80" s="301"/>
      <c r="FE80" s="301"/>
      <c r="FF80" s="301"/>
      <c r="FG80" s="301"/>
      <c r="FH80" s="301"/>
      <c r="FI80" s="301"/>
      <c r="FJ80" s="301"/>
      <c r="FK80" s="301"/>
      <c r="FL80" s="301"/>
      <c r="FM80" s="301"/>
      <c r="FN80" s="301"/>
      <c r="FO80" s="301"/>
      <c r="FP80" s="301"/>
      <c r="FQ80" s="301"/>
      <c r="FR80" s="301"/>
      <c r="FS80" s="301"/>
      <c r="FT80" s="301"/>
      <c r="FU80" s="301"/>
      <c r="FV80" s="301"/>
      <c r="FW80" s="301"/>
      <c r="FX80" s="301"/>
      <c r="FY80" s="301"/>
      <c r="FZ80" s="301"/>
      <c r="GA80" s="301"/>
      <c r="GB80" s="301"/>
      <c r="GC80" s="301"/>
      <c r="GD80" s="301"/>
      <c r="GE80" s="301"/>
      <c r="GF80" s="301"/>
      <c r="GG80" s="301"/>
      <c r="GH80" s="301"/>
      <c r="GI80" s="301"/>
      <c r="GJ80" s="301"/>
      <c r="GK80" s="301"/>
      <c r="GL80" s="301"/>
      <c r="GM80" s="301"/>
      <c r="GN80" s="301"/>
      <c r="GO80" s="301"/>
      <c r="GP80" s="301"/>
      <c r="GQ80" s="301"/>
      <c r="GR80" s="301"/>
      <c r="GS80" s="301"/>
      <c r="GT80" s="301"/>
      <c r="GU80" s="301"/>
      <c r="GV80" s="301"/>
      <c r="GW80" s="301"/>
      <c r="GX80" s="301"/>
      <c r="GY80" s="301"/>
      <c r="GZ80" s="301"/>
      <c r="HA80" s="301"/>
      <c r="HB80" s="301"/>
      <c r="HC80" s="301"/>
      <c r="HD80" s="301"/>
      <c r="HE80" s="301"/>
      <c r="HF80" s="301"/>
      <c r="HG80" s="301"/>
      <c r="HH80" s="301"/>
      <c r="HI80" s="301"/>
      <c r="HJ80" s="301"/>
      <c r="HK80" s="301"/>
      <c r="HL80" s="301"/>
      <c r="HM80" s="301"/>
      <c r="HN80" s="301"/>
      <c r="HO80" s="301"/>
      <c r="HP80" s="301"/>
      <c r="HQ80" s="301"/>
      <c r="HR80" s="301"/>
      <c r="HS80" s="301"/>
      <c r="HT80" s="301"/>
      <c r="HU80" s="301"/>
      <c r="HV80" s="301"/>
      <c r="HW80" s="301"/>
      <c r="HX80" s="301"/>
      <c r="HY80" s="301"/>
      <c r="HZ80" s="301"/>
      <c r="IA80" s="301"/>
      <c r="IB80" s="301"/>
      <c r="IC80" s="301"/>
      <c r="ID80" s="301"/>
      <c r="IE80" s="301"/>
      <c r="IF80" s="301"/>
      <c r="IG80" s="301"/>
      <c r="IH80" s="301"/>
      <c r="II80" s="301"/>
      <c r="IJ80" s="301"/>
      <c r="IK80" s="301"/>
      <c r="IL80" s="301"/>
      <c r="IM80" s="301"/>
      <c r="IN80" s="301"/>
      <c r="IO80" s="301"/>
      <c r="IP80" s="301"/>
      <c r="IQ80" s="301"/>
      <c r="IR80" s="301"/>
      <c r="IS80" s="301"/>
      <c r="IT80" s="301"/>
      <c r="IU80" s="301"/>
      <c r="IV80" s="301"/>
    </row>
    <row r="81" spans="1:256" ht="15" hidden="1">
      <c r="A81" s="301"/>
      <c r="B81" s="339"/>
      <c r="C81" s="320">
        <v>0</v>
      </c>
      <c r="D81" s="343" t="s">
        <v>818</v>
      </c>
      <c r="E81" s="340" t="s">
        <v>845</v>
      </c>
      <c r="F81" s="304"/>
      <c r="G81" s="304"/>
      <c r="H81" s="304"/>
      <c r="I81" s="329">
        <v>620</v>
      </c>
      <c r="J81" s="329" t="s">
        <v>818</v>
      </c>
      <c r="K81" s="329">
        <f>ROUND(C81*I81,2)</f>
        <v>0</v>
      </c>
      <c r="L81" s="301"/>
      <c r="M81" s="301"/>
      <c r="N81" s="301"/>
      <c r="O81" s="301"/>
      <c r="P81" s="301"/>
      <c r="Q81" s="301"/>
      <c r="R81" s="301"/>
      <c r="S81" s="301"/>
      <c r="T81" s="301"/>
      <c r="U81" s="301"/>
      <c r="V81" s="301"/>
      <c r="W81" s="301"/>
      <c r="X81" s="301"/>
      <c r="Y81" s="301"/>
      <c r="Z81" s="301"/>
      <c r="AA81" s="301"/>
      <c r="AB81" s="301"/>
      <c r="AC81" s="301"/>
      <c r="AD81" s="301"/>
      <c r="AE81" s="301"/>
      <c r="AF81" s="301"/>
      <c r="AG81" s="301"/>
      <c r="AH81" s="301"/>
      <c r="AI81" s="301"/>
      <c r="AJ81" s="301"/>
      <c r="AK81" s="301"/>
      <c r="AL81" s="301"/>
      <c r="AM81" s="301"/>
      <c r="AN81" s="301"/>
      <c r="AO81" s="301"/>
      <c r="AP81" s="301"/>
      <c r="AQ81" s="301"/>
      <c r="AR81" s="301"/>
      <c r="AS81" s="301"/>
      <c r="AT81" s="301"/>
      <c r="AU81" s="301"/>
      <c r="AV81" s="301"/>
      <c r="AW81" s="301"/>
      <c r="AX81" s="301"/>
      <c r="AY81" s="301"/>
      <c r="AZ81" s="301"/>
      <c r="BA81" s="301"/>
      <c r="BB81" s="301"/>
      <c r="BC81" s="301"/>
      <c r="BD81" s="301"/>
      <c r="BE81" s="301"/>
      <c r="BF81" s="301"/>
      <c r="BG81" s="301"/>
      <c r="BH81" s="301"/>
      <c r="BI81" s="301"/>
      <c r="BJ81" s="301"/>
      <c r="BK81" s="301"/>
      <c r="BL81" s="301"/>
      <c r="BM81" s="301"/>
      <c r="BN81" s="301"/>
      <c r="BO81" s="301"/>
      <c r="BP81" s="301"/>
      <c r="BQ81" s="301"/>
      <c r="BR81" s="301"/>
      <c r="BS81" s="301"/>
      <c r="BT81" s="301"/>
      <c r="BU81" s="301"/>
      <c r="BV81" s="301"/>
      <c r="BW81" s="301"/>
      <c r="BX81" s="301"/>
      <c r="BY81" s="301"/>
      <c r="BZ81" s="301"/>
      <c r="CA81" s="301"/>
      <c r="CB81" s="301"/>
      <c r="CC81" s="301"/>
      <c r="CD81" s="301"/>
      <c r="CE81" s="301"/>
      <c r="CF81" s="301"/>
      <c r="CG81" s="301"/>
      <c r="CH81" s="301"/>
      <c r="CI81" s="301"/>
      <c r="CJ81" s="301"/>
      <c r="CK81" s="301"/>
      <c r="CL81" s="301"/>
      <c r="CM81" s="301"/>
      <c r="CN81" s="301"/>
      <c r="CO81" s="301"/>
      <c r="CP81" s="301"/>
      <c r="CQ81" s="301"/>
      <c r="CR81" s="301"/>
      <c r="CS81" s="301"/>
      <c r="CT81" s="301"/>
      <c r="CU81" s="301"/>
      <c r="CV81" s="301"/>
      <c r="CW81" s="301"/>
      <c r="CX81" s="301"/>
      <c r="CY81" s="301"/>
      <c r="CZ81" s="301"/>
      <c r="DA81" s="301"/>
      <c r="DB81" s="301"/>
      <c r="DC81" s="301"/>
      <c r="DD81" s="301"/>
      <c r="DE81" s="301"/>
      <c r="DF81" s="301"/>
      <c r="DG81" s="301"/>
      <c r="DH81" s="301"/>
      <c r="DI81" s="301"/>
      <c r="DJ81" s="301"/>
      <c r="DK81" s="301"/>
      <c r="DL81" s="301"/>
      <c r="DM81" s="301"/>
      <c r="DN81" s="301"/>
      <c r="DO81" s="301"/>
      <c r="DP81" s="301"/>
      <c r="DQ81" s="301"/>
      <c r="DR81" s="301"/>
      <c r="DS81" s="301"/>
      <c r="DT81" s="301"/>
      <c r="DU81" s="301"/>
      <c r="DV81" s="301"/>
      <c r="DW81" s="301"/>
      <c r="DX81" s="301"/>
      <c r="DY81" s="301"/>
      <c r="DZ81" s="301"/>
      <c r="EA81" s="301"/>
      <c r="EB81" s="301"/>
      <c r="EC81" s="301"/>
      <c r="ED81" s="301"/>
      <c r="EE81" s="301"/>
      <c r="EF81" s="301"/>
      <c r="EG81" s="301"/>
      <c r="EH81" s="301"/>
      <c r="EI81" s="301"/>
      <c r="EJ81" s="301"/>
      <c r="EK81" s="301"/>
      <c r="EL81" s="301"/>
      <c r="EM81" s="301"/>
      <c r="EN81" s="301"/>
      <c r="EO81" s="301"/>
      <c r="EP81" s="301"/>
      <c r="EQ81" s="301"/>
      <c r="ER81" s="301"/>
      <c r="ES81" s="301"/>
      <c r="ET81" s="301"/>
      <c r="EU81" s="301"/>
      <c r="EV81" s="301"/>
      <c r="EW81" s="301"/>
      <c r="EX81" s="301"/>
      <c r="EY81" s="301"/>
      <c r="EZ81" s="301"/>
      <c r="FA81" s="301"/>
      <c r="FB81" s="301"/>
      <c r="FC81" s="301"/>
      <c r="FD81" s="301"/>
      <c r="FE81" s="301"/>
      <c r="FF81" s="301"/>
      <c r="FG81" s="301"/>
      <c r="FH81" s="301"/>
      <c r="FI81" s="301"/>
      <c r="FJ81" s="301"/>
      <c r="FK81" s="301"/>
      <c r="FL81" s="301"/>
      <c r="FM81" s="301"/>
      <c r="FN81" s="301"/>
      <c r="FO81" s="301"/>
      <c r="FP81" s="301"/>
      <c r="FQ81" s="301"/>
      <c r="FR81" s="301"/>
      <c r="FS81" s="301"/>
      <c r="FT81" s="301"/>
      <c r="FU81" s="301"/>
      <c r="FV81" s="301"/>
      <c r="FW81" s="301"/>
      <c r="FX81" s="301"/>
      <c r="FY81" s="301"/>
      <c r="FZ81" s="301"/>
      <c r="GA81" s="301"/>
      <c r="GB81" s="301"/>
      <c r="GC81" s="301"/>
      <c r="GD81" s="301"/>
      <c r="GE81" s="301"/>
      <c r="GF81" s="301"/>
      <c r="GG81" s="301"/>
      <c r="GH81" s="301"/>
      <c r="GI81" s="301"/>
      <c r="GJ81" s="301"/>
      <c r="GK81" s="301"/>
      <c r="GL81" s="301"/>
      <c r="GM81" s="301"/>
      <c r="GN81" s="301"/>
      <c r="GO81" s="301"/>
      <c r="GP81" s="301"/>
      <c r="GQ81" s="301"/>
      <c r="GR81" s="301"/>
      <c r="GS81" s="301"/>
      <c r="GT81" s="301"/>
      <c r="GU81" s="301"/>
      <c r="GV81" s="301"/>
      <c r="GW81" s="301"/>
      <c r="GX81" s="301"/>
      <c r="GY81" s="301"/>
      <c r="GZ81" s="301"/>
      <c r="HA81" s="301"/>
      <c r="HB81" s="301"/>
      <c r="HC81" s="301"/>
      <c r="HD81" s="301"/>
      <c r="HE81" s="301"/>
      <c r="HF81" s="301"/>
      <c r="HG81" s="301"/>
      <c r="HH81" s="301"/>
      <c r="HI81" s="301"/>
      <c r="HJ81" s="301"/>
      <c r="HK81" s="301"/>
      <c r="HL81" s="301"/>
      <c r="HM81" s="301"/>
      <c r="HN81" s="301"/>
      <c r="HO81" s="301"/>
      <c r="HP81" s="301"/>
      <c r="HQ81" s="301"/>
      <c r="HR81" s="301"/>
      <c r="HS81" s="301"/>
      <c r="HT81" s="301"/>
      <c r="HU81" s="301"/>
      <c r="HV81" s="301"/>
      <c r="HW81" s="301"/>
      <c r="HX81" s="301"/>
      <c r="HY81" s="301"/>
      <c r="HZ81" s="301"/>
      <c r="IA81" s="301"/>
      <c r="IB81" s="301"/>
      <c r="IC81" s="301"/>
      <c r="ID81" s="301"/>
      <c r="IE81" s="301"/>
      <c r="IF81" s="301"/>
      <c r="IG81" s="301"/>
      <c r="IH81" s="301"/>
      <c r="II81" s="301"/>
      <c r="IJ81" s="301"/>
      <c r="IK81" s="301"/>
      <c r="IL81" s="301"/>
      <c r="IM81" s="301"/>
      <c r="IN81" s="301"/>
      <c r="IO81" s="301"/>
      <c r="IP81" s="301"/>
      <c r="IQ81" s="301"/>
      <c r="IR81" s="301"/>
      <c r="IS81" s="301"/>
      <c r="IT81" s="301"/>
      <c r="IU81" s="301"/>
      <c r="IV81" s="301"/>
    </row>
    <row r="82" spans="1:256" ht="15">
      <c r="A82" s="347"/>
      <c r="B82" s="348"/>
      <c r="C82" s="349">
        <v>2</v>
      </c>
      <c r="D82" s="350" t="s">
        <v>818</v>
      </c>
      <c r="E82" s="340" t="s">
        <v>820</v>
      </c>
      <c r="F82" s="351"/>
      <c r="G82" s="351"/>
      <c r="H82" s="351"/>
      <c r="I82" s="352">
        <f>I23</f>
        <v>698.88</v>
      </c>
      <c r="J82" s="352" t="s">
        <v>818</v>
      </c>
      <c r="K82" s="352">
        <f>ROUND(C82*I82,2)</f>
        <v>1397.76</v>
      </c>
      <c r="L82" s="347"/>
      <c r="M82" s="347"/>
      <c r="N82" s="347"/>
      <c r="O82" s="347"/>
      <c r="P82" s="347"/>
      <c r="Q82" s="347"/>
      <c r="R82" s="347"/>
      <c r="S82" s="347"/>
      <c r="T82" s="347"/>
      <c r="U82" s="347"/>
      <c r="V82" s="347"/>
      <c r="W82" s="347"/>
      <c r="X82" s="347"/>
      <c r="Y82" s="347"/>
      <c r="Z82" s="347"/>
      <c r="AA82" s="347"/>
      <c r="AB82" s="347"/>
      <c r="AC82" s="347"/>
      <c r="AD82" s="347"/>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7"/>
      <c r="BF82" s="347"/>
      <c r="BG82" s="347"/>
      <c r="BH82" s="347"/>
      <c r="BI82" s="347"/>
      <c r="BJ82" s="347"/>
      <c r="BK82" s="347"/>
      <c r="BL82" s="347"/>
      <c r="BM82" s="347"/>
      <c r="BN82" s="347"/>
      <c r="BO82" s="347"/>
      <c r="BP82" s="347"/>
      <c r="BQ82" s="347"/>
      <c r="BR82" s="347"/>
      <c r="BS82" s="347"/>
      <c r="BT82" s="347"/>
      <c r="BU82" s="347"/>
      <c r="BV82" s="347"/>
      <c r="BW82" s="347"/>
      <c r="BX82" s="347"/>
      <c r="BY82" s="347"/>
      <c r="BZ82" s="347"/>
      <c r="CA82" s="347"/>
      <c r="CB82" s="347"/>
      <c r="CC82" s="347"/>
      <c r="CD82" s="347"/>
      <c r="CE82" s="347"/>
      <c r="CF82" s="347"/>
      <c r="CG82" s="347"/>
      <c r="CH82" s="347"/>
      <c r="CI82" s="347"/>
      <c r="CJ82" s="347"/>
      <c r="CK82" s="347"/>
      <c r="CL82" s="347"/>
      <c r="CM82" s="347"/>
      <c r="CN82" s="347"/>
      <c r="CO82" s="347"/>
      <c r="CP82" s="347"/>
      <c r="CQ82" s="347"/>
      <c r="CR82" s="347"/>
      <c r="CS82" s="347"/>
      <c r="CT82" s="347"/>
      <c r="CU82" s="347"/>
      <c r="CV82" s="347"/>
      <c r="CW82" s="347"/>
      <c r="CX82" s="347"/>
      <c r="CY82" s="347"/>
      <c r="CZ82" s="347"/>
      <c r="DA82" s="347"/>
      <c r="DB82" s="347"/>
      <c r="DC82" s="347"/>
      <c r="DD82" s="347"/>
      <c r="DE82" s="347"/>
      <c r="DF82" s="347"/>
      <c r="DG82" s="347"/>
      <c r="DH82" s="347"/>
      <c r="DI82" s="347"/>
      <c r="DJ82" s="347"/>
      <c r="DK82" s="347"/>
      <c r="DL82" s="347"/>
      <c r="DM82" s="347"/>
      <c r="DN82" s="347"/>
      <c r="DO82" s="347"/>
      <c r="DP82" s="347"/>
      <c r="DQ82" s="347"/>
      <c r="DR82" s="347"/>
      <c r="DS82" s="347"/>
      <c r="DT82" s="347"/>
      <c r="DU82" s="347"/>
      <c r="DV82" s="347"/>
      <c r="DW82" s="347"/>
      <c r="DX82" s="347"/>
      <c r="DY82" s="347"/>
      <c r="DZ82" s="347"/>
      <c r="EA82" s="347"/>
      <c r="EB82" s="347"/>
      <c r="EC82" s="347"/>
      <c r="ED82" s="347"/>
      <c r="EE82" s="347"/>
      <c r="EF82" s="347"/>
      <c r="EG82" s="347"/>
      <c r="EH82" s="347"/>
      <c r="EI82" s="347"/>
      <c r="EJ82" s="347"/>
      <c r="EK82" s="347"/>
      <c r="EL82" s="347"/>
      <c r="EM82" s="347"/>
      <c r="EN82" s="347"/>
      <c r="EO82" s="347"/>
      <c r="EP82" s="347"/>
      <c r="EQ82" s="347"/>
      <c r="ER82" s="347"/>
      <c r="ES82" s="347"/>
      <c r="ET82" s="347"/>
      <c r="EU82" s="347"/>
      <c r="EV82" s="347"/>
      <c r="EW82" s="347"/>
      <c r="EX82" s="347"/>
      <c r="EY82" s="347"/>
      <c r="EZ82" s="347"/>
      <c r="FA82" s="347"/>
      <c r="FB82" s="347"/>
      <c r="FC82" s="347"/>
      <c r="FD82" s="347"/>
      <c r="FE82" s="347"/>
      <c r="FF82" s="347"/>
      <c r="FG82" s="347"/>
      <c r="FH82" s="347"/>
      <c r="FI82" s="347"/>
      <c r="FJ82" s="347"/>
      <c r="FK82" s="347"/>
      <c r="FL82" s="347"/>
      <c r="FM82" s="347"/>
      <c r="FN82" s="347"/>
      <c r="FO82" s="347"/>
      <c r="FP82" s="347"/>
      <c r="FQ82" s="347"/>
      <c r="FR82" s="347"/>
      <c r="FS82" s="347"/>
      <c r="FT82" s="347"/>
      <c r="FU82" s="347"/>
      <c r="FV82" s="347"/>
      <c r="FW82" s="347"/>
      <c r="FX82" s="347"/>
      <c r="FY82" s="347"/>
      <c r="FZ82" s="347"/>
      <c r="GA82" s="347"/>
      <c r="GB82" s="347"/>
      <c r="GC82" s="347"/>
      <c r="GD82" s="347"/>
      <c r="GE82" s="347"/>
      <c r="GF82" s="347"/>
      <c r="GG82" s="347"/>
      <c r="GH82" s="347"/>
      <c r="GI82" s="347"/>
      <c r="GJ82" s="347"/>
      <c r="GK82" s="347"/>
      <c r="GL82" s="347"/>
      <c r="GM82" s="347"/>
      <c r="GN82" s="347"/>
      <c r="GO82" s="347"/>
      <c r="GP82" s="347"/>
      <c r="GQ82" s="347"/>
      <c r="GR82" s="347"/>
      <c r="GS82" s="347"/>
      <c r="GT82" s="347"/>
      <c r="GU82" s="347"/>
      <c r="GV82" s="347"/>
      <c r="GW82" s="347"/>
      <c r="GX82" s="347"/>
      <c r="GY82" s="347"/>
      <c r="GZ82" s="347"/>
      <c r="HA82" s="347"/>
      <c r="HB82" s="347"/>
      <c r="HC82" s="347"/>
      <c r="HD82" s="347"/>
      <c r="HE82" s="347"/>
      <c r="HF82" s="347"/>
      <c r="HG82" s="347"/>
      <c r="HH82" s="347"/>
      <c r="HI82" s="347"/>
      <c r="HJ82" s="347"/>
      <c r="HK82" s="347"/>
      <c r="HL82" s="347"/>
      <c r="HM82" s="347"/>
      <c r="HN82" s="347"/>
      <c r="HO82" s="347"/>
      <c r="HP82" s="347"/>
      <c r="HQ82" s="347"/>
      <c r="HR82" s="347"/>
      <c r="HS82" s="347"/>
      <c r="HT82" s="347"/>
      <c r="HU82" s="347"/>
      <c r="HV82" s="347"/>
      <c r="HW82" s="347"/>
      <c r="HX82" s="347"/>
      <c r="HY82" s="347"/>
      <c r="HZ82" s="347"/>
      <c r="IA82" s="347"/>
      <c r="IB82" s="347"/>
      <c r="IC82" s="347"/>
      <c r="ID82" s="347"/>
      <c r="IE82" s="347"/>
      <c r="IF82" s="347"/>
      <c r="IG82" s="347"/>
      <c r="IH82" s="347"/>
      <c r="II82" s="347"/>
      <c r="IJ82" s="347"/>
      <c r="IK82" s="347"/>
      <c r="IL82" s="347"/>
      <c r="IM82" s="347"/>
      <c r="IN82" s="347"/>
      <c r="IO82" s="347"/>
      <c r="IP82" s="347"/>
      <c r="IQ82" s="347"/>
      <c r="IR82" s="347"/>
      <c r="IS82" s="347"/>
      <c r="IT82" s="347"/>
      <c r="IU82" s="347"/>
      <c r="IV82" s="347"/>
    </row>
    <row r="83" spans="1:256" ht="15">
      <c r="A83" s="301"/>
      <c r="B83" s="339"/>
      <c r="C83" s="321"/>
      <c r="D83" s="315"/>
      <c r="E83" s="340" t="s">
        <v>466</v>
      </c>
      <c r="F83" s="304"/>
      <c r="G83" s="304"/>
      <c r="H83" s="304"/>
      <c r="I83" s="329"/>
      <c r="J83" s="329"/>
      <c r="K83" s="323">
        <f>SUM(K80:K82)</f>
        <v>4190.76</v>
      </c>
      <c r="L83" s="301"/>
      <c r="M83" s="301"/>
      <c r="N83" s="301"/>
      <c r="O83" s="301"/>
      <c r="P83" s="301"/>
      <c r="Q83" s="301"/>
      <c r="R83" s="301"/>
      <c r="S83" s="301"/>
      <c r="T83" s="301"/>
      <c r="U83" s="301"/>
      <c r="V83" s="301"/>
      <c r="W83" s="301"/>
      <c r="X83" s="301"/>
      <c r="Y83" s="301"/>
      <c r="Z83" s="301"/>
      <c r="AA83" s="301"/>
      <c r="AB83" s="301"/>
      <c r="AC83" s="301"/>
      <c r="AD83" s="301"/>
      <c r="AE83" s="301"/>
      <c r="AF83" s="301"/>
      <c r="AG83" s="301"/>
      <c r="AH83" s="301"/>
      <c r="AI83" s="301"/>
      <c r="AJ83" s="301"/>
      <c r="AK83" s="301"/>
      <c r="AL83" s="301"/>
      <c r="AM83" s="301"/>
      <c r="AN83" s="301"/>
      <c r="AO83" s="301"/>
      <c r="AP83" s="301"/>
      <c r="AQ83" s="301"/>
      <c r="AR83" s="301"/>
      <c r="AS83" s="301"/>
      <c r="AT83" s="301"/>
      <c r="AU83" s="301"/>
      <c r="AV83" s="301"/>
      <c r="AW83" s="301"/>
      <c r="AX83" s="301"/>
      <c r="AY83" s="301"/>
      <c r="AZ83" s="301"/>
      <c r="BA83" s="301"/>
      <c r="BB83" s="301"/>
      <c r="BC83" s="301"/>
      <c r="BD83" s="301"/>
      <c r="BE83" s="301"/>
      <c r="BF83" s="301"/>
      <c r="BG83" s="301"/>
      <c r="BH83" s="301"/>
      <c r="BI83" s="301"/>
      <c r="BJ83" s="301"/>
      <c r="BK83" s="301"/>
      <c r="BL83" s="301"/>
      <c r="BM83" s="301"/>
      <c r="BN83" s="301"/>
      <c r="BO83" s="301"/>
      <c r="BP83" s="301"/>
      <c r="BQ83" s="301"/>
      <c r="BR83" s="301"/>
      <c r="BS83" s="301"/>
      <c r="BT83" s="301"/>
      <c r="BU83" s="301"/>
      <c r="BV83" s="301"/>
      <c r="BW83" s="301"/>
      <c r="BX83" s="301"/>
      <c r="BY83" s="301"/>
      <c r="BZ83" s="301"/>
      <c r="CA83" s="301"/>
      <c r="CB83" s="301"/>
      <c r="CC83" s="301"/>
      <c r="CD83" s="301"/>
      <c r="CE83" s="301"/>
      <c r="CF83" s="301"/>
      <c r="CG83" s="301"/>
      <c r="CH83" s="301"/>
      <c r="CI83" s="301"/>
      <c r="CJ83" s="301"/>
      <c r="CK83" s="301"/>
      <c r="CL83" s="301"/>
      <c r="CM83" s="301"/>
      <c r="CN83" s="301"/>
      <c r="CO83" s="301"/>
      <c r="CP83" s="301"/>
      <c r="CQ83" s="301"/>
      <c r="CR83" s="301"/>
      <c r="CS83" s="301"/>
      <c r="CT83" s="301"/>
      <c r="CU83" s="301"/>
      <c r="CV83" s="301"/>
      <c r="CW83" s="301"/>
      <c r="CX83" s="301"/>
      <c r="CY83" s="301"/>
      <c r="CZ83" s="301"/>
      <c r="DA83" s="301"/>
      <c r="DB83" s="301"/>
      <c r="DC83" s="301"/>
      <c r="DD83" s="301"/>
      <c r="DE83" s="301"/>
      <c r="DF83" s="301"/>
      <c r="DG83" s="301"/>
      <c r="DH83" s="301"/>
      <c r="DI83" s="301"/>
      <c r="DJ83" s="301"/>
      <c r="DK83" s="301"/>
      <c r="DL83" s="301"/>
      <c r="DM83" s="301"/>
      <c r="DN83" s="301"/>
      <c r="DO83" s="301"/>
      <c r="DP83" s="301"/>
      <c r="DQ83" s="301"/>
      <c r="DR83" s="301"/>
      <c r="DS83" s="301"/>
      <c r="DT83" s="301"/>
      <c r="DU83" s="301"/>
      <c r="DV83" s="301"/>
      <c r="DW83" s="301"/>
      <c r="DX83" s="301"/>
      <c r="DY83" s="301"/>
      <c r="DZ83" s="301"/>
      <c r="EA83" s="301"/>
      <c r="EB83" s="301"/>
      <c r="EC83" s="301"/>
      <c r="ED83" s="301"/>
      <c r="EE83" s="301"/>
      <c r="EF83" s="301"/>
      <c r="EG83" s="301"/>
      <c r="EH83" s="301"/>
      <c r="EI83" s="301"/>
      <c r="EJ83" s="301"/>
      <c r="EK83" s="301"/>
      <c r="EL83" s="301"/>
      <c r="EM83" s="301"/>
      <c r="EN83" s="301"/>
      <c r="EO83" s="301"/>
      <c r="EP83" s="301"/>
      <c r="EQ83" s="301"/>
      <c r="ER83" s="301"/>
      <c r="ES83" s="301"/>
      <c r="ET83" s="301"/>
      <c r="EU83" s="301"/>
      <c r="EV83" s="301"/>
      <c r="EW83" s="301"/>
      <c r="EX83" s="301"/>
      <c r="EY83" s="301"/>
      <c r="EZ83" s="301"/>
      <c r="FA83" s="301"/>
      <c r="FB83" s="301"/>
      <c r="FC83" s="301"/>
      <c r="FD83" s="301"/>
      <c r="FE83" s="301"/>
      <c r="FF83" s="301"/>
      <c r="FG83" s="301"/>
      <c r="FH83" s="301"/>
      <c r="FI83" s="301"/>
      <c r="FJ83" s="301"/>
      <c r="FK83" s="301"/>
      <c r="FL83" s="301"/>
      <c r="FM83" s="301"/>
      <c r="FN83" s="301"/>
      <c r="FO83" s="301"/>
      <c r="FP83" s="301"/>
      <c r="FQ83" s="301"/>
      <c r="FR83" s="301"/>
      <c r="FS83" s="301"/>
      <c r="FT83" s="301"/>
      <c r="FU83" s="301"/>
      <c r="FV83" s="301"/>
      <c r="FW83" s="301"/>
      <c r="FX83" s="301"/>
      <c r="FY83" s="301"/>
      <c r="FZ83" s="301"/>
      <c r="GA83" s="301"/>
      <c r="GB83" s="301"/>
      <c r="GC83" s="301"/>
      <c r="GD83" s="301"/>
      <c r="GE83" s="301"/>
      <c r="GF83" s="301"/>
      <c r="GG83" s="301"/>
      <c r="GH83" s="301"/>
      <c r="GI83" s="301"/>
      <c r="GJ83" s="301"/>
      <c r="GK83" s="301"/>
      <c r="GL83" s="301"/>
      <c r="GM83" s="301"/>
      <c r="GN83" s="301"/>
      <c r="GO83" s="301"/>
      <c r="GP83" s="301"/>
      <c r="GQ83" s="301"/>
      <c r="GR83" s="301"/>
      <c r="GS83" s="301"/>
      <c r="GT83" s="301"/>
      <c r="GU83" s="301"/>
      <c r="GV83" s="301"/>
      <c r="GW83" s="301"/>
      <c r="GX83" s="301"/>
      <c r="GY83" s="301"/>
      <c r="GZ83" s="301"/>
      <c r="HA83" s="301"/>
      <c r="HB83" s="301"/>
      <c r="HC83" s="301"/>
      <c r="HD83" s="301"/>
      <c r="HE83" s="301"/>
      <c r="HF83" s="301"/>
      <c r="HG83" s="301"/>
      <c r="HH83" s="301"/>
      <c r="HI83" s="301"/>
      <c r="HJ83" s="301"/>
      <c r="HK83" s="301"/>
      <c r="HL83" s="301"/>
      <c r="HM83" s="301"/>
      <c r="HN83" s="301"/>
      <c r="HO83" s="301"/>
      <c r="HP83" s="301"/>
      <c r="HQ83" s="301"/>
      <c r="HR83" s="301"/>
      <c r="HS83" s="301"/>
      <c r="HT83" s="301"/>
      <c r="HU83" s="301"/>
      <c r="HV83" s="301"/>
      <c r="HW83" s="301"/>
      <c r="HX83" s="301"/>
      <c r="HY83" s="301"/>
      <c r="HZ83" s="301"/>
      <c r="IA83" s="301"/>
      <c r="IB83" s="301"/>
      <c r="IC83" s="301"/>
      <c r="ID83" s="301"/>
      <c r="IE83" s="301"/>
      <c r="IF83" s="301"/>
      <c r="IG83" s="301"/>
      <c r="IH83" s="301"/>
      <c r="II83" s="301"/>
      <c r="IJ83" s="301"/>
      <c r="IK83" s="301"/>
      <c r="IL83" s="301"/>
      <c r="IM83" s="301"/>
      <c r="IN83" s="301"/>
      <c r="IO83" s="301"/>
      <c r="IP83" s="301"/>
      <c r="IQ83" s="301"/>
      <c r="IR83" s="301"/>
      <c r="IS83" s="301"/>
      <c r="IT83" s="301"/>
      <c r="IU83" s="301"/>
      <c r="IV83" s="301"/>
    </row>
    <row r="84" spans="1:256" ht="15">
      <c r="A84" s="301"/>
      <c r="B84" s="302"/>
      <c r="C84" s="312" t="s">
        <v>825</v>
      </c>
      <c r="D84" s="313" t="s">
        <v>1316</v>
      </c>
      <c r="E84" s="304"/>
      <c r="F84" s="304"/>
      <c r="G84" s="316"/>
      <c r="H84" s="317"/>
      <c r="I84" s="317"/>
      <c r="J84" s="317"/>
      <c r="K84" s="333">
        <f>K73+K78+K83</f>
        <v>49597.710000000006</v>
      </c>
      <c r="L84" s="301"/>
      <c r="M84" s="301"/>
      <c r="N84" s="301"/>
      <c r="O84" s="301"/>
      <c r="P84" s="301"/>
      <c r="Q84" s="301"/>
      <c r="R84" s="301"/>
      <c r="S84" s="301"/>
      <c r="T84" s="301"/>
      <c r="U84" s="301"/>
      <c r="V84" s="301"/>
      <c r="W84" s="301"/>
      <c r="X84" s="301"/>
      <c r="Y84" s="301"/>
      <c r="Z84" s="301"/>
      <c r="AA84" s="301"/>
      <c r="AB84" s="301"/>
      <c r="AC84" s="301"/>
      <c r="AD84" s="301"/>
      <c r="AE84" s="301"/>
      <c r="AF84" s="301"/>
      <c r="AG84" s="301"/>
      <c r="AH84" s="301"/>
      <c r="AI84" s="301"/>
      <c r="AJ84" s="301"/>
      <c r="AK84" s="301"/>
      <c r="AL84" s="301"/>
      <c r="AM84" s="301"/>
      <c r="AN84" s="301"/>
      <c r="AO84" s="301"/>
      <c r="AP84" s="301"/>
      <c r="AQ84" s="301"/>
      <c r="AR84" s="301"/>
      <c r="AS84" s="301"/>
      <c r="AT84" s="301"/>
      <c r="AU84" s="301"/>
      <c r="AV84" s="301"/>
      <c r="AW84" s="301"/>
      <c r="AX84" s="301"/>
      <c r="AY84" s="301"/>
      <c r="AZ84" s="301"/>
      <c r="BA84" s="301"/>
      <c r="BB84" s="301"/>
      <c r="BC84" s="301"/>
      <c r="BD84" s="301"/>
      <c r="BE84" s="301"/>
      <c r="BF84" s="301"/>
      <c r="BG84" s="301"/>
      <c r="BH84" s="301"/>
      <c r="BI84" s="301"/>
      <c r="BJ84" s="301"/>
      <c r="BK84" s="301"/>
      <c r="BL84" s="301"/>
      <c r="BM84" s="301"/>
      <c r="BN84" s="301"/>
      <c r="BO84" s="301"/>
      <c r="BP84" s="301"/>
      <c r="BQ84" s="301"/>
      <c r="BR84" s="301"/>
      <c r="BS84" s="301"/>
      <c r="BT84" s="301"/>
      <c r="BU84" s="301"/>
      <c r="BV84" s="301"/>
      <c r="BW84" s="301"/>
      <c r="BX84" s="301"/>
      <c r="BY84" s="301"/>
      <c r="BZ84" s="301"/>
      <c r="CA84" s="301"/>
      <c r="CB84" s="301"/>
      <c r="CC84" s="301"/>
      <c r="CD84" s="301"/>
      <c r="CE84" s="301"/>
      <c r="CF84" s="301"/>
      <c r="CG84" s="301"/>
      <c r="CH84" s="301"/>
      <c r="CI84" s="301"/>
      <c r="CJ84" s="301"/>
      <c r="CK84" s="301"/>
      <c r="CL84" s="301"/>
      <c r="CM84" s="301"/>
      <c r="CN84" s="301"/>
      <c r="CO84" s="301"/>
      <c r="CP84" s="301"/>
      <c r="CQ84" s="301"/>
      <c r="CR84" s="301"/>
      <c r="CS84" s="301"/>
      <c r="CT84" s="301"/>
      <c r="CU84" s="301"/>
      <c r="CV84" s="301"/>
      <c r="CW84" s="301"/>
      <c r="CX84" s="301"/>
      <c r="CY84" s="301"/>
      <c r="CZ84" s="301"/>
      <c r="DA84" s="301"/>
      <c r="DB84" s="301"/>
      <c r="DC84" s="301"/>
      <c r="DD84" s="301"/>
      <c r="DE84" s="301"/>
      <c r="DF84" s="301"/>
      <c r="DG84" s="301"/>
      <c r="DH84" s="301"/>
      <c r="DI84" s="301"/>
      <c r="DJ84" s="301"/>
      <c r="DK84" s="301"/>
      <c r="DL84" s="301"/>
      <c r="DM84" s="301"/>
      <c r="DN84" s="301"/>
      <c r="DO84" s="301"/>
      <c r="DP84" s="301"/>
      <c r="DQ84" s="301"/>
      <c r="DR84" s="301"/>
      <c r="DS84" s="301"/>
      <c r="DT84" s="301"/>
      <c r="DU84" s="301"/>
      <c r="DV84" s="301"/>
      <c r="DW84" s="301"/>
      <c r="DX84" s="301"/>
      <c r="DY84" s="301"/>
      <c r="DZ84" s="301"/>
      <c r="EA84" s="301"/>
      <c r="EB84" s="301"/>
      <c r="EC84" s="301"/>
      <c r="ED84" s="301"/>
      <c r="EE84" s="301"/>
      <c r="EF84" s="301"/>
      <c r="EG84" s="301"/>
      <c r="EH84" s="301"/>
      <c r="EI84" s="301"/>
      <c r="EJ84" s="301"/>
      <c r="EK84" s="301"/>
      <c r="EL84" s="301"/>
      <c r="EM84" s="301"/>
      <c r="EN84" s="301"/>
      <c r="EO84" s="301"/>
      <c r="EP84" s="301"/>
      <c r="EQ84" s="301"/>
      <c r="ER84" s="301"/>
      <c r="ES84" s="301"/>
      <c r="ET84" s="301"/>
      <c r="EU84" s="301"/>
      <c r="EV84" s="301"/>
      <c r="EW84" s="301"/>
      <c r="EX84" s="301"/>
      <c r="EY84" s="301"/>
      <c r="EZ84" s="301"/>
      <c r="FA84" s="301"/>
      <c r="FB84" s="301"/>
      <c r="FC84" s="301"/>
      <c r="FD84" s="301"/>
      <c r="FE84" s="301"/>
      <c r="FF84" s="301"/>
      <c r="FG84" s="301"/>
      <c r="FH84" s="301"/>
      <c r="FI84" s="301"/>
      <c r="FJ84" s="301"/>
      <c r="FK84" s="301"/>
      <c r="FL84" s="301"/>
      <c r="FM84" s="301"/>
      <c r="FN84" s="301"/>
      <c r="FO84" s="301"/>
      <c r="FP84" s="301"/>
      <c r="FQ84" s="301"/>
      <c r="FR84" s="301"/>
      <c r="FS84" s="301"/>
      <c r="FT84" s="301"/>
      <c r="FU84" s="301"/>
      <c r="FV84" s="301"/>
      <c r="FW84" s="301"/>
      <c r="FX84" s="301"/>
      <c r="FY84" s="301"/>
      <c r="FZ84" s="301"/>
      <c r="GA84" s="301"/>
      <c r="GB84" s="301"/>
      <c r="GC84" s="301"/>
      <c r="GD84" s="301"/>
      <c r="GE84" s="301"/>
      <c r="GF84" s="301"/>
      <c r="GG84" s="301"/>
      <c r="GH84" s="301"/>
      <c r="GI84" s="301"/>
      <c r="GJ84" s="301"/>
      <c r="GK84" s="301"/>
      <c r="GL84" s="301"/>
      <c r="GM84" s="301"/>
      <c r="GN84" s="301"/>
      <c r="GO84" s="301"/>
      <c r="GP84" s="301"/>
      <c r="GQ84" s="301"/>
      <c r="GR84" s="301"/>
      <c r="GS84" s="301"/>
      <c r="GT84" s="301"/>
      <c r="GU84" s="301"/>
      <c r="GV84" s="301"/>
      <c r="GW84" s="301"/>
      <c r="GX84" s="301"/>
      <c r="GY84" s="301"/>
      <c r="GZ84" s="301"/>
      <c r="HA84" s="301"/>
      <c r="HB84" s="301"/>
      <c r="HC84" s="301"/>
      <c r="HD84" s="301"/>
      <c r="HE84" s="301"/>
      <c r="HF84" s="301"/>
      <c r="HG84" s="301"/>
      <c r="HH84" s="301"/>
      <c r="HI84" s="301"/>
      <c r="HJ84" s="301"/>
      <c r="HK84" s="301"/>
      <c r="HL84" s="301"/>
      <c r="HM84" s="301"/>
      <c r="HN84" s="301"/>
      <c r="HO84" s="301"/>
      <c r="HP84" s="301"/>
      <c r="HQ84" s="301"/>
      <c r="HR84" s="301"/>
      <c r="HS84" s="301"/>
      <c r="HT84" s="301"/>
      <c r="HU84" s="301"/>
      <c r="HV84" s="301"/>
      <c r="HW84" s="301"/>
      <c r="HX84" s="301"/>
      <c r="HY84" s="301"/>
      <c r="HZ84" s="301"/>
      <c r="IA84" s="301"/>
      <c r="IB84" s="301"/>
      <c r="IC84" s="301"/>
      <c r="ID84" s="301"/>
      <c r="IE84" s="301"/>
      <c r="IF84" s="301"/>
      <c r="IG84" s="301"/>
      <c r="IH84" s="301"/>
      <c r="II84" s="301"/>
      <c r="IJ84" s="301"/>
      <c r="IK84" s="301"/>
      <c r="IL84" s="301"/>
      <c r="IM84" s="301"/>
      <c r="IN84" s="301"/>
      <c r="IO84" s="301"/>
      <c r="IP84" s="301"/>
      <c r="IQ84" s="301"/>
      <c r="IR84" s="301"/>
      <c r="IS84" s="301"/>
      <c r="IT84" s="301"/>
      <c r="IU84" s="301"/>
      <c r="IV84" s="301"/>
    </row>
    <row r="85" spans="1:256" ht="15">
      <c r="A85" s="301"/>
      <c r="B85" s="302"/>
      <c r="C85" s="312" t="s">
        <v>827</v>
      </c>
      <c r="D85" s="313" t="s">
        <v>1315</v>
      </c>
      <c r="E85" s="304"/>
      <c r="F85" s="304"/>
      <c r="G85" s="316"/>
      <c r="H85" s="317"/>
      <c r="I85" s="317"/>
      <c r="J85" s="317"/>
      <c r="K85" s="334">
        <f>K84*13.615/100</f>
        <v>6752.7282165000006</v>
      </c>
      <c r="L85" s="301"/>
      <c r="M85" s="301"/>
      <c r="N85" s="301"/>
      <c r="O85" s="301"/>
      <c r="P85" s="301"/>
      <c r="Q85" s="301"/>
      <c r="R85" s="301"/>
      <c r="S85" s="301"/>
      <c r="T85" s="301"/>
      <c r="U85" s="301"/>
      <c r="V85" s="301"/>
      <c r="W85" s="301"/>
      <c r="X85" s="301"/>
      <c r="Y85" s="301"/>
      <c r="Z85" s="301"/>
      <c r="AA85" s="301"/>
      <c r="AB85" s="301"/>
      <c r="AC85" s="301"/>
      <c r="AD85" s="301"/>
      <c r="AE85" s="301"/>
      <c r="AF85" s="301"/>
      <c r="AG85" s="301"/>
      <c r="AH85" s="301"/>
      <c r="AI85" s="301"/>
      <c r="AJ85" s="301"/>
      <c r="AK85" s="301"/>
      <c r="AL85" s="301"/>
      <c r="AM85" s="301"/>
      <c r="AN85" s="301"/>
      <c r="AO85" s="301"/>
      <c r="AP85" s="301"/>
      <c r="AQ85" s="301"/>
      <c r="AR85" s="301"/>
      <c r="AS85" s="301"/>
      <c r="AT85" s="301"/>
      <c r="AU85" s="301"/>
      <c r="AV85" s="301"/>
      <c r="AW85" s="301"/>
      <c r="AX85" s="301"/>
      <c r="AY85" s="301"/>
      <c r="AZ85" s="301"/>
      <c r="BA85" s="301"/>
      <c r="BB85" s="301"/>
      <c r="BC85" s="301"/>
      <c r="BD85" s="301"/>
      <c r="BE85" s="301"/>
      <c r="BF85" s="301"/>
      <c r="BG85" s="301"/>
      <c r="BH85" s="301"/>
      <c r="BI85" s="301"/>
      <c r="BJ85" s="301"/>
      <c r="BK85" s="301"/>
      <c r="BL85" s="301"/>
      <c r="BM85" s="301"/>
      <c r="BN85" s="301"/>
      <c r="BO85" s="301"/>
      <c r="BP85" s="301"/>
      <c r="BQ85" s="301"/>
      <c r="BR85" s="301"/>
      <c r="BS85" s="301"/>
      <c r="BT85" s="301"/>
      <c r="BU85" s="301"/>
      <c r="BV85" s="301"/>
      <c r="BW85" s="301"/>
      <c r="BX85" s="301"/>
      <c r="BY85" s="301"/>
      <c r="BZ85" s="301"/>
      <c r="CA85" s="301"/>
      <c r="CB85" s="301"/>
      <c r="CC85" s="301"/>
      <c r="CD85" s="301"/>
      <c r="CE85" s="301"/>
      <c r="CF85" s="301"/>
      <c r="CG85" s="301"/>
      <c r="CH85" s="301"/>
      <c r="CI85" s="301"/>
      <c r="CJ85" s="301"/>
      <c r="CK85" s="301"/>
      <c r="CL85" s="301"/>
      <c r="CM85" s="301"/>
      <c r="CN85" s="301"/>
      <c r="CO85" s="301"/>
      <c r="CP85" s="301"/>
      <c r="CQ85" s="301"/>
      <c r="CR85" s="301"/>
      <c r="CS85" s="301"/>
      <c r="CT85" s="301"/>
      <c r="CU85" s="301"/>
      <c r="CV85" s="301"/>
      <c r="CW85" s="301"/>
      <c r="CX85" s="301"/>
      <c r="CY85" s="301"/>
      <c r="CZ85" s="301"/>
      <c r="DA85" s="301"/>
      <c r="DB85" s="301"/>
      <c r="DC85" s="301"/>
      <c r="DD85" s="301"/>
      <c r="DE85" s="301"/>
      <c r="DF85" s="301"/>
      <c r="DG85" s="301"/>
      <c r="DH85" s="301"/>
      <c r="DI85" s="301"/>
      <c r="DJ85" s="301"/>
      <c r="DK85" s="301"/>
      <c r="DL85" s="301"/>
      <c r="DM85" s="301"/>
      <c r="DN85" s="301"/>
      <c r="DO85" s="301"/>
      <c r="DP85" s="301"/>
      <c r="DQ85" s="301"/>
      <c r="DR85" s="301"/>
      <c r="DS85" s="301"/>
      <c r="DT85" s="301"/>
      <c r="DU85" s="301"/>
      <c r="DV85" s="301"/>
      <c r="DW85" s="301"/>
      <c r="DX85" s="301"/>
      <c r="DY85" s="301"/>
      <c r="DZ85" s="301"/>
      <c r="EA85" s="301"/>
      <c r="EB85" s="301"/>
      <c r="EC85" s="301"/>
      <c r="ED85" s="301"/>
      <c r="EE85" s="301"/>
      <c r="EF85" s="301"/>
      <c r="EG85" s="301"/>
      <c r="EH85" s="301"/>
      <c r="EI85" s="301"/>
      <c r="EJ85" s="301"/>
      <c r="EK85" s="301"/>
      <c r="EL85" s="301"/>
      <c r="EM85" s="301"/>
      <c r="EN85" s="301"/>
      <c r="EO85" s="301"/>
      <c r="EP85" s="301"/>
      <c r="EQ85" s="301"/>
      <c r="ER85" s="301"/>
      <c r="ES85" s="301"/>
      <c r="ET85" s="301"/>
      <c r="EU85" s="301"/>
      <c r="EV85" s="301"/>
      <c r="EW85" s="301"/>
      <c r="EX85" s="301"/>
      <c r="EY85" s="301"/>
      <c r="EZ85" s="301"/>
      <c r="FA85" s="301"/>
      <c r="FB85" s="301"/>
      <c r="FC85" s="301"/>
      <c r="FD85" s="301"/>
      <c r="FE85" s="301"/>
      <c r="FF85" s="301"/>
      <c r="FG85" s="301"/>
      <c r="FH85" s="301"/>
      <c r="FI85" s="301"/>
      <c r="FJ85" s="301"/>
      <c r="FK85" s="301"/>
      <c r="FL85" s="301"/>
      <c r="FM85" s="301"/>
      <c r="FN85" s="301"/>
      <c r="FO85" s="301"/>
      <c r="FP85" s="301"/>
      <c r="FQ85" s="301"/>
      <c r="FR85" s="301"/>
      <c r="FS85" s="301"/>
      <c r="FT85" s="301"/>
      <c r="FU85" s="301"/>
      <c r="FV85" s="301"/>
      <c r="FW85" s="301"/>
      <c r="FX85" s="301"/>
      <c r="FY85" s="301"/>
      <c r="FZ85" s="301"/>
      <c r="GA85" s="301"/>
      <c r="GB85" s="301"/>
      <c r="GC85" s="301"/>
      <c r="GD85" s="301"/>
      <c r="GE85" s="301"/>
      <c r="GF85" s="301"/>
      <c r="GG85" s="301"/>
      <c r="GH85" s="301"/>
      <c r="GI85" s="301"/>
      <c r="GJ85" s="301"/>
      <c r="GK85" s="301"/>
      <c r="GL85" s="301"/>
      <c r="GM85" s="301"/>
      <c r="GN85" s="301"/>
      <c r="GO85" s="301"/>
      <c r="GP85" s="301"/>
      <c r="GQ85" s="301"/>
      <c r="GR85" s="301"/>
      <c r="GS85" s="301"/>
      <c r="GT85" s="301"/>
      <c r="GU85" s="301"/>
      <c r="GV85" s="301"/>
      <c r="GW85" s="301"/>
      <c r="GX85" s="301"/>
      <c r="GY85" s="301"/>
      <c r="GZ85" s="301"/>
      <c r="HA85" s="301"/>
      <c r="HB85" s="301"/>
      <c r="HC85" s="301"/>
      <c r="HD85" s="301"/>
      <c r="HE85" s="301"/>
      <c r="HF85" s="301"/>
      <c r="HG85" s="301"/>
      <c r="HH85" s="301"/>
      <c r="HI85" s="301"/>
      <c r="HJ85" s="301"/>
      <c r="HK85" s="301"/>
      <c r="HL85" s="301"/>
      <c r="HM85" s="301"/>
      <c r="HN85" s="301"/>
      <c r="HO85" s="301"/>
      <c r="HP85" s="301"/>
      <c r="HQ85" s="301"/>
      <c r="HR85" s="301"/>
      <c r="HS85" s="301"/>
      <c r="HT85" s="301"/>
      <c r="HU85" s="301"/>
      <c r="HV85" s="301"/>
      <c r="HW85" s="301"/>
      <c r="HX85" s="301"/>
      <c r="HY85" s="301"/>
      <c r="HZ85" s="301"/>
      <c r="IA85" s="301"/>
      <c r="IB85" s="301"/>
      <c r="IC85" s="301"/>
      <c r="ID85" s="301"/>
      <c r="IE85" s="301"/>
      <c r="IF85" s="301"/>
      <c r="IG85" s="301"/>
      <c r="IH85" s="301"/>
      <c r="II85" s="301"/>
      <c r="IJ85" s="301"/>
      <c r="IK85" s="301"/>
      <c r="IL85" s="301"/>
      <c r="IM85" s="301"/>
      <c r="IN85" s="301"/>
      <c r="IO85" s="301"/>
      <c r="IP85" s="301"/>
      <c r="IQ85" s="301"/>
      <c r="IR85" s="301"/>
      <c r="IS85" s="301"/>
      <c r="IT85" s="301"/>
      <c r="IU85" s="301"/>
      <c r="IV85" s="301"/>
    </row>
    <row r="86" spans="1:256" ht="15">
      <c r="A86" s="301"/>
      <c r="B86" s="339"/>
      <c r="C86" s="346"/>
      <c r="D86" s="343"/>
      <c r="E86" s="342" t="s">
        <v>847</v>
      </c>
      <c r="F86" s="304"/>
      <c r="G86" s="304"/>
      <c r="H86" s="304"/>
      <c r="I86" s="329"/>
      <c r="J86" s="329"/>
      <c r="K86" s="356">
        <f>SUM(K84:K85)</f>
        <v>56350.438216500006</v>
      </c>
      <c r="L86" s="301"/>
      <c r="M86" s="301"/>
      <c r="N86" s="301"/>
      <c r="O86" s="301"/>
      <c r="P86" s="301"/>
      <c r="Q86" s="301"/>
      <c r="R86" s="301"/>
      <c r="S86" s="301"/>
      <c r="T86" s="301"/>
      <c r="U86" s="301"/>
      <c r="V86" s="301"/>
      <c r="W86" s="301"/>
      <c r="X86" s="301"/>
      <c r="Y86" s="301"/>
      <c r="Z86" s="301"/>
      <c r="AA86" s="301"/>
      <c r="AB86" s="301"/>
      <c r="AC86" s="301"/>
      <c r="AD86" s="301"/>
      <c r="AE86" s="301"/>
      <c r="AF86" s="301"/>
      <c r="AG86" s="301"/>
      <c r="AH86" s="301"/>
      <c r="AI86" s="301"/>
      <c r="AJ86" s="301"/>
      <c r="AK86" s="301"/>
      <c r="AL86" s="301"/>
      <c r="AM86" s="301"/>
      <c r="AN86" s="301"/>
      <c r="AO86" s="301"/>
      <c r="AP86" s="301"/>
      <c r="AQ86" s="301"/>
      <c r="AR86" s="301"/>
      <c r="AS86" s="301"/>
      <c r="AT86" s="301"/>
      <c r="AU86" s="301"/>
      <c r="AV86" s="301"/>
      <c r="AW86" s="301"/>
      <c r="AX86" s="301"/>
      <c r="AY86" s="301"/>
      <c r="AZ86" s="301"/>
      <c r="BA86" s="301"/>
      <c r="BB86" s="301"/>
      <c r="BC86" s="301"/>
      <c r="BD86" s="301"/>
      <c r="BE86" s="301"/>
      <c r="BF86" s="301"/>
      <c r="BG86" s="301"/>
      <c r="BH86" s="301"/>
      <c r="BI86" s="301"/>
      <c r="BJ86" s="301"/>
      <c r="BK86" s="301"/>
      <c r="BL86" s="301"/>
      <c r="BM86" s="301"/>
      <c r="BN86" s="301"/>
      <c r="BO86" s="301"/>
      <c r="BP86" s="301"/>
      <c r="BQ86" s="301"/>
      <c r="BR86" s="301"/>
      <c r="BS86" s="301"/>
      <c r="BT86" s="301"/>
      <c r="BU86" s="301"/>
      <c r="BV86" s="301"/>
      <c r="BW86" s="301"/>
      <c r="BX86" s="301"/>
      <c r="BY86" s="301"/>
      <c r="BZ86" s="301"/>
      <c r="CA86" s="301"/>
      <c r="CB86" s="301"/>
      <c r="CC86" s="301"/>
      <c r="CD86" s="301"/>
      <c r="CE86" s="301"/>
      <c r="CF86" s="301"/>
      <c r="CG86" s="301"/>
      <c r="CH86" s="301"/>
      <c r="CI86" s="301"/>
      <c r="CJ86" s="301"/>
      <c r="CK86" s="301"/>
      <c r="CL86" s="301"/>
      <c r="CM86" s="301"/>
      <c r="CN86" s="301"/>
      <c r="CO86" s="301"/>
      <c r="CP86" s="301"/>
      <c r="CQ86" s="301"/>
      <c r="CR86" s="301"/>
      <c r="CS86" s="301"/>
      <c r="CT86" s="301"/>
      <c r="CU86" s="301"/>
      <c r="CV86" s="301"/>
      <c r="CW86" s="301"/>
      <c r="CX86" s="301"/>
      <c r="CY86" s="301"/>
      <c r="CZ86" s="301"/>
      <c r="DA86" s="301"/>
      <c r="DB86" s="301"/>
      <c r="DC86" s="301"/>
      <c r="DD86" s="301"/>
      <c r="DE86" s="301"/>
      <c r="DF86" s="301"/>
      <c r="DG86" s="301"/>
      <c r="DH86" s="301"/>
      <c r="DI86" s="301"/>
      <c r="DJ86" s="301"/>
      <c r="DK86" s="301"/>
      <c r="DL86" s="301"/>
      <c r="DM86" s="301"/>
      <c r="DN86" s="301"/>
      <c r="DO86" s="301"/>
      <c r="DP86" s="301"/>
      <c r="DQ86" s="301"/>
      <c r="DR86" s="301"/>
      <c r="DS86" s="301"/>
      <c r="DT86" s="301"/>
      <c r="DU86" s="301"/>
      <c r="DV86" s="301"/>
      <c r="DW86" s="301"/>
      <c r="DX86" s="301"/>
      <c r="DY86" s="301"/>
      <c r="DZ86" s="301"/>
      <c r="EA86" s="301"/>
      <c r="EB86" s="301"/>
      <c r="EC86" s="301"/>
      <c r="ED86" s="301"/>
      <c r="EE86" s="301"/>
      <c r="EF86" s="301"/>
      <c r="EG86" s="301"/>
      <c r="EH86" s="301"/>
      <c r="EI86" s="301"/>
      <c r="EJ86" s="301"/>
      <c r="EK86" s="301"/>
      <c r="EL86" s="301"/>
      <c r="EM86" s="301"/>
      <c r="EN86" s="301"/>
      <c r="EO86" s="301"/>
      <c r="EP86" s="301"/>
      <c r="EQ86" s="301"/>
      <c r="ER86" s="301"/>
      <c r="ES86" s="301"/>
      <c r="ET86" s="301"/>
      <c r="EU86" s="301"/>
      <c r="EV86" s="301"/>
      <c r="EW86" s="301"/>
      <c r="EX86" s="301"/>
      <c r="EY86" s="301"/>
      <c r="EZ86" s="301"/>
      <c r="FA86" s="301"/>
      <c r="FB86" s="301"/>
      <c r="FC86" s="301"/>
      <c r="FD86" s="301"/>
      <c r="FE86" s="301"/>
      <c r="FF86" s="301"/>
      <c r="FG86" s="301"/>
      <c r="FH86" s="301"/>
      <c r="FI86" s="301"/>
      <c r="FJ86" s="301"/>
      <c r="FK86" s="301"/>
      <c r="FL86" s="301"/>
      <c r="FM86" s="301"/>
      <c r="FN86" s="301"/>
      <c r="FO86" s="301"/>
      <c r="FP86" s="301"/>
      <c r="FQ86" s="301"/>
      <c r="FR86" s="301"/>
      <c r="FS86" s="301"/>
      <c r="FT86" s="301"/>
      <c r="FU86" s="301"/>
      <c r="FV86" s="301"/>
      <c r="FW86" s="301"/>
      <c r="FX86" s="301"/>
      <c r="FY86" s="301"/>
      <c r="FZ86" s="301"/>
      <c r="GA86" s="301"/>
      <c r="GB86" s="301"/>
      <c r="GC86" s="301"/>
      <c r="GD86" s="301"/>
      <c r="GE86" s="301"/>
      <c r="GF86" s="301"/>
      <c r="GG86" s="301"/>
      <c r="GH86" s="301"/>
      <c r="GI86" s="301"/>
      <c r="GJ86" s="301"/>
      <c r="GK86" s="301"/>
      <c r="GL86" s="301"/>
      <c r="GM86" s="301"/>
      <c r="GN86" s="301"/>
      <c r="GO86" s="301"/>
      <c r="GP86" s="301"/>
      <c r="GQ86" s="301"/>
      <c r="GR86" s="301"/>
      <c r="GS86" s="301"/>
      <c r="GT86" s="301"/>
      <c r="GU86" s="301"/>
      <c r="GV86" s="301"/>
      <c r="GW86" s="301"/>
      <c r="GX86" s="301"/>
      <c r="GY86" s="301"/>
      <c r="GZ86" s="301"/>
      <c r="HA86" s="301"/>
      <c r="HB86" s="301"/>
      <c r="HC86" s="301"/>
      <c r="HD86" s="301"/>
      <c r="HE86" s="301"/>
      <c r="HF86" s="301"/>
      <c r="HG86" s="301"/>
      <c r="HH86" s="301"/>
      <c r="HI86" s="301"/>
      <c r="HJ86" s="301"/>
      <c r="HK86" s="301"/>
      <c r="HL86" s="301"/>
      <c r="HM86" s="301"/>
      <c r="HN86" s="301"/>
      <c r="HO86" s="301"/>
      <c r="HP86" s="301"/>
      <c r="HQ86" s="301"/>
      <c r="HR86" s="301"/>
      <c r="HS86" s="301"/>
      <c r="HT86" s="301"/>
      <c r="HU86" s="301"/>
      <c r="HV86" s="301"/>
      <c r="HW86" s="301"/>
      <c r="HX86" s="301"/>
      <c r="HY86" s="301"/>
      <c r="HZ86" s="301"/>
      <c r="IA86" s="301"/>
      <c r="IB86" s="301"/>
      <c r="IC86" s="301"/>
      <c r="ID86" s="301"/>
      <c r="IE86" s="301"/>
      <c r="IF86" s="301"/>
      <c r="IG86" s="301"/>
      <c r="IH86" s="301"/>
      <c r="II86" s="301"/>
      <c r="IJ86" s="301"/>
      <c r="IK86" s="301"/>
      <c r="IL86" s="301"/>
      <c r="IM86" s="301"/>
      <c r="IN86" s="301"/>
      <c r="IO86" s="301"/>
      <c r="IP86" s="301"/>
      <c r="IQ86" s="301"/>
      <c r="IR86" s="301"/>
      <c r="IS86" s="301"/>
      <c r="IT86" s="301"/>
      <c r="IU86" s="301"/>
      <c r="IV86" s="301"/>
    </row>
    <row r="87" spans="1:256" ht="15">
      <c r="A87" s="301"/>
      <c r="B87" s="339"/>
      <c r="C87" s="321"/>
      <c r="D87" s="343"/>
      <c r="E87" s="340" t="s">
        <v>848</v>
      </c>
      <c r="F87" s="304"/>
      <c r="G87" s="304"/>
      <c r="H87" s="304"/>
      <c r="I87" s="329"/>
      <c r="J87" s="329"/>
      <c r="K87" s="329">
        <f>ROUND(K86/15,2)</f>
        <v>3756.7</v>
      </c>
      <c r="L87" s="301"/>
      <c r="M87" s="301"/>
      <c r="N87" s="301"/>
      <c r="O87" s="301"/>
      <c r="P87" s="301"/>
      <c r="Q87" s="301"/>
      <c r="R87" s="301"/>
      <c r="S87" s="301"/>
      <c r="T87" s="301"/>
      <c r="U87" s="301"/>
      <c r="V87" s="301"/>
      <c r="W87" s="301"/>
      <c r="X87" s="301"/>
      <c r="Y87" s="301"/>
      <c r="Z87" s="301"/>
      <c r="AA87" s="301"/>
      <c r="AB87" s="301"/>
      <c r="AC87" s="301"/>
      <c r="AD87" s="301"/>
      <c r="AE87" s="301"/>
      <c r="AF87" s="301"/>
      <c r="AG87" s="301"/>
      <c r="AH87" s="301"/>
      <c r="AI87" s="301"/>
      <c r="AJ87" s="301"/>
      <c r="AK87" s="301"/>
      <c r="AL87" s="301"/>
      <c r="AM87" s="301"/>
      <c r="AN87" s="301"/>
      <c r="AO87" s="301"/>
      <c r="AP87" s="301"/>
      <c r="AQ87" s="301"/>
      <c r="AR87" s="301"/>
      <c r="AS87" s="301"/>
      <c r="AT87" s="301"/>
      <c r="AU87" s="301"/>
      <c r="AV87" s="301"/>
      <c r="AW87" s="301"/>
      <c r="AX87" s="301"/>
      <c r="AY87" s="301"/>
      <c r="AZ87" s="301"/>
      <c r="BA87" s="301"/>
      <c r="BB87" s="301"/>
      <c r="BC87" s="301"/>
      <c r="BD87" s="301"/>
      <c r="BE87" s="301"/>
      <c r="BF87" s="301"/>
      <c r="BG87" s="301"/>
      <c r="BH87" s="301"/>
      <c r="BI87" s="301"/>
      <c r="BJ87" s="301"/>
      <c r="BK87" s="301"/>
      <c r="BL87" s="301"/>
      <c r="BM87" s="301"/>
      <c r="BN87" s="301"/>
      <c r="BO87" s="301"/>
      <c r="BP87" s="301"/>
      <c r="BQ87" s="301"/>
      <c r="BR87" s="301"/>
      <c r="BS87" s="301"/>
      <c r="BT87" s="301"/>
      <c r="BU87" s="301"/>
      <c r="BV87" s="301"/>
      <c r="BW87" s="301"/>
      <c r="BX87" s="301"/>
      <c r="BY87" s="301"/>
      <c r="BZ87" s="301"/>
      <c r="CA87" s="301"/>
      <c r="CB87" s="301"/>
      <c r="CC87" s="301"/>
      <c r="CD87" s="301"/>
      <c r="CE87" s="301"/>
      <c r="CF87" s="301"/>
      <c r="CG87" s="301"/>
      <c r="CH87" s="301"/>
      <c r="CI87" s="301"/>
      <c r="CJ87" s="301"/>
      <c r="CK87" s="301"/>
      <c r="CL87" s="301"/>
      <c r="CM87" s="301"/>
      <c r="CN87" s="301"/>
      <c r="CO87" s="301"/>
      <c r="CP87" s="301"/>
      <c r="CQ87" s="301"/>
      <c r="CR87" s="301"/>
      <c r="CS87" s="301"/>
      <c r="CT87" s="301"/>
      <c r="CU87" s="301"/>
      <c r="CV87" s="301"/>
      <c r="CW87" s="301"/>
      <c r="CX87" s="301"/>
      <c r="CY87" s="301"/>
      <c r="CZ87" s="301"/>
      <c r="DA87" s="301"/>
      <c r="DB87" s="301"/>
      <c r="DC87" s="301"/>
      <c r="DD87" s="301"/>
      <c r="DE87" s="301"/>
      <c r="DF87" s="301"/>
      <c r="DG87" s="301"/>
      <c r="DH87" s="301"/>
      <c r="DI87" s="301"/>
      <c r="DJ87" s="301"/>
      <c r="DK87" s="301"/>
      <c r="DL87" s="301"/>
      <c r="DM87" s="301"/>
      <c r="DN87" s="301"/>
      <c r="DO87" s="301"/>
      <c r="DP87" s="301"/>
      <c r="DQ87" s="301"/>
      <c r="DR87" s="301"/>
      <c r="DS87" s="301"/>
      <c r="DT87" s="301"/>
      <c r="DU87" s="301"/>
      <c r="DV87" s="301"/>
      <c r="DW87" s="301"/>
      <c r="DX87" s="301"/>
      <c r="DY87" s="301"/>
      <c r="DZ87" s="301"/>
      <c r="EA87" s="301"/>
      <c r="EB87" s="301"/>
      <c r="EC87" s="301"/>
      <c r="ED87" s="301"/>
      <c r="EE87" s="301"/>
      <c r="EF87" s="301"/>
      <c r="EG87" s="301"/>
      <c r="EH87" s="301"/>
      <c r="EI87" s="301"/>
      <c r="EJ87" s="301"/>
      <c r="EK87" s="301"/>
      <c r="EL87" s="301"/>
      <c r="EM87" s="301"/>
      <c r="EN87" s="301"/>
      <c r="EO87" s="301"/>
      <c r="EP87" s="301"/>
      <c r="EQ87" s="301"/>
      <c r="ER87" s="301"/>
      <c r="ES87" s="301"/>
      <c r="ET87" s="301"/>
      <c r="EU87" s="301"/>
      <c r="EV87" s="301"/>
      <c r="EW87" s="301"/>
      <c r="EX87" s="301"/>
      <c r="EY87" s="301"/>
      <c r="EZ87" s="301"/>
      <c r="FA87" s="301"/>
      <c r="FB87" s="301"/>
      <c r="FC87" s="301"/>
      <c r="FD87" s="301"/>
      <c r="FE87" s="301"/>
      <c r="FF87" s="301"/>
      <c r="FG87" s="301"/>
      <c r="FH87" s="301"/>
      <c r="FI87" s="301"/>
      <c r="FJ87" s="301"/>
      <c r="FK87" s="301"/>
      <c r="FL87" s="301"/>
      <c r="FM87" s="301"/>
      <c r="FN87" s="301"/>
      <c r="FO87" s="301"/>
      <c r="FP87" s="301"/>
      <c r="FQ87" s="301"/>
      <c r="FR87" s="301"/>
      <c r="FS87" s="301"/>
      <c r="FT87" s="301"/>
      <c r="FU87" s="301"/>
      <c r="FV87" s="301"/>
      <c r="FW87" s="301"/>
      <c r="FX87" s="301"/>
      <c r="FY87" s="301"/>
      <c r="FZ87" s="301"/>
      <c r="GA87" s="301"/>
      <c r="GB87" s="301"/>
      <c r="GC87" s="301"/>
      <c r="GD87" s="301"/>
      <c r="GE87" s="301"/>
      <c r="GF87" s="301"/>
      <c r="GG87" s="301"/>
      <c r="GH87" s="301"/>
      <c r="GI87" s="301"/>
      <c r="GJ87" s="301"/>
      <c r="GK87" s="301"/>
      <c r="GL87" s="301"/>
      <c r="GM87" s="301"/>
      <c r="GN87" s="301"/>
      <c r="GO87" s="301"/>
      <c r="GP87" s="301"/>
      <c r="GQ87" s="301"/>
      <c r="GR87" s="301"/>
      <c r="GS87" s="301"/>
      <c r="GT87" s="301"/>
      <c r="GU87" s="301"/>
      <c r="GV87" s="301"/>
      <c r="GW87" s="301"/>
      <c r="GX87" s="301"/>
      <c r="GY87" s="301"/>
      <c r="GZ87" s="301"/>
      <c r="HA87" s="301"/>
      <c r="HB87" s="301"/>
      <c r="HC87" s="301"/>
      <c r="HD87" s="301"/>
      <c r="HE87" s="301"/>
      <c r="HF87" s="301"/>
      <c r="HG87" s="301"/>
      <c r="HH87" s="301"/>
      <c r="HI87" s="301"/>
      <c r="HJ87" s="301"/>
      <c r="HK87" s="301"/>
      <c r="HL87" s="301"/>
      <c r="HM87" s="301"/>
      <c r="HN87" s="301"/>
      <c r="HO87" s="301"/>
      <c r="HP87" s="301"/>
      <c r="HQ87" s="301"/>
      <c r="HR87" s="301"/>
      <c r="HS87" s="301"/>
      <c r="HT87" s="301"/>
      <c r="HU87" s="301"/>
      <c r="HV87" s="301"/>
      <c r="HW87" s="301"/>
      <c r="HX87" s="301"/>
      <c r="HY87" s="301"/>
      <c r="HZ87" s="301"/>
      <c r="IA87" s="301"/>
      <c r="IB87" s="301"/>
      <c r="IC87" s="301"/>
      <c r="ID87" s="301"/>
      <c r="IE87" s="301"/>
      <c r="IF87" s="301"/>
      <c r="IG87" s="301"/>
      <c r="IH87" s="301"/>
      <c r="II87" s="301"/>
      <c r="IJ87" s="301"/>
      <c r="IK87" s="301"/>
      <c r="IL87" s="301"/>
      <c r="IM87" s="301"/>
      <c r="IN87" s="301"/>
      <c r="IO87" s="301"/>
      <c r="IP87" s="301"/>
      <c r="IQ87" s="301"/>
      <c r="IR87" s="301"/>
      <c r="IS87" s="301"/>
      <c r="IT87" s="301"/>
      <c r="IU87" s="301"/>
      <c r="IV87" s="301"/>
    </row>
    <row r="88" spans="1:256" ht="15">
      <c r="A88" s="301"/>
      <c r="B88" s="339"/>
      <c r="C88" s="304"/>
      <c r="D88" s="304"/>
      <c r="E88" s="340" t="s">
        <v>849</v>
      </c>
      <c r="F88" s="304"/>
      <c r="G88" s="304"/>
      <c r="H88" s="304"/>
      <c r="I88" s="329"/>
      <c r="J88" s="329"/>
      <c r="K88" s="335">
        <f>ROUND(K87,0)</f>
        <v>3757</v>
      </c>
      <c r="L88" s="301"/>
      <c r="M88" s="301"/>
      <c r="N88" s="301"/>
      <c r="O88" s="301"/>
      <c r="P88" s="301"/>
      <c r="Q88" s="301"/>
      <c r="R88" s="301"/>
      <c r="S88" s="301"/>
      <c r="T88" s="301"/>
      <c r="U88" s="301"/>
      <c r="V88" s="301"/>
      <c r="W88" s="301"/>
      <c r="X88" s="301"/>
      <c r="Y88" s="301"/>
      <c r="Z88" s="301"/>
      <c r="AA88" s="301"/>
      <c r="AB88" s="301"/>
      <c r="AC88" s="301"/>
      <c r="AD88" s="301"/>
      <c r="AE88" s="301"/>
      <c r="AF88" s="301"/>
      <c r="AG88" s="301"/>
      <c r="AH88" s="301"/>
      <c r="AI88" s="301"/>
      <c r="AJ88" s="301"/>
      <c r="AK88" s="301"/>
      <c r="AL88" s="301"/>
      <c r="AM88" s="301"/>
      <c r="AN88" s="301"/>
      <c r="AO88" s="301"/>
      <c r="AP88" s="301"/>
      <c r="AQ88" s="301"/>
      <c r="AR88" s="301"/>
      <c r="AS88" s="301"/>
      <c r="AT88" s="301"/>
      <c r="AU88" s="301"/>
      <c r="AV88" s="301"/>
      <c r="AW88" s="301"/>
      <c r="AX88" s="301"/>
      <c r="AY88" s="301"/>
      <c r="AZ88" s="301"/>
      <c r="BA88" s="301"/>
      <c r="BB88" s="301"/>
      <c r="BC88" s="301"/>
      <c r="BD88" s="301"/>
      <c r="BE88" s="301"/>
      <c r="BF88" s="301"/>
      <c r="BG88" s="301"/>
      <c r="BH88" s="301"/>
      <c r="BI88" s="301"/>
      <c r="BJ88" s="301"/>
      <c r="BK88" s="301"/>
      <c r="BL88" s="301"/>
      <c r="BM88" s="301"/>
      <c r="BN88" s="301"/>
      <c r="BO88" s="301"/>
      <c r="BP88" s="301"/>
      <c r="BQ88" s="301"/>
      <c r="BR88" s="301"/>
      <c r="BS88" s="301"/>
      <c r="BT88" s="301"/>
      <c r="BU88" s="301"/>
      <c r="BV88" s="301"/>
      <c r="BW88" s="301"/>
      <c r="BX88" s="301"/>
      <c r="BY88" s="301"/>
      <c r="BZ88" s="301"/>
      <c r="CA88" s="301"/>
      <c r="CB88" s="301"/>
      <c r="CC88" s="301"/>
      <c r="CD88" s="301"/>
      <c r="CE88" s="301"/>
      <c r="CF88" s="301"/>
      <c r="CG88" s="301"/>
      <c r="CH88" s="301"/>
      <c r="CI88" s="301"/>
      <c r="CJ88" s="301"/>
      <c r="CK88" s="301"/>
      <c r="CL88" s="301"/>
      <c r="CM88" s="301"/>
      <c r="CN88" s="301"/>
      <c r="CO88" s="301"/>
      <c r="CP88" s="301"/>
      <c r="CQ88" s="301"/>
      <c r="CR88" s="301"/>
      <c r="CS88" s="301"/>
      <c r="CT88" s="301"/>
      <c r="CU88" s="301"/>
      <c r="CV88" s="301"/>
      <c r="CW88" s="301"/>
      <c r="CX88" s="301"/>
      <c r="CY88" s="301"/>
      <c r="CZ88" s="301"/>
      <c r="DA88" s="301"/>
      <c r="DB88" s="301"/>
      <c r="DC88" s="301"/>
      <c r="DD88" s="301"/>
      <c r="DE88" s="301"/>
      <c r="DF88" s="301"/>
      <c r="DG88" s="301"/>
      <c r="DH88" s="301"/>
      <c r="DI88" s="301"/>
      <c r="DJ88" s="301"/>
      <c r="DK88" s="301"/>
      <c r="DL88" s="301"/>
      <c r="DM88" s="301"/>
      <c r="DN88" s="301"/>
      <c r="DO88" s="301"/>
      <c r="DP88" s="301"/>
      <c r="DQ88" s="301"/>
      <c r="DR88" s="301"/>
      <c r="DS88" s="301"/>
      <c r="DT88" s="301"/>
      <c r="DU88" s="301"/>
      <c r="DV88" s="301"/>
      <c r="DW88" s="301"/>
      <c r="DX88" s="301"/>
      <c r="DY88" s="301"/>
      <c r="DZ88" s="301"/>
      <c r="EA88" s="301"/>
      <c r="EB88" s="301"/>
      <c r="EC88" s="301"/>
      <c r="ED88" s="301"/>
      <c r="EE88" s="301"/>
      <c r="EF88" s="301"/>
      <c r="EG88" s="301"/>
      <c r="EH88" s="301"/>
      <c r="EI88" s="301"/>
      <c r="EJ88" s="301"/>
      <c r="EK88" s="301"/>
      <c r="EL88" s="301"/>
      <c r="EM88" s="301"/>
      <c r="EN88" s="301"/>
      <c r="EO88" s="301"/>
      <c r="EP88" s="301"/>
      <c r="EQ88" s="301"/>
      <c r="ER88" s="301"/>
      <c r="ES88" s="301"/>
      <c r="ET88" s="301"/>
      <c r="EU88" s="301"/>
      <c r="EV88" s="301"/>
      <c r="EW88" s="301"/>
      <c r="EX88" s="301"/>
      <c r="EY88" s="301"/>
      <c r="EZ88" s="301"/>
      <c r="FA88" s="301"/>
      <c r="FB88" s="301"/>
      <c r="FC88" s="301"/>
      <c r="FD88" s="301"/>
      <c r="FE88" s="301"/>
      <c r="FF88" s="301"/>
      <c r="FG88" s="301"/>
      <c r="FH88" s="301"/>
      <c r="FI88" s="301"/>
      <c r="FJ88" s="301"/>
      <c r="FK88" s="301"/>
      <c r="FL88" s="301"/>
      <c r="FM88" s="301"/>
      <c r="FN88" s="301"/>
      <c r="FO88" s="301"/>
      <c r="FP88" s="301"/>
      <c r="FQ88" s="301"/>
      <c r="FR88" s="301"/>
      <c r="FS88" s="301"/>
      <c r="FT88" s="301"/>
      <c r="FU88" s="301"/>
      <c r="FV88" s="301"/>
      <c r="FW88" s="301"/>
      <c r="FX88" s="301"/>
      <c r="FY88" s="301"/>
      <c r="FZ88" s="301"/>
      <c r="GA88" s="301"/>
      <c r="GB88" s="301"/>
      <c r="GC88" s="301"/>
      <c r="GD88" s="301"/>
      <c r="GE88" s="301"/>
      <c r="GF88" s="301"/>
      <c r="GG88" s="301"/>
      <c r="GH88" s="301"/>
      <c r="GI88" s="301"/>
      <c r="GJ88" s="301"/>
      <c r="GK88" s="301"/>
      <c r="GL88" s="301"/>
      <c r="GM88" s="301"/>
      <c r="GN88" s="301"/>
      <c r="GO88" s="301"/>
      <c r="GP88" s="301"/>
      <c r="GQ88" s="301"/>
      <c r="GR88" s="301"/>
      <c r="GS88" s="301"/>
      <c r="GT88" s="301"/>
      <c r="GU88" s="301"/>
      <c r="GV88" s="301"/>
      <c r="GW88" s="301"/>
      <c r="GX88" s="301"/>
      <c r="GY88" s="301"/>
      <c r="GZ88" s="301"/>
      <c r="HA88" s="301"/>
      <c r="HB88" s="301"/>
      <c r="HC88" s="301"/>
      <c r="HD88" s="301"/>
      <c r="HE88" s="301"/>
      <c r="HF88" s="301"/>
      <c r="HG88" s="301"/>
      <c r="HH88" s="301"/>
      <c r="HI88" s="301"/>
      <c r="HJ88" s="301"/>
      <c r="HK88" s="301"/>
      <c r="HL88" s="301"/>
      <c r="HM88" s="301"/>
      <c r="HN88" s="301"/>
      <c r="HO88" s="301"/>
      <c r="HP88" s="301"/>
      <c r="HQ88" s="301"/>
      <c r="HR88" s="301"/>
      <c r="HS88" s="301"/>
      <c r="HT88" s="301"/>
      <c r="HU88" s="301"/>
      <c r="HV88" s="301"/>
      <c r="HW88" s="301"/>
      <c r="HX88" s="301"/>
      <c r="HY88" s="301"/>
      <c r="HZ88" s="301"/>
      <c r="IA88" s="301"/>
      <c r="IB88" s="301"/>
      <c r="IC88" s="301"/>
      <c r="ID88" s="301"/>
      <c r="IE88" s="301"/>
      <c r="IF88" s="301"/>
      <c r="IG88" s="301"/>
      <c r="IH88" s="301"/>
      <c r="II88" s="301"/>
      <c r="IJ88" s="301"/>
      <c r="IK88" s="301"/>
      <c r="IL88" s="301"/>
      <c r="IM88" s="301"/>
      <c r="IN88" s="301"/>
      <c r="IO88" s="301"/>
      <c r="IP88" s="301"/>
      <c r="IQ88" s="301"/>
      <c r="IR88" s="301"/>
      <c r="IS88" s="301"/>
      <c r="IT88" s="301"/>
      <c r="IU88" s="301"/>
      <c r="IV88" s="301"/>
    </row>
    <row r="89" spans="1:256" ht="15">
      <c r="A89" s="301"/>
      <c r="B89" s="339"/>
      <c r="C89" s="304"/>
      <c r="D89" s="304"/>
      <c r="E89" s="340"/>
      <c r="F89" s="304"/>
      <c r="G89" s="304"/>
      <c r="H89" s="304"/>
      <c r="I89" s="329"/>
      <c r="J89" s="329"/>
      <c r="K89" s="357" t="s">
        <v>367</v>
      </c>
      <c r="L89" s="301"/>
      <c r="M89" s="301"/>
      <c r="N89" s="301"/>
      <c r="O89" s="301"/>
      <c r="P89" s="301"/>
      <c r="Q89" s="301"/>
      <c r="R89" s="301"/>
      <c r="S89" s="301"/>
      <c r="T89" s="301"/>
      <c r="U89" s="301"/>
      <c r="V89" s="301"/>
      <c r="W89" s="301"/>
      <c r="X89" s="301"/>
      <c r="Y89" s="301"/>
      <c r="Z89" s="301"/>
      <c r="AA89" s="301"/>
      <c r="AB89" s="301"/>
      <c r="AC89" s="301"/>
      <c r="AD89" s="301"/>
      <c r="AE89" s="301"/>
      <c r="AF89" s="301"/>
      <c r="AG89" s="301"/>
      <c r="AH89" s="301"/>
      <c r="AI89" s="301"/>
      <c r="AJ89" s="301"/>
      <c r="AK89" s="301"/>
      <c r="AL89" s="301"/>
      <c r="AM89" s="301"/>
      <c r="AN89" s="301"/>
      <c r="AO89" s="301"/>
      <c r="AP89" s="301"/>
      <c r="AQ89" s="301"/>
      <c r="AR89" s="301"/>
      <c r="AS89" s="301"/>
      <c r="AT89" s="301"/>
      <c r="AU89" s="301"/>
      <c r="AV89" s="301"/>
      <c r="AW89" s="301"/>
      <c r="AX89" s="301"/>
      <c r="AY89" s="301"/>
      <c r="AZ89" s="301"/>
      <c r="BA89" s="301"/>
      <c r="BB89" s="301"/>
      <c r="BC89" s="301"/>
      <c r="BD89" s="301"/>
      <c r="BE89" s="301"/>
      <c r="BF89" s="301"/>
      <c r="BG89" s="301"/>
      <c r="BH89" s="301"/>
      <c r="BI89" s="301"/>
      <c r="BJ89" s="301"/>
      <c r="BK89" s="301"/>
      <c r="BL89" s="301"/>
      <c r="BM89" s="301"/>
      <c r="BN89" s="301"/>
      <c r="BO89" s="301"/>
      <c r="BP89" s="301"/>
      <c r="BQ89" s="301"/>
      <c r="BR89" s="301"/>
      <c r="BS89" s="301"/>
      <c r="BT89" s="301"/>
      <c r="BU89" s="301"/>
      <c r="BV89" s="301"/>
      <c r="BW89" s="301"/>
      <c r="BX89" s="301"/>
      <c r="BY89" s="301"/>
      <c r="BZ89" s="301"/>
      <c r="CA89" s="301"/>
      <c r="CB89" s="301"/>
      <c r="CC89" s="301"/>
      <c r="CD89" s="301"/>
      <c r="CE89" s="301"/>
      <c r="CF89" s="301"/>
      <c r="CG89" s="301"/>
      <c r="CH89" s="301"/>
      <c r="CI89" s="301"/>
      <c r="CJ89" s="301"/>
      <c r="CK89" s="301"/>
      <c r="CL89" s="301"/>
      <c r="CM89" s="301"/>
      <c r="CN89" s="301"/>
      <c r="CO89" s="301"/>
      <c r="CP89" s="301"/>
      <c r="CQ89" s="301"/>
      <c r="CR89" s="301"/>
      <c r="CS89" s="301"/>
      <c r="CT89" s="301"/>
      <c r="CU89" s="301"/>
      <c r="CV89" s="301"/>
      <c r="CW89" s="301"/>
      <c r="CX89" s="301"/>
      <c r="CY89" s="301"/>
      <c r="CZ89" s="301"/>
      <c r="DA89" s="301"/>
      <c r="DB89" s="301"/>
      <c r="DC89" s="301"/>
      <c r="DD89" s="301"/>
      <c r="DE89" s="301"/>
      <c r="DF89" s="301"/>
      <c r="DG89" s="301"/>
      <c r="DH89" s="301"/>
      <c r="DI89" s="301"/>
      <c r="DJ89" s="301"/>
      <c r="DK89" s="301"/>
      <c r="DL89" s="301"/>
      <c r="DM89" s="301"/>
      <c r="DN89" s="301"/>
      <c r="DO89" s="301"/>
      <c r="DP89" s="301"/>
      <c r="DQ89" s="301"/>
      <c r="DR89" s="301"/>
      <c r="DS89" s="301"/>
      <c r="DT89" s="301"/>
      <c r="DU89" s="301"/>
      <c r="DV89" s="301"/>
      <c r="DW89" s="301"/>
      <c r="DX89" s="301"/>
      <c r="DY89" s="301"/>
      <c r="DZ89" s="301"/>
      <c r="EA89" s="301"/>
      <c r="EB89" s="301"/>
      <c r="EC89" s="301"/>
      <c r="ED89" s="301"/>
      <c r="EE89" s="301"/>
      <c r="EF89" s="301"/>
      <c r="EG89" s="301"/>
      <c r="EH89" s="301"/>
      <c r="EI89" s="301"/>
      <c r="EJ89" s="301"/>
      <c r="EK89" s="301"/>
      <c r="EL89" s="301"/>
      <c r="EM89" s="301"/>
      <c r="EN89" s="301"/>
      <c r="EO89" s="301"/>
      <c r="EP89" s="301"/>
      <c r="EQ89" s="301"/>
      <c r="ER89" s="301"/>
      <c r="ES89" s="301"/>
      <c r="ET89" s="301"/>
      <c r="EU89" s="301"/>
      <c r="EV89" s="301"/>
      <c r="EW89" s="301"/>
      <c r="EX89" s="301"/>
      <c r="EY89" s="301"/>
      <c r="EZ89" s="301"/>
      <c r="FA89" s="301"/>
      <c r="FB89" s="301"/>
      <c r="FC89" s="301"/>
      <c r="FD89" s="301"/>
      <c r="FE89" s="301"/>
      <c r="FF89" s="301"/>
      <c r="FG89" s="301"/>
      <c r="FH89" s="301"/>
      <c r="FI89" s="301"/>
      <c r="FJ89" s="301"/>
      <c r="FK89" s="301"/>
      <c r="FL89" s="301"/>
      <c r="FM89" s="301"/>
      <c r="FN89" s="301"/>
      <c r="FO89" s="301"/>
      <c r="FP89" s="301"/>
      <c r="FQ89" s="301"/>
      <c r="FR89" s="301"/>
      <c r="FS89" s="301"/>
      <c r="FT89" s="301"/>
      <c r="FU89" s="301"/>
      <c r="FV89" s="301"/>
      <c r="FW89" s="301"/>
      <c r="FX89" s="301"/>
      <c r="FY89" s="301"/>
      <c r="FZ89" s="301"/>
      <c r="GA89" s="301"/>
      <c r="GB89" s="301"/>
      <c r="GC89" s="301"/>
      <c r="GD89" s="301"/>
      <c r="GE89" s="301"/>
      <c r="GF89" s="301"/>
      <c r="GG89" s="301"/>
      <c r="GH89" s="301"/>
      <c r="GI89" s="301"/>
      <c r="GJ89" s="301"/>
      <c r="GK89" s="301"/>
      <c r="GL89" s="301"/>
      <c r="GM89" s="301"/>
      <c r="GN89" s="301"/>
      <c r="GO89" s="301"/>
      <c r="GP89" s="301"/>
      <c r="GQ89" s="301"/>
      <c r="GR89" s="301"/>
      <c r="GS89" s="301"/>
      <c r="GT89" s="301"/>
      <c r="GU89" s="301"/>
      <c r="GV89" s="301"/>
      <c r="GW89" s="301"/>
      <c r="GX89" s="301"/>
      <c r="GY89" s="301"/>
      <c r="GZ89" s="301"/>
      <c r="HA89" s="301"/>
      <c r="HB89" s="301"/>
      <c r="HC89" s="301"/>
      <c r="HD89" s="301"/>
      <c r="HE89" s="301"/>
      <c r="HF89" s="301"/>
      <c r="HG89" s="301"/>
      <c r="HH89" s="301"/>
      <c r="HI89" s="301"/>
      <c r="HJ89" s="301"/>
      <c r="HK89" s="301"/>
      <c r="HL89" s="301"/>
      <c r="HM89" s="301"/>
      <c r="HN89" s="301"/>
      <c r="HO89" s="301"/>
      <c r="HP89" s="301"/>
      <c r="HQ89" s="301"/>
      <c r="HR89" s="301"/>
      <c r="HS89" s="301"/>
      <c r="HT89" s="301"/>
      <c r="HU89" s="301"/>
      <c r="HV89" s="301"/>
      <c r="HW89" s="301"/>
      <c r="HX89" s="301"/>
      <c r="HY89" s="301"/>
      <c r="HZ89" s="301"/>
      <c r="IA89" s="301"/>
      <c r="IB89" s="301"/>
      <c r="IC89" s="301"/>
      <c r="ID89" s="301"/>
      <c r="IE89" s="301"/>
      <c r="IF89" s="301"/>
      <c r="IG89" s="301"/>
      <c r="IH89" s="301"/>
      <c r="II89" s="301"/>
      <c r="IJ89" s="301"/>
      <c r="IK89" s="301"/>
      <c r="IL89" s="301"/>
      <c r="IM89" s="301"/>
      <c r="IN89" s="301"/>
      <c r="IO89" s="301"/>
      <c r="IP89" s="301"/>
      <c r="IQ89" s="301"/>
      <c r="IR89" s="301"/>
      <c r="IS89" s="301"/>
      <c r="IT89" s="301"/>
      <c r="IU89" s="301"/>
      <c r="IV89" s="301"/>
    </row>
    <row r="90" spans="1:256" ht="136.5" hidden="1" customHeight="1">
      <c r="A90" s="301"/>
      <c r="B90" s="358">
        <v>4</v>
      </c>
      <c r="C90" s="1537" t="s">
        <v>1257</v>
      </c>
      <c r="D90" s="1538"/>
      <c r="E90" s="1538"/>
      <c r="F90" s="1538"/>
      <c r="G90" s="1538"/>
      <c r="H90" s="1538"/>
      <c r="I90" s="1538"/>
      <c r="J90" s="1538"/>
      <c r="K90" s="1538"/>
      <c r="L90" s="301"/>
      <c r="M90" s="301"/>
      <c r="N90" s="301"/>
      <c r="O90" s="301"/>
      <c r="P90" s="301"/>
      <c r="Q90" s="301"/>
      <c r="R90" s="301"/>
      <c r="S90" s="301"/>
      <c r="T90" s="301"/>
      <c r="U90" s="301"/>
      <c r="V90" s="301"/>
      <c r="W90" s="301"/>
      <c r="X90" s="301"/>
      <c r="Y90" s="301"/>
      <c r="Z90" s="301"/>
      <c r="AA90" s="301"/>
      <c r="AB90" s="301"/>
      <c r="AC90" s="301"/>
      <c r="AD90" s="301"/>
      <c r="AE90" s="301"/>
      <c r="AF90" s="301"/>
      <c r="AG90" s="301"/>
      <c r="AH90" s="301"/>
      <c r="AI90" s="301"/>
      <c r="AJ90" s="301"/>
      <c r="AK90" s="301"/>
      <c r="AL90" s="301"/>
      <c r="AM90" s="301"/>
      <c r="AN90" s="301"/>
      <c r="AO90" s="301"/>
      <c r="AP90" s="301"/>
      <c r="AQ90" s="301"/>
      <c r="AR90" s="301"/>
      <c r="AS90" s="301"/>
      <c r="AT90" s="301"/>
      <c r="AU90" s="301"/>
      <c r="AV90" s="301"/>
      <c r="AW90" s="301"/>
      <c r="AX90" s="301"/>
      <c r="AY90" s="301"/>
      <c r="AZ90" s="301"/>
      <c r="BA90" s="301"/>
      <c r="BB90" s="301"/>
      <c r="BC90" s="301"/>
      <c r="BD90" s="301"/>
      <c r="BE90" s="301"/>
      <c r="BF90" s="301"/>
      <c r="BG90" s="301"/>
      <c r="BH90" s="301"/>
      <c r="BI90" s="301"/>
      <c r="BJ90" s="301"/>
      <c r="BK90" s="301"/>
      <c r="BL90" s="301"/>
      <c r="BM90" s="301"/>
      <c r="BN90" s="301"/>
      <c r="BO90" s="301"/>
      <c r="BP90" s="301"/>
      <c r="BQ90" s="301"/>
      <c r="BR90" s="301"/>
      <c r="BS90" s="301"/>
      <c r="BT90" s="301"/>
      <c r="BU90" s="301"/>
      <c r="BV90" s="301"/>
      <c r="BW90" s="301"/>
      <c r="BX90" s="301"/>
      <c r="BY90" s="301"/>
      <c r="BZ90" s="301"/>
      <c r="CA90" s="301"/>
      <c r="CB90" s="301"/>
      <c r="CC90" s="301"/>
      <c r="CD90" s="301"/>
      <c r="CE90" s="301"/>
      <c r="CF90" s="301"/>
      <c r="CG90" s="301"/>
      <c r="CH90" s="301"/>
      <c r="CI90" s="301"/>
      <c r="CJ90" s="301"/>
      <c r="CK90" s="301"/>
      <c r="CL90" s="301"/>
      <c r="CM90" s="301"/>
      <c r="CN90" s="301"/>
      <c r="CO90" s="301"/>
      <c r="CP90" s="301"/>
      <c r="CQ90" s="301"/>
      <c r="CR90" s="301"/>
      <c r="CS90" s="301"/>
      <c r="CT90" s="301"/>
      <c r="CU90" s="301"/>
      <c r="CV90" s="301"/>
      <c r="CW90" s="301"/>
      <c r="CX90" s="301"/>
      <c r="CY90" s="301"/>
      <c r="CZ90" s="301"/>
      <c r="DA90" s="301"/>
      <c r="DB90" s="301"/>
      <c r="DC90" s="301"/>
      <c r="DD90" s="301"/>
      <c r="DE90" s="301"/>
      <c r="DF90" s="301"/>
      <c r="DG90" s="301"/>
      <c r="DH90" s="301"/>
      <c r="DI90" s="301"/>
      <c r="DJ90" s="301"/>
      <c r="DK90" s="301"/>
      <c r="DL90" s="301"/>
      <c r="DM90" s="301"/>
      <c r="DN90" s="301"/>
      <c r="DO90" s="301"/>
      <c r="DP90" s="301"/>
      <c r="DQ90" s="301"/>
      <c r="DR90" s="301"/>
      <c r="DS90" s="301"/>
      <c r="DT90" s="301"/>
      <c r="DU90" s="301"/>
      <c r="DV90" s="301"/>
      <c r="DW90" s="301"/>
      <c r="DX90" s="301"/>
      <c r="DY90" s="301"/>
      <c r="DZ90" s="301"/>
      <c r="EA90" s="301"/>
      <c r="EB90" s="301"/>
      <c r="EC90" s="301"/>
      <c r="ED90" s="301"/>
      <c r="EE90" s="301"/>
      <c r="EF90" s="301"/>
      <c r="EG90" s="301"/>
      <c r="EH90" s="301"/>
      <c r="EI90" s="301"/>
      <c r="EJ90" s="301"/>
      <c r="EK90" s="301"/>
      <c r="EL90" s="301"/>
      <c r="EM90" s="301"/>
      <c r="EN90" s="301"/>
      <c r="EO90" s="301"/>
      <c r="EP90" s="301"/>
      <c r="EQ90" s="301"/>
      <c r="ER90" s="301"/>
      <c r="ES90" s="301"/>
      <c r="ET90" s="301"/>
      <c r="EU90" s="301"/>
      <c r="EV90" s="301"/>
      <c r="EW90" s="301"/>
      <c r="EX90" s="301"/>
      <c r="EY90" s="301"/>
      <c r="EZ90" s="301"/>
      <c r="FA90" s="301"/>
      <c r="FB90" s="301"/>
      <c r="FC90" s="301"/>
      <c r="FD90" s="301"/>
      <c r="FE90" s="301"/>
      <c r="FF90" s="301"/>
      <c r="FG90" s="301"/>
      <c r="FH90" s="301"/>
      <c r="FI90" s="301"/>
      <c r="FJ90" s="301"/>
      <c r="FK90" s="301"/>
      <c r="FL90" s="301"/>
      <c r="FM90" s="301"/>
      <c r="FN90" s="301"/>
      <c r="FO90" s="301"/>
      <c r="FP90" s="301"/>
      <c r="FQ90" s="301"/>
      <c r="FR90" s="301"/>
      <c r="FS90" s="301"/>
      <c r="FT90" s="301"/>
      <c r="FU90" s="301"/>
      <c r="FV90" s="301"/>
      <c r="FW90" s="301"/>
      <c r="FX90" s="301"/>
      <c r="FY90" s="301"/>
      <c r="FZ90" s="301"/>
      <c r="GA90" s="301"/>
      <c r="GB90" s="301"/>
      <c r="GC90" s="301"/>
      <c r="GD90" s="301"/>
      <c r="GE90" s="301"/>
      <c r="GF90" s="301"/>
      <c r="GG90" s="301"/>
      <c r="GH90" s="301"/>
      <c r="GI90" s="301"/>
      <c r="GJ90" s="301"/>
      <c r="GK90" s="301"/>
      <c r="GL90" s="301"/>
      <c r="GM90" s="301"/>
      <c r="GN90" s="301"/>
      <c r="GO90" s="301"/>
      <c r="GP90" s="301"/>
      <c r="GQ90" s="301"/>
      <c r="GR90" s="301"/>
      <c r="GS90" s="301"/>
      <c r="GT90" s="301"/>
      <c r="GU90" s="301"/>
      <c r="GV90" s="301"/>
      <c r="GW90" s="301"/>
      <c r="GX90" s="301"/>
      <c r="GY90" s="301"/>
      <c r="GZ90" s="301"/>
      <c r="HA90" s="301"/>
      <c r="HB90" s="301"/>
      <c r="HC90" s="301"/>
      <c r="HD90" s="301"/>
      <c r="HE90" s="301"/>
      <c r="HF90" s="301"/>
      <c r="HG90" s="301"/>
      <c r="HH90" s="301"/>
      <c r="HI90" s="301"/>
      <c r="HJ90" s="301"/>
      <c r="HK90" s="301"/>
      <c r="HL90" s="301"/>
      <c r="HM90" s="301"/>
      <c r="HN90" s="301"/>
      <c r="HO90" s="301"/>
      <c r="HP90" s="301"/>
      <c r="HQ90" s="301"/>
      <c r="HR90" s="301"/>
      <c r="HS90" s="301"/>
      <c r="HT90" s="301"/>
      <c r="HU90" s="301"/>
      <c r="HV90" s="301"/>
      <c r="HW90" s="301"/>
      <c r="HX90" s="301"/>
      <c r="HY90" s="301"/>
      <c r="HZ90" s="301"/>
      <c r="IA90" s="301"/>
      <c r="IB90" s="301"/>
      <c r="IC90" s="301"/>
      <c r="ID90" s="301"/>
      <c r="IE90" s="301"/>
      <c r="IF90" s="301"/>
      <c r="IG90" s="301"/>
      <c r="IH90" s="301"/>
      <c r="II90" s="301"/>
      <c r="IJ90" s="301"/>
      <c r="IK90" s="301"/>
      <c r="IL90" s="301"/>
      <c r="IM90" s="301"/>
      <c r="IN90" s="301"/>
      <c r="IO90" s="301"/>
      <c r="IP90" s="301"/>
      <c r="IQ90" s="301"/>
      <c r="IR90" s="301"/>
      <c r="IS90" s="301"/>
      <c r="IT90" s="301"/>
      <c r="IU90" s="301"/>
      <c r="IV90" s="301"/>
    </row>
    <row r="91" spans="1:256" ht="15" hidden="1">
      <c r="A91" s="301"/>
      <c r="B91" s="339"/>
      <c r="C91" s="304"/>
      <c r="D91" s="304"/>
      <c r="E91" s="304" t="s">
        <v>837</v>
      </c>
      <c r="F91" s="304"/>
      <c r="G91" s="313" t="s">
        <v>850</v>
      </c>
      <c r="H91" s="304"/>
      <c r="I91" s="304"/>
      <c r="J91" s="304"/>
      <c r="K91" s="304"/>
      <c r="L91" s="301"/>
      <c r="M91" s="301"/>
      <c r="N91" s="301"/>
      <c r="O91" s="301"/>
      <c r="P91" s="301"/>
      <c r="Q91" s="301"/>
      <c r="R91" s="301"/>
      <c r="S91" s="301"/>
      <c r="T91" s="301"/>
      <c r="U91" s="301"/>
      <c r="V91" s="301"/>
      <c r="W91" s="301"/>
      <c r="X91" s="301"/>
      <c r="Y91" s="301"/>
      <c r="Z91" s="301"/>
      <c r="AA91" s="301"/>
      <c r="AB91" s="301"/>
      <c r="AC91" s="301"/>
      <c r="AD91" s="301"/>
      <c r="AE91" s="301"/>
      <c r="AF91" s="301"/>
      <c r="AG91" s="301"/>
      <c r="AH91" s="301"/>
      <c r="AI91" s="301"/>
      <c r="AJ91" s="301"/>
      <c r="AK91" s="301"/>
      <c r="AL91" s="301"/>
      <c r="AM91" s="301"/>
      <c r="AN91" s="301"/>
      <c r="AO91" s="301"/>
      <c r="AP91" s="301"/>
      <c r="AQ91" s="301"/>
      <c r="AR91" s="301"/>
      <c r="AS91" s="301"/>
      <c r="AT91" s="301"/>
      <c r="AU91" s="301"/>
      <c r="AV91" s="301"/>
      <c r="AW91" s="301"/>
      <c r="AX91" s="301"/>
      <c r="AY91" s="301"/>
      <c r="AZ91" s="301"/>
      <c r="BA91" s="301"/>
      <c r="BB91" s="301"/>
      <c r="BC91" s="301"/>
      <c r="BD91" s="301"/>
      <c r="BE91" s="301"/>
      <c r="BF91" s="301"/>
      <c r="BG91" s="301"/>
      <c r="BH91" s="301"/>
      <c r="BI91" s="301"/>
      <c r="BJ91" s="301"/>
      <c r="BK91" s="301"/>
      <c r="BL91" s="301"/>
      <c r="BM91" s="301"/>
      <c r="BN91" s="301"/>
      <c r="BO91" s="301"/>
      <c r="BP91" s="301"/>
      <c r="BQ91" s="301"/>
      <c r="BR91" s="301"/>
      <c r="BS91" s="301"/>
      <c r="BT91" s="301"/>
      <c r="BU91" s="301"/>
      <c r="BV91" s="301"/>
      <c r="BW91" s="301"/>
      <c r="BX91" s="301"/>
      <c r="BY91" s="301"/>
      <c r="BZ91" s="301"/>
      <c r="CA91" s="301"/>
      <c r="CB91" s="301"/>
      <c r="CC91" s="301"/>
      <c r="CD91" s="301"/>
      <c r="CE91" s="301"/>
      <c r="CF91" s="301"/>
      <c r="CG91" s="301"/>
      <c r="CH91" s="301"/>
      <c r="CI91" s="301"/>
      <c r="CJ91" s="301"/>
      <c r="CK91" s="301"/>
      <c r="CL91" s="301"/>
      <c r="CM91" s="301"/>
      <c r="CN91" s="301"/>
      <c r="CO91" s="301"/>
      <c r="CP91" s="301"/>
      <c r="CQ91" s="301"/>
      <c r="CR91" s="301"/>
      <c r="CS91" s="301"/>
      <c r="CT91" s="301"/>
      <c r="CU91" s="301"/>
      <c r="CV91" s="301"/>
      <c r="CW91" s="301"/>
      <c r="CX91" s="301"/>
      <c r="CY91" s="301"/>
      <c r="CZ91" s="301"/>
      <c r="DA91" s="301"/>
      <c r="DB91" s="301"/>
      <c r="DC91" s="301"/>
      <c r="DD91" s="301"/>
      <c r="DE91" s="301"/>
      <c r="DF91" s="301"/>
      <c r="DG91" s="301"/>
      <c r="DH91" s="301"/>
      <c r="DI91" s="301"/>
      <c r="DJ91" s="301"/>
      <c r="DK91" s="301"/>
      <c r="DL91" s="301"/>
      <c r="DM91" s="301"/>
      <c r="DN91" s="301"/>
      <c r="DO91" s="301"/>
      <c r="DP91" s="301"/>
      <c r="DQ91" s="301"/>
      <c r="DR91" s="301"/>
      <c r="DS91" s="301"/>
      <c r="DT91" s="301"/>
      <c r="DU91" s="301"/>
      <c r="DV91" s="301"/>
      <c r="DW91" s="301"/>
      <c r="DX91" s="301"/>
      <c r="DY91" s="301"/>
      <c r="DZ91" s="301"/>
      <c r="EA91" s="301"/>
      <c r="EB91" s="301"/>
      <c r="EC91" s="301"/>
      <c r="ED91" s="301"/>
      <c r="EE91" s="301"/>
      <c r="EF91" s="301"/>
      <c r="EG91" s="301"/>
      <c r="EH91" s="301"/>
      <c r="EI91" s="301"/>
      <c r="EJ91" s="301"/>
      <c r="EK91" s="301"/>
      <c r="EL91" s="301"/>
      <c r="EM91" s="301"/>
      <c r="EN91" s="301"/>
      <c r="EO91" s="301"/>
      <c r="EP91" s="301"/>
      <c r="EQ91" s="301"/>
      <c r="ER91" s="301"/>
      <c r="ES91" s="301"/>
      <c r="ET91" s="301"/>
      <c r="EU91" s="301"/>
      <c r="EV91" s="301"/>
      <c r="EW91" s="301"/>
      <c r="EX91" s="301"/>
      <c r="EY91" s="301"/>
      <c r="EZ91" s="301"/>
      <c r="FA91" s="301"/>
      <c r="FB91" s="301"/>
      <c r="FC91" s="301"/>
      <c r="FD91" s="301"/>
      <c r="FE91" s="301"/>
      <c r="FF91" s="301"/>
      <c r="FG91" s="301"/>
      <c r="FH91" s="301"/>
      <c r="FI91" s="301"/>
      <c r="FJ91" s="301"/>
      <c r="FK91" s="301"/>
      <c r="FL91" s="301"/>
      <c r="FM91" s="301"/>
      <c r="FN91" s="301"/>
      <c r="FO91" s="301"/>
      <c r="FP91" s="301"/>
      <c r="FQ91" s="301"/>
      <c r="FR91" s="301"/>
      <c r="FS91" s="301"/>
      <c r="FT91" s="301"/>
      <c r="FU91" s="301"/>
      <c r="FV91" s="301"/>
      <c r="FW91" s="301"/>
      <c r="FX91" s="301"/>
      <c r="FY91" s="301"/>
      <c r="FZ91" s="301"/>
      <c r="GA91" s="301"/>
      <c r="GB91" s="301"/>
      <c r="GC91" s="301"/>
      <c r="GD91" s="301"/>
      <c r="GE91" s="301"/>
      <c r="GF91" s="301"/>
      <c r="GG91" s="301"/>
      <c r="GH91" s="301"/>
      <c r="GI91" s="301"/>
      <c r="GJ91" s="301"/>
      <c r="GK91" s="301"/>
      <c r="GL91" s="301"/>
      <c r="GM91" s="301"/>
      <c r="GN91" s="301"/>
      <c r="GO91" s="301"/>
      <c r="GP91" s="301"/>
      <c r="GQ91" s="301"/>
      <c r="GR91" s="301"/>
      <c r="GS91" s="301"/>
      <c r="GT91" s="301"/>
      <c r="GU91" s="301"/>
      <c r="GV91" s="301"/>
      <c r="GW91" s="301"/>
      <c r="GX91" s="301"/>
      <c r="GY91" s="301"/>
      <c r="GZ91" s="301"/>
      <c r="HA91" s="301"/>
      <c r="HB91" s="301"/>
      <c r="HC91" s="301"/>
      <c r="HD91" s="301"/>
      <c r="HE91" s="301"/>
      <c r="HF91" s="301"/>
      <c r="HG91" s="301"/>
      <c r="HH91" s="301"/>
      <c r="HI91" s="301"/>
      <c r="HJ91" s="301"/>
      <c r="HK91" s="301"/>
      <c r="HL91" s="301"/>
      <c r="HM91" s="301"/>
      <c r="HN91" s="301"/>
      <c r="HO91" s="301"/>
      <c r="HP91" s="301"/>
      <c r="HQ91" s="301"/>
      <c r="HR91" s="301"/>
      <c r="HS91" s="301"/>
      <c r="HT91" s="301"/>
      <c r="HU91" s="301"/>
      <c r="HV91" s="301"/>
      <c r="HW91" s="301"/>
      <c r="HX91" s="301"/>
      <c r="HY91" s="301"/>
      <c r="HZ91" s="301"/>
      <c r="IA91" s="301"/>
      <c r="IB91" s="301"/>
      <c r="IC91" s="301"/>
      <c r="ID91" s="301"/>
      <c r="IE91" s="301"/>
      <c r="IF91" s="301"/>
      <c r="IG91" s="301"/>
      <c r="IH91" s="301"/>
      <c r="II91" s="301"/>
      <c r="IJ91" s="301"/>
      <c r="IK91" s="301"/>
      <c r="IL91" s="301"/>
      <c r="IM91" s="301"/>
      <c r="IN91" s="301"/>
      <c r="IO91" s="301"/>
      <c r="IP91" s="301"/>
      <c r="IQ91" s="301"/>
      <c r="IR91" s="301"/>
      <c r="IS91" s="301"/>
      <c r="IT91" s="301"/>
      <c r="IU91" s="301"/>
      <c r="IV91" s="301"/>
    </row>
    <row r="92" spans="1:256" ht="15" hidden="1">
      <c r="A92" s="301"/>
      <c r="B92" s="339"/>
      <c r="C92" s="304"/>
      <c r="D92" s="304"/>
      <c r="E92" s="304" t="s">
        <v>838</v>
      </c>
      <c r="F92" s="304"/>
      <c r="G92" s="304"/>
      <c r="H92" s="304"/>
      <c r="I92" s="304"/>
      <c r="J92" s="304"/>
      <c r="K92" s="304"/>
      <c r="L92" s="301"/>
      <c r="M92" s="301"/>
      <c r="N92" s="301"/>
      <c r="O92" s="301"/>
      <c r="P92" s="301"/>
      <c r="Q92" s="301"/>
      <c r="R92" s="301"/>
      <c r="S92" s="301"/>
      <c r="T92" s="301"/>
      <c r="U92" s="301"/>
      <c r="V92" s="301"/>
      <c r="W92" s="301"/>
      <c r="X92" s="301"/>
      <c r="Y92" s="301"/>
      <c r="Z92" s="301"/>
      <c r="AA92" s="301"/>
      <c r="AB92" s="301"/>
      <c r="AC92" s="301"/>
      <c r="AD92" s="301"/>
      <c r="AE92" s="301"/>
      <c r="AF92" s="301"/>
      <c r="AG92" s="301"/>
      <c r="AH92" s="301"/>
      <c r="AI92" s="301"/>
      <c r="AJ92" s="301"/>
      <c r="AK92" s="301"/>
      <c r="AL92" s="301"/>
      <c r="AM92" s="301"/>
      <c r="AN92" s="301"/>
      <c r="AO92" s="301"/>
      <c r="AP92" s="301"/>
      <c r="AQ92" s="301"/>
      <c r="AR92" s="301"/>
      <c r="AS92" s="301"/>
      <c r="AT92" s="301"/>
      <c r="AU92" s="301"/>
      <c r="AV92" s="301"/>
      <c r="AW92" s="301"/>
      <c r="AX92" s="301"/>
      <c r="AY92" s="301"/>
      <c r="AZ92" s="301"/>
      <c r="BA92" s="301"/>
      <c r="BB92" s="301"/>
      <c r="BC92" s="301"/>
      <c r="BD92" s="301"/>
      <c r="BE92" s="301"/>
      <c r="BF92" s="301"/>
      <c r="BG92" s="301"/>
      <c r="BH92" s="301"/>
      <c r="BI92" s="301"/>
      <c r="BJ92" s="301"/>
      <c r="BK92" s="301"/>
      <c r="BL92" s="301"/>
      <c r="BM92" s="301"/>
      <c r="BN92" s="301"/>
      <c r="BO92" s="301"/>
      <c r="BP92" s="301"/>
      <c r="BQ92" s="301"/>
      <c r="BR92" s="301"/>
      <c r="BS92" s="301"/>
      <c r="BT92" s="301"/>
      <c r="BU92" s="301"/>
      <c r="BV92" s="301"/>
      <c r="BW92" s="301"/>
      <c r="BX92" s="301"/>
      <c r="BY92" s="301"/>
      <c r="BZ92" s="301"/>
      <c r="CA92" s="301"/>
      <c r="CB92" s="301"/>
      <c r="CC92" s="301"/>
      <c r="CD92" s="301"/>
      <c r="CE92" s="301"/>
      <c r="CF92" s="301"/>
      <c r="CG92" s="301"/>
      <c r="CH92" s="301"/>
      <c r="CI92" s="301"/>
      <c r="CJ92" s="301"/>
      <c r="CK92" s="301"/>
      <c r="CL92" s="301"/>
      <c r="CM92" s="301"/>
      <c r="CN92" s="301"/>
      <c r="CO92" s="301"/>
      <c r="CP92" s="301"/>
      <c r="CQ92" s="301"/>
      <c r="CR92" s="301"/>
      <c r="CS92" s="301"/>
      <c r="CT92" s="301"/>
      <c r="CU92" s="301"/>
      <c r="CV92" s="301"/>
      <c r="CW92" s="301"/>
      <c r="CX92" s="301"/>
      <c r="CY92" s="301"/>
      <c r="CZ92" s="301"/>
      <c r="DA92" s="301"/>
      <c r="DB92" s="301"/>
      <c r="DC92" s="301"/>
      <c r="DD92" s="301"/>
      <c r="DE92" s="301"/>
      <c r="DF92" s="301"/>
      <c r="DG92" s="301"/>
      <c r="DH92" s="301"/>
      <c r="DI92" s="301"/>
      <c r="DJ92" s="301"/>
      <c r="DK92" s="301"/>
      <c r="DL92" s="301"/>
      <c r="DM92" s="301"/>
      <c r="DN92" s="301"/>
      <c r="DO92" s="301"/>
      <c r="DP92" s="301"/>
      <c r="DQ92" s="301"/>
      <c r="DR92" s="301"/>
      <c r="DS92" s="301"/>
      <c r="DT92" s="301"/>
      <c r="DU92" s="301"/>
      <c r="DV92" s="301"/>
      <c r="DW92" s="301"/>
      <c r="DX92" s="301"/>
      <c r="DY92" s="301"/>
      <c r="DZ92" s="301"/>
      <c r="EA92" s="301"/>
      <c r="EB92" s="301"/>
      <c r="EC92" s="301"/>
      <c r="ED92" s="301"/>
      <c r="EE92" s="301"/>
      <c r="EF92" s="301"/>
      <c r="EG92" s="301"/>
      <c r="EH92" s="301"/>
      <c r="EI92" s="301"/>
      <c r="EJ92" s="301"/>
      <c r="EK92" s="301"/>
      <c r="EL92" s="301"/>
      <c r="EM92" s="301"/>
      <c r="EN92" s="301"/>
      <c r="EO92" s="301"/>
      <c r="EP92" s="301"/>
      <c r="EQ92" s="301"/>
      <c r="ER92" s="301"/>
      <c r="ES92" s="301"/>
      <c r="ET92" s="301"/>
      <c r="EU92" s="301"/>
      <c r="EV92" s="301"/>
      <c r="EW92" s="301"/>
      <c r="EX92" s="301"/>
      <c r="EY92" s="301"/>
      <c r="EZ92" s="301"/>
      <c r="FA92" s="301"/>
      <c r="FB92" s="301"/>
      <c r="FC92" s="301"/>
      <c r="FD92" s="301"/>
      <c r="FE92" s="301"/>
      <c r="FF92" s="301"/>
      <c r="FG92" s="301"/>
      <c r="FH92" s="301"/>
      <c r="FI92" s="301"/>
      <c r="FJ92" s="301"/>
      <c r="FK92" s="301"/>
      <c r="FL92" s="301"/>
      <c r="FM92" s="301"/>
      <c r="FN92" s="301"/>
      <c r="FO92" s="301"/>
      <c r="FP92" s="301"/>
      <c r="FQ92" s="301"/>
      <c r="FR92" s="301"/>
      <c r="FS92" s="301"/>
      <c r="FT92" s="301"/>
      <c r="FU92" s="301"/>
      <c r="FV92" s="301"/>
      <c r="FW92" s="301"/>
      <c r="FX92" s="301"/>
      <c r="FY92" s="301"/>
      <c r="FZ92" s="301"/>
      <c r="GA92" s="301"/>
      <c r="GB92" s="301"/>
      <c r="GC92" s="301"/>
      <c r="GD92" s="301"/>
      <c r="GE92" s="301"/>
      <c r="GF92" s="301"/>
      <c r="GG92" s="301"/>
      <c r="GH92" s="301"/>
      <c r="GI92" s="301"/>
      <c r="GJ92" s="301"/>
      <c r="GK92" s="301"/>
      <c r="GL92" s="301"/>
      <c r="GM92" s="301"/>
      <c r="GN92" s="301"/>
      <c r="GO92" s="301"/>
      <c r="GP92" s="301"/>
      <c r="GQ92" s="301"/>
      <c r="GR92" s="301"/>
      <c r="GS92" s="301"/>
      <c r="GT92" s="301"/>
      <c r="GU92" s="301"/>
      <c r="GV92" s="301"/>
      <c r="GW92" s="301"/>
      <c r="GX92" s="301"/>
      <c r="GY92" s="301"/>
      <c r="GZ92" s="301"/>
      <c r="HA92" s="301"/>
      <c r="HB92" s="301"/>
      <c r="HC92" s="301"/>
      <c r="HD92" s="301"/>
      <c r="HE92" s="301"/>
      <c r="HF92" s="301"/>
      <c r="HG92" s="301"/>
      <c r="HH92" s="301"/>
      <c r="HI92" s="301"/>
      <c r="HJ92" s="301"/>
      <c r="HK92" s="301"/>
      <c r="HL92" s="301"/>
      <c r="HM92" s="301"/>
      <c r="HN92" s="301"/>
      <c r="HO92" s="301"/>
      <c r="HP92" s="301"/>
      <c r="HQ92" s="301"/>
      <c r="HR92" s="301"/>
      <c r="HS92" s="301"/>
      <c r="HT92" s="301"/>
      <c r="HU92" s="301"/>
      <c r="HV92" s="301"/>
      <c r="HW92" s="301"/>
      <c r="HX92" s="301"/>
      <c r="HY92" s="301"/>
      <c r="HZ92" s="301"/>
      <c r="IA92" s="301"/>
      <c r="IB92" s="301"/>
      <c r="IC92" s="301"/>
      <c r="ID92" s="301"/>
      <c r="IE92" s="301"/>
      <c r="IF92" s="301"/>
      <c r="IG92" s="301"/>
      <c r="IH92" s="301"/>
      <c r="II92" s="301"/>
      <c r="IJ92" s="301"/>
      <c r="IK92" s="301"/>
      <c r="IL92" s="301"/>
      <c r="IM92" s="301"/>
      <c r="IN92" s="301"/>
      <c r="IO92" s="301"/>
      <c r="IP92" s="301"/>
      <c r="IQ92" s="301"/>
      <c r="IR92" s="301"/>
      <c r="IS92" s="301"/>
      <c r="IT92" s="301"/>
      <c r="IU92" s="301"/>
      <c r="IV92" s="301"/>
    </row>
    <row r="93" spans="1:256" ht="15" hidden="1">
      <c r="A93" s="301"/>
      <c r="B93" s="339"/>
      <c r="C93" s="341" t="s">
        <v>813</v>
      </c>
      <c r="D93" s="359" t="s">
        <v>690</v>
      </c>
      <c r="E93" s="304"/>
      <c r="F93" s="304"/>
      <c r="G93" s="304"/>
      <c r="H93" s="304"/>
      <c r="I93" s="304"/>
      <c r="J93" s="304"/>
      <c r="K93" s="304"/>
      <c r="L93" s="301"/>
      <c r="M93" s="301"/>
      <c r="N93" s="301"/>
      <c r="O93" s="301"/>
      <c r="P93" s="301"/>
      <c r="Q93" s="301"/>
      <c r="R93" s="301"/>
      <c r="S93" s="301"/>
      <c r="T93" s="301"/>
      <c r="U93" s="301"/>
      <c r="V93" s="301"/>
      <c r="W93" s="301"/>
      <c r="X93" s="301"/>
      <c r="Y93" s="301"/>
      <c r="Z93" s="301"/>
      <c r="AA93" s="301"/>
      <c r="AB93" s="301"/>
      <c r="AC93" s="301"/>
      <c r="AD93" s="301"/>
      <c r="AE93" s="301"/>
      <c r="AF93" s="301"/>
      <c r="AG93" s="301"/>
      <c r="AH93" s="301"/>
      <c r="AI93" s="301"/>
      <c r="AJ93" s="301"/>
      <c r="AK93" s="301"/>
      <c r="AL93" s="301"/>
      <c r="AM93" s="301"/>
      <c r="AN93" s="301"/>
      <c r="AO93" s="301"/>
      <c r="AP93" s="301"/>
      <c r="AQ93" s="301"/>
      <c r="AR93" s="301"/>
      <c r="AS93" s="301"/>
      <c r="AT93" s="301"/>
      <c r="AU93" s="301"/>
      <c r="AV93" s="301"/>
      <c r="AW93" s="301"/>
      <c r="AX93" s="301"/>
      <c r="AY93" s="301"/>
      <c r="AZ93" s="301"/>
      <c r="BA93" s="301"/>
      <c r="BB93" s="301"/>
      <c r="BC93" s="301"/>
      <c r="BD93" s="301"/>
      <c r="BE93" s="301"/>
      <c r="BF93" s="301"/>
      <c r="BG93" s="301"/>
      <c r="BH93" s="301"/>
      <c r="BI93" s="301"/>
      <c r="BJ93" s="301"/>
      <c r="BK93" s="301"/>
      <c r="BL93" s="301"/>
      <c r="BM93" s="301"/>
      <c r="BN93" s="301"/>
      <c r="BO93" s="301"/>
      <c r="BP93" s="301"/>
      <c r="BQ93" s="301"/>
      <c r="BR93" s="301"/>
      <c r="BS93" s="301"/>
      <c r="BT93" s="301"/>
      <c r="BU93" s="301"/>
      <c r="BV93" s="301"/>
      <c r="BW93" s="301"/>
      <c r="BX93" s="301"/>
      <c r="BY93" s="301"/>
      <c r="BZ93" s="301"/>
      <c r="CA93" s="301"/>
      <c r="CB93" s="301"/>
      <c r="CC93" s="301"/>
      <c r="CD93" s="301"/>
      <c r="CE93" s="301"/>
      <c r="CF93" s="301"/>
      <c r="CG93" s="301"/>
      <c r="CH93" s="301"/>
      <c r="CI93" s="301"/>
      <c r="CJ93" s="301"/>
      <c r="CK93" s="301"/>
      <c r="CL93" s="301"/>
      <c r="CM93" s="301"/>
      <c r="CN93" s="301"/>
      <c r="CO93" s="301"/>
      <c r="CP93" s="301"/>
      <c r="CQ93" s="301"/>
      <c r="CR93" s="301"/>
      <c r="CS93" s="301"/>
      <c r="CT93" s="301"/>
      <c r="CU93" s="301"/>
      <c r="CV93" s="301"/>
      <c r="CW93" s="301"/>
      <c r="CX93" s="301"/>
      <c r="CY93" s="301"/>
      <c r="CZ93" s="301"/>
      <c r="DA93" s="301"/>
      <c r="DB93" s="301"/>
      <c r="DC93" s="301"/>
      <c r="DD93" s="301"/>
      <c r="DE93" s="301"/>
      <c r="DF93" s="301"/>
      <c r="DG93" s="301"/>
      <c r="DH93" s="301"/>
      <c r="DI93" s="301"/>
      <c r="DJ93" s="301"/>
      <c r="DK93" s="301"/>
      <c r="DL93" s="301"/>
      <c r="DM93" s="301"/>
      <c r="DN93" s="301"/>
      <c r="DO93" s="301"/>
      <c r="DP93" s="301"/>
      <c r="DQ93" s="301"/>
      <c r="DR93" s="301"/>
      <c r="DS93" s="301"/>
      <c r="DT93" s="301"/>
      <c r="DU93" s="301"/>
      <c r="DV93" s="301"/>
      <c r="DW93" s="301"/>
      <c r="DX93" s="301"/>
      <c r="DY93" s="301"/>
      <c r="DZ93" s="301"/>
      <c r="EA93" s="301"/>
      <c r="EB93" s="301"/>
      <c r="EC93" s="301"/>
      <c r="ED93" s="301"/>
      <c r="EE93" s="301"/>
      <c r="EF93" s="301"/>
      <c r="EG93" s="301"/>
      <c r="EH93" s="301"/>
      <c r="EI93" s="301"/>
      <c r="EJ93" s="301"/>
      <c r="EK93" s="301"/>
      <c r="EL93" s="301"/>
      <c r="EM93" s="301"/>
      <c r="EN93" s="301"/>
      <c r="EO93" s="301"/>
      <c r="EP93" s="301"/>
      <c r="EQ93" s="301"/>
      <c r="ER93" s="301"/>
      <c r="ES93" s="301"/>
      <c r="ET93" s="301"/>
      <c r="EU93" s="301"/>
      <c r="EV93" s="301"/>
      <c r="EW93" s="301"/>
      <c r="EX93" s="301"/>
      <c r="EY93" s="301"/>
      <c r="EZ93" s="301"/>
      <c r="FA93" s="301"/>
      <c r="FB93" s="301"/>
      <c r="FC93" s="301"/>
      <c r="FD93" s="301"/>
      <c r="FE93" s="301"/>
      <c r="FF93" s="301"/>
      <c r="FG93" s="301"/>
      <c r="FH93" s="301"/>
      <c r="FI93" s="301"/>
      <c r="FJ93" s="301"/>
      <c r="FK93" s="301"/>
      <c r="FL93" s="301"/>
      <c r="FM93" s="301"/>
      <c r="FN93" s="301"/>
      <c r="FO93" s="301"/>
      <c r="FP93" s="301"/>
      <c r="FQ93" s="301"/>
      <c r="FR93" s="301"/>
      <c r="FS93" s="301"/>
      <c r="FT93" s="301"/>
      <c r="FU93" s="301"/>
      <c r="FV93" s="301"/>
      <c r="FW93" s="301"/>
      <c r="FX93" s="301"/>
      <c r="FY93" s="301"/>
      <c r="FZ93" s="301"/>
      <c r="GA93" s="301"/>
      <c r="GB93" s="301"/>
      <c r="GC93" s="301"/>
      <c r="GD93" s="301"/>
      <c r="GE93" s="301"/>
      <c r="GF93" s="301"/>
      <c r="GG93" s="301"/>
      <c r="GH93" s="301"/>
      <c r="GI93" s="301"/>
      <c r="GJ93" s="301"/>
      <c r="GK93" s="301"/>
      <c r="GL93" s="301"/>
      <c r="GM93" s="301"/>
      <c r="GN93" s="301"/>
      <c r="GO93" s="301"/>
      <c r="GP93" s="301"/>
      <c r="GQ93" s="301"/>
      <c r="GR93" s="301"/>
      <c r="GS93" s="301"/>
      <c r="GT93" s="301"/>
      <c r="GU93" s="301"/>
      <c r="GV93" s="301"/>
      <c r="GW93" s="301"/>
      <c r="GX93" s="301"/>
      <c r="GY93" s="301"/>
      <c r="GZ93" s="301"/>
      <c r="HA93" s="301"/>
      <c r="HB93" s="301"/>
      <c r="HC93" s="301"/>
      <c r="HD93" s="301"/>
      <c r="HE93" s="301"/>
      <c r="HF93" s="301"/>
      <c r="HG93" s="301"/>
      <c r="HH93" s="301"/>
      <c r="HI93" s="301"/>
      <c r="HJ93" s="301"/>
      <c r="HK93" s="301"/>
      <c r="HL93" s="301"/>
      <c r="HM93" s="301"/>
      <c r="HN93" s="301"/>
      <c r="HO93" s="301"/>
      <c r="HP93" s="301"/>
      <c r="HQ93" s="301"/>
      <c r="HR93" s="301"/>
      <c r="HS93" s="301"/>
      <c r="HT93" s="301"/>
      <c r="HU93" s="301"/>
      <c r="HV93" s="301"/>
      <c r="HW93" s="301"/>
      <c r="HX93" s="301"/>
      <c r="HY93" s="301"/>
      <c r="HZ93" s="301"/>
      <c r="IA93" s="301"/>
      <c r="IB93" s="301"/>
      <c r="IC93" s="301"/>
      <c r="ID93" s="301"/>
      <c r="IE93" s="301"/>
      <c r="IF93" s="301"/>
      <c r="IG93" s="301"/>
      <c r="IH93" s="301"/>
      <c r="II93" s="301"/>
      <c r="IJ93" s="301"/>
      <c r="IK93" s="301"/>
      <c r="IL93" s="301"/>
      <c r="IM93" s="301"/>
      <c r="IN93" s="301"/>
      <c r="IO93" s="301"/>
      <c r="IP93" s="301"/>
      <c r="IQ93" s="301"/>
      <c r="IR93" s="301"/>
      <c r="IS93" s="301"/>
      <c r="IT93" s="301"/>
      <c r="IU93" s="301"/>
      <c r="IV93" s="301"/>
    </row>
    <row r="94" spans="1:256" ht="15" hidden="1">
      <c r="A94" s="301"/>
      <c r="B94" s="339"/>
      <c r="C94" s="321">
        <v>0.86</v>
      </c>
      <c r="D94" s="343" t="s">
        <v>658</v>
      </c>
      <c r="E94" s="304" t="s">
        <v>814</v>
      </c>
      <c r="F94" s="304"/>
      <c r="G94" s="304"/>
      <c r="H94" s="304"/>
      <c r="I94" s="318">
        <f>I70</f>
        <v>515</v>
      </c>
      <c r="J94" s="360" t="s">
        <v>594</v>
      </c>
      <c r="K94" s="320">
        <f>ROUND(C94*I94,2)</f>
        <v>442.9</v>
      </c>
      <c r="L94" s="301"/>
      <c r="M94" s="301"/>
      <c r="N94" s="301"/>
      <c r="O94" s="301"/>
      <c r="P94" s="301"/>
      <c r="Q94" s="301"/>
      <c r="R94" s="301"/>
      <c r="S94" s="301"/>
      <c r="T94" s="301"/>
      <c r="U94" s="301"/>
      <c r="V94" s="301"/>
      <c r="W94" s="301"/>
      <c r="X94" s="301"/>
      <c r="Y94" s="301"/>
      <c r="Z94" s="301"/>
      <c r="AA94" s="301"/>
      <c r="AB94" s="301"/>
      <c r="AC94" s="301"/>
      <c r="AD94" s="301"/>
      <c r="AE94" s="301"/>
      <c r="AF94" s="301"/>
      <c r="AG94" s="301"/>
      <c r="AH94" s="301"/>
      <c r="AI94" s="301"/>
      <c r="AJ94" s="301"/>
      <c r="AK94" s="301"/>
      <c r="AL94" s="301"/>
      <c r="AM94" s="301"/>
      <c r="AN94" s="301"/>
      <c r="AO94" s="301"/>
      <c r="AP94" s="301"/>
      <c r="AQ94" s="301"/>
      <c r="AR94" s="301"/>
      <c r="AS94" s="301"/>
      <c r="AT94" s="301"/>
      <c r="AU94" s="301"/>
      <c r="AV94" s="301"/>
      <c r="AW94" s="301"/>
      <c r="AX94" s="301"/>
      <c r="AY94" s="301"/>
      <c r="AZ94" s="301"/>
      <c r="BA94" s="301"/>
      <c r="BB94" s="301"/>
      <c r="BC94" s="301"/>
      <c r="BD94" s="301"/>
      <c r="BE94" s="301"/>
      <c r="BF94" s="301"/>
      <c r="BG94" s="301"/>
      <c r="BH94" s="301"/>
      <c r="BI94" s="301"/>
      <c r="BJ94" s="301"/>
      <c r="BK94" s="301"/>
      <c r="BL94" s="301"/>
      <c r="BM94" s="301"/>
      <c r="BN94" s="301"/>
      <c r="BO94" s="301"/>
      <c r="BP94" s="301"/>
      <c r="BQ94" s="301"/>
      <c r="BR94" s="301"/>
      <c r="BS94" s="301"/>
      <c r="BT94" s="301"/>
      <c r="BU94" s="301"/>
      <c r="BV94" s="301"/>
      <c r="BW94" s="301"/>
      <c r="BX94" s="301"/>
      <c r="BY94" s="301"/>
      <c r="BZ94" s="301"/>
      <c r="CA94" s="301"/>
      <c r="CB94" s="301"/>
      <c r="CC94" s="301"/>
      <c r="CD94" s="301"/>
      <c r="CE94" s="301"/>
      <c r="CF94" s="301"/>
      <c r="CG94" s="301"/>
      <c r="CH94" s="301"/>
      <c r="CI94" s="301"/>
      <c r="CJ94" s="301"/>
      <c r="CK94" s="301"/>
      <c r="CL94" s="301"/>
      <c r="CM94" s="301"/>
      <c r="CN94" s="301"/>
      <c r="CO94" s="301"/>
      <c r="CP94" s="301"/>
      <c r="CQ94" s="301"/>
      <c r="CR94" s="301"/>
      <c r="CS94" s="301"/>
      <c r="CT94" s="301"/>
      <c r="CU94" s="301"/>
      <c r="CV94" s="301"/>
      <c r="CW94" s="301"/>
      <c r="CX94" s="301"/>
      <c r="CY94" s="301"/>
      <c r="CZ94" s="301"/>
      <c r="DA94" s="301"/>
      <c r="DB94" s="301"/>
      <c r="DC94" s="301"/>
      <c r="DD94" s="301"/>
      <c r="DE94" s="301"/>
      <c r="DF94" s="301"/>
      <c r="DG94" s="301"/>
      <c r="DH94" s="301"/>
      <c r="DI94" s="301"/>
      <c r="DJ94" s="301"/>
      <c r="DK94" s="301"/>
      <c r="DL94" s="301"/>
      <c r="DM94" s="301"/>
      <c r="DN94" s="301"/>
      <c r="DO94" s="301"/>
      <c r="DP94" s="301"/>
      <c r="DQ94" s="301"/>
      <c r="DR94" s="301"/>
      <c r="DS94" s="301"/>
      <c r="DT94" s="301"/>
      <c r="DU94" s="301"/>
      <c r="DV94" s="301"/>
      <c r="DW94" s="301"/>
      <c r="DX94" s="301"/>
      <c r="DY94" s="301"/>
      <c r="DZ94" s="301"/>
      <c r="EA94" s="301"/>
      <c r="EB94" s="301"/>
      <c r="EC94" s="301"/>
      <c r="ED94" s="301"/>
      <c r="EE94" s="301"/>
      <c r="EF94" s="301"/>
      <c r="EG94" s="301"/>
      <c r="EH94" s="301"/>
      <c r="EI94" s="301"/>
      <c r="EJ94" s="301"/>
      <c r="EK94" s="301"/>
      <c r="EL94" s="301"/>
      <c r="EM94" s="301"/>
      <c r="EN94" s="301"/>
      <c r="EO94" s="301"/>
      <c r="EP94" s="301"/>
      <c r="EQ94" s="301"/>
      <c r="ER94" s="301"/>
      <c r="ES94" s="301"/>
      <c r="ET94" s="301"/>
      <c r="EU94" s="301"/>
      <c r="EV94" s="301"/>
      <c r="EW94" s="301"/>
      <c r="EX94" s="301"/>
      <c r="EY94" s="301"/>
      <c r="EZ94" s="301"/>
      <c r="FA94" s="301"/>
      <c r="FB94" s="301"/>
      <c r="FC94" s="301"/>
      <c r="FD94" s="301"/>
      <c r="FE94" s="301"/>
      <c r="FF94" s="301"/>
      <c r="FG94" s="301"/>
      <c r="FH94" s="301"/>
      <c r="FI94" s="301"/>
      <c r="FJ94" s="301"/>
      <c r="FK94" s="301"/>
      <c r="FL94" s="301"/>
      <c r="FM94" s="301"/>
      <c r="FN94" s="301"/>
      <c r="FO94" s="301"/>
      <c r="FP94" s="301"/>
      <c r="FQ94" s="301"/>
      <c r="FR94" s="301"/>
      <c r="FS94" s="301"/>
      <c r="FT94" s="301"/>
      <c r="FU94" s="301"/>
      <c r="FV94" s="301"/>
      <c r="FW94" s="301"/>
      <c r="FX94" s="301"/>
      <c r="FY94" s="301"/>
      <c r="FZ94" s="301"/>
      <c r="GA94" s="301"/>
      <c r="GB94" s="301"/>
      <c r="GC94" s="301"/>
      <c r="GD94" s="301"/>
      <c r="GE94" s="301"/>
      <c r="GF94" s="301"/>
      <c r="GG94" s="301"/>
      <c r="GH94" s="301"/>
      <c r="GI94" s="301"/>
      <c r="GJ94" s="301"/>
      <c r="GK94" s="301"/>
      <c r="GL94" s="301"/>
      <c r="GM94" s="301"/>
      <c r="GN94" s="301"/>
      <c r="GO94" s="301"/>
      <c r="GP94" s="301"/>
      <c r="GQ94" s="301"/>
      <c r="GR94" s="301"/>
      <c r="GS94" s="301"/>
      <c r="GT94" s="301"/>
      <c r="GU94" s="301"/>
      <c r="GV94" s="301"/>
      <c r="GW94" s="301"/>
      <c r="GX94" s="301"/>
      <c r="GY94" s="301"/>
      <c r="GZ94" s="301"/>
      <c r="HA94" s="301"/>
      <c r="HB94" s="301"/>
      <c r="HC94" s="301"/>
      <c r="HD94" s="301"/>
      <c r="HE94" s="301"/>
      <c r="HF94" s="301"/>
      <c r="HG94" s="301"/>
      <c r="HH94" s="301"/>
      <c r="HI94" s="301"/>
      <c r="HJ94" s="301"/>
      <c r="HK94" s="301"/>
      <c r="HL94" s="301"/>
      <c r="HM94" s="301"/>
      <c r="HN94" s="301"/>
      <c r="HO94" s="301"/>
      <c r="HP94" s="301"/>
      <c r="HQ94" s="301"/>
      <c r="HR94" s="301"/>
      <c r="HS94" s="301"/>
      <c r="HT94" s="301"/>
      <c r="HU94" s="301"/>
      <c r="HV94" s="301"/>
      <c r="HW94" s="301"/>
      <c r="HX94" s="301"/>
      <c r="HY94" s="301"/>
      <c r="HZ94" s="301"/>
      <c r="IA94" s="301"/>
      <c r="IB94" s="301"/>
      <c r="IC94" s="301"/>
      <c r="ID94" s="301"/>
      <c r="IE94" s="301"/>
      <c r="IF94" s="301"/>
      <c r="IG94" s="301"/>
      <c r="IH94" s="301"/>
      <c r="II94" s="301"/>
      <c r="IJ94" s="301"/>
      <c r="IK94" s="301"/>
      <c r="IL94" s="301"/>
      <c r="IM94" s="301"/>
      <c r="IN94" s="301"/>
      <c r="IO94" s="301"/>
      <c r="IP94" s="301"/>
      <c r="IQ94" s="301"/>
      <c r="IR94" s="301"/>
      <c r="IS94" s="301"/>
      <c r="IT94" s="301"/>
      <c r="IU94" s="301"/>
      <c r="IV94" s="301"/>
    </row>
    <row r="95" spans="1:256" ht="15" hidden="1">
      <c r="A95" s="301"/>
      <c r="B95" s="339"/>
      <c r="C95" s="321">
        <v>1.5</v>
      </c>
      <c r="D95" s="343" t="s">
        <v>658</v>
      </c>
      <c r="E95" s="304" t="s">
        <v>394</v>
      </c>
      <c r="F95" s="304"/>
      <c r="G95" s="304"/>
      <c r="H95" s="304"/>
      <c r="I95" s="318">
        <f>I71</f>
        <v>515</v>
      </c>
      <c r="J95" s="360" t="s">
        <v>594</v>
      </c>
      <c r="K95" s="320">
        <f>ROUND(C95*I95,2)</f>
        <v>772.5</v>
      </c>
      <c r="L95" s="301"/>
      <c r="M95" s="301"/>
      <c r="N95" s="301"/>
      <c r="O95" s="301"/>
      <c r="P95" s="301"/>
      <c r="Q95" s="301"/>
      <c r="R95" s="301"/>
      <c r="S95" s="301"/>
      <c r="T95" s="301"/>
      <c r="U95" s="301"/>
      <c r="V95" s="301"/>
      <c r="W95" s="301"/>
      <c r="X95" s="301"/>
      <c r="Y95" s="301"/>
      <c r="Z95" s="301"/>
      <c r="AA95" s="301"/>
      <c r="AB95" s="301"/>
      <c r="AC95" s="301"/>
      <c r="AD95" s="301"/>
      <c r="AE95" s="301"/>
      <c r="AF95" s="301"/>
      <c r="AG95" s="301"/>
      <c r="AH95" s="301"/>
      <c r="AI95" s="301"/>
      <c r="AJ95" s="301"/>
      <c r="AK95" s="301"/>
      <c r="AL95" s="301"/>
      <c r="AM95" s="301"/>
      <c r="AN95" s="301"/>
      <c r="AO95" s="301"/>
      <c r="AP95" s="301"/>
      <c r="AQ95" s="301"/>
      <c r="AR95" s="301"/>
      <c r="AS95" s="301"/>
      <c r="AT95" s="301"/>
      <c r="AU95" s="301"/>
      <c r="AV95" s="301"/>
      <c r="AW95" s="301"/>
      <c r="AX95" s="301"/>
      <c r="AY95" s="301"/>
      <c r="AZ95" s="301"/>
      <c r="BA95" s="301"/>
      <c r="BB95" s="301"/>
      <c r="BC95" s="301"/>
      <c r="BD95" s="301"/>
      <c r="BE95" s="301"/>
      <c r="BF95" s="301"/>
      <c r="BG95" s="301"/>
      <c r="BH95" s="301"/>
      <c r="BI95" s="301"/>
      <c r="BJ95" s="301"/>
      <c r="BK95" s="301"/>
      <c r="BL95" s="301"/>
      <c r="BM95" s="301"/>
      <c r="BN95" s="301"/>
      <c r="BO95" s="301"/>
      <c r="BP95" s="301"/>
      <c r="BQ95" s="301"/>
      <c r="BR95" s="301"/>
      <c r="BS95" s="301"/>
      <c r="BT95" s="301"/>
      <c r="BU95" s="301"/>
      <c r="BV95" s="301"/>
      <c r="BW95" s="301"/>
      <c r="BX95" s="301"/>
      <c r="BY95" s="301"/>
      <c r="BZ95" s="301"/>
      <c r="CA95" s="301"/>
      <c r="CB95" s="301"/>
      <c r="CC95" s="301"/>
      <c r="CD95" s="301"/>
      <c r="CE95" s="301"/>
      <c r="CF95" s="301"/>
      <c r="CG95" s="301"/>
      <c r="CH95" s="301"/>
      <c r="CI95" s="301"/>
      <c r="CJ95" s="301"/>
      <c r="CK95" s="301"/>
      <c r="CL95" s="301"/>
      <c r="CM95" s="301"/>
      <c r="CN95" s="301"/>
      <c r="CO95" s="301"/>
      <c r="CP95" s="301"/>
      <c r="CQ95" s="301"/>
      <c r="CR95" s="301"/>
      <c r="CS95" s="301"/>
      <c r="CT95" s="301"/>
      <c r="CU95" s="301"/>
      <c r="CV95" s="301"/>
      <c r="CW95" s="301"/>
      <c r="CX95" s="301"/>
      <c r="CY95" s="301"/>
      <c r="CZ95" s="301"/>
      <c r="DA95" s="301"/>
      <c r="DB95" s="301"/>
      <c r="DC95" s="301"/>
      <c r="DD95" s="301"/>
      <c r="DE95" s="301"/>
      <c r="DF95" s="301"/>
      <c r="DG95" s="301"/>
      <c r="DH95" s="301"/>
      <c r="DI95" s="301"/>
      <c r="DJ95" s="301"/>
      <c r="DK95" s="301"/>
      <c r="DL95" s="301"/>
      <c r="DM95" s="301"/>
      <c r="DN95" s="301"/>
      <c r="DO95" s="301"/>
      <c r="DP95" s="301"/>
      <c r="DQ95" s="301"/>
      <c r="DR95" s="301"/>
      <c r="DS95" s="301"/>
      <c r="DT95" s="301"/>
      <c r="DU95" s="301"/>
      <c r="DV95" s="301"/>
      <c r="DW95" s="301"/>
      <c r="DX95" s="301"/>
      <c r="DY95" s="301"/>
      <c r="DZ95" s="301"/>
      <c r="EA95" s="301"/>
      <c r="EB95" s="301"/>
      <c r="EC95" s="301"/>
      <c r="ED95" s="301"/>
      <c r="EE95" s="301"/>
      <c r="EF95" s="301"/>
      <c r="EG95" s="301"/>
      <c r="EH95" s="301"/>
      <c r="EI95" s="301"/>
      <c r="EJ95" s="301"/>
      <c r="EK95" s="301"/>
      <c r="EL95" s="301"/>
      <c r="EM95" s="301"/>
      <c r="EN95" s="301"/>
      <c r="EO95" s="301"/>
      <c r="EP95" s="301"/>
      <c r="EQ95" s="301"/>
      <c r="ER95" s="301"/>
      <c r="ES95" s="301"/>
      <c r="ET95" s="301"/>
      <c r="EU95" s="301"/>
      <c r="EV95" s="301"/>
      <c r="EW95" s="301"/>
      <c r="EX95" s="301"/>
      <c r="EY95" s="301"/>
      <c r="EZ95" s="301"/>
      <c r="FA95" s="301"/>
      <c r="FB95" s="301"/>
      <c r="FC95" s="301"/>
      <c r="FD95" s="301"/>
      <c r="FE95" s="301"/>
      <c r="FF95" s="301"/>
      <c r="FG95" s="301"/>
      <c r="FH95" s="301"/>
      <c r="FI95" s="301"/>
      <c r="FJ95" s="301"/>
      <c r="FK95" s="301"/>
      <c r="FL95" s="301"/>
      <c r="FM95" s="301"/>
      <c r="FN95" s="301"/>
      <c r="FO95" s="301"/>
      <c r="FP95" s="301"/>
      <c r="FQ95" s="301"/>
      <c r="FR95" s="301"/>
      <c r="FS95" s="301"/>
      <c r="FT95" s="301"/>
      <c r="FU95" s="301"/>
      <c r="FV95" s="301"/>
      <c r="FW95" s="301"/>
      <c r="FX95" s="301"/>
      <c r="FY95" s="301"/>
      <c r="FZ95" s="301"/>
      <c r="GA95" s="301"/>
      <c r="GB95" s="301"/>
      <c r="GC95" s="301"/>
      <c r="GD95" s="301"/>
      <c r="GE95" s="301"/>
      <c r="GF95" s="301"/>
      <c r="GG95" s="301"/>
      <c r="GH95" s="301"/>
      <c r="GI95" s="301"/>
      <c r="GJ95" s="301"/>
      <c r="GK95" s="301"/>
      <c r="GL95" s="301"/>
      <c r="GM95" s="301"/>
      <c r="GN95" s="301"/>
      <c r="GO95" s="301"/>
      <c r="GP95" s="301"/>
      <c r="GQ95" s="301"/>
      <c r="GR95" s="301"/>
      <c r="GS95" s="301"/>
      <c r="GT95" s="301"/>
      <c r="GU95" s="301"/>
      <c r="GV95" s="301"/>
      <c r="GW95" s="301"/>
      <c r="GX95" s="301"/>
      <c r="GY95" s="301"/>
      <c r="GZ95" s="301"/>
      <c r="HA95" s="301"/>
      <c r="HB95" s="301"/>
      <c r="HC95" s="301"/>
      <c r="HD95" s="301"/>
      <c r="HE95" s="301"/>
      <c r="HF95" s="301"/>
      <c r="HG95" s="301"/>
      <c r="HH95" s="301"/>
      <c r="HI95" s="301"/>
      <c r="HJ95" s="301"/>
      <c r="HK95" s="301"/>
      <c r="HL95" s="301"/>
      <c r="HM95" s="301"/>
      <c r="HN95" s="301"/>
      <c r="HO95" s="301"/>
      <c r="HP95" s="301"/>
      <c r="HQ95" s="301"/>
      <c r="HR95" s="301"/>
      <c r="HS95" s="301"/>
      <c r="HT95" s="301"/>
      <c r="HU95" s="301"/>
      <c r="HV95" s="301"/>
      <c r="HW95" s="301"/>
      <c r="HX95" s="301"/>
      <c r="HY95" s="301"/>
      <c r="HZ95" s="301"/>
      <c r="IA95" s="301"/>
      <c r="IB95" s="301"/>
      <c r="IC95" s="301"/>
      <c r="ID95" s="301"/>
      <c r="IE95" s="301"/>
      <c r="IF95" s="301"/>
      <c r="IG95" s="301"/>
      <c r="IH95" s="301"/>
      <c r="II95" s="301"/>
      <c r="IJ95" s="301"/>
      <c r="IK95" s="301"/>
      <c r="IL95" s="301"/>
      <c r="IM95" s="301"/>
      <c r="IN95" s="301"/>
      <c r="IO95" s="301"/>
      <c r="IP95" s="301"/>
      <c r="IQ95" s="301"/>
      <c r="IR95" s="301"/>
      <c r="IS95" s="301"/>
      <c r="IT95" s="301"/>
      <c r="IU95" s="301"/>
      <c r="IV95" s="301"/>
    </row>
    <row r="96" spans="1:256" ht="15" hidden="1">
      <c r="A96" s="301"/>
      <c r="B96" s="339"/>
      <c r="C96" s="321">
        <v>20</v>
      </c>
      <c r="D96" s="343" t="s">
        <v>658</v>
      </c>
      <c r="E96" s="304" t="s">
        <v>839</v>
      </c>
      <c r="F96" s="304"/>
      <c r="G96" s="304"/>
      <c r="H96" s="304"/>
      <c r="I96" s="318">
        <f>I72</f>
        <v>490</v>
      </c>
      <c r="J96" s="360" t="s">
        <v>594</v>
      </c>
      <c r="K96" s="320">
        <f>ROUND(C96*I96,2)</f>
        <v>9800</v>
      </c>
      <c r="L96" s="301"/>
      <c r="M96" s="301"/>
      <c r="N96" s="301"/>
      <c r="O96" s="301"/>
      <c r="P96" s="301"/>
      <c r="Q96" s="301"/>
      <c r="R96" s="301"/>
      <c r="S96" s="301"/>
      <c r="T96" s="301"/>
      <c r="U96" s="301"/>
      <c r="V96" s="301"/>
      <c r="W96" s="301"/>
      <c r="X96" s="301"/>
      <c r="Y96" s="301"/>
      <c r="Z96" s="301"/>
      <c r="AA96" s="301"/>
      <c r="AB96" s="301"/>
      <c r="AC96" s="301"/>
      <c r="AD96" s="301"/>
      <c r="AE96" s="301"/>
      <c r="AF96" s="301"/>
      <c r="AG96" s="301"/>
      <c r="AH96" s="301"/>
      <c r="AI96" s="301"/>
      <c r="AJ96" s="301"/>
      <c r="AK96" s="301"/>
      <c r="AL96" s="301"/>
      <c r="AM96" s="301"/>
      <c r="AN96" s="301"/>
      <c r="AO96" s="301"/>
      <c r="AP96" s="301"/>
      <c r="AQ96" s="301"/>
      <c r="AR96" s="301"/>
      <c r="AS96" s="301"/>
      <c r="AT96" s="301"/>
      <c r="AU96" s="301"/>
      <c r="AV96" s="301"/>
      <c r="AW96" s="301"/>
      <c r="AX96" s="301"/>
      <c r="AY96" s="301"/>
      <c r="AZ96" s="301"/>
      <c r="BA96" s="301"/>
      <c r="BB96" s="301"/>
      <c r="BC96" s="301"/>
      <c r="BD96" s="301"/>
      <c r="BE96" s="301"/>
      <c r="BF96" s="301"/>
      <c r="BG96" s="301"/>
      <c r="BH96" s="301"/>
      <c r="BI96" s="301"/>
      <c r="BJ96" s="301"/>
      <c r="BK96" s="301"/>
      <c r="BL96" s="301"/>
      <c r="BM96" s="301"/>
      <c r="BN96" s="301"/>
      <c r="BO96" s="301"/>
      <c r="BP96" s="301"/>
      <c r="BQ96" s="301"/>
      <c r="BR96" s="301"/>
      <c r="BS96" s="301"/>
      <c r="BT96" s="301"/>
      <c r="BU96" s="301"/>
      <c r="BV96" s="301"/>
      <c r="BW96" s="301"/>
      <c r="BX96" s="301"/>
      <c r="BY96" s="301"/>
      <c r="BZ96" s="301"/>
      <c r="CA96" s="301"/>
      <c r="CB96" s="301"/>
      <c r="CC96" s="301"/>
      <c r="CD96" s="301"/>
      <c r="CE96" s="301"/>
      <c r="CF96" s="301"/>
      <c r="CG96" s="301"/>
      <c r="CH96" s="301"/>
      <c r="CI96" s="301"/>
      <c r="CJ96" s="301"/>
      <c r="CK96" s="301"/>
      <c r="CL96" s="301"/>
      <c r="CM96" s="301"/>
      <c r="CN96" s="301"/>
      <c r="CO96" s="301"/>
      <c r="CP96" s="301"/>
      <c r="CQ96" s="301"/>
      <c r="CR96" s="301"/>
      <c r="CS96" s="301"/>
      <c r="CT96" s="301"/>
      <c r="CU96" s="301"/>
      <c r="CV96" s="301"/>
      <c r="CW96" s="301"/>
      <c r="CX96" s="301"/>
      <c r="CY96" s="301"/>
      <c r="CZ96" s="301"/>
      <c r="DA96" s="301"/>
      <c r="DB96" s="301"/>
      <c r="DC96" s="301"/>
      <c r="DD96" s="301"/>
      <c r="DE96" s="301"/>
      <c r="DF96" s="301"/>
      <c r="DG96" s="301"/>
      <c r="DH96" s="301"/>
      <c r="DI96" s="301"/>
      <c r="DJ96" s="301"/>
      <c r="DK96" s="301"/>
      <c r="DL96" s="301"/>
      <c r="DM96" s="301"/>
      <c r="DN96" s="301"/>
      <c r="DO96" s="301"/>
      <c r="DP96" s="301"/>
      <c r="DQ96" s="301"/>
      <c r="DR96" s="301"/>
      <c r="DS96" s="301"/>
      <c r="DT96" s="301"/>
      <c r="DU96" s="301"/>
      <c r="DV96" s="301"/>
      <c r="DW96" s="301"/>
      <c r="DX96" s="301"/>
      <c r="DY96" s="301"/>
      <c r="DZ96" s="301"/>
      <c r="EA96" s="301"/>
      <c r="EB96" s="301"/>
      <c r="EC96" s="301"/>
      <c r="ED96" s="301"/>
      <c r="EE96" s="301"/>
      <c r="EF96" s="301"/>
      <c r="EG96" s="301"/>
      <c r="EH96" s="301"/>
      <c r="EI96" s="301"/>
      <c r="EJ96" s="301"/>
      <c r="EK96" s="301"/>
      <c r="EL96" s="301"/>
      <c r="EM96" s="301"/>
      <c r="EN96" s="301"/>
      <c r="EO96" s="301"/>
      <c r="EP96" s="301"/>
      <c r="EQ96" s="301"/>
      <c r="ER96" s="301"/>
      <c r="ES96" s="301"/>
      <c r="ET96" s="301"/>
      <c r="EU96" s="301"/>
      <c r="EV96" s="301"/>
      <c r="EW96" s="301"/>
      <c r="EX96" s="301"/>
      <c r="EY96" s="301"/>
      <c r="EZ96" s="301"/>
      <c r="FA96" s="301"/>
      <c r="FB96" s="301"/>
      <c r="FC96" s="301"/>
      <c r="FD96" s="301"/>
      <c r="FE96" s="301"/>
      <c r="FF96" s="301"/>
      <c r="FG96" s="301"/>
      <c r="FH96" s="301"/>
      <c r="FI96" s="301"/>
      <c r="FJ96" s="301"/>
      <c r="FK96" s="301"/>
      <c r="FL96" s="301"/>
      <c r="FM96" s="301"/>
      <c r="FN96" s="301"/>
      <c r="FO96" s="301"/>
      <c r="FP96" s="301"/>
      <c r="FQ96" s="301"/>
      <c r="FR96" s="301"/>
      <c r="FS96" s="301"/>
      <c r="FT96" s="301"/>
      <c r="FU96" s="301"/>
      <c r="FV96" s="301"/>
      <c r="FW96" s="301"/>
      <c r="FX96" s="301"/>
      <c r="FY96" s="301"/>
      <c r="FZ96" s="301"/>
      <c r="GA96" s="301"/>
      <c r="GB96" s="301"/>
      <c r="GC96" s="301"/>
      <c r="GD96" s="301"/>
      <c r="GE96" s="301"/>
      <c r="GF96" s="301"/>
      <c r="GG96" s="301"/>
      <c r="GH96" s="301"/>
      <c r="GI96" s="301"/>
      <c r="GJ96" s="301"/>
      <c r="GK96" s="301"/>
      <c r="GL96" s="301"/>
      <c r="GM96" s="301"/>
      <c r="GN96" s="301"/>
      <c r="GO96" s="301"/>
      <c r="GP96" s="301"/>
      <c r="GQ96" s="301"/>
      <c r="GR96" s="301"/>
      <c r="GS96" s="301"/>
      <c r="GT96" s="301"/>
      <c r="GU96" s="301"/>
      <c r="GV96" s="301"/>
      <c r="GW96" s="301"/>
      <c r="GX96" s="301"/>
      <c r="GY96" s="301"/>
      <c r="GZ96" s="301"/>
      <c r="HA96" s="301"/>
      <c r="HB96" s="301"/>
      <c r="HC96" s="301"/>
      <c r="HD96" s="301"/>
      <c r="HE96" s="301"/>
      <c r="HF96" s="301"/>
      <c r="HG96" s="301"/>
      <c r="HH96" s="301"/>
      <c r="HI96" s="301"/>
      <c r="HJ96" s="301"/>
      <c r="HK96" s="301"/>
      <c r="HL96" s="301"/>
      <c r="HM96" s="301"/>
      <c r="HN96" s="301"/>
      <c r="HO96" s="301"/>
      <c r="HP96" s="301"/>
      <c r="HQ96" s="301"/>
      <c r="HR96" s="301"/>
      <c r="HS96" s="301"/>
      <c r="HT96" s="301"/>
      <c r="HU96" s="301"/>
      <c r="HV96" s="301"/>
      <c r="HW96" s="301"/>
      <c r="HX96" s="301"/>
      <c r="HY96" s="301"/>
      <c r="HZ96" s="301"/>
      <c r="IA96" s="301"/>
      <c r="IB96" s="301"/>
      <c r="IC96" s="301"/>
      <c r="ID96" s="301"/>
      <c r="IE96" s="301"/>
      <c r="IF96" s="301"/>
      <c r="IG96" s="301"/>
      <c r="IH96" s="301"/>
      <c r="II96" s="301"/>
      <c r="IJ96" s="301"/>
      <c r="IK96" s="301"/>
      <c r="IL96" s="301"/>
      <c r="IM96" s="301"/>
      <c r="IN96" s="301"/>
      <c r="IO96" s="301"/>
      <c r="IP96" s="301"/>
      <c r="IQ96" s="301"/>
      <c r="IR96" s="301"/>
      <c r="IS96" s="301"/>
      <c r="IT96" s="301"/>
      <c r="IU96" s="301"/>
      <c r="IV96" s="301"/>
    </row>
    <row r="97" spans="1:256" ht="15" hidden="1">
      <c r="A97" s="301"/>
      <c r="B97" s="339"/>
      <c r="C97" s="306"/>
      <c r="D97" s="343"/>
      <c r="E97" s="304" t="s">
        <v>466</v>
      </c>
      <c r="F97" s="304"/>
      <c r="G97" s="304"/>
      <c r="H97" s="304"/>
      <c r="I97" s="360"/>
      <c r="J97" s="360"/>
      <c r="K97" s="323">
        <f>SUM(K94:K96)</f>
        <v>11015.4</v>
      </c>
      <c r="L97" s="301"/>
      <c r="M97" s="301"/>
      <c r="N97" s="301"/>
      <c r="O97" s="301"/>
      <c r="P97" s="301"/>
      <c r="Q97" s="301"/>
      <c r="R97" s="301"/>
      <c r="S97" s="301"/>
      <c r="T97" s="301"/>
      <c r="U97" s="301"/>
      <c r="V97" s="301"/>
      <c r="W97" s="301"/>
      <c r="X97" s="301"/>
      <c r="Y97" s="301"/>
      <c r="Z97" s="301"/>
      <c r="AA97" s="301"/>
      <c r="AB97" s="301"/>
      <c r="AC97" s="301"/>
      <c r="AD97" s="301"/>
      <c r="AE97" s="301"/>
      <c r="AF97" s="301"/>
      <c r="AG97" s="301"/>
      <c r="AH97" s="301"/>
      <c r="AI97" s="301"/>
      <c r="AJ97" s="301"/>
      <c r="AK97" s="301"/>
      <c r="AL97" s="301"/>
      <c r="AM97" s="301"/>
      <c r="AN97" s="301"/>
      <c r="AO97" s="301"/>
      <c r="AP97" s="301"/>
      <c r="AQ97" s="301"/>
      <c r="AR97" s="301"/>
      <c r="AS97" s="301"/>
      <c r="AT97" s="301"/>
      <c r="AU97" s="301"/>
      <c r="AV97" s="301"/>
      <c r="AW97" s="301"/>
      <c r="AX97" s="301"/>
      <c r="AY97" s="301"/>
      <c r="AZ97" s="301"/>
      <c r="BA97" s="301"/>
      <c r="BB97" s="301"/>
      <c r="BC97" s="301"/>
      <c r="BD97" s="301"/>
      <c r="BE97" s="301"/>
      <c r="BF97" s="301"/>
      <c r="BG97" s="301"/>
      <c r="BH97" s="301"/>
      <c r="BI97" s="301"/>
      <c r="BJ97" s="301"/>
      <c r="BK97" s="301"/>
      <c r="BL97" s="301"/>
      <c r="BM97" s="301"/>
      <c r="BN97" s="301"/>
      <c r="BO97" s="301"/>
      <c r="BP97" s="301"/>
      <c r="BQ97" s="301"/>
      <c r="BR97" s="301"/>
      <c r="BS97" s="301"/>
      <c r="BT97" s="301"/>
      <c r="BU97" s="301"/>
      <c r="BV97" s="301"/>
      <c r="BW97" s="301"/>
      <c r="BX97" s="301"/>
      <c r="BY97" s="301"/>
      <c r="BZ97" s="301"/>
      <c r="CA97" s="301"/>
      <c r="CB97" s="301"/>
      <c r="CC97" s="301"/>
      <c r="CD97" s="301"/>
      <c r="CE97" s="301"/>
      <c r="CF97" s="301"/>
      <c r="CG97" s="301"/>
      <c r="CH97" s="301"/>
      <c r="CI97" s="301"/>
      <c r="CJ97" s="301"/>
      <c r="CK97" s="301"/>
      <c r="CL97" s="301"/>
      <c r="CM97" s="301"/>
      <c r="CN97" s="301"/>
      <c r="CO97" s="301"/>
      <c r="CP97" s="301"/>
      <c r="CQ97" s="301"/>
      <c r="CR97" s="301"/>
      <c r="CS97" s="301"/>
      <c r="CT97" s="301"/>
      <c r="CU97" s="301"/>
      <c r="CV97" s="301"/>
      <c r="CW97" s="301"/>
      <c r="CX97" s="301"/>
      <c r="CY97" s="301"/>
      <c r="CZ97" s="301"/>
      <c r="DA97" s="301"/>
      <c r="DB97" s="301"/>
      <c r="DC97" s="301"/>
      <c r="DD97" s="301"/>
      <c r="DE97" s="301"/>
      <c r="DF97" s="301"/>
      <c r="DG97" s="301"/>
      <c r="DH97" s="301"/>
      <c r="DI97" s="301"/>
      <c r="DJ97" s="301"/>
      <c r="DK97" s="301"/>
      <c r="DL97" s="301"/>
      <c r="DM97" s="301"/>
      <c r="DN97" s="301"/>
      <c r="DO97" s="301"/>
      <c r="DP97" s="301"/>
      <c r="DQ97" s="301"/>
      <c r="DR97" s="301"/>
      <c r="DS97" s="301"/>
      <c r="DT97" s="301"/>
      <c r="DU97" s="301"/>
      <c r="DV97" s="301"/>
      <c r="DW97" s="301"/>
      <c r="DX97" s="301"/>
      <c r="DY97" s="301"/>
      <c r="DZ97" s="301"/>
      <c r="EA97" s="301"/>
      <c r="EB97" s="301"/>
      <c r="EC97" s="301"/>
      <c r="ED97" s="301"/>
      <c r="EE97" s="301"/>
      <c r="EF97" s="301"/>
      <c r="EG97" s="301"/>
      <c r="EH97" s="301"/>
      <c r="EI97" s="301"/>
      <c r="EJ97" s="301"/>
      <c r="EK97" s="301"/>
      <c r="EL97" s="301"/>
      <c r="EM97" s="301"/>
      <c r="EN97" s="301"/>
      <c r="EO97" s="301"/>
      <c r="EP97" s="301"/>
      <c r="EQ97" s="301"/>
      <c r="ER97" s="301"/>
      <c r="ES97" s="301"/>
      <c r="ET97" s="301"/>
      <c r="EU97" s="301"/>
      <c r="EV97" s="301"/>
      <c r="EW97" s="301"/>
      <c r="EX97" s="301"/>
      <c r="EY97" s="301"/>
      <c r="EZ97" s="301"/>
      <c r="FA97" s="301"/>
      <c r="FB97" s="301"/>
      <c r="FC97" s="301"/>
      <c r="FD97" s="301"/>
      <c r="FE97" s="301"/>
      <c r="FF97" s="301"/>
      <c r="FG97" s="301"/>
      <c r="FH97" s="301"/>
      <c r="FI97" s="301"/>
      <c r="FJ97" s="301"/>
      <c r="FK97" s="301"/>
      <c r="FL97" s="301"/>
      <c r="FM97" s="301"/>
      <c r="FN97" s="301"/>
      <c r="FO97" s="301"/>
      <c r="FP97" s="301"/>
      <c r="FQ97" s="301"/>
      <c r="FR97" s="301"/>
      <c r="FS97" s="301"/>
      <c r="FT97" s="301"/>
      <c r="FU97" s="301"/>
      <c r="FV97" s="301"/>
      <c r="FW97" s="301"/>
      <c r="FX97" s="301"/>
      <c r="FY97" s="301"/>
      <c r="FZ97" s="301"/>
      <c r="GA97" s="301"/>
      <c r="GB97" s="301"/>
      <c r="GC97" s="301"/>
      <c r="GD97" s="301"/>
      <c r="GE97" s="301"/>
      <c r="GF97" s="301"/>
      <c r="GG97" s="301"/>
      <c r="GH97" s="301"/>
      <c r="GI97" s="301"/>
      <c r="GJ97" s="301"/>
      <c r="GK97" s="301"/>
      <c r="GL97" s="301"/>
      <c r="GM97" s="301"/>
      <c r="GN97" s="301"/>
      <c r="GO97" s="301"/>
      <c r="GP97" s="301"/>
      <c r="GQ97" s="301"/>
      <c r="GR97" s="301"/>
      <c r="GS97" s="301"/>
      <c r="GT97" s="301"/>
      <c r="GU97" s="301"/>
      <c r="GV97" s="301"/>
      <c r="GW97" s="301"/>
      <c r="GX97" s="301"/>
      <c r="GY97" s="301"/>
      <c r="GZ97" s="301"/>
      <c r="HA97" s="301"/>
      <c r="HB97" s="301"/>
      <c r="HC97" s="301"/>
      <c r="HD97" s="301"/>
      <c r="HE97" s="301"/>
      <c r="HF97" s="301"/>
      <c r="HG97" s="301"/>
      <c r="HH97" s="301"/>
      <c r="HI97" s="301"/>
      <c r="HJ97" s="301"/>
      <c r="HK97" s="301"/>
      <c r="HL97" s="301"/>
      <c r="HM97" s="301"/>
      <c r="HN97" s="301"/>
      <c r="HO97" s="301"/>
      <c r="HP97" s="301"/>
      <c r="HQ97" s="301"/>
      <c r="HR97" s="301"/>
      <c r="HS97" s="301"/>
      <c r="HT97" s="301"/>
      <c r="HU97" s="301"/>
      <c r="HV97" s="301"/>
      <c r="HW97" s="301"/>
      <c r="HX97" s="301"/>
      <c r="HY97" s="301"/>
      <c r="HZ97" s="301"/>
      <c r="IA97" s="301"/>
      <c r="IB97" s="301"/>
      <c r="IC97" s="301"/>
      <c r="ID97" s="301"/>
      <c r="IE97" s="301"/>
      <c r="IF97" s="301"/>
      <c r="IG97" s="301"/>
      <c r="IH97" s="301"/>
      <c r="II97" s="301"/>
      <c r="IJ97" s="301"/>
      <c r="IK97" s="301"/>
      <c r="IL97" s="301"/>
      <c r="IM97" s="301"/>
      <c r="IN97" s="301"/>
      <c r="IO97" s="301"/>
      <c r="IP97" s="301"/>
      <c r="IQ97" s="301"/>
      <c r="IR97" s="301"/>
      <c r="IS97" s="301"/>
      <c r="IT97" s="301"/>
      <c r="IU97" s="301"/>
      <c r="IV97" s="301"/>
    </row>
    <row r="98" spans="1:256" ht="15" hidden="1">
      <c r="A98" s="301"/>
      <c r="B98" s="339"/>
      <c r="C98" s="306"/>
      <c r="D98" s="304"/>
      <c r="E98" s="304"/>
      <c r="F98" s="304"/>
      <c r="G98" s="304"/>
      <c r="H98" s="304"/>
      <c r="I98" s="360"/>
      <c r="J98" s="360"/>
      <c r="K98" s="360"/>
      <c r="L98" s="301"/>
      <c r="M98" s="301"/>
      <c r="N98" s="301"/>
      <c r="O98" s="301"/>
      <c r="P98" s="301"/>
      <c r="Q98" s="301"/>
      <c r="R98" s="301"/>
      <c r="S98" s="301"/>
      <c r="T98" s="301"/>
      <c r="U98" s="301"/>
      <c r="V98" s="301"/>
      <c r="W98" s="301"/>
      <c r="X98" s="301"/>
      <c r="Y98" s="301"/>
      <c r="Z98" s="301"/>
      <c r="AA98" s="301"/>
      <c r="AB98" s="301"/>
      <c r="AC98" s="301"/>
      <c r="AD98" s="301"/>
      <c r="AE98" s="301"/>
      <c r="AF98" s="301"/>
      <c r="AG98" s="301"/>
      <c r="AH98" s="301"/>
      <c r="AI98" s="301"/>
      <c r="AJ98" s="301"/>
      <c r="AK98" s="301"/>
      <c r="AL98" s="301"/>
      <c r="AM98" s="301"/>
      <c r="AN98" s="301"/>
      <c r="AO98" s="301"/>
      <c r="AP98" s="301"/>
      <c r="AQ98" s="301"/>
      <c r="AR98" s="301"/>
      <c r="AS98" s="301"/>
      <c r="AT98" s="301"/>
      <c r="AU98" s="301"/>
      <c r="AV98" s="301"/>
      <c r="AW98" s="301"/>
      <c r="AX98" s="301"/>
      <c r="AY98" s="301"/>
      <c r="AZ98" s="301"/>
      <c r="BA98" s="301"/>
      <c r="BB98" s="301"/>
      <c r="BC98" s="301"/>
      <c r="BD98" s="301"/>
      <c r="BE98" s="301"/>
      <c r="BF98" s="301"/>
      <c r="BG98" s="301"/>
      <c r="BH98" s="301"/>
      <c r="BI98" s="301"/>
      <c r="BJ98" s="301"/>
      <c r="BK98" s="301"/>
      <c r="BL98" s="301"/>
      <c r="BM98" s="301"/>
      <c r="BN98" s="301"/>
      <c r="BO98" s="301"/>
      <c r="BP98" s="301"/>
      <c r="BQ98" s="301"/>
      <c r="BR98" s="301"/>
      <c r="BS98" s="301"/>
      <c r="BT98" s="301"/>
      <c r="BU98" s="301"/>
      <c r="BV98" s="301"/>
      <c r="BW98" s="301"/>
      <c r="BX98" s="301"/>
      <c r="BY98" s="301"/>
      <c r="BZ98" s="301"/>
      <c r="CA98" s="301"/>
      <c r="CB98" s="301"/>
      <c r="CC98" s="301"/>
      <c r="CD98" s="301"/>
      <c r="CE98" s="301"/>
      <c r="CF98" s="301"/>
      <c r="CG98" s="301"/>
      <c r="CH98" s="301"/>
      <c r="CI98" s="301"/>
      <c r="CJ98" s="301"/>
      <c r="CK98" s="301"/>
      <c r="CL98" s="301"/>
      <c r="CM98" s="301"/>
      <c r="CN98" s="301"/>
      <c r="CO98" s="301"/>
      <c r="CP98" s="301"/>
      <c r="CQ98" s="301"/>
      <c r="CR98" s="301"/>
      <c r="CS98" s="301"/>
      <c r="CT98" s="301"/>
      <c r="CU98" s="301"/>
      <c r="CV98" s="301"/>
      <c r="CW98" s="301"/>
      <c r="CX98" s="301"/>
      <c r="CY98" s="301"/>
      <c r="CZ98" s="301"/>
      <c r="DA98" s="301"/>
      <c r="DB98" s="301"/>
      <c r="DC98" s="301"/>
      <c r="DD98" s="301"/>
      <c r="DE98" s="301"/>
      <c r="DF98" s="301"/>
      <c r="DG98" s="301"/>
      <c r="DH98" s="301"/>
      <c r="DI98" s="301"/>
      <c r="DJ98" s="301"/>
      <c r="DK98" s="301"/>
      <c r="DL98" s="301"/>
      <c r="DM98" s="301"/>
      <c r="DN98" s="301"/>
      <c r="DO98" s="301"/>
      <c r="DP98" s="301"/>
      <c r="DQ98" s="301"/>
      <c r="DR98" s="301"/>
      <c r="DS98" s="301"/>
      <c r="DT98" s="301"/>
      <c r="DU98" s="301"/>
      <c r="DV98" s="301"/>
      <c r="DW98" s="301"/>
      <c r="DX98" s="301"/>
      <c r="DY98" s="301"/>
      <c r="DZ98" s="301"/>
      <c r="EA98" s="301"/>
      <c r="EB98" s="301"/>
      <c r="EC98" s="301"/>
      <c r="ED98" s="301"/>
      <c r="EE98" s="301"/>
      <c r="EF98" s="301"/>
      <c r="EG98" s="301"/>
      <c r="EH98" s="301"/>
      <c r="EI98" s="301"/>
      <c r="EJ98" s="301"/>
      <c r="EK98" s="301"/>
      <c r="EL98" s="301"/>
      <c r="EM98" s="301"/>
      <c r="EN98" s="301"/>
      <c r="EO98" s="301"/>
      <c r="EP98" s="301"/>
      <c r="EQ98" s="301"/>
      <c r="ER98" s="301"/>
      <c r="ES98" s="301"/>
      <c r="ET98" s="301"/>
      <c r="EU98" s="301"/>
      <c r="EV98" s="301"/>
      <c r="EW98" s="301"/>
      <c r="EX98" s="301"/>
      <c r="EY98" s="301"/>
      <c r="EZ98" s="301"/>
      <c r="FA98" s="301"/>
      <c r="FB98" s="301"/>
      <c r="FC98" s="301"/>
      <c r="FD98" s="301"/>
      <c r="FE98" s="301"/>
      <c r="FF98" s="301"/>
      <c r="FG98" s="301"/>
      <c r="FH98" s="301"/>
      <c r="FI98" s="301"/>
      <c r="FJ98" s="301"/>
      <c r="FK98" s="301"/>
      <c r="FL98" s="301"/>
      <c r="FM98" s="301"/>
      <c r="FN98" s="301"/>
      <c r="FO98" s="301"/>
      <c r="FP98" s="301"/>
      <c r="FQ98" s="301"/>
      <c r="FR98" s="301"/>
      <c r="FS98" s="301"/>
      <c r="FT98" s="301"/>
      <c r="FU98" s="301"/>
      <c r="FV98" s="301"/>
      <c r="FW98" s="301"/>
      <c r="FX98" s="301"/>
      <c r="FY98" s="301"/>
      <c r="FZ98" s="301"/>
      <c r="GA98" s="301"/>
      <c r="GB98" s="301"/>
      <c r="GC98" s="301"/>
      <c r="GD98" s="301"/>
      <c r="GE98" s="301"/>
      <c r="GF98" s="301"/>
      <c r="GG98" s="301"/>
      <c r="GH98" s="301"/>
      <c r="GI98" s="301"/>
      <c r="GJ98" s="301"/>
      <c r="GK98" s="301"/>
      <c r="GL98" s="301"/>
      <c r="GM98" s="301"/>
      <c r="GN98" s="301"/>
      <c r="GO98" s="301"/>
      <c r="GP98" s="301"/>
      <c r="GQ98" s="301"/>
      <c r="GR98" s="301"/>
      <c r="GS98" s="301"/>
      <c r="GT98" s="301"/>
      <c r="GU98" s="301"/>
      <c r="GV98" s="301"/>
      <c r="GW98" s="301"/>
      <c r="GX98" s="301"/>
      <c r="GY98" s="301"/>
      <c r="GZ98" s="301"/>
      <c r="HA98" s="301"/>
      <c r="HB98" s="301"/>
      <c r="HC98" s="301"/>
      <c r="HD98" s="301"/>
      <c r="HE98" s="301"/>
      <c r="HF98" s="301"/>
      <c r="HG98" s="301"/>
      <c r="HH98" s="301"/>
      <c r="HI98" s="301"/>
      <c r="HJ98" s="301"/>
      <c r="HK98" s="301"/>
      <c r="HL98" s="301"/>
      <c r="HM98" s="301"/>
      <c r="HN98" s="301"/>
      <c r="HO98" s="301"/>
      <c r="HP98" s="301"/>
      <c r="HQ98" s="301"/>
      <c r="HR98" s="301"/>
      <c r="HS98" s="301"/>
      <c r="HT98" s="301"/>
      <c r="HU98" s="301"/>
      <c r="HV98" s="301"/>
      <c r="HW98" s="301"/>
      <c r="HX98" s="301"/>
      <c r="HY98" s="301"/>
      <c r="HZ98" s="301"/>
      <c r="IA98" s="301"/>
      <c r="IB98" s="301"/>
      <c r="IC98" s="301"/>
      <c r="ID98" s="301"/>
      <c r="IE98" s="301"/>
      <c r="IF98" s="301"/>
      <c r="IG98" s="301"/>
      <c r="IH98" s="301"/>
      <c r="II98" s="301"/>
      <c r="IJ98" s="301"/>
      <c r="IK98" s="301"/>
      <c r="IL98" s="301"/>
      <c r="IM98" s="301"/>
      <c r="IN98" s="301"/>
      <c r="IO98" s="301"/>
      <c r="IP98" s="301"/>
      <c r="IQ98" s="301"/>
      <c r="IR98" s="301"/>
      <c r="IS98" s="301"/>
      <c r="IT98" s="301"/>
      <c r="IU98" s="301"/>
      <c r="IV98" s="301"/>
    </row>
    <row r="99" spans="1:256" ht="15" hidden="1">
      <c r="A99" s="301"/>
      <c r="B99" s="339"/>
      <c r="C99" s="341" t="s">
        <v>816</v>
      </c>
      <c r="D99" s="359" t="s">
        <v>557</v>
      </c>
      <c r="E99" s="304"/>
      <c r="F99" s="304"/>
      <c r="G99" s="304"/>
      <c r="H99" s="304"/>
      <c r="I99" s="360"/>
      <c r="J99" s="360"/>
      <c r="K99" s="360"/>
      <c r="L99" s="301"/>
      <c r="M99" s="301"/>
      <c r="N99" s="301"/>
      <c r="O99" s="301"/>
      <c r="P99" s="301"/>
      <c r="Q99" s="301"/>
      <c r="R99" s="301"/>
      <c r="S99" s="301"/>
      <c r="T99" s="301"/>
      <c r="U99" s="301"/>
      <c r="V99" s="301"/>
      <c r="W99" s="301"/>
      <c r="X99" s="301"/>
      <c r="Y99" s="301"/>
      <c r="Z99" s="301"/>
      <c r="AA99" s="301"/>
      <c r="AB99" s="301"/>
      <c r="AC99" s="301"/>
      <c r="AD99" s="301"/>
      <c r="AE99" s="301"/>
      <c r="AF99" s="301"/>
      <c r="AG99" s="301"/>
      <c r="AH99" s="301"/>
      <c r="AI99" s="301"/>
      <c r="AJ99" s="301"/>
      <c r="AK99" s="301"/>
      <c r="AL99" s="301"/>
      <c r="AM99" s="301"/>
      <c r="AN99" s="301"/>
      <c r="AO99" s="301"/>
      <c r="AP99" s="301"/>
      <c r="AQ99" s="301"/>
      <c r="AR99" s="301"/>
      <c r="AS99" s="301"/>
      <c r="AT99" s="301"/>
      <c r="AU99" s="301"/>
      <c r="AV99" s="301"/>
      <c r="AW99" s="301"/>
      <c r="AX99" s="301"/>
      <c r="AY99" s="301"/>
      <c r="AZ99" s="301"/>
      <c r="BA99" s="301"/>
      <c r="BB99" s="301"/>
      <c r="BC99" s="301"/>
      <c r="BD99" s="301"/>
      <c r="BE99" s="301"/>
      <c r="BF99" s="301"/>
      <c r="BG99" s="301"/>
      <c r="BH99" s="301"/>
      <c r="BI99" s="301"/>
      <c r="BJ99" s="301"/>
      <c r="BK99" s="301"/>
      <c r="BL99" s="301"/>
      <c r="BM99" s="301"/>
      <c r="BN99" s="301"/>
      <c r="BO99" s="301"/>
      <c r="BP99" s="301"/>
      <c r="BQ99" s="301"/>
      <c r="BR99" s="301"/>
      <c r="BS99" s="301"/>
      <c r="BT99" s="301"/>
      <c r="BU99" s="301"/>
      <c r="BV99" s="301"/>
      <c r="BW99" s="301"/>
      <c r="BX99" s="301"/>
      <c r="BY99" s="301"/>
      <c r="BZ99" s="301"/>
      <c r="CA99" s="301"/>
      <c r="CB99" s="301"/>
      <c r="CC99" s="301"/>
      <c r="CD99" s="301"/>
      <c r="CE99" s="301"/>
      <c r="CF99" s="301"/>
      <c r="CG99" s="301"/>
      <c r="CH99" s="301"/>
      <c r="CI99" s="301"/>
      <c r="CJ99" s="301"/>
      <c r="CK99" s="301"/>
      <c r="CL99" s="301"/>
      <c r="CM99" s="301"/>
      <c r="CN99" s="301"/>
      <c r="CO99" s="301"/>
      <c r="CP99" s="301"/>
      <c r="CQ99" s="301"/>
      <c r="CR99" s="301"/>
      <c r="CS99" s="301"/>
      <c r="CT99" s="301"/>
      <c r="CU99" s="301"/>
      <c r="CV99" s="301"/>
      <c r="CW99" s="301"/>
      <c r="CX99" s="301"/>
      <c r="CY99" s="301"/>
      <c r="CZ99" s="301"/>
      <c r="DA99" s="301"/>
      <c r="DB99" s="301"/>
      <c r="DC99" s="301"/>
      <c r="DD99" s="301"/>
      <c r="DE99" s="301"/>
      <c r="DF99" s="301"/>
      <c r="DG99" s="301"/>
      <c r="DH99" s="301"/>
      <c r="DI99" s="301"/>
      <c r="DJ99" s="301"/>
      <c r="DK99" s="301"/>
      <c r="DL99" s="301"/>
      <c r="DM99" s="301"/>
      <c r="DN99" s="301"/>
      <c r="DO99" s="301"/>
      <c r="DP99" s="301"/>
      <c r="DQ99" s="301"/>
      <c r="DR99" s="301"/>
      <c r="DS99" s="301"/>
      <c r="DT99" s="301"/>
      <c r="DU99" s="301"/>
      <c r="DV99" s="301"/>
      <c r="DW99" s="301"/>
      <c r="DX99" s="301"/>
      <c r="DY99" s="301"/>
      <c r="DZ99" s="301"/>
      <c r="EA99" s="301"/>
      <c r="EB99" s="301"/>
      <c r="EC99" s="301"/>
      <c r="ED99" s="301"/>
      <c r="EE99" s="301"/>
      <c r="EF99" s="301"/>
      <c r="EG99" s="301"/>
      <c r="EH99" s="301"/>
      <c r="EI99" s="301"/>
      <c r="EJ99" s="301"/>
      <c r="EK99" s="301"/>
      <c r="EL99" s="301"/>
      <c r="EM99" s="301"/>
      <c r="EN99" s="301"/>
      <c r="EO99" s="301"/>
      <c r="EP99" s="301"/>
      <c r="EQ99" s="301"/>
      <c r="ER99" s="301"/>
      <c r="ES99" s="301"/>
      <c r="ET99" s="301"/>
      <c r="EU99" s="301"/>
      <c r="EV99" s="301"/>
      <c r="EW99" s="301"/>
      <c r="EX99" s="301"/>
      <c r="EY99" s="301"/>
      <c r="EZ99" s="301"/>
      <c r="FA99" s="301"/>
      <c r="FB99" s="301"/>
      <c r="FC99" s="301"/>
      <c r="FD99" s="301"/>
      <c r="FE99" s="301"/>
      <c r="FF99" s="301"/>
      <c r="FG99" s="301"/>
      <c r="FH99" s="301"/>
      <c r="FI99" s="301"/>
      <c r="FJ99" s="301"/>
      <c r="FK99" s="301"/>
      <c r="FL99" s="301"/>
      <c r="FM99" s="301"/>
      <c r="FN99" s="301"/>
      <c r="FO99" s="301"/>
      <c r="FP99" s="301"/>
      <c r="FQ99" s="301"/>
      <c r="FR99" s="301"/>
      <c r="FS99" s="301"/>
      <c r="FT99" s="301"/>
      <c r="FU99" s="301"/>
      <c r="FV99" s="301"/>
      <c r="FW99" s="301"/>
      <c r="FX99" s="301"/>
      <c r="FY99" s="301"/>
      <c r="FZ99" s="301"/>
      <c r="GA99" s="301"/>
      <c r="GB99" s="301"/>
      <c r="GC99" s="301"/>
      <c r="GD99" s="301"/>
      <c r="GE99" s="301"/>
      <c r="GF99" s="301"/>
      <c r="GG99" s="301"/>
      <c r="GH99" s="301"/>
      <c r="GI99" s="301"/>
      <c r="GJ99" s="301"/>
      <c r="GK99" s="301"/>
      <c r="GL99" s="301"/>
      <c r="GM99" s="301"/>
      <c r="GN99" s="301"/>
      <c r="GO99" s="301"/>
      <c r="GP99" s="301"/>
      <c r="GQ99" s="301"/>
      <c r="GR99" s="301"/>
      <c r="GS99" s="301"/>
      <c r="GT99" s="301"/>
      <c r="GU99" s="301"/>
      <c r="GV99" s="301"/>
      <c r="GW99" s="301"/>
      <c r="GX99" s="301"/>
      <c r="GY99" s="301"/>
      <c r="GZ99" s="301"/>
      <c r="HA99" s="301"/>
      <c r="HB99" s="301"/>
      <c r="HC99" s="301"/>
      <c r="HD99" s="301"/>
      <c r="HE99" s="301"/>
      <c r="HF99" s="301"/>
      <c r="HG99" s="301"/>
      <c r="HH99" s="301"/>
      <c r="HI99" s="301"/>
      <c r="HJ99" s="301"/>
      <c r="HK99" s="301"/>
      <c r="HL99" s="301"/>
      <c r="HM99" s="301"/>
      <c r="HN99" s="301"/>
      <c r="HO99" s="301"/>
      <c r="HP99" s="301"/>
      <c r="HQ99" s="301"/>
      <c r="HR99" s="301"/>
      <c r="HS99" s="301"/>
      <c r="HT99" s="301"/>
      <c r="HU99" s="301"/>
      <c r="HV99" s="301"/>
      <c r="HW99" s="301"/>
      <c r="HX99" s="301"/>
      <c r="HY99" s="301"/>
      <c r="HZ99" s="301"/>
      <c r="IA99" s="301"/>
      <c r="IB99" s="301"/>
      <c r="IC99" s="301"/>
      <c r="ID99" s="301"/>
      <c r="IE99" s="301"/>
      <c r="IF99" s="301"/>
      <c r="IG99" s="301"/>
      <c r="IH99" s="301"/>
      <c r="II99" s="301"/>
      <c r="IJ99" s="301"/>
      <c r="IK99" s="301"/>
      <c r="IL99" s="301"/>
      <c r="IM99" s="301"/>
      <c r="IN99" s="301"/>
      <c r="IO99" s="301"/>
      <c r="IP99" s="301"/>
      <c r="IQ99" s="301"/>
      <c r="IR99" s="301"/>
      <c r="IS99" s="301"/>
      <c r="IT99" s="301"/>
      <c r="IU99" s="301"/>
      <c r="IV99" s="301"/>
    </row>
    <row r="100" spans="1:256" ht="15" hidden="1">
      <c r="A100" s="301"/>
      <c r="B100" s="339"/>
      <c r="C100" s="321">
        <v>8.1</v>
      </c>
      <c r="D100" s="343" t="s">
        <v>644</v>
      </c>
      <c r="E100" s="361" t="s">
        <v>851</v>
      </c>
      <c r="F100" s="304"/>
      <c r="G100" s="304"/>
      <c r="H100" s="304"/>
      <c r="I100" s="320">
        <v>1302.29</v>
      </c>
      <c r="J100" s="360" t="s">
        <v>644</v>
      </c>
      <c r="K100" s="360">
        <f>ROUND(C100*I100,2)</f>
        <v>10548.55</v>
      </c>
      <c r="L100" s="301"/>
      <c r="M100" s="301"/>
      <c r="N100" s="301"/>
      <c r="O100" s="301"/>
      <c r="P100" s="301"/>
      <c r="Q100" s="301"/>
      <c r="R100" s="301"/>
      <c r="S100" s="301"/>
      <c r="T100" s="301"/>
      <c r="U100" s="301"/>
      <c r="V100" s="301"/>
      <c r="W100" s="301"/>
      <c r="X100" s="301"/>
      <c r="Y100" s="301"/>
      <c r="Z100" s="301"/>
      <c r="AA100" s="301"/>
      <c r="AB100" s="301"/>
      <c r="AC100" s="301"/>
      <c r="AD100" s="301"/>
      <c r="AE100" s="301"/>
      <c r="AF100" s="301"/>
      <c r="AG100" s="301"/>
      <c r="AH100" s="301"/>
      <c r="AI100" s="301"/>
      <c r="AJ100" s="301"/>
      <c r="AK100" s="301"/>
      <c r="AL100" s="301"/>
      <c r="AM100" s="301"/>
      <c r="AN100" s="301"/>
      <c r="AO100" s="301"/>
      <c r="AP100" s="301"/>
      <c r="AQ100" s="301"/>
      <c r="AR100" s="301"/>
      <c r="AS100" s="301"/>
      <c r="AT100" s="301"/>
      <c r="AU100" s="301"/>
      <c r="AV100" s="301"/>
      <c r="AW100" s="301"/>
      <c r="AX100" s="301"/>
      <c r="AY100" s="301"/>
      <c r="AZ100" s="301"/>
      <c r="BA100" s="301"/>
      <c r="BB100" s="301"/>
      <c r="BC100" s="301"/>
      <c r="BD100" s="301"/>
      <c r="BE100" s="301"/>
      <c r="BF100" s="301"/>
      <c r="BG100" s="301"/>
      <c r="BH100" s="301"/>
      <c r="BI100" s="301"/>
      <c r="BJ100" s="301"/>
      <c r="BK100" s="301"/>
      <c r="BL100" s="301"/>
      <c r="BM100" s="301"/>
      <c r="BN100" s="301"/>
      <c r="BO100" s="301"/>
      <c r="BP100" s="301"/>
      <c r="BQ100" s="301"/>
      <c r="BR100" s="301"/>
      <c r="BS100" s="301"/>
      <c r="BT100" s="301"/>
      <c r="BU100" s="301"/>
      <c r="BV100" s="301"/>
      <c r="BW100" s="301"/>
      <c r="BX100" s="301"/>
      <c r="BY100" s="301"/>
      <c r="BZ100" s="301"/>
      <c r="CA100" s="301"/>
      <c r="CB100" s="301"/>
      <c r="CC100" s="301"/>
      <c r="CD100" s="301"/>
      <c r="CE100" s="301"/>
      <c r="CF100" s="301"/>
      <c r="CG100" s="301"/>
      <c r="CH100" s="301"/>
      <c r="CI100" s="301"/>
      <c r="CJ100" s="301"/>
      <c r="CK100" s="301"/>
      <c r="CL100" s="301"/>
      <c r="CM100" s="301"/>
      <c r="CN100" s="301"/>
      <c r="CO100" s="301"/>
      <c r="CP100" s="301"/>
      <c r="CQ100" s="301"/>
      <c r="CR100" s="301"/>
      <c r="CS100" s="301"/>
      <c r="CT100" s="301"/>
      <c r="CU100" s="301"/>
      <c r="CV100" s="301"/>
      <c r="CW100" s="301"/>
      <c r="CX100" s="301"/>
      <c r="CY100" s="301"/>
      <c r="CZ100" s="301"/>
      <c r="DA100" s="301"/>
      <c r="DB100" s="301"/>
      <c r="DC100" s="301"/>
      <c r="DD100" s="301"/>
      <c r="DE100" s="301"/>
      <c r="DF100" s="301"/>
      <c r="DG100" s="301"/>
      <c r="DH100" s="301"/>
      <c r="DI100" s="301"/>
      <c r="DJ100" s="301"/>
      <c r="DK100" s="301"/>
      <c r="DL100" s="301"/>
      <c r="DM100" s="301"/>
      <c r="DN100" s="301"/>
      <c r="DO100" s="301"/>
      <c r="DP100" s="301"/>
      <c r="DQ100" s="301"/>
      <c r="DR100" s="301"/>
      <c r="DS100" s="301"/>
      <c r="DT100" s="301"/>
      <c r="DU100" s="301"/>
      <c r="DV100" s="301"/>
      <c r="DW100" s="301"/>
      <c r="DX100" s="301"/>
      <c r="DY100" s="301"/>
      <c r="DZ100" s="301"/>
      <c r="EA100" s="301"/>
      <c r="EB100" s="301"/>
      <c r="EC100" s="301"/>
      <c r="ED100" s="301"/>
      <c r="EE100" s="301"/>
      <c r="EF100" s="301"/>
      <c r="EG100" s="301"/>
      <c r="EH100" s="301"/>
      <c r="EI100" s="301"/>
      <c r="EJ100" s="301"/>
      <c r="EK100" s="301"/>
      <c r="EL100" s="301"/>
      <c r="EM100" s="301"/>
      <c r="EN100" s="301"/>
      <c r="EO100" s="301"/>
      <c r="EP100" s="301"/>
      <c r="EQ100" s="301"/>
      <c r="ER100" s="301"/>
      <c r="ES100" s="301"/>
      <c r="ET100" s="301"/>
      <c r="EU100" s="301"/>
      <c r="EV100" s="301"/>
      <c r="EW100" s="301"/>
      <c r="EX100" s="301"/>
      <c r="EY100" s="301"/>
      <c r="EZ100" s="301"/>
      <c r="FA100" s="301"/>
      <c r="FB100" s="301"/>
      <c r="FC100" s="301"/>
      <c r="FD100" s="301"/>
      <c r="FE100" s="301"/>
      <c r="FF100" s="301"/>
      <c r="FG100" s="301"/>
      <c r="FH100" s="301"/>
      <c r="FI100" s="301"/>
      <c r="FJ100" s="301"/>
      <c r="FK100" s="301"/>
      <c r="FL100" s="301"/>
      <c r="FM100" s="301"/>
      <c r="FN100" s="301"/>
      <c r="FO100" s="301"/>
      <c r="FP100" s="301"/>
      <c r="FQ100" s="301"/>
      <c r="FR100" s="301"/>
      <c r="FS100" s="301"/>
      <c r="FT100" s="301"/>
      <c r="FU100" s="301"/>
      <c r="FV100" s="301"/>
      <c r="FW100" s="301"/>
      <c r="FX100" s="301"/>
      <c r="FY100" s="301"/>
      <c r="FZ100" s="301"/>
      <c r="GA100" s="301"/>
      <c r="GB100" s="301"/>
      <c r="GC100" s="301"/>
      <c r="GD100" s="301"/>
      <c r="GE100" s="301"/>
      <c r="GF100" s="301"/>
      <c r="GG100" s="301"/>
      <c r="GH100" s="301"/>
      <c r="GI100" s="301"/>
      <c r="GJ100" s="301"/>
      <c r="GK100" s="301"/>
      <c r="GL100" s="301"/>
      <c r="GM100" s="301"/>
      <c r="GN100" s="301"/>
      <c r="GO100" s="301"/>
      <c r="GP100" s="301"/>
      <c r="GQ100" s="301"/>
      <c r="GR100" s="301"/>
      <c r="GS100" s="301"/>
      <c r="GT100" s="301"/>
      <c r="GU100" s="301"/>
      <c r="GV100" s="301"/>
      <c r="GW100" s="301"/>
      <c r="GX100" s="301"/>
      <c r="GY100" s="301"/>
      <c r="GZ100" s="301"/>
      <c r="HA100" s="301"/>
      <c r="HB100" s="301"/>
      <c r="HC100" s="301"/>
      <c r="HD100" s="301"/>
      <c r="HE100" s="301"/>
      <c r="HF100" s="301"/>
      <c r="HG100" s="301"/>
      <c r="HH100" s="301"/>
      <c r="HI100" s="301"/>
      <c r="HJ100" s="301"/>
      <c r="HK100" s="301"/>
      <c r="HL100" s="301"/>
      <c r="HM100" s="301"/>
      <c r="HN100" s="301"/>
      <c r="HO100" s="301"/>
      <c r="HP100" s="301"/>
      <c r="HQ100" s="301"/>
      <c r="HR100" s="301"/>
      <c r="HS100" s="301"/>
      <c r="HT100" s="301"/>
      <c r="HU100" s="301"/>
      <c r="HV100" s="301"/>
      <c r="HW100" s="301"/>
      <c r="HX100" s="301"/>
      <c r="HY100" s="301"/>
      <c r="HZ100" s="301"/>
      <c r="IA100" s="301"/>
      <c r="IB100" s="301"/>
      <c r="IC100" s="301"/>
      <c r="ID100" s="301"/>
      <c r="IE100" s="301"/>
      <c r="IF100" s="301"/>
      <c r="IG100" s="301"/>
      <c r="IH100" s="301"/>
      <c r="II100" s="301"/>
      <c r="IJ100" s="301"/>
      <c r="IK100" s="301"/>
      <c r="IL100" s="301"/>
      <c r="IM100" s="301"/>
      <c r="IN100" s="301"/>
      <c r="IO100" s="301"/>
      <c r="IP100" s="301"/>
      <c r="IQ100" s="301"/>
      <c r="IR100" s="301"/>
      <c r="IS100" s="301"/>
      <c r="IT100" s="301"/>
      <c r="IU100" s="301"/>
      <c r="IV100" s="301"/>
    </row>
    <row r="101" spans="1:256" ht="15" hidden="1">
      <c r="A101" s="301"/>
      <c r="B101" s="339"/>
      <c r="C101" s="321">
        <v>5.4</v>
      </c>
      <c r="D101" s="343" t="s">
        <v>644</v>
      </c>
      <c r="E101" s="361" t="s">
        <v>852</v>
      </c>
      <c r="F101" s="304"/>
      <c r="G101" s="304"/>
      <c r="H101" s="304"/>
      <c r="I101" s="320">
        <v>1036.04</v>
      </c>
      <c r="J101" s="360" t="s">
        <v>644</v>
      </c>
      <c r="K101" s="360">
        <f>ROUND(C101*I101,2)</f>
        <v>5594.62</v>
      </c>
      <c r="L101" s="301"/>
      <c r="M101" s="301"/>
      <c r="N101" s="301"/>
      <c r="O101" s="301"/>
      <c r="P101" s="301"/>
      <c r="Q101" s="301"/>
      <c r="R101" s="301"/>
      <c r="S101" s="301"/>
      <c r="T101" s="301"/>
      <c r="U101" s="301"/>
      <c r="V101" s="301"/>
      <c r="W101" s="301"/>
      <c r="X101" s="301"/>
      <c r="Y101" s="301"/>
      <c r="Z101" s="301"/>
      <c r="AA101" s="301"/>
      <c r="AB101" s="301"/>
      <c r="AC101" s="301"/>
      <c r="AD101" s="301"/>
      <c r="AE101" s="301"/>
      <c r="AF101" s="301"/>
      <c r="AG101" s="301"/>
      <c r="AH101" s="301"/>
      <c r="AI101" s="301"/>
      <c r="AJ101" s="301"/>
      <c r="AK101" s="301"/>
      <c r="AL101" s="301"/>
      <c r="AM101" s="301"/>
      <c r="AN101" s="301"/>
      <c r="AO101" s="301"/>
      <c r="AP101" s="301"/>
      <c r="AQ101" s="301"/>
      <c r="AR101" s="301"/>
      <c r="AS101" s="301"/>
      <c r="AT101" s="301"/>
      <c r="AU101" s="301"/>
      <c r="AV101" s="301"/>
      <c r="AW101" s="301"/>
      <c r="AX101" s="301"/>
      <c r="AY101" s="301"/>
      <c r="AZ101" s="301"/>
      <c r="BA101" s="301"/>
      <c r="BB101" s="301"/>
      <c r="BC101" s="301"/>
      <c r="BD101" s="301"/>
      <c r="BE101" s="301"/>
      <c r="BF101" s="301"/>
      <c r="BG101" s="301"/>
      <c r="BH101" s="301"/>
      <c r="BI101" s="301"/>
      <c r="BJ101" s="301"/>
      <c r="BK101" s="301"/>
      <c r="BL101" s="301"/>
      <c r="BM101" s="301"/>
      <c r="BN101" s="301"/>
      <c r="BO101" s="301"/>
      <c r="BP101" s="301"/>
      <c r="BQ101" s="301"/>
      <c r="BR101" s="301"/>
      <c r="BS101" s="301"/>
      <c r="BT101" s="301"/>
      <c r="BU101" s="301"/>
      <c r="BV101" s="301"/>
      <c r="BW101" s="301"/>
      <c r="BX101" s="301"/>
      <c r="BY101" s="301"/>
      <c r="BZ101" s="301"/>
      <c r="CA101" s="301"/>
      <c r="CB101" s="301"/>
      <c r="CC101" s="301"/>
      <c r="CD101" s="301"/>
      <c r="CE101" s="301"/>
      <c r="CF101" s="301"/>
      <c r="CG101" s="301"/>
      <c r="CH101" s="301"/>
      <c r="CI101" s="301"/>
      <c r="CJ101" s="301"/>
      <c r="CK101" s="301"/>
      <c r="CL101" s="301"/>
      <c r="CM101" s="301"/>
      <c r="CN101" s="301"/>
      <c r="CO101" s="301"/>
      <c r="CP101" s="301"/>
      <c r="CQ101" s="301"/>
      <c r="CR101" s="301"/>
      <c r="CS101" s="301"/>
      <c r="CT101" s="301"/>
      <c r="CU101" s="301"/>
      <c r="CV101" s="301"/>
      <c r="CW101" s="301"/>
      <c r="CX101" s="301"/>
      <c r="CY101" s="301"/>
      <c r="CZ101" s="301"/>
      <c r="DA101" s="301"/>
      <c r="DB101" s="301"/>
      <c r="DC101" s="301"/>
      <c r="DD101" s="301"/>
      <c r="DE101" s="301"/>
      <c r="DF101" s="301"/>
      <c r="DG101" s="301"/>
      <c r="DH101" s="301"/>
      <c r="DI101" s="301"/>
      <c r="DJ101" s="301"/>
      <c r="DK101" s="301"/>
      <c r="DL101" s="301"/>
      <c r="DM101" s="301"/>
      <c r="DN101" s="301"/>
      <c r="DO101" s="301"/>
      <c r="DP101" s="301"/>
      <c r="DQ101" s="301"/>
      <c r="DR101" s="301"/>
      <c r="DS101" s="301"/>
      <c r="DT101" s="301"/>
      <c r="DU101" s="301"/>
      <c r="DV101" s="301"/>
      <c r="DW101" s="301"/>
      <c r="DX101" s="301"/>
      <c r="DY101" s="301"/>
      <c r="DZ101" s="301"/>
      <c r="EA101" s="301"/>
      <c r="EB101" s="301"/>
      <c r="EC101" s="301"/>
      <c r="ED101" s="301"/>
      <c r="EE101" s="301"/>
      <c r="EF101" s="301"/>
      <c r="EG101" s="301"/>
      <c r="EH101" s="301"/>
      <c r="EI101" s="301"/>
      <c r="EJ101" s="301"/>
      <c r="EK101" s="301"/>
      <c r="EL101" s="301"/>
      <c r="EM101" s="301"/>
      <c r="EN101" s="301"/>
      <c r="EO101" s="301"/>
      <c r="EP101" s="301"/>
      <c r="EQ101" s="301"/>
      <c r="ER101" s="301"/>
      <c r="ES101" s="301"/>
      <c r="ET101" s="301"/>
      <c r="EU101" s="301"/>
      <c r="EV101" s="301"/>
      <c r="EW101" s="301"/>
      <c r="EX101" s="301"/>
      <c r="EY101" s="301"/>
      <c r="EZ101" s="301"/>
      <c r="FA101" s="301"/>
      <c r="FB101" s="301"/>
      <c r="FC101" s="301"/>
      <c r="FD101" s="301"/>
      <c r="FE101" s="301"/>
      <c r="FF101" s="301"/>
      <c r="FG101" s="301"/>
      <c r="FH101" s="301"/>
      <c r="FI101" s="301"/>
      <c r="FJ101" s="301"/>
      <c r="FK101" s="301"/>
      <c r="FL101" s="301"/>
      <c r="FM101" s="301"/>
      <c r="FN101" s="301"/>
      <c r="FO101" s="301"/>
      <c r="FP101" s="301"/>
      <c r="FQ101" s="301"/>
      <c r="FR101" s="301"/>
      <c r="FS101" s="301"/>
      <c r="FT101" s="301"/>
      <c r="FU101" s="301"/>
      <c r="FV101" s="301"/>
      <c r="FW101" s="301"/>
      <c r="FX101" s="301"/>
      <c r="FY101" s="301"/>
      <c r="FZ101" s="301"/>
      <c r="GA101" s="301"/>
      <c r="GB101" s="301"/>
      <c r="GC101" s="301"/>
      <c r="GD101" s="301"/>
      <c r="GE101" s="301"/>
      <c r="GF101" s="301"/>
      <c r="GG101" s="301"/>
      <c r="GH101" s="301"/>
      <c r="GI101" s="301"/>
      <c r="GJ101" s="301"/>
      <c r="GK101" s="301"/>
      <c r="GL101" s="301"/>
      <c r="GM101" s="301"/>
      <c r="GN101" s="301"/>
      <c r="GO101" s="301"/>
      <c r="GP101" s="301"/>
      <c r="GQ101" s="301"/>
      <c r="GR101" s="301"/>
      <c r="GS101" s="301"/>
      <c r="GT101" s="301"/>
      <c r="GU101" s="301"/>
      <c r="GV101" s="301"/>
      <c r="GW101" s="301"/>
      <c r="GX101" s="301"/>
      <c r="GY101" s="301"/>
      <c r="GZ101" s="301"/>
      <c r="HA101" s="301"/>
      <c r="HB101" s="301"/>
      <c r="HC101" s="301"/>
      <c r="HD101" s="301"/>
      <c r="HE101" s="301"/>
      <c r="HF101" s="301"/>
      <c r="HG101" s="301"/>
      <c r="HH101" s="301"/>
      <c r="HI101" s="301"/>
      <c r="HJ101" s="301"/>
      <c r="HK101" s="301"/>
      <c r="HL101" s="301"/>
      <c r="HM101" s="301"/>
      <c r="HN101" s="301"/>
      <c r="HO101" s="301"/>
      <c r="HP101" s="301"/>
      <c r="HQ101" s="301"/>
      <c r="HR101" s="301"/>
      <c r="HS101" s="301"/>
      <c r="HT101" s="301"/>
      <c r="HU101" s="301"/>
      <c r="HV101" s="301"/>
      <c r="HW101" s="301"/>
      <c r="HX101" s="301"/>
      <c r="HY101" s="301"/>
      <c r="HZ101" s="301"/>
      <c r="IA101" s="301"/>
      <c r="IB101" s="301"/>
      <c r="IC101" s="301"/>
      <c r="ID101" s="301"/>
      <c r="IE101" s="301"/>
      <c r="IF101" s="301"/>
      <c r="IG101" s="301"/>
      <c r="IH101" s="301"/>
      <c r="II101" s="301"/>
      <c r="IJ101" s="301"/>
      <c r="IK101" s="301"/>
      <c r="IL101" s="301"/>
      <c r="IM101" s="301"/>
      <c r="IN101" s="301"/>
      <c r="IO101" s="301"/>
      <c r="IP101" s="301"/>
      <c r="IQ101" s="301"/>
      <c r="IR101" s="301"/>
      <c r="IS101" s="301"/>
      <c r="IT101" s="301"/>
      <c r="IU101" s="301"/>
      <c r="IV101" s="301"/>
    </row>
    <row r="102" spans="1:256" ht="15" hidden="1">
      <c r="A102" s="301"/>
      <c r="B102" s="339"/>
      <c r="C102" s="321">
        <v>6.75</v>
      </c>
      <c r="D102" s="343" t="s">
        <v>644</v>
      </c>
      <c r="E102" s="304" t="s">
        <v>841</v>
      </c>
      <c r="F102" s="304"/>
      <c r="G102" s="304"/>
      <c r="H102" s="304"/>
      <c r="I102" s="320">
        <v>1824.4599999999978</v>
      </c>
      <c r="J102" s="360" t="s">
        <v>644</v>
      </c>
      <c r="K102" s="360">
        <f>ROUND(C102*I102,2)</f>
        <v>12315.11</v>
      </c>
      <c r="L102" s="301"/>
      <c r="M102" s="301"/>
      <c r="N102" s="301"/>
      <c r="O102" s="301"/>
      <c r="P102" s="301"/>
      <c r="Q102" s="301"/>
      <c r="R102" s="301"/>
      <c r="S102" s="301"/>
      <c r="T102" s="301"/>
      <c r="U102" s="301"/>
      <c r="V102" s="301"/>
      <c r="W102" s="301"/>
      <c r="X102" s="301"/>
      <c r="Y102" s="301"/>
      <c r="Z102" s="301"/>
      <c r="AA102" s="301"/>
      <c r="AB102" s="301"/>
      <c r="AC102" s="301"/>
      <c r="AD102" s="301"/>
      <c r="AE102" s="301"/>
      <c r="AF102" s="301"/>
      <c r="AG102" s="301"/>
      <c r="AH102" s="301"/>
      <c r="AI102" s="301"/>
      <c r="AJ102" s="301"/>
      <c r="AK102" s="301"/>
      <c r="AL102" s="301"/>
      <c r="AM102" s="301"/>
      <c r="AN102" s="301"/>
      <c r="AO102" s="301"/>
      <c r="AP102" s="301"/>
      <c r="AQ102" s="301"/>
      <c r="AR102" s="301"/>
      <c r="AS102" s="301"/>
      <c r="AT102" s="301"/>
      <c r="AU102" s="301"/>
      <c r="AV102" s="301"/>
      <c r="AW102" s="301"/>
      <c r="AX102" s="301"/>
      <c r="AY102" s="301"/>
      <c r="AZ102" s="301"/>
      <c r="BA102" s="301"/>
      <c r="BB102" s="301"/>
      <c r="BC102" s="301"/>
      <c r="BD102" s="301"/>
      <c r="BE102" s="301"/>
      <c r="BF102" s="301"/>
      <c r="BG102" s="301"/>
      <c r="BH102" s="301"/>
      <c r="BI102" s="301"/>
      <c r="BJ102" s="301"/>
      <c r="BK102" s="301"/>
      <c r="BL102" s="301"/>
      <c r="BM102" s="301"/>
      <c r="BN102" s="301"/>
      <c r="BO102" s="301"/>
      <c r="BP102" s="301"/>
      <c r="BQ102" s="301"/>
      <c r="BR102" s="301"/>
      <c r="BS102" s="301"/>
      <c r="BT102" s="301"/>
      <c r="BU102" s="301"/>
      <c r="BV102" s="301"/>
      <c r="BW102" s="301"/>
      <c r="BX102" s="301"/>
      <c r="BY102" s="301"/>
      <c r="BZ102" s="301"/>
      <c r="CA102" s="301"/>
      <c r="CB102" s="301"/>
      <c r="CC102" s="301"/>
      <c r="CD102" s="301"/>
      <c r="CE102" s="301"/>
      <c r="CF102" s="301"/>
      <c r="CG102" s="301"/>
      <c r="CH102" s="301"/>
      <c r="CI102" s="301"/>
      <c r="CJ102" s="301"/>
      <c r="CK102" s="301"/>
      <c r="CL102" s="301"/>
      <c r="CM102" s="301"/>
      <c r="CN102" s="301"/>
      <c r="CO102" s="301"/>
      <c r="CP102" s="301"/>
      <c r="CQ102" s="301"/>
      <c r="CR102" s="301"/>
      <c r="CS102" s="301"/>
      <c r="CT102" s="301"/>
      <c r="CU102" s="301"/>
      <c r="CV102" s="301"/>
      <c r="CW102" s="301"/>
      <c r="CX102" s="301"/>
      <c r="CY102" s="301"/>
      <c r="CZ102" s="301"/>
      <c r="DA102" s="301"/>
      <c r="DB102" s="301"/>
      <c r="DC102" s="301"/>
      <c r="DD102" s="301"/>
      <c r="DE102" s="301"/>
      <c r="DF102" s="301"/>
      <c r="DG102" s="301"/>
      <c r="DH102" s="301"/>
      <c r="DI102" s="301"/>
      <c r="DJ102" s="301"/>
      <c r="DK102" s="301"/>
      <c r="DL102" s="301"/>
      <c r="DM102" s="301"/>
      <c r="DN102" s="301"/>
      <c r="DO102" s="301"/>
      <c r="DP102" s="301"/>
      <c r="DQ102" s="301"/>
      <c r="DR102" s="301"/>
      <c r="DS102" s="301"/>
      <c r="DT102" s="301"/>
      <c r="DU102" s="301"/>
      <c r="DV102" s="301"/>
      <c r="DW102" s="301"/>
      <c r="DX102" s="301"/>
      <c r="DY102" s="301"/>
      <c r="DZ102" s="301"/>
      <c r="EA102" s="301"/>
      <c r="EB102" s="301"/>
      <c r="EC102" s="301"/>
      <c r="ED102" s="301"/>
      <c r="EE102" s="301"/>
      <c r="EF102" s="301"/>
      <c r="EG102" s="301"/>
      <c r="EH102" s="301"/>
      <c r="EI102" s="301"/>
      <c r="EJ102" s="301"/>
      <c r="EK102" s="301"/>
      <c r="EL102" s="301"/>
      <c r="EM102" s="301"/>
      <c r="EN102" s="301"/>
      <c r="EO102" s="301"/>
      <c r="EP102" s="301"/>
      <c r="EQ102" s="301"/>
      <c r="ER102" s="301"/>
      <c r="ES102" s="301"/>
      <c r="ET102" s="301"/>
      <c r="EU102" s="301"/>
      <c r="EV102" s="301"/>
      <c r="EW102" s="301"/>
      <c r="EX102" s="301"/>
      <c r="EY102" s="301"/>
      <c r="EZ102" s="301"/>
      <c r="FA102" s="301"/>
      <c r="FB102" s="301"/>
      <c r="FC102" s="301"/>
      <c r="FD102" s="301"/>
      <c r="FE102" s="301"/>
      <c r="FF102" s="301"/>
      <c r="FG102" s="301"/>
      <c r="FH102" s="301"/>
      <c r="FI102" s="301"/>
      <c r="FJ102" s="301"/>
      <c r="FK102" s="301"/>
      <c r="FL102" s="301"/>
      <c r="FM102" s="301"/>
      <c r="FN102" s="301"/>
      <c r="FO102" s="301"/>
      <c r="FP102" s="301"/>
      <c r="FQ102" s="301"/>
      <c r="FR102" s="301"/>
      <c r="FS102" s="301"/>
      <c r="FT102" s="301"/>
      <c r="FU102" s="301"/>
      <c r="FV102" s="301"/>
      <c r="FW102" s="301"/>
      <c r="FX102" s="301"/>
      <c r="FY102" s="301"/>
      <c r="FZ102" s="301"/>
      <c r="GA102" s="301"/>
      <c r="GB102" s="301"/>
      <c r="GC102" s="301"/>
      <c r="GD102" s="301"/>
      <c r="GE102" s="301"/>
      <c r="GF102" s="301"/>
      <c r="GG102" s="301"/>
      <c r="GH102" s="301"/>
      <c r="GI102" s="301"/>
      <c r="GJ102" s="301"/>
      <c r="GK102" s="301"/>
      <c r="GL102" s="301"/>
      <c r="GM102" s="301"/>
      <c r="GN102" s="301"/>
      <c r="GO102" s="301"/>
      <c r="GP102" s="301"/>
      <c r="GQ102" s="301"/>
      <c r="GR102" s="301"/>
      <c r="GS102" s="301"/>
      <c r="GT102" s="301"/>
      <c r="GU102" s="301"/>
      <c r="GV102" s="301"/>
      <c r="GW102" s="301"/>
      <c r="GX102" s="301"/>
      <c r="GY102" s="301"/>
      <c r="GZ102" s="301"/>
      <c r="HA102" s="301"/>
      <c r="HB102" s="301"/>
      <c r="HC102" s="301"/>
      <c r="HD102" s="301"/>
      <c r="HE102" s="301"/>
      <c r="HF102" s="301"/>
      <c r="HG102" s="301"/>
      <c r="HH102" s="301"/>
      <c r="HI102" s="301"/>
      <c r="HJ102" s="301"/>
      <c r="HK102" s="301"/>
      <c r="HL102" s="301"/>
      <c r="HM102" s="301"/>
      <c r="HN102" s="301"/>
      <c r="HO102" s="301"/>
      <c r="HP102" s="301"/>
      <c r="HQ102" s="301"/>
      <c r="HR102" s="301"/>
      <c r="HS102" s="301"/>
      <c r="HT102" s="301"/>
      <c r="HU102" s="301"/>
      <c r="HV102" s="301"/>
      <c r="HW102" s="301"/>
      <c r="HX102" s="301"/>
      <c r="HY102" s="301"/>
      <c r="HZ102" s="301"/>
      <c r="IA102" s="301"/>
      <c r="IB102" s="301"/>
      <c r="IC102" s="301"/>
      <c r="ID102" s="301"/>
      <c r="IE102" s="301"/>
      <c r="IF102" s="301"/>
      <c r="IG102" s="301"/>
      <c r="IH102" s="301"/>
      <c r="II102" s="301"/>
      <c r="IJ102" s="301"/>
      <c r="IK102" s="301"/>
      <c r="IL102" s="301"/>
      <c r="IM102" s="301"/>
      <c r="IN102" s="301"/>
      <c r="IO102" s="301"/>
      <c r="IP102" s="301"/>
      <c r="IQ102" s="301"/>
      <c r="IR102" s="301"/>
      <c r="IS102" s="301"/>
      <c r="IT102" s="301"/>
      <c r="IU102" s="301"/>
      <c r="IV102" s="301"/>
    </row>
    <row r="103" spans="1:256" ht="15" hidden="1">
      <c r="A103" s="301"/>
      <c r="B103" s="339"/>
      <c r="C103" s="321">
        <v>6.33</v>
      </c>
      <c r="D103" s="343" t="s">
        <v>50</v>
      </c>
      <c r="E103" s="304" t="s">
        <v>842</v>
      </c>
      <c r="F103" s="304"/>
      <c r="G103" s="304"/>
      <c r="H103" s="304"/>
      <c r="I103" s="320">
        <v>5279.74</v>
      </c>
      <c r="J103" s="360" t="s">
        <v>50</v>
      </c>
      <c r="K103" s="360">
        <f>ROUND(C103*I103,2)</f>
        <v>33420.75</v>
      </c>
      <c r="L103" s="301"/>
      <c r="M103" s="301"/>
      <c r="N103" s="301"/>
      <c r="O103" s="301"/>
      <c r="P103" s="301"/>
      <c r="Q103" s="301"/>
      <c r="R103" s="301"/>
      <c r="S103" s="301"/>
      <c r="T103" s="301"/>
      <c r="U103" s="301"/>
      <c r="V103" s="301"/>
      <c r="W103" s="301"/>
      <c r="X103" s="301"/>
      <c r="Y103" s="301"/>
      <c r="Z103" s="301"/>
      <c r="AA103" s="301"/>
      <c r="AB103" s="301"/>
      <c r="AC103" s="301"/>
      <c r="AD103" s="301"/>
      <c r="AE103" s="301"/>
      <c r="AF103" s="301"/>
      <c r="AG103" s="301"/>
      <c r="AH103" s="301"/>
      <c r="AI103" s="301"/>
      <c r="AJ103" s="301"/>
      <c r="AK103" s="301"/>
      <c r="AL103" s="301"/>
      <c r="AM103" s="301"/>
      <c r="AN103" s="301"/>
      <c r="AO103" s="301"/>
      <c r="AP103" s="301"/>
      <c r="AQ103" s="301"/>
      <c r="AR103" s="301"/>
      <c r="AS103" s="301"/>
      <c r="AT103" s="301"/>
      <c r="AU103" s="301"/>
      <c r="AV103" s="301"/>
      <c r="AW103" s="301"/>
      <c r="AX103" s="301"/>
      <c r="AY103" s="301"/>
      <c r="AZ103" s="301"/>
      <c r="BA103" s="301"/>
      <c r="BB103" s="301"/>
      <c r="BC103" s="301"/>
      <c r="BD103" s="301"/>
      <c r="BE103" s="301"/>
      <c r="BF103" s="301"/>
      <c r="BG103" s="301"/>
      <c r="BH103" s="301"/>
      <c r="BI103" s="301"/>
      <c r="BJ103" s="301"/>
      <c r="BK103" s="301"/>
      <c r="BL103" s="301"/>
      <c r="BM103" s="301"/>
      <c r="BN103" s="301"/>
      <c r="BO103" s="301"/>
      <c r="BP103" s="301"/>
      <c r="BQ103" s="301"/>
      <c r="BR103" s="301"/>
      <c r="BS103" s="301"/>
      <c r="BT103" s="301"/>
      <c r="BU103" s="301"/>
      <c r="BV103" s="301"/>
      <c r="BW103" s="301"/>
      <c r="BX103" s="301"/>
      <c r="BY103" s="301"/>
      <c r="BZ103" s="301"/>
      <c r="CA103" s="301"/>
      <c r="CB103" s="301"/>
      <c r="CC103" s="301"/>
      <c r="CD103" s="301"/>
      <c r="CE103" s="301"/>
      <c r="CF103" s="301"/>
      <c r="CG103" s="301"/>
      <c r="CH103" s="301"/>
      <c r="CI103" s="301"/>
      <c r="CJ103" s="301"/>
      <c r="CK103" s="301"/>
      <c r="CL103" s="301"/>
      <c r="CM103" s="301"/>
      <c r="CN103" s="301"/>
      <c r="CO103" s="301"/>
      <c r="CP103" s="301"/>
      <c r="CQ103" s="301"/>
      <c r="CR103" s="301"/>
      <c r="CS103" s="301"/>
      <c r="CT103" s="301"/>
      <c r="CU103" s="301"/>
      <c r="CV103" s="301"/>
      <c r="CW103" s="301"/>
      <c r="CX103" s="301"/>
      <c r="CY103" s="301"/>
      <c r="CZ103" s="301"/>
      <c r="DA103" s="301"/>
      <c r="DB103" s="301"/>
      <c r="DC103" s="301"/>
      <c r="DD103" s="301"/>
      <c r="DE103" s="301"/>
      <c r="DF103" s="301"/>
      <c r="DG103" s="301"/>
      <c r="DH103" s="301"/>
      <c r="DI103" s="301"/>
      <c r="DJ103" s="301"/>
      <c r="DK103" s="301"/>
      <c r="DL103" s="301"/>
      <c r="DM103" s="301"/>
      <c r="DN103" s="301"/>
      <c r="DO103" s="301"/>
      <c r="DP103" s="301"/>
      <c r="DQ103" s="301"/>
      <c r="DR103" s="301"/>
      <c r="DS103" s="301"/>
      <c r="DT103" s="301"/>
      <c r="DU103" s="301"/>
      <c r="DV103" s="301"/>
      <c r="DW103" s="301"/>
      <c r="DX103" s="301"/>
      <c r="DY103" s="301"/>
      <c r="DZ103" s="301"/>
      <c r="EA103" s="301"/>
      <c r="EB103" s="301"/>
      <c r="EC103" s="301"/>
      <c r="ED103" s="301"/>
      <c r="EE103" s="301"/>
      <c r="EF103" s="301"/>
      <c r="EG103" s="301"/>
      <c r="EH103" s="301"/>
      <c r="EI103" s="301"/>
      <c r="EJ103" s="301"/>
      <c r="EK103" s="301"/>
      <c r="EL103" s="301"/>
      <c r="EM103" s="301"/>
      <c r="EN103" s="301"/>
      <c r="EO103" s="301"/>
      <c r="EP103" s="301"/>
      <c r="EQ103" s="301"/>
      <c r="ER103" s="301"/>
      <c r="ES103" s="301"/>
      <c r="ET103" s="301"/>
      <c r="EU103" s="301"/>
      <c r="EV103" s="301"/>
      <c r="EW103" s="301"/>
      <c r="EX103" s="301"/>
      <c r="EY103" s="301"/>
      <c r="EZ103" s="301"/>
      <c r="FA103" s="301"/>
      <c r="FB103" s="301"/>
      <c r="FC103" s="301"/>
      <c r="FD103" s="301"/>
      <c r="FE103" s="301"/>
      <c r="FF103" s="301"/>
      <c r="FG103" s="301"/>
      <c r="FH103" s="301"/>
      <c r="FI103" s="301"/>
      <c r="FJ103" s="301"/>
      <c r="FK103" s="301"/>
      <c r="FL103" s="301"/>
      <c r="FM103" s="301"/>
      <c r="FN103" s="301"/>
      <c r="FO103" s="301"/>
      <c r="FP103" s="301"/>
      <c r="FQ103" s="301"/>
      <c r="FR103" s="301"/>
      <c r="FS103" s="301"/>
      <c r="FT103" s="301"/>
      <c r="FU103" s="301"/>
      <c r="FV103" s="301"/>
      <c r="FW103" s="301"/>
      <c r="FX103" s="301"/>
      <c r="FY103" s="301"/>
      <c r="FZ103" s="301"/>
      <c r="GA103" s="301"/>
      <c r="GB103" s="301"/>
      <c r="GC103" s="301"/>
      <c r="GD103" s="301"/>
      <c r="GE103" s="301"/>
      <c r="GF103" s="301"/>
      <c r="GG103" s="301"/>
      <c r="GH103" s="301"/>
      <c r="GI103" s="301"/>
      <c r="GJ103" s="301"/>
      <c r="GK103" s="301"/>
      <c r="GL103" s="301"/>
      <c r="GM103" s="301"/>
      <c r="GN103" s="301"/>
      <c r="GO103" s="301"/>
      <c r="GP103" s="301"/>
      <c r="GQ103" s="301"/>
      <c r="GR103" s="301"/>
      <c r="GS103" s="301"/>
      <c r="GT103" s="301"/>
      <c r="GU103" s="301"/>
      <c r="GV103" s="301"/>
      <c r="GW103" s="301"/>
      <c r="GX103" s="301"/>
      <c r="GY103" s="301"/>
      <c r="GZ103" s="301"/>
      <c r="HA103" s="301"/>
      <c r="HB103" s="301"/>
      <c r="HC103" s="301"/>
      <c r="HD103" s="301"/>
      <c r="HE103" s="301"/>
      <c r="HF103" s="301"/>
      <c r="HG103" s="301"/>
      <c r="HH103" s="301"/>
      <c r="HI103" s="301"/>
      <c r="HJ103" s="301"/>
      <c r="HK103" s="301"/>
      <c r="HL103" s="301"/>
      <c r="HM103" s="301"/>
      <c r="HN103" s="301"/>
      <c r="HO103" s="301"/>
      <c r="HP103" s="301"/>
      <c r="HQ103" s="301"/>
      <c r="HR103" s="301"/>
      <c r="HS103" s="301"/>
      <c r="HT103" s="301"/>
      <c r="HU103" s="301"/>
      <c r="HV103" s="301"/>
      <c r="HW103" s="301"/>
      <c r="HX103" s="301"/>
      <c r="HY103" s="301"/>
      <c r="HZ103" s="301"/>
      <c r="IA103" s="301"/>
      <c r="IB103" s="301"/>
      <c r="IC103" s="301"/>
      <c r="ID103" s="301"/>
      <c r="IE103" s="301"/>
      <c r="IF103" s="301"/>
      <c r="IG103" s="301"/>
      <c r="IH103" s="301"/>
      <c r="II103" s="301"/>
      <c r="IJ103" s="301"/>
      <c r="IK103" s="301"/>
      <c r="IL103" s="301"/>
      <c r="IM103" s="301"/>
      <c r="IN103" s="301"/>
      <c r="IO103" s="301"/>
      <c r="IP103" s="301"/>
      <c r="IQ103" s="301"/>
      <c r="IR103" s="301"/>
      <c r="IS103" s="301"/>
      <c r="IT103" s="301"/>
      <c r="IU103" s="301"/>
      <c r="IV103" s="301"/>
    </row>
    <row r="104" spans="1:256" ht="15" hidden="1">
      <c r="A104" s="301"/>
      <c r="B104" s="339"/>
      <c r="C104" s="306"/>
      <c r="D104" s="304"/>
      <c r="E104" s="304" t="s">
        <v>466</v>
      </c>
      <c r="F104" s="304"/>
      <c r="G104" s="304"/>
      <c r="H104" s="304"/>
      <c r="I104" s="360"/>
      <c r="J104" s="360"/>
      <c r="K104" s="362">
        <f>SUM(K100:K103)</f>
        <v>61879.03</v>
      </c>
      <c r="L104" s="301"/>
      <c r="M104" s="301"/>
      <c r="N104" s="301"/>
      <c r="O104" s="301"/>
      <c r="P104" s="301"/>
      <c r="Q104" s="301"/>
      <c r="R104" s="301"/>
      <c r="S104" s="301"/>
      <c r="T104" s="301"/>
      <c r="U104" s="301"/>
      <c r="V104" s="301"/>
      <c r="W104" s="301"/>
      <c r="X104" s="301"/>
      <c r="Y104" s="301"/>
      <c r="Z104" s="301"/>
      <c r="AA104" s="301"/>
      <c r="AB104" s="301"/>
      <c r="AC104" s="301"/>
      <c r="AD104" s="301"/>
      <c r="AE104" s="301"/>
      <c r="AF104" s="301"/>
      <c r="AG104" s="301"/>
      <c r="AH104" s="301"/>
      <c r="AI104" s="301"/>
      <c r="AJ104" s="301"/>
      <c r="AK104" s="301"/>
      <c r="AL104" s="301"/>
      <c r="AM104" s="301"/>
      <c r="AN104" s="301"/>
      <c r="AO104" s="301"/>
      <c r="AP104" s="301"/>
      <c r="AQ104" s="301"/>
      <c r="AR104" s="301"/>
      <c r="AS104" s="301"/>
      <c r="AT104" s="301"/>
      <c r="AU104" s="301"/>
      <c r="AV104" s="301"/>
      <c r="AW104" s="301"/>
      <c r="AX104" s="301"/>
      <c r="AY104" s="301"/>
      <c r="AZ104" s="301"/>
      <c r="BA104" s="301"/>
      <c r="BB104" s="301"/>
      <c r="BC104" s="301"/>
      <c r="BD104" s="301"/>
      <c r="BE104" s="301"/>
      <c r="BF104" s="301"/>
      <c r="BG104" s="301"/>
      <c r="BH104" s="301"/>
      <c r="BI104" s="301"/>
      <c r="BJ104" s="301"/>
      <c r="BK104" s="301"/>
      <c r="BL104" s="301"/>
      <c r="BM104" s="301"/>
      <c r="BN104" s="301"/>
      <c r="BO104" s="301"/>
      <c r="BP104" s="301"/>
      <c r="BQ104" s="301"/>
      <c r="BR104" s="301"/>
      <c r="BS104" s="301"/>
      <c r="BT104" s="301"/>
      <c r="BU104" s="301"/>
      <c r="BV104" s="301"/>
      <c r="BW104" s="301"/>
      <c r="BX104" s="301"/>
      <c r="BY104" s="301"/>
      <c r="BZ104" s="301"/>
      <c r="CA104" s="301"/>
      <c r="CB104" s="301"/>
      <c r="CC104" s="301"/>
      <c r="CD104" s="301"/>
      <c r="CE104" s="301"/>
      <c r="CF104" s="301"/>
      <c r="CG104" s="301"/>
      <c r="CH104" s="301"/>
      <c r="CI104" s="301"/>
      <c r="CJ104" s="301"/>
      <c r="CK104" s="301"/>
      <c r="CL104" s="301"/>
      <c r="CM104" s="301"/>
      <c r="CN104" s="301"/>
      <c r="CO104" s="301"/>
      <c r="CP104" s="301"/>
      <c r="CQ104" s="301"/>
      <c r="CR104" s="301"/>
      <c r="CS104" s="301"/>
      <c r="CT104" s="301"/>
      <c r="CU104" s="301"/>
      <c r="CV104" s="301"/>
      <c r="CW104" s="301"/>
      <c r="CX104" s="301"/>
      <c r="CY104" s="301"/>
      <c r="CZ104" s="301"/>
      <c r="DA104" s="301"/>
      <c r="DB104" s="301"/>
      <c r="DC104" s="301"/>
      <c r="DD104" s="301"/>
      <c r="DE104" s="301"/>
      <c r="DF104" s="301"/>
      <c r="DG104" s="301"/>
      <c r="DH104" s="301"/>
      <c r="DI104" s="301"/>
      <c r="DJ104" s="301"/>
      <c r="DK104" s="301"/>
      <c r="DL104" s="301"/>
      <c r="DM104" s="301"/>
      <c r="DN104" s="301"/>
      <c r="DO104" s="301"/>
      <c r="DP104" s="301"/>
      <c r="DQ104" s="301"/>
      <c r="DR104" s="301"/>
      <c r="DS104" s="301"/>
      <c r="DT104" s="301"/>
      <c r="DU104" s="301"/>
      <c r="DV104" s="301"/>
      <c r="DW104" s="301"/>
      <c r="DX104" s="301"/>
      <c r="DY104" s="301"/>
      <c r="DZ104" s="301"/>
      <c r="EA104" s="301"/>
      <c r="EB104" s="301"/>
      <c r="EC104" s="301"/>
      <c r="ED104" s="301"/>
      <c r="EE104" s="301"/>
      <c r="EF104" s="301"/>
      <c r="EG104" s="301"/>
      <c r="EH104" s="301"/>
      <c r="EI104" s="301"/>
      <c r="EJ104" s="301"/>
      <c r="EK104" s="301"/>
      <c r="EL104" s="301"/>
      <c r="EM104" s="301"/>
      <c r="EN104" s="301"/>
      <c r="EO104" s="301"/>
      <c r="EP104" s="301"/>
      <c r="EQ104" s="301"/>
      <c r="ER104" s="301"/>
      <c r="ES104" s="301"/>
      <c r="ET104" s="301"/>
      <c r="EU104" s="301"/>
      <c r="EV104" s="301"/>
      <c r="EW104" s="301"/>
      <c r="EX104" s="301"/>
      <c r="EY104" s="301"/>
      <c r="EZ104" s="301"/>
      <c r="FA104" s="301"/>
      <c r="FB104" s="301"/>
      <c r="FC104" s="301"/>
      <c r="FD104" s="301"/>
      <c r="FE104" s="301"/>
      <c r="FF104" s="301"/>
      <c r="FG104" s="301"/>
      <c r="FH104" s="301"/>
      <c r="FI104" s="301"/>
      <c r="FJ104" s="301"/>
      <c r="FK104" s="301"/>
      <c r="FL104" s="301"/>
      <c r="FM104" s="301"/>
      <c r="FN104" s="301"/>
      <c r="FO104" s="301"/>
      <c r="FP104" s="301"/>
      <c r="FQ104" s="301"/>
      <c r="FR104" s="301"/>
      <c r="FS104" s="301"/>
      <c r="FT104" s="301"/>
      <c r="FU104" s="301"/>
      <c r="FV104" s="301"/>
      <c r="FW104" s="301"/>
      <c r="FX104" s="301"/>
      <c r="FY104" s="301"/>
      <c r="FZ104" s="301"/>
      <c r="GA104" s="301"/>
      <c r="GB104" s="301"/>
      <c r="GC104" s="301"/>
      <c r="GD104" s="301"/>
      <c r="GE104" s="301"/>
      <c r="GF104" s="301"/>
      <c r="GG104" s="301"/>
      <c r="GH104" s="301"/>
      <c r="GI104" s="301"/>
      <c r="GJ104" s="301"/>
      <c r="GK104" s="301"/>
      <c r="GL104" s="301"/>
      <c r="GM104" s="301"/>
      <c r="GN104" s="301"/>
      <c r="GO104" s="301"/>
      <c r="GP104" s="301"/>
      <c r="GQ104" s="301"/>
      <c r="GR104" s="301"/>
      <c r="GS104" s="301"/>
      <c r="GT104" s="301"/>
      <c r="GU104" s="301"/>
      <c r="GV104" s="301"/>
      <c r="GW104" s="301"/>
      <c r="GX104" s="301"/>
      <c r="GY104" s="301"/>
      <c r="GZ104" s="301"/>
      <c r="HA104" s="301"/>
      <c r="HB104" s="301"/>
      <c r="HC104" s="301"/>
      <c r="HD104" s="301"/>
      <c r="HE104" s="301"/>
      <c r="HF104" s="301"/>
      <c r="HG104" s="301"/>
      <c r="HH104" s="301"/>
      <c r="HI104" s="301"/>
      <c r="HJ104" s="301"/>
      <c r="HK104" s="301"/>
      <c r="HL104" s="301"/>
      <c r="HM104" s="301"/>
      <c r="HN104" s="301"/>
      <c r="HO104" s="301"/>
      <c r="HP104" s="301"/>
      <c r="HQ104" s="301"/>
      <c r="HR104" s="301"/>
      <c r="HS104" s="301"/>
      <c r="HT104" s="301"/>
      <c r="HU104" s="301"/>
      <c r="HV104" s="301"/>
      <c r="HW104" s="301"/>
      <c r="HX104" s="301"/>
      <c r="HY104" s="301"/>
      <c r="HZ104" s="301"/>
      <c r="IA104" s="301"/>
      <c r="IB104" s="301"/>
      <c r="IC104" s="301"/>
      <c r="ID104" s="301"/>
      <c r="IE104" s="301"/>
      <c r="IF104" s="301"/>
      <c r="IG104" s="301"/>
      <c r="IH104" s="301"/>
      <c r="II104" s="301"/>
      <c r="IJ104" s="301"/>
      <c r="IK104" s="301"/>
      <c r="IL104" s="301"/>
      <c r="IM104" s="301"/>
      <c r="IN104" s="301"/>
      <c r="IO104" s="301"/>
      <c r="IP104" s="301"/>
      <c r="IQ104" s="301"/>
      <c r="IR104" s="301"/>
      <c r="IS104" s="301"/>
      <c r="IT104" s="301"/>
      <c r="IU104" s="301"/>
      <c r="IV104" s="301"/>
    </row>
    <row r="105" spans="1:256" ht="15" hidden="1">
      <c r="A105" s="301"/>
      <c r="B105" s="339"/>
      <c r="C105" s="341" t="s">
        <v>843</v>
      </c>
      <c r="D105" s="359" t="s">
        <v>424</v>
      </c>
      <c r="E105" s="304"/>
      <c r="F105" s="304"/>
      <c r="G105" s="304"/>
      <c r="H105" s="304"/>
      <c r="I105" s="360"/>
      <c r="J105" s="360"/>
      <c r="K105" s="360"/>
      <c r="L105" s="301"/>
      <c r="M105" s="301"/>
      <c r="N105" s="301"/>
      <c r="O105" s="301"/>
      <c r="P105" s="301"/>
      <c r="Q105" s="301"/>
      <c r="R105" s="301"/>
      <c r="S105" s="301"/>
      <c r="T105" s="301"/>
      <c r="U105" s="301"/>
      <c r="V105" s="301"/>
      <c r="W105" s="301"/>
      <c r="X105" s="301"/>
      <c r="Y105" s="301"/>
      <c r="Z105" s="301"/>
      <c r="AA105" s="301"/>
      <c r="AB105" s="301"/>
      <c r="AC105" s="301"/>
      <c r="AD105" s="301"/>
      <c r="AE105" s="301"/>
      <c r="AF105" s="301"/>
      <c r="AG105" s="301"/>
      <c r="AH105" s="301"/>
      <c r="AI105" s="301"/>
      <c r="AJ105" s="301"/>
      <c r="AK105" s="301"/>
      <c r="AL105" s="301"/>
      <c r="AM105" s="301"/>
      <c r="AN105" s="301"/>
      <c r="AO105" s="301"/>
      <c r="AP105" s="301"/>
      <c r="AQ105" s="301"/>
      <c r="AR105" s="301"/>
      <c r="AS105" s="301"/>
      <c r="AT105" s="301"/>
      <c r="AU105" s="301"/>
      <c r="AV105" s="301"/>
      <c r="AW105" s="301"/>
      <c r="AX105" s="301"/>
      <c r="AY105" s="301"/>
      <c r="AZ105" s="301"/>
      <c r="BA105" s="301"/>
      <c r="BB105" s="301"/>
      <c r="BC105" s="301"/>
      <c r="BD105" s="301"/>
      <c r="BE105" s="301"/>
      <c r="BF105" s="301"/>
      <c r="BG105" s="301"/>
      <c r="BH105" s="301"/>
      <c r="BI105" s="301"/>
      <c r="BJ105" s="301"/>
      <c r="BK105" s="301"/>
      <c r="BL105" s="301"/>
      <c r="BM105" s="301"/>
      <c r="BN105" s="301"/>
      <c r="BO105" s="301"/>
      <c r="BP105" s="301"/>
      <c r="BQ105" s="301"/>
      <c r="BR105" s="301"/>
      <c r="BS105" s="301"/>
      <c r="BT105" s="301"/>
      <c r="BU105" s="301"/>
      <c r="BV105" s="301"/>
      <c r="BW105" s="301"/>
      <c r="BX105" s="301"/>
      <c r="BY105" s="301"/>
      <c r="BZ105" s="301"/>
      <c r="CA105" s="301"/>
      <c r="CB105" s="301"/>
      <c r="CC105" s="301"/>
      <c r="CD105" s="301"/>
      <c r="CE105" s="301"/>
      <c r="CF105" s="301"/>
      <c r="CG105" s="301"/>
      <c r="CH105" s="301"/>
      <c r="CI105" s="301"/>
      <c r="CJ105" s="301"/>
      <c r="CK105" s="301"/>
      <c r="CL105" s="301"/>
      <c r="CM105" s="301"/>
      <c r="CN105" s="301"/>
      <c r="CO105" s="301"/>
      <c r="CP105" s="301"/>
      <c r="CQ105" s="301"/>
      <c r="CR105" s="301"/>
      <c r="CS105" s="301"/>
      <c r="CT105" s="301"/>
      <c r="CU105" s="301"/>
      <c r="CV105" s="301"/>
      <c r="CW105" s="301"/>
      <c r="CX105" s="301"/>
      <c r="CY105" s="301"/>
      <c r="CZ105" s="301"/>
      <c r="DA105" s="301"/>
      <c r="DB105" s="301"/>
      <c r="DC105" s="301"/>
      <c r="DD105" s="301"/>
      <c r="DE105" s="301"/>
      <c r="DF105" s="301"/>
      <c r="DG105" s="301"/>
      <c r="DH105" s="301"/>
      <c r="DI105" s="301"/>
      <c r="DJ105" s="301"/>
      <c r="DK105" s="301"/>
      <c r="DL105" s="301"/>
      <c r="DM105" s="301"/>
      <c r="DN105" s="301"/>
      <c r="DO105" s="301"/>
      <c r="DP105" s="301"/>
      <c r="DQ105" s="301"/>
      <c r="DR105" s="301"/>
      <c r="DS105" s="301"/>
      <c r="DT105" s="301"/>
      <c r="DU105" s="301"/>
      <c r="DV105" s="301"/>
      <c r="DW105" s="301"/>
      <c r="DX105" s="301"/>
      <c r="DY105" s="301"/>
      <c r="DZ105" s="301"/>
      <c r="EA105" s="301"/>
      <c r="EB105" s="301"/>
      <c r="EC105" s="301"/>
      <c r="ED105" s="301"/>
      <c r="EE105" s="301"/>
      <c r="EF105" s="301"/>
      <c r="EG105" s="301"/>
      <c r="EH105" s="301"/>
      <c r="EI105" s="301"/>
      <c r="EJ105" s="301"/>
      <c r="EK105" s="301"/>
      <c r="EL105" s="301"/>
      <c r="EM105" s="301"/>
      <c r="EN105" s="301"/>
      <c r="EO105" s="301"/>
      <c r="EP105" s="301"/>
      <c r="EQ105" s="301"/>
      <c r="ER105" s="301"/>
      <c r="ES105" s="301"/>
      <c r="ET105" s="301"/>
      <c r="EU105" s="301"/>
      <c r="EV105" s="301"/>
      <c r="EW105" s="301"/>
      <c r="EX105" s="301"/>
      <c r="EY105" s="301"/>
      <c r="EZ105" s="301"/>
      <c r="FA105" s="301"/>
      <c r="FB105" s="301"/>
      <c r="FC105" s="301"/>
      <c r="FD105" s="301"/>
      <c r="FE105" s="301"/>
      <c r="FF105" s="301"/>
      <c r="FG105" s="301"/>
      <c r="FH105" s="301"/>
      <c r="FI105" s="301"/>
      <c r="FJ105" s="301"/>
      <c r="FK105" s="301"/>
      <c r="FL105" s="301"/>
      <c r="FM105" s="301"/>
      <c r="FN105" s="301"/>
      <c r="FO105" s="301"/>
      <c r="FP105" s="301"/>
      <c r="FQ105" s="301"/>
      <c r="FR105" s="301"/>
      <c r="FS105" s="301"/>
      <c r="FT105" s="301"/>
      <c r="FU105" s="301"/>
      <c r="FV105" s="301"/>
      <c r="FW105" s="301"/>
      <c r="FX105" s="301"/>
      <c r="FY105" s="301"/>
      <c r="FZ105" s="301"/>
      <c r="GA105" s="301"/>
      <c r="GB105" s="301"/>
      <c r="GC105" s="301"/>
      <c r="GD105" s="301"/>
      <c r="GE105" s="301"/>
      <c r="GF105" s="301"/>
      <c r="GG105" s="301"/>
      <c r="GH105" s="301"/>
      <c r="GI105" s="301"/>
      <c r="GJ105" s="301"/>
      <c r="GK105" s="301"/>
      <c r="GL105" s="301"/>
      <c r="GM105" s="301"/>
      <c r="GN105" s="301"/>
      <c r="GO105" s="301"/>
      <c r="GP105" s="301"/>
      <c r="GQ105" s="301"/>
      <c r="GR105" s="301"/>
      <c r="GS105" s="301"/>
      <c r="GT105" s="301"/>
      <c r="GU105" s="301"/>
      <c r="GV105" s="301"/>
      <c r="GW105" s="301"/>
      <c r="GX105" s="301"/>
      <c r="GY105" s="301"/>
      <c r="GZ105" s="301"/>
      <c r="HA105" s="301"/>
      <c r="HB105" s="301"/>
      <c r="HC105" s="301"/>
      <c r="HD105" s="301"/>
      <c r="HE105" s="301"/>
      <c r="HF105" s="301"/>
      <c r="HG105" s="301"/>
      <c r="HH105" s="301"/>
      <c r="HI105" s="301"/>
      <c r="HJ105" s="301"/>
      <c r="HK105" s="301"/>
      <c r="HL105" s="301"/>
      <c r="HM105" s="301"/>
      <c r="HN105" s="301"/>
      <c r="HO105" s="301"/>
      <c r="HP105" s="301"/>
      <c r="HQ105" s="301"/>
      <c r="HR105" s="301"/>
      <c r="HS105" s="301"/>
      <c r="HT105" s="301"/>
      <c r="HU105" s="301"/>
      <c r="HV105" s="301"/>
      <c r="HW105" s="301"/>
      <c r="HX105" s="301"/>
      <c r="HY105" s="301"/>
      <c r="HZ105" s="301"/>
      <c r="IA105" s="301"/>
      <c r="IB105" s="301"/>
      <c r="IC105" s="301"/>
      <c r="ID105" s="301"/>
      <c r="IE105" s="301"/>
      <c r="IF105" s="301"/>
      <c r="IG105" s="301"/>
      <c r="IH105" s="301"/>
      <c r="II105" s="301"/>
      <c r="IJ105" s="301"/>
      <c r="IK105" s="301"/>
      <c r="IL105" s="301"/>
      <c r="IM105" s="301"/>
      <c r="IN105" s="301"/>
      <c r="IO105" s="301"/>
      <c r="IP105" s="301"/>
      <c r="IQ105" s="301"/>
      <c r="IR105" s="301"/>
      <c r="IS105" s="301"/>
      <c r="IT105" s="301"/>
      <c r="IU105" s="301"/>
      <c r="IV105" s="301"/>
    </row>
    <row r="106" spans="1:256" ht="15" hidden="1">
      <c r="A106" s="301"/>
      <c r="B106" s="339"/>
      <c r="C106" s="306">
        <v>6</v>
      </c>
      <c r="D106" s="343" t="s">
        <v>818</v>
      </c>
      <c r="E106" s="304" t="s">
        <v>844</v>
      </c>
      <c r="F106" s="304"/>
      <c r="G106" s="304"/>
      <c r="H106" s="304"/>
      <c r="I106" s="329">
        <v>397.5</v>
      </c>
      <c r="J106" s="360" t="s">
        <v>818</v>
      </c>
      <c r="K106" s="320">
        <f>ROUND(C106*I106,2)</f>
        <v>2385</v>
      </c>
      <c r="L106" s="301"/>
      <c r="M106" s="301"/>
      <c r="N106" s="301"/>
      <c r="O106" s="301"/>
      <c r="P106" s="301"/>
      <c r="Q106" s="301"/>
      <c r="R106" s="301"/>
      <c r="S106" s="301"/>
      <c r="T106" s="301"/>
      <c r="U106" s="301"/>
      <c r="V106" s="301"/>
      <c r="W106" s="301"/>
      <c r="X106" s="301"/>
      <c r="Y106" s="301"/>
      <c r="Z106" s="301"/>
      <c r="AA106" s="301"/>
      <c r="AB106" s="301"/>
      <c r="AC106" s="301"/>
      <c r="AD106" s="301"/>
      <c r="AE106" s="301"/>
      <c r="AF106" s="301"/>
      <c r="AG106" s="301"/>
      <c r="AH106" s="301"/>
      <c r="AI106" s="301"/>
      <c r="AJ106" s="301"/>
      <c r="AK106" s="301"/>
      <c r="AL106" s="301"/>
      <c r="AM106" s="301"/>
      <c r="AN106" s="301"/>
      <c r="AO106" s="301"/>
      <c r="AP106" s="301"/>
      <c r="AQ106" s="301"/>
      <c r="AR106" s="301"/>
      <c r="AS106" s="301"/>
      <c r="AT106" s="301"/>
      <c r="AU106" s="301"/>
      <c r="AV106" s="301"/>
      <c r="AW106" s="301"/>
      <c r="AX106" s="301"/>
      <c r="AY106" s="301"/>
      <c r="AZ106" s="301"/>
      <c r="BA106" s="301"/>
      <c r="BB106" s="301"/>
      <c r="BC106" s="301"/>
      <c r="BD106" s="301"/>
      <c r="BE106" s="301"/>
      <c r="BF106" s="301"/>
      <c r="BG106" s="301"/>
      <c r="BH106" s="301"/>
      <c r="BI106" s="301"/>
      <c r="BJ106" s="301"/>
      <c r="BK106" s="301"/>
      <c r="BL106" s="301"/>
      <c r="BM106" s="301"/>
      <c r="BN106" s="301"/>
      <c r="BO106" s="301"/>
      <c r="BP106" s="301"/>
      <c r="BQ106" s="301"/>
      <c r="BR106" s="301"/>
      <c r="BS106" s="301"/>
      <c r="BT106" s="301"/>
      <c r="BU106" s="301"/>
      <c r="BV106" s="301"/>
      <c r="BW106" s="301"/>
      <c r="BX106" s="301"/>
      <c r="BY106" s="301"/>
      <c r="BZ106" s="301"/>
      <c r="CA106" s="301"/>
      <c r="CB106" s="301"/>
      <c r="CC106" s="301"/>
      <c r="CD106" s="301"/>
      <c r="CE106" s="301"/>
      <c r="CF106" s="301"/>
      <c r="CG106" s="301"/>
      <c r="CH106" s="301"/>
      <c r="CI106" s="301"/>
      <c r="CJ106" s="301"/>
      <c r="CK106" s="301"/>
      <c r="CL106" s="301"/>
      <c r="CM106" s="301"/>
      <c r="CN106" s="301"/>
      <c r="CO106" s="301"/>
      <c r="CP106" s="301"/>
      <c r="CQ106" s="301"/>
      <c r="CR106" s="301"/>
      <c r="CS106" s="301"/>
      <c r="CT106" s="301"/>
      <c r="CU106" s="301"/>
      <c r="CV106" s="301"/>
      <c r="CW106" s="301"/>
      <c r="CX106" s="301"/>
      <c r="CY106" s="301"/>
      <c r="CZ106" s="301"/>
      <c r="DA106" s="301"/>
      <c r="DB106" s="301"/>
      <c r="DC106" s="301"/>
      <c r="DD106" s="301"/>
      <c r="DE106" s="301"/>
      <c r="DF106" s="301"/>
      <c r="DG106" s="301"/>
      <c r="DH106" s="301"/>
      <c r="DI106" s="301"/>
      <c r="DJ106" s="301"/>
      <c r="DK106" s="301"/>
      <c r="DL106" s="301"/>
      <c r="DM106" s="301"/>
      <c r="DN106" s="301"/>
      <c r="DO106" s="301"/>
      <c r="DP106" s="301"/>
      <c r="DQ106" s="301"/>
      <c r="DR106" s="301"/>
      <c r="DS106" s="301"/>
      <c r="DT106" s="301"/>
      <c r="DU106" s="301"/>
      <c r="DV106" s="301"/>
      <c r="DW106" s="301"/>
      <c r="DX106" s="301"/>
      <c r="DY106" s="301"/>
      <c r="DZ106" s="301"/>
      <c r="EA106" s="301"/>
      <c r="EB106" s="301"/>
      <c r="EC106" s="301"/>
      <c r="ED106" s="301"/>
      <c r="EE106" s="301"/>
      <c r="EF106" s="301"/>
      <c r="EG106" s="301"/>
      <c r="EH106" s="301"/>
      <c r="EI106" s="301"/>
      <c r="EJ106" s="301"/>
      <c r="EK106" s="301"/>
      <c r="EL106" s="301"/>
      <c r="EM106" s="301"/>
      <c r="EN106" s="301"/>
      <c r="EO106" s="301"/>
      <c r="EP106" s="301"/>
      <c r="EQ106" s="301"/>
      <c r="ER106" s="301"/>
      <c r="ES106" s="301"/>
      <c r="ET106" s="301"/>
      <c r="EU106" s="301"/>
      <c r="EV106" s="301"/>
      <c r="EW106" s="301"/>
      <c r="EX106" s="301"/>
      <c r="EY106" s="301"/>
      <c r="EZ106" s="301"/>
      <c r="FA106" s="301"/>
      <c r="FB106" s="301"/>
      <c r="FC106" s="301"/>
      <c r="FD106" s="301"/>
      <c r="FE106" s="301"/>
      <c r="FF106" s="301"/>
      <c r="FG106" s="301"/>
      <c r="FH106" s="301"/>
      <c r="FI106" s="301"/>
      <c r="FJ106" s="301"/>
      <c r="FK106" s="301"/>
      <c r="FL106" s="301"/>
      <c r="FM106" s="301"/>
      <c r="FN106" s="301"/>
      <c r="FO106" s="301"/>
      <c r="FP106" s="301"/>
      <c r="FQ106" s="301"/>
      <c r="FR106" s="301"/>
      <c r="FS106" s="301"/>
      <c r="FT106" s="301"/>
      <c r="FU106" s="301"/>
      <c r="FV106" s="301"/>
      <c r="FW106" s="301"/>
      <c r="FX106" s="301"/>
      <c r="FY106" s="301"/>
      <c r="FZ106" s="301"/>
      <c r="GA106" s="301"/>
      <c r="GB106" s="301"/>
      <c r="GC106" s="301"/>
      <c r="GD106" s="301"/>
      <c r="GE106" s="301"/>
      <c r="GF106" s="301"/>
      <c r="GG106" s="301"/>
      <c r="GH106" s="301"/>
      <c r="GI106" s="301"/>
      <c r="GJ106" s="301"/>
      <c r="GK106" s="301"/>
      <c r="GL106" s="301"/>
      <c r="GM106" s="301"/>
      <c r="GN106" s="301"/>
      <c r="GO106" s="301"/>
      <c r="GP106" s="301"/>
      <c r="GQ106" s="301"/>
      <c r="GR106" s="301"/>
      <c r="GS106" s="301"/>
      <c r="GT106" s="301"/>
      <c r="GU106" s="301"/>
      <c r="GV106" s="301"/>
      <c r="GW106" s="301"/>
      <c r="GX106" s="301"/>
      <c r="GY106" s="301"/>
      <c r="GZ106" s="301"/>
      <c r="HA106" s="301"/>
      <c r="HB106" s="301"/>
      <c r="HC106" s="301"/>
      <c r="HD106" s="301"/>
      <c r="HE106" s="301"/>
      <c r="HF106" s="301"/>
      <c r="HG106" s="301"/>
      <c r="HH106" s="301"/>
      <c r="HI106" s="301"/>
      <c r="HJ106" s="301"/>
      <c r="HK106" s="301"/>
      <c r="HL106" s="301"/>
      <c r="HM106" s="301"/>
      <c r="HN106" s="301"/>
      <c r="HO106" s="301"/>
      <c r="HP106" s="301"/>
      <c r="HQ106" s="301"/>
      <c r="HR106" s="301"/>
      <c r="HS106" s="301"/>
      <c r="HT106" s="301"/>
      <c r="HU106" s="301"/>
      <c r="HV106" s="301"/>
      <c r="HW106" s="301"/>
      <c r="HX106" s="301"/>
      <c r="HY106" s="301"/>
      <c r="HZ106" s="301"/>
      <c r="IA106" s="301"/>
      <c r="IB106" s="301"/>
      <c r="IC106" s="301"/>
      <c r="ID106" s="301"/>
      <c r="IE106" s="301"/>
      <c r="IF106" s="301"/>
      <c r="IG106" s="301"/>
      <c r="IH106" s="301"/>
      <c r="II106" s="301"/>
      <c r="IJ106" s="301"/>
      <c r="IK106" s="301"/>
      <c r="IL106" s="301"/>
      <c r="IM106" s="301"/>
      <c r="IN106" s="301"/>
      <c r="IO106" s="301"/>
      <c r="IP106" s="301"/>
      <c r="IQ106" s="301"/>
      <c r="IR106" s="301"/>
      <c r="IS106" s="301"/>
      <c r="IT106" s="301"/>
      <c r="IU106" s="301"/>
      <c r="IV106" s="301"/>
    </row>
    <row r="107" spans="1:256" ht="15" hidden="1">
      <c r="A107" s="301"/>
      <c r="B107" s="339"/>
      <c r="C107" s="306">
        <v>0</v>
      </c>
      <c r="D107" s="343" t="s">
        <v>818</v>
      </c>
      <c r="E107" s="304" t="s">
        <v>845</v>
      </c>
      <c r="F107" s="304"/>
      <c r="G107" s="304"/>
      <c r="H107" s="304"/>
      <c r="I107" s="329">
        <f>I81</f>
        <v>620</v>
      </c>
      <c r="J107" s="360" t="s">
        <v>818</v>
      </c>
      <c r="K107" s="320">
        <f>ROUND(C107*I107,2)</f>
        <v>0</v>
      </c>
      <c r="L107" s="301"/>
      <c r="M107" s="301"/>
      <c r="N107" s="301"/>
      <c r="O107" s="301"/>
      <c r="P107" s="301"/>
      <c r="Q107" s="301"/>
      <c r="R107" s="301"/>
      <c r="S107" s="301"/>
      <c r="T107" s="301"/>
      <c r="U107" s="301"/>
      <c r="V107" s="301"/>
      <c r="W107" s="301"/>
      <c r="X107" s="301"/>
      <c r="Y107" s="301"/>
      <c r="Z107" s="301"/>
      <c r="AA107" s="301"/>
      <c r="AB107" s="301"/>
      <c r="AC107" s="301"/>
      <c r="AD107" s="301"/>
      <c r="AE107" s="301"/>
      <c r="AF107" s="301"/>
      <c r="AG107" s="301"/>
      <c r="AH107" s="301"/>
      <c r="AI107" s="301"/>
      <c r="AJ107" s="301"/>
      <c r="AK107" s="301"/>
      <c r="AL107" s="301"/>
      <c r="AM107" s="301"/>
      <c r="AN107" s="301"/>
      <c r="AO107" s="301"/>
      <c r="AP107" s="301"/>
      <c r="AQ107" s="301"/>
      <c r="AR107" s="301"/>
      <c r="AS107" s="301"/>
      <c r="AT107" s="301"/>
      <c r="AU107" s="301"/>
      <c r="AV107" s="301"/>
      <c r="AW107" s="301"/>
      <c r="AX107" s="301"/>
      <c r="AY107" s="301"/>
      <c r="AZ107" s="301"/>
      <c r="BA107" s="301"/>
      <c r="BB107" s="301"/>
      <c r="BC107" s="301"/>
      <c r="BD107" s="301"/>
      <c r="BE107" s="301"/>
      <c r="BF107" s="301"/>
      <c r="BG107" s="301"/>
      <c r="BH107" s="301"/>
      <c r="BI107" s="301"/>
      <c r="BJ107" s="301"/>
      <c r="BK107" s="301"/>
      <c r="BL107" s="301"/>
      <c r="BM107" s="301"/>
      <c r="BN107" s="301"/>
      <c r="BO107" s="301"/>
      <c r="BP107" s="301"/>
      <c r="BQ107" s="301"/>
      <c r="BR107" s="301"/>
      <c r="BS107" s="301"/>
      <c r="BT107" s="301"/>
      <c r="BU107" s="301"/>
      <c r="BV107" s="301"/>
      <c r="BW107" s="301"/>
      <c r="BX107" s="301"/>
      <c r="BY107" s="301"/>
      <c r="BZ107" s="301"/>
      <c r="CA107" s="301"/>
      <c r="CB107" s="301"/>
      <c r="CC107" s="301"/>
      <c r="CD107" s="301"/>
      <c r="CE107" s="301"/>
      <c r="CF107" s="301"/>
      <c r="CG107" s="301"/>
      <c r="CH107" s="301"/>
      <c r="CI107" s="301"/>
      <c r="CJ107" s="301"/>
      <c r="CK107" s="301"/>
      <c r="CL107" s="301"/>
      <c r="CM107" s="301"/>
      <c r="CN107" s="301"/>
      <c r="CO107" s="301"/>
      <c r="CP107" s="301"/>
      <c r="CQ107" s="301"/>
      <c r="CR107" s="301"/>
      <c r="CS107" s="301"/>
      <c r="CT107" s="301"/>
      <c r="CU107" s="301"/>
      <c r="CV107" s="301"/>
      <c r="CW107" s="301"/>
      <c r="CX107" s="301"/>
      <c r="CY107" s="301"/>
      <c r="CZ107" s="301"/>
      <c r="DA107" s="301"/>
      <c r="DB107" s="301"/>
      <c r="DC107" s="301"/>
      <c r="DD107" s="301"/>
      <c r="DE107" s="301"/>
      <c r="DF107" s="301"/>
      <c r="DG107" s="301"/>
      <c r="DH107" s="301"/>
      <c r="DI107" s="301"/>
      <c r="DJ107" s="301"/>
      <c r="DK107" s="301"/>
      <c r="DL107" s="301"/>
      <c r="DM107" s="301"/>
      <c r="DN107" s="301"/>
      <c r="DO107" s="301"/>
      <c r="DP107" s="301"/>
      <c r="DQ107" s="301"/>
      <c r="DR107" s="301"/>
      <c r="DS107" s="301"/>
      <c r="DT107" s="301"/>
      <c r="DU107" s="301"/>
      <c r="DV107" s="301"/>
      <c r="DW107" s="301"/>
      <c r="DX107" s="301"/>
      <c r="DY107" s="301"/>
      <c r="DZ107" s="301"/>
      <c r="EA107" s="301"/>
      <c r="EB107" s="301"/>
      <c r="EC107" s="301"/>
      <c r="ED107" s="301"/>
      <c r="EE107" s="301"/>
      <c r="EF107" s="301"/>
      <c r="EG107" s="301"/>
      <c r="EH107" s="301"/>
      <c r="EI107" s="301"/>
      <c r="EJ107" s="301"/>
      <c r="EK107" s="301"/>
      <c r="EL107" s="301"/>
      <c r="EM107" s="301"/>
      <c r="EN107" s="301"/>
      <c r="EO107" s="301"/>
      <c r="EP107" s="301"/>
      <c r="EQ107" s="301"/>
      <c r="ER107" s="301"/>
      <c r="ES107" s="301"/>
      <c r="ET107" s="301"/>
      <c r="EU107" s="301"/>
      <c r="EV107" s="301"/>
      <c r="EW107" s="301"/>
      <c r="EX107" s="301"/>
      <c r="EY107" s="301"/>
      <c r="EZ107" s="301"/>
      <c r="FA107" s="301"/>
      <c r="FB107" s="301"/>
      <c r="FC107" s="301"/>
      <c r="FD107" s="301"/>
      <c r="FE107" s="301"/>
      <c r="FF107" s="301"/>
      <c r="FG107" s="301"/>
      <c r="FH107" s="301"/>
      <c r="FI107" s="301"/>
      <c r="FJ107" s="301"/>
      <c r="FK107" s="301"/>
      <c r="FL107" s="301"/>
      <c r="FM107" s="301"/>
      <c r="FN107" s="301"/>
      <c r="FO107" s="301"/>
      <c r="FP107" s="301"/>
      <c r="FQ107" s="301"/>
      <c r="FR107" s="301"/>
      <c r="FS107" s="301"/>
      <c r="FT107" s="301"/>
      <c r="FU107" s="301"/>
      <c r="FV107" s="301"/>
      <c r="FW107" s="301"/>
      <c r="FX107" s="301"/>
      <c r="FY107" s="301"/>
      <c r="FZ107" s="301"/>
      <c r="GA107" s="301"/>
      <c r="GB107" s="301"/>
      <c r="GC107" s="301"/>
      <c r="GD107" s="301"/>
      <c r="GE107" s="301"/>
      <c r="GF107" s="301"/>
      <c r="GG107" s="301"/>
      <c r="GH107" s="301"/>
      <c r="GI107" s="301"/>
      <c r="GJ107" s="301"/>
      <c r="GK107" s="301"/>
      <c r="GL107" s="301"/>
      <c r="GM107" s="301"/>
      <c r="GN107" s="301"/>
      <c r="GO107" s="301"/>
      <c r="GP107" s="301"/>
      <c r="GQ107" s="301"/>
      <c r="GR107" s="301"/>
      <c r="GS107" s="301"/>
      <c r="GT107" s="301"/>
      <c r="GU107" s="301"/>
      <c r="GV107" s="301"/>
      <c r="GW107" s="301"/>
      <c r="GX107" s="301"/>
      <c r="GY107" s="301"/>
      <c r="GZ107" s="301"/>
      <c r="HA107" s="301"/>
      <c r="HB107" s="301"/>
      <c r="HC107" s="301"/>
      <c r="HD107" s="301"/>
      <c r="HE107" s="301"/>
      <c r="HF107" s="301"/>
      <c r="HG107" s="301"/>
      <c r="HH107" s="301"/>
      <c r="HI107" s="301"/>
      <c r="HJ107" s="301"/>
      <c r="HK107" s="301"/>
      <c r="HL107" s="301"/>
      <c r="HM107" s="301"/>
      <c r="HN107" s="301"/>
      <c r="HO107" s="301"/>
      <c r="HP107" s="301"/>
      <c r="HQ107" s="301"/>
      <c r="HR107" s="301"/>
      <c r="HS107" s="301"/>
      <c r="HT107" s="301"/>
      <c r="HU107" s="301"/>
      <c r="HV107" s="301"/>
      <c r="HW107" s="301"/>
      <c r="HX107" s="301"/>
      <c r="HY107" s="301"/>
      <c r="HZ107" s="301"/>
      <c r="IA107" s="301"/>
      <c r="IB107" s="301"/>
      <c r="IC107" s="301"/>
      <c r="ID107" s="301"/>
      <c r="IE107" s="301"/>
      <c r="IF107" s="301"/>
      <c r="IG107" s="301"/>
      <c r="IH107" s="301"/>
      <c r="II107" s="301"/>
      <c r="IJ107" s="301"/>
      <c r="IK107" s="301"/>
      <c r="IL107" s="301"/>
      <c r="IM107" s="301"/>
      <c r="IN107" s="301"/>
      <c r="IO107" s="301"/>
      <c r="IP107" s="301"/>
      <c r="IQ107" s="301"/>
      <c r="IR107" s="301"/>
      <c r="IS107" s="301"/>
      <c r="IT107" s="301"/>
      <c r="IU107" s="301"/>
      <c r="IV107" s="301"/>
    </row>
    <row r="108" spans="1:256" ht="15" hidden="1">
      <c r="A108" s="301"/>
      <c r="B108" s="339"/>
      <c r="C108" s="306"/>
      <c r="D108" s="343"/>
      <c r="E108" s="304"/>
      <c r="F108" s="304"/>
      <c r="G108" s="304"/>
      <c r="H108" s="304"/>
      <c r="I108" s="320"/>
      <c r="J108" s="360"/>
      <c r="K108" s="323">
        <f>SUM(K106:K107)</f>
        <v>2385</v>
      </c>
      <c r="L108" s="301"/>
      <c r="M108" s="301"/>
      <c r="N108" s="301"/>
      <c r="O108" s="301"/>
      <c r="P108" s="301"/>
      <c r="Q108" s="301"/>
      <c r="R108" s="301"/>
      <c r="S108" s="301"/>
      <c r="T108" s="301"/>
      <c r="U108" s="301"/>
      <c r="V108" s="301"/>
      <c r="W108" s="301"/>
      <c r="X108" s="301"/>
      <c r="Y108" s="301"/>
      <c r="Z108" s="301"/>
      <c r="AA108" s="301"/>
      <c r="AB108" s="301"/>
      <c r="AC108" s="301"/>
      <c r="AD108" s="301"/>
      <c r="AE108" s="301"/>
      <c r="AF108" s="301"/>
      <c r="AG108" s="301"/>
      <c r="AH108" s="301"/>
      <c r="AI108" s="301"/>
      <c r="AJ108" s="301"/>
      <c r="AK108" s="301"/>
      <c r="AL108" s="301"/>
      <c r="AM108" s="301"/>
      <c r="AN108" s="301"/>
      <c r="AO108" s="301"/>
      <c r="AP108" s="301"/>
      <c r="AQ108" s="301"/>
      <c r="AR108" s="301"/>
      <c r="AS108" s="301"/>
      <c r="AT108" s="301"/>
      <c r="AU108" s="301"/>
      <c r="AV108" s="301"/>
      <c r="AW108" s="301"/>
      <c r="AX108" s="301"/>
      <c r="AY108" s="301"/>
      <c r="AZ108" s="301"/>
      <c r="BA108" s="301"/>
      <c r="BB108" s="301"/>
      <c r="BC108" s="301"/>
      <c r="BD108" s="301"/>
      <c r="BE108" s="301"/>
      <c r="BF108" s="301"/>
      <c r="BG108" s="301"/>
      <c r="BH108" s="301"/>
      <c r="BI108" s="301"/>
      <c r="BJ108" s="301"/>
      <c r="BK108" s="301"/>
      <c r="BL108" s="301"/>
      <c r="BM108" s="301"/>
      <c r="BN108" s="301"/>
      <c r="BO108" s="301"/>
      <c r="BP108" s="301"/>
      <c r="BQ108" s="301"/>
      <c r="BR108" s="301"/>
      <c r="BS108" s="301"/>
      <c r="BT108" s="301"/>
      <c r="BU108" s="301"/>
      <c r="BV108" s="301"/>
      <c r="BW108" s="301"/>
      <c r="BX108" s="301"/>
      <c r="BY108" s="301"/>
      <c r="BZ108" s="301"/>
      <c r="CA108" s="301"/>
      <c r="CB108" s="301"/>
      <c r="CC108" s="301"/>
      <c r="CD108" s="301"/>
      <c r="CE108" s="301"/>
      <c r="CF108" s="301"/>
      <c r="CG108" s="301"/>
      <c r="CH108" s="301"/>
      <c r="CI108" s="301"/>
      <c r="CJ108" s="301"/>
      <c r="CK108" s="301"/>
      <c r="CL108" s="301"/>
      <c r="CM108" s="301"/>
      <c r="CN108" s="301"/>
      <c r="CO108" s="301"/>
      <c r="CP108" s="301"/>
      <c r="CQ108" s="301"/>
      <c r="CR108" s="301"/>
      <c r="CS108" s="301"/>
      <c r="CT108" s="301"/>
      <c r="CU108" s="301"/>
      <c r="CV108" s="301"/>
      <c r="CW108" s="301"/>
      <c r="CX108" s="301"/>
      <c r="CY108" s="301"/>
      <c r="CZ108" s="301"/>
      <c r="DA108" s="301"/>
      <c r="DB108" s="301"/>
      <c r="DC108" s="301"/>
      <c r="DD108" s="301"/>
      <c r="DE108" s="301"/>
      <c r="DF108" s="301"/>
      <c r="DG108" s="301"/>
      <c r="DH108" s="301"/>
      <c r="DI108" s="301"/>
      <c r="DJ108" s="301"/>
      <c r="DK108" s="301"/>
      <c r="DL108" s="301"/>
      <c r="DM108" s="301"/>
      <c r="DN108" s="301"/>
      <c r="DO108" s="301"/>
      <c r="DP108" s="301"/>
      <c r="DQ108" s="301"/>
      <c r="DR108" s="301"/>
      <c r="DS108" s="301"/>
      <c r="DT108" s="301"/>
      <c r="DU108" s="301"/>
      <c r="DV108" s="301"/>
      <c r="DW108" s="301"/>
      <c r="DX108" s="301"/>
      <c r="DY108" s="301"/>
      <c r="DZ108" s="301"/>
      <c r="EA108" s="301"/>
      <c r="EB108" s="301"/>
      <c r="EC108" s="301"/>
      <c r="ED108" s="301"/>
      <c r="EE108" s="301"/>
      <c r="EF108" s="301"/>
      <c r="EG108" s="301"/>
      <c r="EH108" s="301"/>
      <c r="EI108" s="301"/>
      <c r="EJ108" s="301"/>
      <c r="EK108" s="301"/>
      <c r="EL108" s="301"/>
      <c r="EM108" s="301"/>
      <c r="EN108" s="301"/>
      <c r="EO108" s="301"/>
      <c r="EP108" s="301"/>
      <c r="EQ108" s="301"/>
      <c r="ER108" s="301"/>
      <c r="ES108" s="301"/>
      <c r="ET108" s="301"/>
      <c r="EU108" s="301"/>
      <c r="EV108" s="301"/>
      <c r="EW108" s="301"/>
      <c r="EX108" s="301"/>
      <c r="EY108" s="301"/>
      <c r="EZ108" s="301"/>
      <c r="FA108" s="301"/>
      <c r="FB108" s="301"/>
      <c r="FC108" s="301"/>
      <c r="FD108" s="301"/>
      <c r="FE108" s="301"/>
      <c r="FF108" s="301"/>
      <c r="FG108" s="301"/>
      <c r="FH108" s="301"/>
      <c r="FI108" s="301"/>
      <c r="FJ108" s="301"/>
      <c r="FK108" s="301"/>
      <c r="FL108" s="301"/>
      <c r="FM108" s="301"/>
      <c r="FN108" s="301"/>
      <c r="FO108" s="301"/>
      <c r="FP108" s="301"/>
      <c r="FQ108" s="301"/>
      <c r="FR108" s="301"/>
      <c r="FS108" s="301"/>
      <c r="FT108" s="301"/>
      <c r="FU108" s="301"/>
      <c r="FV108" s="301"/>
      <c r="FW108" s="301"/>
      <c r="FX108" s="301"/>
      <c r="FY108" s="301"/>
      <c r="FZ108" s="301"/>
      <c r="GA108" s="301"/>
      <c r="GB108" s="301"/>
      <c r="GC108" s="301"/>
      <c r="GD108" s="301"/>
      <c r="GE108" s="301"/>
      <c r="GF108" s="301"/>
      <c r="GG108" s="301"/>
      <c r="GH108" s="301"/>
      <c r="GI108" s="301"/>
      <c r="GJ108" s="301"/>
      <c r="GK108" s="301"/>
      <c r="GL108" s="301"/>
      <c r="GM108" s="301"/>
      <c r="GN108" s="301"/>
      <c r="GO108" s="301"/>
      <c r="GP108" s="301"/>
      <c r="GQ108" s="301"/>
      <c r="GR108" s="301"/>
      <c r="GS108" s="301"/>
      <c r="GT108" s="301"/>
      <c r="GU108" s="301"/>
      <c r="GV108" s="301"/>
      <c r="GW108" s="301"/>
      <c r="GX108" s="301"/>
      <c r="GY108" s="301"/>
      <c r="GZ108" s="301"/>
      <c r="HA108" s="301"/>
      <c r="HB108" s="301"/>
      <c r="HC108" s="301"/>
      <c r="HD108" s="301"/>
      <c r="HE108" s="301"/>
      <c r="HF108" s="301"/>
      <c r="HG108" s="301"/>
      <c r="HH108" s="301"/>
      <c r="HI108" s="301"/>
      <c r="HJ108" s="301"/>
      <c r="HK108" s="301"/>
      <c r="HL108" s="301"/>
      <c r="HM108" s="301"/>
      <c r="HN108" s="301"/>
      <c r="HO108" s="301"/>
      <c r="HP108" s="301"/>
      <c r="HQ108" s="301"/>
      <c r="HR108" s="301"/>
      <c r="HS108" s="301"/>
      <c r="HT108" s="301"/>
      <c r="HU108" s="301"/>
      <c r="HV108" s="301"/>
      <c r="HW108" s="301"/>
      <c r="HX108" s="301"/>
      <c r="HY108" s="301"/>
      <c r="HZ108" s="301"/>
      <c r="IA108" s="301"/>
      <c r="IB108" s="301"/>
      <c r="IC108" s="301"/>
      <c r="ID108" s="301"/>
      <c r="IE108" s="301"/>
      <c r="IF108" s="301"/>
      <c r="IG108" s="301"/>
      <c r="IH108" s="301"/>
      <c r="II108" s="301"/>
      <c r="IJ108" s="301"/>
      <c r="IK108" s="301"/>
      <c r="IL108" s="301"/>
      <c r="IM108" s="301"/>
      <c r="IN108" s="301"/>
      <c r="IO108" s="301"/>
      <c r="IP108" s="301"/>
      <c r="IQ108" s="301"/>
      <c r="IR108" s="301"/>
      <c r="IS108" s="301"/>
      <c r="IT108" s="301"/>
      <c r="IU108" s="301"/>
      <c r="IV108" s="301"/>
    </row>
    <row r="109" spans="1:256" ht="15" hidden="1">
      <c r="A109" s="301"/>
      <c r="B109" s="339"/>
      <c r="C109" s="341" t="s">
        <v>823</v>
      </c>
      <c r="D109" s="342" t="s">
        <v>853</v>
      </c>
      <c r="E109" s="304"/>
      <c r="F109" s="304"/>
      <c r="G109" s="304"/>
      <c r="H109" s="304"/>
      <c r="I109" s="320"/>
      <c r="J109" s="360"/>
      <c r="K109" s="320"/>
      <c r="L109" s="301"/>
      <c r="M109" s="301"/>
      <c r="N109" s="301"/>
      <c r="O109" s="301"/>
      <c r="P109" s="301"/>
      <c r="Q109" s="301"/>
      <c r="R109" s="301"/>
      <c r="S109" s="301"/>
      <c r="T109" s="301"/>
      <c r="U109" s="301"/>
      <c r="V109" s="301"/>
      <c r="W109" s="301"/>
      <c r="X109" s="301"/>
      <c r="Y109" s="301"/>
      <c r="Z109" s="301"/>
      <c r="AA109" s="301"/>
      <c r="AB109" s="301"/>
      <c r="AC109" s="301"/>
      <c r="AD109" s="301"/>
      <c r="AE109" s="301"/>
      <c r="AF109" s="301"/>
      <c r="AG109" s="301"/>
      <c r="AH109" s="301"/>
      <c r="AI109" s="301"/>
      <c r="AJ109" s="301"/>
      <c r="AK109" s="301"/>
      <c r="AL109" s="301"/>
      <c r="AM109" s="301"/>
      <c r="AN109" s="301"/>
      <c r="AO109" s="301"/>
      <c r="AP109" s="301"/>
      <c r="AQ109" s="301"/>
      <c r="AR109" s="301"/>
      <c r="AS109" s="301"/>
      <c r="AT109" s="301"/>
      <c r="AU109" s="301"/>
      <c r="AV109" s="301"/>
      <c r="AW109" s="301"/>
      <c r="AX109" s="301"/>
      <c r="AY109" s="301"/>
      <c r="AZ109" s="301"/>
      <c r="BA109" s="301"/>
      <c r="BB109" s="301"/>
      <c r="BC109" s="301"/>
      <c r="BD109" s="301"/>
      <c r="BE109" s="301"/>
      <c r="BF109" s="301"/>
      <c r="BG109" s="301"/>
      <c r="BH109" s="301"/>
      <c r="BI109" s="301"/>
      <c r="BJ109" s="301"/>
      <c r="BK109" s="301"/>
      <c r="BL109" s="301"/>
      <c r="BM109" s="301"/>
      <c r="BN109" s="301"/>
      <c r="BO109" s="301"/>
      <c r="BP109" s="301"/>
      <c r="BQ109" s="301"/>
      <c r="BR109" s="301"/>
      <c r="BS109" s="301"/>
      <c r="BT109" s="301"/>
      <c r="BU109" s="301"/>
      <c r="BV109" s="301"/>
      <c r="BW109" s="301"/>
      <c r="BX109" s="301"/>
      <c r="BY109" s="301"/>
      <c r="BZ109" s="301"/>
      <c r="CA109" s="301"/>
      <c r="CB109" s="301"/>
      <c r="CC109" s="301"/>
      <c r="CD109" s="301"/>
      <c r="CE109" s="301"/>
      <c r="CF109" s="301"/>
      <c r="CG109" s="301"/>
      <c r="CH109" s="301"/>
      <c r="CI109" s="301"/>
      <c r="CJ109" s="301"/>
      <c r="CK109" s="301"/>
      <c r="CL109" s="301"/>
      <c r="CM109" s="301"/>
      <c r="CN109" s="301"/>
      <c r="CO109" s="301"/>
      <c r="CP109" s="301"/>
      <c r="CQ109" s="301"/>
      <c r="CR109" s="301"/>
      <c r="CS109" s="301"/>
      <c r="CT109" s="301"/>
      <c r="CU109" s="301"/>
      <c r="CV109" s="301"/>
      <c r="CW109" s="301"/>
      <c r="CX109" s="301"/>
      <c r="CY109" s="301"/>
      <c r="CZ109" s="301"/>
      <c r="DA109" s="301"/>
      <c r="DB109" s="301"/>
      <c r="DC109" s="301"/>
      <c r="DD109" s="301"/>
      <c r="DE109" s="301"/>
      <c r="DF109" s="301"/>
      <c r="DG109" s="301"/>
      <c r="DH109" s="301"/>
      <c r="DI109" s="301"/>
      <c r="DJ109" s="301"/>
      <c r="DK109" s="301"/>
      <c r="DL109" s="301"/>
      <c r="DM109" s="301"/>
      <c r="DN109" s="301"/>
      <c r="DO109" s="301"/>
      <c r="DP109" s="301"/>
      <c r="DQ109" s="301"/>
      <c r="DR109" s="301"/>
      <c r="DS109" s="301"/>
      <c r="DT109" s="301"/>
      <c r="DU109" s="301"/>
      <c r="DV109" s="301"/>
      <c r="DW109" s="301"/>
      <c r="DX109" s="301"/>
      <c r="DY109" s="301"/>
      <c r="DZ109" s="301"/>
      <c r="EA109" s="301"/>
      <c r="EB109" s="301"/>
      <c r="EC109" s="301"/>
      <c r="ED109" s="301"/>
      <c r="EE109" s="301"/>
      <c r="EF109" s="301"/>
      <c r="EG109" s="301"/>
      <c r="EH109" s="301"/>
      <c r="EI109" s="301"/>
      <c r="EJ109" s="301"/>
      <c r="EK109" s="301"/>
      <c r="EL109" s="301"/>
      <c r="EM109" s="301"/>
      <c r="EN109" s="301"/>
      <c r="EO109" s="301"/>
      <c r="EP109" s="301"/>
      <c r="EQ109" s="301"/>
      <c r="ER109" s="301"/>
      <c r="ES109" s="301"/>
      <c r="ET109" s="301"/>
      <c r="EU109" s="301"/>
      <c r="EV109" s="301"/>
      <c r="EW109" s="301"/>
      <c r="EX109" s="301"/>
      <c r="EY109" s="301"/>
      <c r="EZ109" s="301"/>
      <c r="FA109" s="301"/>
      <c r="FB109" s="301"/>
      <c r="FC109" s="301"/>
      <c r="FD109" s="301"/>
      <c r="FE109" s="301"/>
      <c r="FF109" s="301"/>
      <c r="FG109" s="301"/>
      <c r="FH109" s="301"/>
      <c r="FI109" s="301"/>
      <c r="FJ109" s="301"/>
      <c r="FK109" s="301"/>
      <c r="FL109" s="301"/>
      <c r="FM109" s="301"/>
      <c r="FN109" s="301"/>
      <c r="FO109" s="301"/>
      <c r="FP109" s="301"/>
      <c r="FQ109" s="301"/>
      <c r="FR109" s="301"/>
      <c r="FS109" s="301"/>
      <c r="FT109" s="301"/>
      <c r="FU109" s="301"/>
      <c r="FV109" s="301"/>
      <c r="FW109" s="301"/>
      <c r="FX109" s="301"/>
      <c r="FY109" s="301"/>
      <c r="FZ109" s="301"/>
      <c r="GA109" s="301"/>
      <c r="GB109" s="301"/>
      <c r="GC109" s="301"/>
      <c r="GD109" s="301"/>
      <c r="GE109" s="301"/>
      <c r="GF109" s="301"/>
      <c r="GG109" s="301"/>
      <c r="GH109" s="301"/>
      <c r="GI109" s="301"/>
      <c r="GJ109" s="301"/>
      <c r="GK109" s="301"/>
      <c r="GL109" s="301"/>
      <c r="GM109" s="301"/>
      <c r="GN109" s="301"/>
      <c r="GO109" s="301"/>
      <c r="GP109" s="301"/>
      <c r="GQ109" s="301"/>
      <c r="GR109" s="301"/>
      <c r="GS109" s="301"/>
      <c r="GT109" s="301"/>
      <c r="GU109" s="301"/>
      <c r="GV109" s="301"/>
      <c r="GW109" s="301"/>
      <c r="GX109" s="301"/>
      <c r="GY109" s="301"/>
      <c r="GZ109" s="301"/>
      <c r="HA109" s="301"/>
      <c r="HB109" s="301"/>
      <c r="HC109" s="301"/>
      <c r="HD109" s="301"/>
      <c r="HE109" s="301"/>
      <c r="HF109" s="301"/>
      <c r="HG109" s="301"/>
      <c r="HH109" s="301"/>
      <c r="HI109" s="301"/>
      <c r="HJ109" s="301"/>
      <c r="HK109" s="301"/>
      <c r="HL109" s="301"/>
      <c r="HM109" s="301"/>
      <c r="HN109" s="301"/>
      <c r="HO109" s="301"/>
      <c r="HP109" s="301"/>
      <c r="HQ109" s="301"/>
      <c r="HR109" s="301"/>
      <c r="HS109" s="301"/>
      <c r="HT109" s="301"/>
      <c r="HU109" s="301"/>
      <c r="HV109" s="301"/>
      <c r="HW109" s="301"/>
      <c r="HX109" s="301"/>
      <c r="HY109" s="301"/>
      <c r="HZ109" s="301"/>
      <c r="IA109" s="301"/>
      <c r="IB109" s="301"/>
      <c r="IC109" s="301"/>
      <c r="ID109" s="301"/>
      <c r="IE109" s="301"/>
      <c r="IF109" s="301"/>
      <c r="IG109" s="301"/>
      <c r="IH109" s="301"/>
      <c r="II109" s="301"/>
      <c r="IJ109" s="301"/>
      <c r="IK109" s="301"/>
      <c r="IL109" s="301"/>
      <c r="IM109" s="301"/>
      <c r="IN109" s="301"/>
      <c r="IO109" s="301"/>
      <c r="IP109" s="301"/>
      <c r="IQ109" s="301"/>
      <c r="IR109" s="301"/>
      <c r="IS109" s="301"/>
      <c r="IT109" s="301"/>
      <c r="IU109" s="301"/>
      <c r="IV109" s="301"/>
    </row>
    <row r="110" spans="1:256" ht="15" hidden="1">
      <c r="A110" s="301"/>
      <c r="B110" s="339"/>
      <c r="C110" s="306">
        <v>3.5</v>
      </c>
      <c r="D110" s="343" t="s">
        <v>846</v>
      </c>
      <c r="E110" s="304" t="s">
        <v>854</v>
      </c>
      <c r="F110" s="304"/>
      <c r="G110" s="304"/>
      <c r="H110" s="304"/>
      <c r="I110" s="320">
        <f>K97+K104+K108</f>
        <v>75279.429999999993</v>
      </c>
      <c r="J110" s="360" t="s">
        <v>465</v>
      </c>
      <c r="K110" s="320">
        <f>ROUND(C110*I110/100,2)</f>
        <v>2634.78</v>
      </c>
      <c r="L110" s="301"/>
      <c r="M110" s="301"/>
      <c r="N110" s="301"/>
      <c r="O110" s="301"/>
      <c r="P110" s="301"/>
      <c r="Q110" s="301"/>
      <c r="R110" s="301"/>
      <c r="S110" s="301"/>
      <c r="T110" s="301"/>
      <c r="U110" s="301"/>
      <c r="V110" s="301"/>
      <c r="W110" s="301"/>
      <c r="X110" s="301"/>
      <c r="Y110" s="301"/>
      <c r="Z110" s="301"/>
      <c r="AA110" s="301"/>
      <c r="AB110" s="301"/>
      <c r="AC110" s="301"/>
      <c r="AD110" s="301"/>
      <c r="AE110" s="301"/>
      <c r="AF110" s="301"/>
      <c r="AG110" s="301"/>
      <c r="AH110" s="301"/>
      <c r="AI110" s="301"/>
      <c r="AJ110" s="301"/>
      <c r="AK110" s="301"/>
      <c r="AL110" s="301"/>
      <c r="AM110" s="301"/>
      <c r="AN110" s="301"/>
      <c r="AO110" s="301"/>
      <c r="AP110" s="301"/>
      <c r="AQ110" s="301"/>
      <c r="AR110" s="301"/>
      <c r="AS110" s="301"/>
      <c r="AT110" s="301"/>
      <c r="AU110" s="301"/>
      <c r="AV110" s="301"/>
      <c r="AW110" s="301"/>
      <c r="AX110" s="301"/>
      <c r="AY110" s="301"/>
      <c r="AZ110" s="301"/>
      <c r="BA110" s="301"/>
      <c r="BB110" s="301"/>
      <c r="BC110" s="301"/>
      <c r="BD110" s="301"/>
      <c r="BE110" s="301"/>
      <c r="BF110" s="301"/>
      <c r="BG110" s="301"/>
      <c r="BH110" s="301"/>
      <c r="BI110" s="301"/>
      <c r="BJ110" s="301"/>
      <c r="BK110" s="301"/>
      <c r="BL110" s="301"/>
      <c r="BM110" s="301"/>
      <c r="BN110" s="301"/>
      <c r="BO110" s="301"/>
      <c r="BP110" s="301"/>
      <c r="BQ110" s="301"/>
      <c r="BR110" s="301"/>
      <c r="BS110" s="301"/>
      <c r="BT110" s="301"/>
      <c r="BU110" s="301"/>
      <c r="BV110" s="301"/>
      <c r="BW110" s="301"/>
      <c r="BX110" s="301"/>
      <c r="BY110" s="301"/>
      <c r="BZ110" s="301"/>
      <c r="CA110" s="301"/>
      <c r="CB110" s="301"/>
      <c r="CC110" s="301"/>
      <c r="CD110" s="301"/>
      <c r="CE110" s="301"/>
      <c r="CF110" s="301"/>
      <c r="CG110" s="301"/>
      <c r="CH110" s="301"/>
      <c r="CI110" s="301"/>
      <c r="CJ110" s="301"/>
      <c r="CK110" s="301"/>
      <c r="CL110" s="301"/>
      <c r="CM110" s="301"/>
      <c r="CN110" s="301"/>
      <c r="CO110" s="301"/>
      <c r="CP110" s="301"/>
      <c r="CQ110" s="301"/>
      <c r="CR110" s="301"/>
      <c r="CS110" s="301"/>
      <c r="CT110" s="301"/>
      <c r="CU110" s="301"/>
      <c r="CV110" s="301"/>
      <c r="CW110" s="301"/>
      <c r="CX110" s="301"/>
      <c r="CY110" s="301"/>
      <c r="CZ110" s="301"/>
      <c r="DA110" s="301"/>
      <c r="DB110" s="301"/>
      <c r="DC110" s="301"/>
      <c r="DD110" s="301"/>
      <c r="DE110" s="301"/>
      <c r="DF110" s="301"/>
      <c r="DG110" s="301"/>
      <c r="DH110" s="301"/>
      <c r="DI110" s="301"/>
      <c r="DJ110" s="301"/>
      <c r="DK110" s="301"/>
      <c r="DL110" s="301"/>
      <c r="DM110" s="301"/>
      <c r="DN110" s="301"/>
      <c r="DO110" s="301"/>
      <c r="DP110" s="301"/>
      <c r="DQ110" s="301"/>
      <c r="DR110" s="301"/>
      <c r="DS110" s="301"/>
      <c r="DT110" s="301"/>
      <c r="DU110" s="301"/>
      <c r="DV110" s="301"/>
      <c r="DW110" s="301"/>
      <c r="DX110" s="301"/>
      <c r="DY110" s="301"/>
      <c r="DZ110" s="301"/>
      <c r="EA110" s="301"/>
      <c r="EB110" s="301"/>
      <c r="EC110" s="301"/>
      <c r="ED110" s="301"/>
      <c r="EE110" s="301"/>
      <c r="EF110" s="301"/>
      <c r="EG110" s="301"/>
      <c r="EH110" s="301"/>
      <c r="EI110" s="301"/>
      <c r="EJ110" s="301"/>
      <c r="EK110" s="301"/>
      <c r="EL110" s="301"/>
      <c r="EM110" s="301"/>
      <c r="EN110" s="301"/>
      <c r="EO110" s="301"/>
      <c r="EP110" s="301"/>
      <c r="EQ110" s="301"/>
      <c r="ER110" s="301"/>
      <c r="ES110" s="301"/>
      <c r="ET110" s="301"/>
      <c r="EU110" s="301"/>
      <c r="EV110" s="301"/>
      <c r="EW110" s="301"/>
      <c r="EX110" s="301"/>
      <c r="EY110" s="301"/>
      <c r="EZ110" s="301"/>
      <c r="FA110" s="301"/>
      <c r="FB110" s="301"/>
      <c r="FC110" s="301"/>
      <c r="FD110" s="301"/>
      <c r="FE110" s="301"/>
      <c r="FF110" s="301"/>
      <c r="FG110" s="301"/>
      <c r="FH110" s="301"/>
      <c r="FI110" s="301"/>
      <c r="FJ110" s="301"/>
      <c r="FK110" s="301"/>
      <c r="FL110" s="301"/>
      <c r="FM110" s="301"/>
      <c r="FN110" s="301"/>
      <c r="FO110" s="301"/>
      <c r="FP110" s="301"/>
      <c r="FQ110" s="301"/>
      <c r="FR110" s="301"/>
      <c r="FS110" s="301"/>
      <c r="FT110" s="301"/>
      <c r="FU110" s="301"/>
      <c r="FV110" s="301"/>
      <c r="FW110" s="301"/>
      <c r="FX110" s="301"/>
      <c r="FY110" s="301"/>
      <c r="FZ110" s="301"/>
      <c r="GA110" s="301"/>
      <c r="GB110" s="301"/>
      <c r="GC110" s="301"/>
      <c r="GD110" s="301"/>
      <c r="GE110" s="301"/>
      <c r="GF110" s="301"/>
      <c r="GG110" s="301"/>
      <c r="GH110" s="301"/>
      <c r="GI110" s="301"/>
      <c r="GJ110" s="301"/>
      <c r="GK110" s="301"/>
      <c r="GL110" s="301"/>
      <c r="GM110" s="301"/>
      <c r="GN110" s="301"/>
      <c r="GO110" s="301"/>
      <c r="GP110" s="301"/>
      <c r="GQ110" s="301"/>
      <c r="GR110" s="301"/>
      <c r="GS110" s="301"/>
      <c r="GT110" s="301"/>
      <c r="GU110" s="301"/>
      <c r="GV110" s="301"/>
      <c r="GW110" s="301"/>
      <c r="GX110" s="301"/>
      <c r="GY110" s="301"/>
      <c r="GZ110" s="301"/>
      <c r="HA110" s="301"/>
      <c r="HB110" s="301"/>
      <c r="HC110" s="301"/>
      <c r="HD110" s="301"/>
      <c r="HE110" s="301"/>
      <c r="HF110" s="301"/>
      <c r="HG110" s="301"/>
      <c r="HH110" s="301"/>
      <c r="HI110" s="301"/>
      <c r="HJ110" s="301"/>
      <c r="HK110" s="301"/>
      <c r="HL110" s="301"/>
      <c r="HM110" s="301"/>
      <c r="HN110" s="301"/>
      <c r="HO110" s="301"/>
      <c r="HP110" s="301"/>
      <c r="HQ110" s="301"/>
      <c r="HR110" s="301"/>
      <c r="HS110" s="301"/>
      <c r="HT110" s="301"/>
      <c r="HU110" s="301"/>
      <c r="HV110" s="301"/>
      <c r="HW110" s="301"/>
      <c r="HX110" s="301"/>
      <c r="HY110" s="301"/>
      <c r="HZ110" s="301"/>
      <c r="IA110" s="301"/>
      <c r="IB110" s="301"/>
      <c r="IC110" s="301"/>
      <c r="ID110" s="301"/>
      <c r="IE110" s="301"/>
      <c r="IF110" s="301"/>
      <c r="IG110" s="301"/>
      <c r="IH110" s="301"/>
      <c r="II110" s="301"/>
      <c r="IJ110" s="301"/>
      <c r="IK110" s="301"/>
      <c r="IL110" s="301"/>
      <c r="IM110" s="301"/>
      <c r="IN110" s="301"/>
      <c r="IO110" s="301"/>
      <c r="IP110" s="301"/>
      <c r="IQ110" s="301"/>
      <c r="IR110" s="301"/>
      <c r="IS110" s="301"/>
      <c r="IT110" s="301"/>
      <c r="IU110" s="301"/>
      <c r="IV110" s="301"/>
    </row>
    <row r="111" spans="1:256" ht="15" hidden="1">
      <c r="A111" s="301"/>
      <c r="B111" s="302"/>
      <c r="C111" s="312" t="s">
        <v>825</v>
      </c>
      <c r="D111" s="353" t="s">
        <v>855</v>
      </c>
      <c r="E111" s="304"/>
      <c r="F111" s="304"/>
      <c r="G111" s="317"/>
      <c r="H111" s="317"/>
      <c r="I111" s="317"/>
      <c r="J111" s="317"/>
      <c r="K111" s="333"/>
      <c r="L111" s="301"/>
      <c r="M111" s="301"/>
      <c r="N111" s="301"/>
      <c r="O111" s="301"/>
      <c r="P111" s="301"/>
      <c r="Q111" s="301"/>
      <c r="R111" s="301"/>
      <c r="S111" s="301"/>
      <c r="T111" s="301"/>
      <c r="U111" s="301"/>
      <c r="V111" s="301"/>
      <c r="W111" s="301"/>
      <c r="X111" s="301"/>
      <c r="Y111" s="301"/>
      <c r="Z111" s="301"/>
      <c r="AA111" s="301"/>
      <c r="AB111" s="301"/>
      <c r="AC111" s="301"/>
      <c r="AD111" s="301"/>
      <c r="AE111" s="301"/>
      <c r="AF111" s="301"/>
      <c r="AG111" s="301"/>
      <c r="AH111" s="301"/>
      <c r="AI111" s="301"/>
      <c r="AJ111" s="301"/>
      <c r="AK111" s="301"/>
      <c r="AL111" s="301"/>
      <c r="AM111" s="301"/>
      <c r="AN111" s="301"/>
      <c r="AO111" s="301"/>
      <c r="AP111" s="301"/>
      <c r="AQ111" s="301"/>
      <c r="AR111" s="301"/>
      <c r="AS111" s="301"/>
      <c r="AT111" s="301"/>
      <c r="AU111" s="301"/>
      <c r="AV111" s="301"/>
      <c r="AW111" s="301"/>
      <c r="AX111" s="301"/>
      <c r="AY111" s="301"/>
      <c r="AZ111" s="301"/>
      <c r="BA111" s="301"/>
      <c r="BB111" s="301"/>
      <c r="BC111" s="301"/>
      <c r="BD111" s="301"/>
      <c r="BE111" s="301"/>
      <c r="BF111" s="301"/>
      <c r="BG111" s="301"/>
      <c r="BH111" s="301"/>
      <c r="BI111" s="301"/>
      <c r="BJ111" s="301"/>
      <c r="BK111" s="301"/>
      <c r="BL111" s="301"/>
      <c r="BM111" s="301"/>
      <c r="BN111" s="301"/>
      <c r="BO111" s="301"/>
      <c r="BP111" s="301"/>
      <c r="BQ111" s="301"/>
      <c r="BR111" s="301"/>
      <c r="BS111" s="301"/>
      <c r="BT111" s="301"/>
      <c r="BU111" s="301"/>
      <c r="BV111" s="301"/>
      <c r="BW111" s="301"/>
      <c r="BX111" s="301"/>
      <c r="BY111" s="301"/>
      <c r="BZ111" s="301"/>
      <c r="CA111" s="301"/>
      <c r="CB111" s="301"/>
      <c r="CC111" s="301"/>
      <c r="CD111" s="301"/>
      <c r="CE111" s="301"/>
      <c r="CF111" s="301"/>
      <c r="CG111" s="301"/>
      <c r="CH111" s="301"/>
      <c r="CI111" s="301"/>
      <c r="CJ111" s="301"/>
      <c r="CK111" s="301"/>
      <c r="CL111" s="301"/>
      <c r="CM111" s="301"/>
      <c r="CN111" s="301"/>
      <c r="CO111" s="301"/>
      <c r="CP111" s="301"/>
      <c r="CQ111" s="301"/>
      <c r="CR111" s="301"/>
      <c r="CS111" s="301"/>
      <c r="CT111" s="301"/>
      <c r="CU111" s="301"/>
      <c r="CV111" s="301"/>
      <c r="CW111" s="301"/>
      <c r="CX111" s="301"/>
      <c r="CY111" s="301"/>
      <c r="CZ111" s="301"/>
      <c r="DA111" s="301"/>
      <c r="DB111" s="301"/>
      <c r="DC111" s="301"/>
      <c r="DD111" s="301"/>
      <c r="DE111" s="301"/>
      <c r="DF111" s="301"/>
      <c r="DG111" s="301"/>
      <c r="DH111" s="301"/>
      <c r="DI111" s="301"/>
      <c r="DJ111" s="301"/>
      <c r="DK111" s="301"/>
      <c r="DL111" s="301"/>
      <c r="DM111" s="301"/>
      <c r="DN111" s="301"/>
      <c r="DO111" s="301"/>
      <c r="DP111" s="301"/>
      <c r="DQ111" s="301"/>
      <c r="DR111" s="301"/>
      <c r="DS111" s="301"/>
      <c r="DT111" s="301"/>
      <c r="DU111" s="301"/>
      <c r="DV111" s="301"/>
      <c r="DW111" s="301"/>
      <c r="DX111" s="301"/>
      <c r="DY111" s="301"/>
      <c r="DZ111" s="301"/>
      <c r="EA111" s="301"/>
      <c r="EB111" s="301"/>
      <c r="EC111" s="301"/>
      <c r="ED111" s="301"/>
      <c r="EE111" s="301"/>
      <c r="EF111" s="301"/>
      <c r="EG111" s="301"/>
      <c r="EH111" s="301"/>
      <c r="EI111" s="301"/>
      <c r="EJ111" s="301"/>
      <c r="EK111" s="301"/>
      <c r="EL111" s="301"/>
      <c r="EM111" s="301"/>
      <c r="EN111" s="301"/>
      <c r="EO111" s="301"/>
      <c r="EP111" s="301"/>
      <c r="EQ111" s="301"/>
      <c r="ER111" s="301"/>
      <c r="ES111" s="301"/>
      <c r="ET111" s="301"/>
      <c r="EU111" s="301"/>
      <c r="EV111" s="301"/>
      <c r="EW111" s="301"/>
      <c r="EX111" s="301"/>
      <c r="EY111" s="301"/>
      <c r="EZ111" s="301"/>
      <c r="FA111" s="301"/>
      <c r="FB111" s="301"/>
      <c r="FC111" s="301"/>
      <c r="FD111" s="301"/>
      <c r="FE111" s="301"/>
      <c r="FF111" s="301"/>
      <c r="FG111" s="301"/>
      <c r="FH111" s="301"/>
      <c r="FI111" s="301"/>
      <c r="FJ111" s="301"/>
      <c r="FK111" s="301"/>
      <c r="FL111" s="301"/>
      <c r="FM111" s="301"/>
      <c r="FN111" s="301"/>
      <c r="FO111" s="301"/>
      <c r="FP111" s="301"/>
      <c r="FQ111" s="301"/>
      <c r="FR111" s="301"/>
      <c r="FS111" s="301"/>
      <c r="FT111" s="301"/>
      <c r="FU111" s="301"/>
      <c r="FV111" s="301"/>
      <c r="FW111" s="301"/>
      <c r="FX111" s="301"/>
      <c r="FY111" s="301"/>
      <c r="FZ111" s="301"/>
      <c r="GA111" s="301"/>
      <c r="GB111" s="301"/>
      <c r="GC111" s="301"/>
      <c r="GD111" s="301"/>
      <c r="GE111" s="301"/>
      <c r="GF111" s="301"/>
      <c r="GG111" s="301"/>
      <c r="GH111" s="301"/>
      <c r="GI111" s="301"/>
      <c r="GJ111" s="301"/>
      <c r="GK111" s="301"/>
      <c r="GL111" s="301"/>
      <c r="GM111" s="301"/>
      <c r="GN111" s="301"/>
      <c r="GO111" s="301"/>
      <c r="GP111" s="301"/>
      <c r="GQ111" s="301"/>
      <c r="GR111" s="301"/>
      <c r="GS111" s="301"/>
      <c r="GT111" s="301"/>
      <c r="GU111" s="301"/>
      <c r="GV111" s="301"/>
      <c r="GW111" s="301"/>
      <c r="GX111" s="301"/>
      <c r="GY111" s="301"/>
      <c r="GZ111" s="301"/>
      <c r="HA111" s="301"/>
      <c r="HB111" s="301"/>
      <c r="HC111" s="301"/>
      <c r="HD111" s="301"/>
      <c r="HE111" s="301"/>
      <c r="HF111" s="301"/>
      <c r="HG111" s="301"/>
      <c r="HH111" s="301"/>
      <c r="HI111" s="301"/>
      <c r="HJ111" s="301"/>
      <c r="HK111" s="301"/>
      <c r="HL111" s="301"/>
      <c r="HM111" s="301"/>
      <c r="HN111" s="301"/>
      <c r="HO111" s="301"/>
      <c r="HP111" s="301"/>
      <c r="HQ111" s="301"/>
      <c r="HR111" s="301"/>
      <c r="HS111" s="301"/>
      <c r="HT111" s="301"/>
      <c r="HU111" s="301"/>
      <c r="HV111" s="301"/>
      <c r="HW111" s="301"/>
      <c r="HX111" s="301"/>
      <c r="HY111" s="301"/>
      <c r="HZ111" s="301"/>
      <c r="IA111" s="301"/>
      <c r="IB111" s="301"/>
      <c r="IC111" s="301"/>
      <c r="ID111" s="301"/>
      <c r="IE111" s="301"/>
      <c r="IF111" s="301"/>
      <c r="IG111" s="301"/>
      <c r="IH111" s="301"/>
      <c r="II111" s="301"/>
      <c r="IJ111" s="301"/>
      <c r="IK111" s="301"/>
      <c r="IL111" s="301"/>
      <c r="IM111" s="301"/>
      <c r="IN111" s="301"/>
      <c r="IO111" s="301"/>
      <c r="IP111" s="301"/>
      <c r="IQ111" s="301"/>
      <c r="IR111" s="301"/>
      <c r="IS111" s="301"/>
      <c r="IT111" s="301"/>
      <c r="IU111" s="301"/>
      <c r="IV111" s="301"/>
    </row>
    <row r="112" spans="1:256" ht="15" hidden="1">
      <c r="A112" s="301"/>
      <c r="B112" s="302"/>
      <c r="C112" s="314">
        <v>4</v>
      </c>
      <c r="D112" s="315" t="s">
        <v>846</v>
      </c>
      <c r="E112" s="354" t="s">
        <v>856</v>
      </c>
      <c r="F112" s="304"/>
      <c r="G112" s="317"/>
      <c r="H112" s="317"/>
      <c r="I112" s="317"/>
      <c r="J112" s="317"/>
      <c r="K112" s="355">
        <f>ROUND((K97+K104+K108+K110)*C112/100,2)</f>
        <v>3116.57</v>
      </c>
      <c r="L112" s="301"/>
      <c r="M112" s="301"/>
      <c r="N112" s="301"/>
      <c r="O112" s="301"/>
      <c r="P112" s="301"/>
      <c r="Q112" s="301"/>
      <c r="R112" s="301"/>
      <c r="S112" s="301"/>
      <c r="T112" s="301"/>
      <c r="U112" s="301"/>
      <c r="V112" s="301"/>
      <c r="W112" s="301"/>
      <c r="X112" s="301"/>
      <c r="Y112" s="301"/>
      <c r="Z112" s="301"/>
      <c r="AA112" s="301"/>
      <c r="AB112" s="301"/>
      <c r="AC112" s="301"/>
      <c r="AD112" s="301"/>
      <c r="AE112" s="301"/>
      <c r="AF112" s="301"/>
      <c r="AG112" s="301"/>
      <c r="AH112" s="301"/>
      <c r="AI112" s="301"/>
      <c r="AJ112" s="301"/>
      <c r="AK112" s="301"/>
      <c r="AL112" s="301"/>
      <c r="AM112" s="301"/>
      <c r="AN112" s="301"/>
      <c r="AO112" s="301"/>
      <c r="AP112" s="301"/>
      <c r="AQ112" s="301"/>
      <c r="AR112" s="301"/>
      <c r="AS112" s="301"/>
      <c r="AT112" s="301"/>
      <c r="AU112" s="301"/>
      <c r="AV112" s="301"/>
      <c r="AW112" s="301"/>
      <c r="AX112" s="301"/>
      <c r="AY112" s="301"/>
      <c r="AZ112" s="301"/>
      <c r="BA112" s="301"/>
      <c r="BB112" s="301"/>
      <c r="BC112" s="301"/>
      <c r="BD112" s="301"/>
      <c r="BE112" s="301"/>
      <c r="BF112" s="301"/>
      <c r="BG112" s="301"/>
      <c r="BH112" s="301"/>
      <c r="BI112" s="301"/>
      <c r="BJ112" s="301"/>
      <c r="BK112" s="301"/>
      <c r="BL112" s="301"/>
      <c r="BM112" s="301"/>
      <c r="BN112" s="301"/>
      <c r="BO112" s="301"/>
      <c r="BP112" s="301"/>
      <c r="BQ112" s="301"/>
      <c r="BR112" s="301"/>
      <c r="BS112" s="301"/>
      <c r="BT112" s="301"/>
      <c r="BU112" s="301"/>
      <c r="BV112" s="301"/>
      <c r="BW112" s="301"/>
      <c r="BX112" s="301"/>
      <c r="BY112" s="301"/>
      <c r="BZ112" s="301"/>
      <c r="CA112" s="301"/>
      <c r="CB112" s="301"/>
      <c r="CC112" s="301"/>
      <c r="CD112" s="301"/>
      <c r="CE112" s="301"/>
      <c r="CF112" s="301"/>
      <c r="CG112" s="301"/>
      <c r="CH112" s="301"/>
      <c r="CI112" s="301"/>
      <c r="CJ112" s="301"/>
      <c r="CK112" s="301"/>
      <c r="CL112" s="301"/>
      <c r="CM112" s="301"/>
      <c r="CN112" s="301"/>
      <c r="CO112" s="301"/>
      <c r="CP112" s="301"/>
      <c r="CQ112" s="301"/>
      <c r="CR112" s="301"/>
      <c r="CS112" s="301"/>
      <c r="CT112" s="301"/>
      <c r="CU112" s="301"/>
      <c r="CV112" s="301"/>
      <c r="CW112" s="301"/>
      <c r="CX112" s="301"/>
      <c r="CY112" s="301"/>
      <c r="CZ112" s="301"/>
      <c r="DA112" s="301"/>
      <c r="DB112" s="301"/>
      <c r="DC112" s="301"/>
      <c r="DD112" s="301"/>
      <c r="DE112" s="301"/>
      <c r="DF112" s="301"/>
      <c r="DG112" s="301"/>
      <c r="DH112" s="301"/>
      <c r="DI112" s="301"/>
      <c r="DJ112" s="301"/>
      <c r="DK112" s="301"/>
      <c r="DL112" s="301"/>
      <c r="DM112" s="301"/>
      <c r="DN112" s="301"/>
      <c r="DO112" s="301"/>
      <c r="DP112" s="301"/>
      <c r="DQ112" s="301"/>
      <c r="DR112" s="301"/>
      <c r="DS112" s="301"/>
      <c r="DT112" s="301"/>
      <c r="DU112" s="301"/>
      <c r="DV112" s="301"/>
      <c r="DW112" s="301"/>
      <c r="DX112" s="301"/>
      <c r="DY112" s="301"/>
      <c r="DZ112" s="301"/>
      <c r="EA112" s="301"/>
      <c r="EB112" s="301"/>
      <c r="EC112" s="301"/>
      <c r="ED112" s="301"/>
      <c r="EE112" s="301"/>
      <c r="EF112" s="301"/>
      <c r="EG112" s="301"/>
      <c r="EH112" s="301"/>
      <c r="EI112" s="301"/>
      <c r="EJ112" s="301"/>
      <c r="EK112" s="301"/>
      <c r="EL112" s="301"/>
      <c r="EM112" s="301"/>
      <c r="EN112" s="301"/>
      <c r="EO112" s="301"/>
      <c r="EP112" s="301"/>
      <c r="EQ112" s="301"/>
      <c r="ER112" s="301"/>
      <c r="ES112" s="301"/>
      <c r="ET112" s="301"/>
      <c r="EU112" s="301"/>
      <c r="EV112" s="301"/>
      <c r="EW112" s="301"/>
      <c r="EX112" s="301"/>
      <c r="EY112" s="301"/>
      <c r="EZ112" s="301"/>
      <c r="FA112" s="301"/>
      <c r="FB112" s="301"/>
      <c r="FC112" s="301"/>
      <c r="FD112" s="301"/>
      <c r="FE112" s="301"/>
      <c r="FF112" s="301"/>
      <c r="FG112" s="301"/>
      <c r="FH112" s="301"/>
      <c r="FI112" s="301"/>
      <c r="FJ112" s="301"/>
      <c r="FK112" s="301"/>
      <c r="FL112" s="301"/>
      <c r="FM112" s="301"/>
      <c r="FN112" s="301"/>
      <c r="FO112" s="301"/>
      <c r="FP112" s="301"/>
      <c r="FQ112" s="301"/>
      <c r="FR112" s="301"/>
      <c r="FS112" s="301"/>
      <c r="FT112" s="301"/>
      <c r="FU112" s="301"/>
      <c r="FV112" s="301"/>
      <c r="FW112" s="301"/>
      <c r="FX112" s="301"/>
      <c r="FY112" s="301"/>
      <c r="FZ112" s="301"/>
      <c r="GA112" s="301"/>
      <c r="GB112" s="301"/>
      <c r="GC112" s="301"/>
      <c r="GD112" s="301"/>
      <c r="GE112" s="301"/>
      <c r="GF112" s="301"/>
      <c r="GG112" s="301"/>
      <c r="GH112" s="301"/>
      <c r="GI112" s="301"/>
      <c r="GJ112" s="301"/>
      <c r="GK112" s="301"/>
      <c r="GL112" s="301"/>
      <c r="GM112" s="301"/>
      <c r="GN112" s="301"/>
      <c r="GO112" s="301"/>
      <c r="GP112" s="301"/>
      <c r="GQ112" s="301"/>
      <c r="GR112" s="301"/>
      <c r="GS112" s="301"/>
      <c r="GT112" s="301"/>
      <c r="GU112" s="301"/>
      <c r="GV112" s="301"/>
      <c r="GW112" s="301"/>
      <c r="GX112" s="301"/>
      <c r="GY112" s="301"/>
      <c r="GZ112" s="301"/>
      <c r="HA112" s="301"/>
      <c r="HB112" s="301"/>
      <c r="HC112" s="301"/>
      <c r="HD112" s="301"/>
      <c r="HE112" s="301"/>
      <c r="HF112" s="301"/>
      <c r="HG112" s="301"/>
      <c r="HH112" s="301"/>
      <c r="HI112" s="301"/>
      <c r="HJ112" s="301"/>
      <c r="HK112" s="301"/>
      <c r="HL112" s="301"/>
      <c r="HM112" s="301"/>
      <c r="HN112" s="301"/>
      <c r="HO112" s="301"/>
      <c r="HP112" s="301"/>
      <c r="HQ112" s="301"/>
      <c r="HR112" s="301"/>
      <c r="HS112" s="301"/>
      <c r="HT112" s="301"/>
      <c r="HU112" s="301"/>
      <c r="HV112" s="301"/>
      <c r="HW112" s="301"/>
      <c r="HX112" s="301"/>
      <c r="HY112" s="301"/>
      <c r="HZ112" s="301"/>
      <c r="IA112" s="301"/>
      <c r="IB112" s="301"/>
      <c r="IC112" s="301"/>
      <c r="ID112" s="301"/>
      <c r="IE112" s="301"/>
      <c r="IF112" s="301"/>
      <c r="IG112" s="301"/>
      <c r="IH112" s="301"/>
      <c r="II112" s="301"/>
      <c r="IJ112" s="301"/>
      <c r="IK112" s="301"/>
      <c r="IL112" s="301"/>
      <c r="IM112" s="301"/>
      <c r="IN112" s="301"/>
      <c r="IO112" s="301"/>
      <c r="IP112" s="301"/>
      <c r="IQ112" s="301"/>
      <c r="IR112" s="301"/>
      <c r="IS112" s="301"/>
      <c r="IT112" s="301"/>
      <c r="IU112" s="301"/>
      <c r="IV112" s="301"/>
    </row>
    <row r="113" spans="1:256" ht="15" hidden="1">
      <c r="A113" s="301"/>
      <c r="B113" s="302"/>
      <c r="C113" s="312" t="s">
        <v>827</v>
      </c>
      <c r="D113" s="313" t="s">
        <v>857</v>
      </c>
      <c r="E113" s="304"/>
      <c r="F113" s="304"/>
      <c r="G113" s="316"/>
      <c r="H113" s="317"/>
      <c r="I113" s="317"/>
      <c r="J113" s="317"/>
      <c r="K113" s="333">
        <f>K97+K104+K108+K112+K110</f>
        <v>81030.78</v>
      </c>
      <c r="L113" s="301"/>
      <c r="M113" s="301"/>
      <c r="N113" s="301"/>
      <c r="O113" s="301"/>
      <c r="P113" s="301"/>
      <c r="Q113" s="301"/>
      <c r="R113" s="301"/>
      <c r="S113" s="301"/>
      <c r="T113" s="301"/>
      <c r="U113" s="301"/>
      <c r="V113" s="301"/>
      <c r="W113" s="301"/>
      <c r="X113" s="301"/>
      <c r="Y113" s="301"/>
      <c r="Z113" s="301"/>
      <c r="AA113" s="301"/>
      <c r="AB113" s="301"/>
      <c r="AC113" s="301"/>
      <c r="AD113" s="301"/>
      <c r="AE113" s="301"/>
      <c r="AF113" s="301"/>
      <c r="AG113" s="301"/>
      <c r="AH113" s="301"/>
      <c r="AI113" s="301"/>
      <c r="AJ113" s="301"/>
      <c r="AK113" s="301"/>
      <c r="AL113" s="301"/>
      <c r="AM113" s="301"/>
      <c r="AN113" s="301"/>
      <c r="AO113" s="301"/>
      <c r="AP113" s="301"/>
      <c r="AQ113" s="301"/>
      <c r="AR113" s="301"/>
      <c r="AS113" s="301"/>
      <c r="AT113" s="301"/>
      <c r="AU113" s="301"/>
      <c r="AV113" s="301"/>
      <c r="AW113" s="301"/>
      <c r="AX113" s="301"/>
      <c r="AY113" s="301"/>
      <c r="AZ113" s="301"/>
      <c r="BA113" s="301"/>
      <c r="BB113" s="301"/>
      <c r="BC113" s="301"/>
      <c r="BD113" s="301"/>
      <c r="BE113" s="301"/>
      <c r="BF113" s="301"/>
      <c r="BG113" s="301"/>
      <c r="BH113" s="301"/>
      <c r="BI113" s="301"/>
      <c r="BJ113" s="301"/>
      <c r="BK113" s="301"/>
      <c r="BL113" s="301"/>
      <c r="BM113" s="301"/>
      <c r="BN113" s="301"/>
      <c r="BO113" s="301"/>
      <c r="BP113" s="301"/>
      <c r="BQ113" s="301"/>
      <c r="BR113" s="301"/>
      <c r="BS113" s="301"/>
      <c r="BT113" s="301"/>
      <c r="BU113" s="301"/>
      <c r="BV113" s="301"/>
      <c r="BW113" s="301"/>
      <c r="BX113" s="301"/>
      <c r="BY113" s="301"/>
      <c r="BZ113" s="301"/>
      <c r="CA113" s="301"/>
      <c r="CB113" s="301"/>
      <c r="CC113" s="301"/>
      <c r="CD113" s="301"/>
      <c r="CE113" s="301"/>
      <c r="CF113" s="301"/>
      <c r="CG113" s="301"/>
      <c r="CH113" s="301"/>
      <c r="CI113" s="301"/>
      <c r="CJ113" s="301"/>
      <c r="CK113" s="301"/>
      <c r="CL113" s="301"/>
      <c r="CM113" s="301"/>
      <c r="CN113" s="301"/>
      <c r="CO113" s="301"/>
      <c r="CP113" s="301"/>
      <c r="CQ113" s="301"/>
      <c r="CR113" s="301"/>
      <c r="CS113" s="301"/>
      <c r="CT113" s="301"/>
      <c r="CU113" s="301"/>
      <c r="CV113" s="301"/>
      <c r="CW113" s="301"/>
      <c r="CX113" s="301"/>
      <c r="CY113" s="301"/>
      <c r="CZ113" s="301"/>
      <c r="DA113" s="301"/>
      <c r="DB113" s="301"/>
      <c r="DC113" s="301"/>
      <c r="DD113" s="301"/>
      <c r="DE113" s="301"/>
      <c r="DF113" s="301"/>
      <c r="DG113" s="301"/>
      <c r="DH113" s="301"/>
      <c r="DI113" s="301"/>
      <c r="DJ113" s="301"/>
      <c r="DK113" s="301"/>
      <c r="DL113" s="301"/>
      <c r="DM113" s="301"/>
      <c r="DN113" s="301"/>
      <c r="DO113" s="301"/>
      <c r="DP113" s="301"/>
      <c r="DQ113" s="301"/>
      <c r="DR113" s="301"/>
      <c r="DS113" s="301"/>
      <c r="DT113" s="301"/>
      <c r="DU113" s="301"/>
      <c r="DV113" s="301"/>
      <c r="DW113" s="301"/>
      <c r="DX113" s="301"/>
      <c r="DY113" s="301"/>
      <c r="DZ113" s="301"/>
      <c r="EA113" s="301"/>
      <c r="EB113" s="301"/>
      <c r="EC113" s="301"/>
      <c r="ED113" s="301"/>
      <c r="EE113" s="301"/>
      <c r="EF113" s="301"/>
      <c r="EG113" s="301"/>
      <c r="EH113" s="301"/>
      <c r="EI113" s="301"/>
      <c r="EJ113" s="301"/>
      <c r="EK113" s="301"/>
      <c r="EL113" s="301"/>
      <c r="EM113" s="301"/>
      <c r="EN113" s="301"/>
      <c r="EO113" s="301"/>
      <c r="EP113" s="301"/>
      <c r="EQ113" s="301"/>
      <c r="ER113" s="301"/>
      <c r="ES113" s="301"/>
      <c r="ET113" s="301"/>
      <c r="EU113" s="301"/>
      <c r="EV113" s="301"/>
      <c r="EW113" s="301"/>
      <c r="EX113" s="301"/>
      <c r="EY113" s="301"/>
      <c r="EZ113" s="301"/>
      <c r="FA113" s="301"/>
      <c r="FB113" s="301"/>
      <c r="FC113" s="301"/>
      <c r="FD113" s="301"/>
      <c r="FE113" s="301"/>
      <c r="FF113" s="301"/>
      <c r="FG113" s="301"/>
      <c r="FH113" s="301"/>
      <c r="FI113" s="301"/>
      <c r="FJ113" s="301"/>
      <c r="FK113" s="301"/>
      <c r="FL113" s="301"/>
      <c r="FM113" s="301"/>
      <c r="FN113" s="301"/>
      <c r="FO113" s="301"/>
      <c r="FP113" s="301"/>
      <c r="FQ113" s="301"/>
      <c r="FR113" s="301"/>
      <c r="FS113" s="301"/>
      <c r="FT113" s="301"/>
      <c r="FU113" s="301"/>
      <c r="FV113" s="301"/>
      <c r="FW113" s="301"/>
      <c r="FX113" s="301"/>
      <c r="FY113" s="301"/>
      <c r="FZ113" s="301"/>
      <c r="GA113" s="301"/>
      <c r="GB113" s="301"/>
      <c r="GC113" s="301"/>
      <c r="GD113" s="301"/>
      <c r="GE113" s="301"/>
      <c r="GF113" s="301"/>
      <c r="GG113" s="301"/>
      <c r="GH113" s="301"/>
      <c r="GI113" s="301"/>
      <c r="GJ113" s="301"/>
      <c r="GK113" s="301"/>
      <c r="GL113" s="301"/>
      <c r="GM113" s="301"/>
      <c r="GN113" s="301"/>
      <c r="GO113" s="301"/>
      <c r="GP113" s="301"/>
      <c r="GQ113" s="301"/>
      <c r="GR113" s="301"/>
      <c r="GS113" s="301"/>
      <c r="GT113" s="301"/>
      <c r="GU113" s="301"/>
      <c r="GV113" s="301"/>
      <c r="GW113" s="301"/>
      <c r="GX113" s="301"/>
      <c r="GY113" s="301"/>
      <c r="GZ113" s="301"/>
      <c r="HA113" s="301"/>
      <c r="HB113" s="301"/>
      <c r="HC113" s="301"/>
      <c r="HD113" s="301"/>
      <c r="HE113" s="301"/>
      <c r="HF113" s="301"/>
      <c r="HG113" s="301"/>
      <c r="HH113" s="301"/>
      <c r="HI113" s="301"/>
      <c r="HJ113" s="301"/>
      <c r="HK113" s="301"/>
      <c r="HL113" s="301"/>
      <c r="HM113" s="301"/>
      <c r="HN113" s="301"/>
      <c r="HO113" s="301"/>
      <c r="HP113" s="301"/>
      <c r="HQ113" s="301"/>
      <c r="HR113" s="301"/>
      <c r="HS113" s="301"/>
      <c r="HT113" s="301"/>
      <c r="HU113" s="301"/>
      <c r="HV113" s="301"/>
      <c r="HW113" s="301"/>
      <c r="HX113" s="301"/>
      <c r="HY113" s="301"/>
      <c r="HZ113" s="301"/>
      <c r="IA113" s="301"/>
      <c r="IB113" s="301"/>
      <c r="IC113" s="301"/>
      <c r="ID113" s="301"/>
      <c r="IE113" s="301"/>
      <c r="IF113" s="301"/>
      <c r="IG113" s="301"/>
      <c r="IH113" s="301"/>
      <c r="II113" s="301"/>
      <c r="IJ113" s="301"/>
      <c r="IK113" s="301"/>
      <c r="IL113" s="301"/>
      <c r="IM113" s="301"/>
      <c r="IN113" s="301"/>
      <c r="IO113" s="301"/>
      <c r="IP113" s="301"/>
      <c r="IQ113" s="301"/>
      <c r="IR113" s="301"/>
      <c r="IS113" s="301"/>
      <c r="IT113" s="301"/>
      <c r="IU113" s="301"/>
      <c r="IV113" s="301"/>
    </row>
    <row r="114" spans="1:256" ht="15" hidden="1">
      <c r="A114" s="301"/>
      <c r="B114" s="302"/>
      <c r="C114" s="312" t="s">
        <v>858</v>
      </c>
      <c r="D114" s="313" t="s">
        <v>859</v>
      </c>
      <c r="E114" s="304"/>
      <c r="F114" s="304"/>
      <c r="G114" s="316"/>
      <c r="H114" s="317"/>
      <c r="I114" s="317"/>
      <c r="J114" s="317"/>
      <c r="K114" s="334">
        <f>K113*10/100</f>
        <v>8103.0780000000004</v>
      </c>
      <c r="L114" s="301"/>
      <c r="M114" s="301"/>
      <c r="N114" s="301"/>
      <c r="O114" s="301"/>
      <c r="P114" s="301"/>
      <c r="Q114" s="301"/>
      <c r="R114" s="301"/>
      <c r="S114" s="301"/>
      <c r="T114" s="301"/>
      <c r="U114" s="301"/>
      <c r="V114" s="301"/>
      <c r="W114" s="301"/>
      <c r="X114" s="301"/>
      <c r="Y114" s="301"/>
      <c r="Z114" s="301"/>
      <c r="AA114" s="301"/>
      <c r="AB114" s="301"/>
      <c r="AC114" s="301"/>
      <c r="AD114" s="301"/>
      <c r="AE114" s="301"/>
      <c r="AF114" s="301"/>
      <c r="AG114" s="301"/>
      <c r="AH114" s="301"/>
      <c r="AI114" s="301"/>
      <c r="AJ114" s="301"/>
      <c r="AK114" s="301"/>
      <c r="AL114" s="301"/>
      <c r="AM114" s="301"/>
      <c r="AN114" s="301"/>
      <c r="AO114" s="301"/>
      <c r="AP114" s="301"/>
      <c r="AQ114" s="301"/>
      <c r="AR114" s="301"/>
      <c r="AS114" s="301"/>
      <c r="AT114" s="301"/>
      <c r="AU114" s="301"/>
      <c r="AV114" s="301"/>
      <c r="AW114" s="301"/>
      <c r="AX114" s="301"/>
      <c r="AY114" s="301"/>
      <c r="AZ114" s="301"/>
      <c r="BA114" s="301"/>
      <c r="BB114" s="301"/>
      <c r="BC114" s="301"/>
      <c r="BD114" s="301"/>
      <c r="BE114" s="301"/>
      <c r="BF114" s="301"/>
      <c r="BG114" s="301"/>
      <c r="BH114" s="301"/>
      <c r="BI114" s="301"/>
      <c r="BJ114" s="301"/>
      <c r="BK114" s="301"/>
      <c r="BL114" s="301"/>
      <c r="BM114" s="301"/>
      <c r="BN114" s="301"/>
      <c r="BO114" s="301"/>
      <c r="BP114" s="301"/>
      <c r="BQ114" s="301"/>
      <c r="BR114" s="301"/>
      <c r="BS114" s="301"/>
      <c r="BT114" s="301"/>
      <c r="BU114" s="301"/>
      <c r="BV114" s="301"/>
      <c r="BW114" s="301"/>
      <c r="BX114" s="301"/>
      <c r="BY114" s="301"/>
      <c r="BZ114" s="301"/>
      <c r="CA114" s="301"/>
      <c r="CB114" s="301"/>
      <c r="CC114" s="301"/>
      <c r="CD114" s="301"/>
      <c r="CE114" s="301"/>
      <c r="CF114" s="301"/>
      <c r="CG114" s="301"/>
      <c r="CH114" s="301"/>
      <c r="CI114" s="301"/>
      <c r="CJ114" s="301"/>
      <c r="CK114" s="301"/>
      <c r="CL114" s="301"/>
      <c r="CM114" s="301"/>
      <c r="CN114" s="301"/>
      <c r="CO114" s="301"/>
      <c r="CP114" s="301"/>
      <c r="CQ114" s="301"/>
      <c r="CR114" s="301"/>
      <c r="CS114" s="301"/>
      <c r="CT114" s="301"/>
      <c r="CU114" s="301"/>
      <c r="CV114" s="301"/>
      <c r="CW114" s="301"/>
      <c r="CX114" s="301"/>
      <c r="CY114" s="301"/>
      <c r="CZ114" s="301"/>
      <c r="DA114" s="301"/>
      <c r="DB114" s="301"/>
      <c r="DC114" s="301"/>
      <c r="DD114" s="301"/>
      <c r="DE114" s="301"/>
      <c r="DF114" s="301"/>
      <c r="DG114" s="301"/>
      <c r="DH114" s="301"/>
      <c r="DI114" s="301"/>
      <c r="DJ114" s="301"/>
      <c r="DK114" s="301"/>
      <c r="DL114" s="301"/>
      <c r="DM114" s="301"/>
      <c r="DN114" s="301"/>
      <c r="DO114" s="301"/>
      <c r="DP114" s="301"/>
      <c r="DQ114" s="301"/>
      <c r="DR114" s="301"/>
      <c r="DS114" s="301"/>
      <c r="DT114" s="301"/>
      <c r="DU114" s="301"/>
      <c r="DV114" s="301"/>
      <c r="DW114" s="301"/>
      <c r="DX114" s="301"/>
      <c r="DY114" s="301"/>
      <c r="DZ114" s="301"/>
      <c r="EA114" s="301"/>
      <c r="EB114" s="301"/>
      <c r="EC114" s="301"/>
      <c r="ED114" s="301"/>
      <c r="EE114" s="301"/>
      <c r="EF114" s="301"/>
      <c r="EG114" s="301"/>
      <c r="EH114" s="301"/>
      <c r="EI114" s="301"/>
      <c r="EJ114" s="301"/>
      <c r="EK114" s="301"/>
      <c r="EL114" s="301"/>
      <c r="EM114" s="301"/>
      <c r="EN114" s="301"/>
      <c r="EO114" s="301"/>
      <c r="EP114" s="301"/>
      <c r="EQ114" s="301"/>
      <c r="ER114" s="301"/>
      <c r="ES114" s="301"/>
      <c r="ET114" s="301"/>
      <c r="EU114" s="301"/>
      <c r="EV114" s="301"/>
      <c r="EW114" s="301"/>
      <c r="EX114" s="301"/>
      <c r="EY114" s="301"/>
      <c r="EZ114" s="301"/>
      <c r="FA114" s="301"/>
      <c r="FB114" s="301"/>
      <c r="FC114" s="301"/>
      <c r="FD114" s="301"/>
      <c r="FE114" s="301"/>
      <c r="FF114" s="301"/>
      <c r="FG114" s="301"/>
      <c r="FH114" s="301"/>
      <c r="FI114" s="301"/>
      <c r="FJ114" s="301"/>
      <c r="FK114" s="301"/>
      <c r="FL114" s="301"/>
      <c r="FM114" s="301"/>
      <c r="FN114" s="301"/>
      <c r="FO114" s="301"/>
      <c r="FP114" s="301"/>
      <c r="FQ114" s="301"/>
      <c r="FR114" s="301"/>
      <c r="FS114" s="301"/>
      <c r="FT114" s="301"/>
      <c r="FU114" s="301"/>
      <c r="FV114" s="301"/>
      <c r="FW114" s="301"/>
      <c r="FX114" s="301"/>
      <c r="FY114" s="301"/>
      <c r="FZ114" s="301"/>
      <c r="GA114" s="301"/>
      <c r="GB114" s="301"/>
      <c r="GC114" s="301"/>
      <c r="GD114" s="301"/>
      <c r="GE114" s="301"/>
      <c r="GF114" s="301"/>
      <c r="GG114" s="301"/>
      <c r="GH114" s="301"/>
      <c r="GI114" s="301"/>
      <c r="GJ114" s="301"/>
      <c r="GK114" s="301"/>
      <c r="GL114" s="301"/>
      <c r="GM114" s="301"/>
      <c r="GN114" s="301"/>
      <c r="GO114" s="301"/>
      <c r="GP114" s="301"/>
      <c r="GQ114" s="301"/>
      <c r="GR114" s="301"/>
      <c r="GS114" s="301"/>
      <c r="GT114" s="301"/>
      <c r="GU114" s="301"/>
      <c r="GV114" s="301"/>
      <c r="GW114" s="301"/>
      <c r="GX114" s="301"/>
      <c r="GY114" s="301"/>
      <c r="GZ114" s="301"/>
      <c r="HA114" s="301"/>
      <c r="HB114" s="301"/>
      <c r="HC114" s="301"/>
      <c r="HD114" s="301"/>
      <c r="HE114" s="301"/>
      <c r="HF114" s="301"/>
      <c r="HG114" s="301"/>
      <c r="HH114" s="301"/>
      <c r="HI114" s="301"/>
      <c r="HJ114" s="301"/>
      <c r="HK114" s="301"/>
      <c r="HL114" s="301"/>
      <c r="HM114" s="301"/>
      <c r="HN114" s="301"/>
      <c r="HO114" s="301"/>
      <c r="HP114" s="301"/>
      <c r="HQ114" s="301"/>
      <c r="HR114" s="301"/>
      <c r="HS114" s="301"/>
      <c r="HT114" s="301"/>
      <c r="HU114" s="301"/>
      <c r="HV114" s="301"/>
      <c r="HW114" s="301"/>
      <c r="HX114" s="301"/>
      <c r="HY114" s="301"/>
      <c r="HZ114" s="301"/>
      <c r="IA114" s="301"/>
      <c r="IB114" s="301"/>
      <c r="IC114" s="301"/>
      <c r="ID114" s="301"/>
      <c r="IE114" s="301"/>
      <c r="IF114" s="301"/>
      <c r="IG114" s="301"/>
      <c r="IH114" s="301"/>
      <c r="II114" s="301"/>
      <c r="IJ114" s="301"/>
      <c r="IK114" s="301"/>
      <c r="IL114" s="301"/>
      <c r="IM114" s="301"/>
      <c r="IN114" s="301"/>
      <c r="IO114" s="301"/>
      <c r="IP114" s="301"/>
      <c r="IQ114" s="301"/>
      <c r="IR114" s="301"/>
      <c r="IS114" s="301"/>
      <c r="IT114" s="301"/>
      <c r="IU114" s="301"/>
      <c r="IV114" s="301"/>
    </row>
    <row r="115" spans="1:256" ht="15" hidden="1">
      <c r="A115" s="301"/>
      <c r="B115" s="339"/>
      <c r="C115" s="304"/>
      <c r="D115" s="343"/>
      <c r="E115" s="359" t="s">
        <v>860</v>
      </c>
      <c r="F115" s="304"/>
      <c r="G115" s="304"/>
      <c r="H115" s="304"/>
      <c r="I115" s="360"/>
      <c r="J115" s="360"/>
      <c r="K115" s="356">
        <f>SUM(K113:K114)</f>
        <v>89133.857999999993</v>
      </c>
      <c r="L115" s="301"/>
      <c r="M115" s="301"/>
      <c r="N115" s="301"/>
      <c r="O115" s="301"/>
      <c r="P115" s="301"/>
      <c r="Q115" s="301"/>
      <c r="R115" s="301"/>
      <c r="S115" s="301"/>
      <c r="T115" s="301"/>
      <c r="U115" s="301"/>
      <c r="V115" s="301"/>
      <c r="W115" s="301"/>
      <c r="X115" s="301"/>
      <c r="Y115" s="301"/>
      <c r="Z115" s="301"/>
      <c r="AA115" s="301"/>
      <c r="AB115" s="301"/>
      <c r="AC115" s="301"/>
      <c r="AD115" s="301"/>
      <c r="AE115" s="301"/>
      <c r="AF115" s="301"/>
      <c r="AG115" s="301"/>
      <c r="AH115" s="301"/>
      <c r="AI115" s="301"/>
      <c r="AJ115" s="301"/>
      <c r="AK115" s="301"/>
      <c r="AL115" s="301"/>
      <c r="AM115" s="301"/>
      <c r="AN115" s="301"/>
      <c r="AO115" s="301"/>
      <c r="AP115" s="301"/>
      <c r="AQ115" s="301"/>
      <c r="AR115" s="301"/>
      <c r="AS115" s="301"/>
      <c r="AT115" s="301"/>
      <c r="AU115" s="301"/>
      <c r="AV115" s="301"/>
      <c r="AW115" s="301"/>
      <c r="AX115" s="301"/>
      <c r="AY115" s="301"/>
      <c r="AZ115" s="301"/>
      <c r="BA115" s="301"/>
      <c r="BB115" s="301"/>
      <c r="BC115" s="301"/>
      <c r="BD115" s="301"/>
      <c r="BE115" s="301"/>
      <c r="BF115" s="301"/>
      <c r="BG115" s="301"/>
      <c r="BH115" s="301"/>
      <c r="BI115" s="301"/>
      <c r="BJ115" s="301"/>
      <c r="BK115" s="301"/>
      <c r="BL115" s="301"/>
      <c r="BM115" s="301"/>
      <c r="BN115" s="301"/>
      <c r="BO115" s="301"/>
      <c r="BP115" s="301"/>
      <c r="BQ115" s="301"/>
      <c r="BR115" s="301"/>
      <c r="BS115" s="301"/>
      <c r="BT115" s="301"/>
      <c r="BU115" s="301"/>
      <c r="BV115" s="301"/>
      <c r="BW115" s="301"/>
      <c r="BX115" s="301"/>
      <c r="BY115" s="301"/>
      <c r="BZ115" s="301"/>
      <c r="CA115" s="301"/>
      <c r="CB115" s="301"/>
      <c r="CC115" s="301"/>
      <c r="CD115" s="301"/>
      <c r="CE115" s="301"/>
      <c r="CF115" s="301"/>
      <c r="CG115" s="301"/>
      <c r="CH115" s="301"/>
      <c r="CI115" s="301"/>
      <c r="CJ115" s="301"/>
      <c r="CK115" s="301"/>
      <c r="CL115" s="301"/>
      <c r="CM115" s="301"/>
      <c r="CN115" s="301"/>
      <c r="CO115" s="301"/>
      <c r="CP115" s="301"/>
      <c r="CQ115" s="301"/>
      <c r="CR115" s="301"/>
      <c r="CS115" s="301"/>
      <c r="CT115" s="301"/>
      <c r="CU115" s="301"/>
      <c r="CV115" s="301"/>
      <c r="CW115" s="301"/>
      <c r="CX115" s="301"/>
      <c r="CY115" s="301"/>
      <c r="CZ115" s="301"/>
      <c r="DA115" s="301"/>
      <c r="DB115" s="301"/>
      <c r="DC115" s="301"/>
      <c r="DD115" s="301"/>
      <c r="DE115" s="301"/>
      <c r="DF115" s="301"/>
      <c r="DG115" s="301"/>
      <c r="DH115" s="301"/>
      <c r="DI115" s="301"/>
      <c r="DJ115" s="301"/>
      <c r="DK115" s="301"/>
      <c r="DL115" s="301"/>
      <c r="DM115" s="301"/>
      <c r="DN115" s="301"/>
      <c r="DO115" s="301"/>
      <c r="DP115" s="301"/>
      <c r="DQ115" s="301"/>
      <c r="DR115" s="301"/>
      <c r="DS115" s="301"/>
      <c r="DT115" s="301"/>
      <c r="DU115" s="301"/>
      <c r="DV115" s="301"/>
      <c r="DW115" s="301"/>
      <c r="DX115" s="301"/>
      <c r="DY115" s="301"/>
      <c r="DZ115" s="301"/>
      <c r="EA115" s="301"/>
      <c r="EB115" s="301"/>
      <c r="EC115" s="301"/>
      <c r="ED115" s="301"/>
      <c r="EE115" s="301"/>
      <c r="EF115" s="301"/>
      <c r="EG115" s="301"/>
      <c r="EH115" s="301"/>
      <c r="EI115" s="301"/>
      <c r="EJ115" s="301"/>
      <c r="EK115" s="301"/>
      <c r="EL115" s="301"/>
      <c r="EM115" s="301"/>
      <c r="EN115" s="301"/>
      <c r="EO115" s="301"/>
      <c r="EP115" s="301"/>
      <c r="EQ115" s="301"/>
      <c r="ER115" s="301"/>
      <c r="ES115" s="301"/>
      <c r="ET115" s="301"/>
      <c r="EU115" s="301"/>
      <c r="EV115" s="301"/>
      <c r="EW115" s="301"/>
      <c r="EX115" s="301"/>
      <c r="EY115" s="301"/>
      <c r="EZ115" s="301"/>
      <c r="FA115" s="301"/>
      <c r="FB115" s="301"/>
      <c r="FC115" s="301"/>
      <c r="FD115" s="301"/>
      <c r="FE115" s="301"/>
      <c r="FF115" s="301"/>
      <c r="FG115" s="301"/>
      <c r="FH115" s="301"/>
      <c r="FI115" s="301"/>
      <c r="FJ115" s="301"/>
      <c r="FK115" s="301"/>
      <c r="FL115" s="301"/>
      <c r="FM115" s="301"/>
      <c r="FN115" s="301"/>
      <c r="FO115" s="301"/>
      <c r="FP115" s="301"/>
      <c r="FQ115" s="301"/>
      <c r="FR115" s="301"/>
      <c r="FS115" s="301"/>
      <c r="FT115" s="301"/>
      <c r="FU115" s="301"/>
      <c r="FV115" s="301"/>
      <c r="FW115" s="301"/>
      <c r="FX115" s="301"/>
      <c r="FY115" s="301"/>
      <c r="FZ115" s="301"/>
      <c r="GA115" s="301"/>
      <c r="GB115" s="301"/>
      <c r="GC115" s="301"/>
      <c r="GD115" s="301"/>
      <c r="GE115" s="301"/>
      <c r="GF115" s="301"/>
      <c r="GG115" s="301"/>
      <c r="GH115" s="301"/>
      <c r="GI115" s="301"/>
      <c r="GJ115" s="301"/>
      <c r="GK115" s="301"/>
      <c r="GL115" s="301"/>
      <c r="GM115" s="301"/>
      <c r="GN115" s="301"/>
      <c r="GO115" s="301"/>
      <c r="GP115" s="301"/>
      <c r="GQ115" s="301"/>
      <c r="GR115" s="301"/>
      <c r="GS115" s="301"/>
      <c r="GT115" s="301"/>
      <c r="GU115" s="301"/>
      <c r="GV115" s="301"/>
      <c r="GW115" s="301"/>
      <c r="GX115" s="301"/>
      <c r="GY115" s="301"/>
      <c r="GZ115" s="301"/>
      <c r="HA115" s="301"/>
      <c r="HB115" s="301"/>
      <c r="HC115" s="301"/>
      <c r="HD115" s="301"/>
      <c r="HE115" s="301"/>
      <c r="HF115" s="301"/>
      <c r="HG115" s="301"/>
      <c r="HH115" s="301"/>
      <c r="HI115" s="301"/>
      <c r="HJ115" s="301"/>
      <c r="HK115" s="301"/>
      <c r="HL115" s="301"/>
      <c r="HM115" s="301"/>
      <c r="HN115" s="301"/>
      <c r="HO115" s="301"/>
      <c r="HP115" s="301"/>
      <c r="HQ115" s="301"/>
      <c r="HR115" s="301"/>
      <c r="HS115" s="301"/>
      <c r="HT115" s="301"/>
      <c r="HU115" s="301"/>
      <c r="HV115" s="301"/>
      <c r="HW115" s="301"/>
      <c r="HX115" s="301"/>
      <c r="HY115" s="301"/>
      <c r="HZ115" s="301"/>
      <c r="IA115" s="301"/>
      <c r="IB115" s="301"/>
      <c r="IC115" s="301"/>
      <c r="ID115" s="301"/>
      <c r="IE115" s="301"/>
      <c r="IF115" s="301"/>
      <c r="IG115" s="301"/>
      <c r="IH115" s="301"/>
      <c r="II115" s="301"/>
      <c r="IJ115" s="301"/>
      <c r="IK115" s="301"/>
      <c r="IL115" s="301"/>
      <c r="IM115" s="301"/>
      <c r="IN115" s="301"/>
      <c r="IO115" s="301"/>
      <c r="IP115" s="301"/>
      <c r="IQ115" s="301"/>
      <c r="IR115" s="301"/>
      <c r="IS115" s="301"/>
      <c r="IT115" s="301"/>
      <c r="IU115" s="301"/>
      <c r="IV115" s="301"/>
    </row>
    <row r="116" spans="1:256" ht="15" hidden="1">
      <c r="A116" s="301"/>
      <c r="B116" s="339"/>
      <c r="C116" s="304"/>
      <c r="D116" s="304"/>
      <c r="E116" s="304" t="s">
        <v>861</v>
      </c>
      <c r="F116" s="304"/>
      <c r="G116" s="304"/>
      <c r="H116" s="304"/>
      <c r="I116" s="360"/>
      <c r="J116" s="360"/>
      <c r="K116" s="329">
        <f>K115/15</f>
        <v>5942.2571999999991</v>
      </c>
      <c r="L116" s="301"/>
      <c r="M116" s="301"/>
      <c r="N116" s="301"/>
      <c r="O116" s="301"/>
      <c r="P116" s="301"/>
      <c r="Q116" s="301"/>
      <c r="R116" s="301"/>
      <c r="S116" s="301"/>
      <c r="T116" s="301"/>
      <c r="U116" s="301"/>
      <c r="V116" s="301"/>
      <c r="W116" s="301"/>
      <c r="X116" s="301"/>
      <c r="Y116" s="301"/>
      <c r="Z116" s="301"/>
      <c r="AA116" s="301"/>
      <c r="AB116" s="301"/>
      <c r="AC116" s="301"/>
      <c r="AD116" s="301"/>
      <c r="AE116" s="301"/>
      <c r="AF116" s="301"/>
      <c r="AG116" s="301"/>
      <c r="AH116" s="301"/>
      <c r="AI116" s="301"/>
      <c r="AJ116" s="301"/>
      <c r="AK116" s="301"/>
      <c r="AL116" s="301"/>
      <c r="AM116" s="301"/>
      <c r="AN116" s="301"/>
      <c r="AO116" s="301"/>
      <c r="AP116" s="301"/>
      <c r="AQ116" s="301"/>
      <c r="AR116" s="301"/>
      <c r="AS116" s="301"/>
      <c r="AT116" s="301"/>
      <c r="AU116" s="301"/>
      <c r="AV116" s="301"/>
      <c r="AW116" s="301"/>
      <c r="AX116" s="301"/>
      <c r="AY116" s="301"/>
      <c r="AZ116" s="301"/>
      <c r="BA116" s="301"/>
      <c r="BB116" s="301"/>
      <c r="BC116" s="301"/>
      <c r="BD116" s="301"/>
      <c r="BE116" s="301"/>
      <c r="BF116" s="301"/>
      <c r="BG116" s="301"/>
      <c r="BH116" s="301"/>
      <c r="BI116" s="301"/>
      <c r="BJ116" s="301"/>
      <c r="BK116" s="301"/>
      <c r="BL116" s="301"/>
      <c r="BM116" s="301"/>
      <c r="BN116" s="301"/>
      <c r="BO116" s="301"/>
      <c r="BP116" s="301"/>
      <c r="BQ116" s="301"/>
      <c r="BR116" s="301"/>
      <c r="BS116" s="301"/>
      <c r="BT116" s="301"/>
      <c r="BU116" s="301"/>
      <c r="BV116" s="301"/>
      <c r="BW116" s="301"/>
      <c r="BX116" s="301"/>
      <c r="BY116" s="301"/>
      <c r="BZ116" s="301"/>
      <c r="CA116" s="301"/>
      <c r="CB116" s="301"/>
      <c r="CC116" s="301"/>
      <c r="CD116" s="301"/>
      <c r="CE116" s="301"/>
      <c r="CF116" s="301"/>
      <c r="CG116" s="301"/>
      <c r="CH116" s="301"/>
      <c r="CI116" s="301"/>
      <c r="CJ116" s="301"/>
      <c r="CK116" s="301"/>
      <c r="CL116" s="301"/>
      <c r="CM116" s="301"/>
      <c r="CN116" s="301"/>
      <c r="CO116" s="301"/>
      <c r="CP116" s="301"/>
      <c r="CQ116" s="301"/>
      <c r="CR116" s="301"/>
      <c r="CS116" s="301"/>
      <c r="CT116" s="301"/>
      <c r="CU116" s="301"/>
      <c r="CV116" s="301"/>
      <c r="CW116" s="301"/>
      <c r="CX116" s="301"/>
      <c r="CY116" s="301"/>
      <c r="CZ116" s="301"/>
      <c r="DA116" s="301"/>
      <c r="DB116" s="301"/>
      <c r="DC116" s="301"/>
      <c r="DD116" s="301"/>
      <c r="DE116" s="301"/>
      <c r="DF116" s="301"/>
      <c r="DG116" s="301"/>
      <c r="DH116" s="301"/>
      <c r="DI116" s="301"/>
      <c r="DJ116" s="301"/>
      <c r="DK116" s="301"/>
      <c r="DL116" s="301"/>
      <c r="DM116" s="301"/>
      <c r="DN116" s="301"/>
      <c r="DO116" s="301"/>
      <c r="DP116" s="301"/>
      <c r="DQ116" s="301"/>
      <c r="DR116" s="301"/>
      <c r="DS116" s="301"/>
      <c r="DT116" s="301"/>
      <c r="DU116" s="301"/>
      <c r="DV116" s="301"/>
      <c r="DW116" s="301"/>
      <c r="DX116" s="301"/>
      <c r="DY116" s="301"/>
      <c r="DZ116" s="301"/>
      <c r="EA116" s="301"/>
      <c r="EB116" s="301"/>
      <c r="EC116" s="301"/>
      <c r="ED116" s="301"/>
      <c r="EE116" s="301"/>
      <c r="EF116" s="301"/>
      <c r="EG116" s="301"/>
      <c r="EH116" s="301"/>
      <c r="EI116" s="301"/>
      <c r="EJ116" s="301"/>
      <c r="EK116" s="301"/>
      <c r="EL116" s="301"/>
      <c r="EM116" s="301"/>
      <c r="EN116" s="301"/>
      <c r="EO116" s="301"/>
      <c r="EP116" s="301"/>
      <c r="EQ116" s="301"/>
      <c r="ER116" s="301"/>
      <c r="ES116" s="301"/>
      <c r="ET116" s="301"/>
      <c r="EU116" s="301"/>
      <c r="EV116" s="301"/>
      <c r="EW116" s="301"/>
      <c r="EX116" s="301"/>
      <c r="EY116" s="301"/>
      <c r="EZ116" s="301"/>
      <c r="FA116" s="301"/>
      <c r="FB116" s="301"/>
      <c r="FC116" s="301"/>
      <c r="FD116" s="301"/>
      <c r="FE116" s="301"/>
      <c r="FF116" s="301"/>
      <c r="FG116" s="301"/>
      <c r="FH116" s="301"/>
      <c r="FI116" s="301"/>
      <c r="FJ116" s="301"/>
      <c r="FK116" s="301"/>
      <c r="FL116" s="301"/>
      <c r="FM116" s="301"/>
      <c r="FN116" s="301"/>
      <c r="FO116" s="301"/>
      <c r="FP116" s="301"/>
      <c r="FQ116" s="301"/>
      <c r="FR116" s="301"/>
      <c r="FS116" s="301"/>
      <c r="FT116" s="301"/>
      <c r="FU116" s="301"/>
      <c r="FV116" s="301"/>
      <c r="FW116" s="301"/>
      <c r="FX116" s="301"/>
      <c r="FY116" s="301"/>
      <c r="FZ116" s="301"/>
      <c r="GA116" s="301"/>
      <c r="GB116" s="301"/>
      <c r="GC116" s="301"/>
      <c r="GD116" s="301"/>
      <c r="GE116" s="301"/>
      <c r="GF116" s="301"/>
      <c r="GG116" s="301"/>
      <c r="GH116" s="301"/>
      <c r="GI116" s="301"/>
      <c r="GJ116" s="301"/>
      <c r="GK116" s="301"/>
      <c r="GL116" s="301"/>
      <c r="GM116" s="301"/>
      <c r="GN116" s="301"/>
      <c r="GO116" s="301"/>
      <c r="GP116" s="301"/>
      <c r="GQ116" s="301"/>
      <c r="GR116" s="301"/>
      <c r="GS116" s="301"/>
      <c r="GT116" s="301"/>
      <c r="GU116" s="301"/>
      <c r="GV116" s="301"/>
      <c r="GW116" s="301"/>
      <c r="GX116" s="301"/>
      <c r="GY116" s="301"/>
      <c r="GZ116" s="301"/>
      <c r="HA116" s="301"/>
      <c r="HB116" s="301"/>
      <c r="HC116" s="301"/>
      <c r="HD116" s="301"/>
      <c r="HE116" s="301"/>
      <c r="HF116" s="301"/>
      <c r="HG116" s="301"/>
      <c r="HH116" s="301"/>
      <c r="HI116" s="301"/>
      <c r="HJ116" s="301"/>
      <c r="HK116" s="301"/>
      <c r="HL116" s="301"/>
      <c r="HM116" s="301"/>
      <c r="HN116" s="301"/>
      <c r="HO116" s="301"/>
      <c r="HP116" s="301"/>
      <c r="HQ116" s="301"/>
      <c r="HR116" s="301"/>
      <c r="HS116" s="301"/>
      <c r="HT116" s="301"/>
      <c r="HU116" s="301"/>
      <c r="HV116" s="301"/>
      <c r="HW116" s="301"/>
      <c r="HX116" s="301"/>
      <c r="HY116" s="301"/>
      <c r="HZ116" s="301"/>
      <c r="IA116" s="301"/>
      <c r="IB116" s="301"/>
      <c r="IC116" s="301"/>
      <c r="ID116" s="301"/>
      <c r="IE116" s="301"/>
      <c r="IF116" s="301"/>
      <c r="IG116" s="301"/>
      <c r="IH116" s="301"/>
      <c r="II116" s="301"/>
      <c r="IJ116" s="301"/>
      <c r="IK116" s="301"/>
      <c r="IL116" s="301"/>
      <c r="IM116" s="301"/>
      <c r="IN116" s="301"/>
      <c r="IO116" s="301"/>
      <c r="IP116" s="301"/>
      <c r="IQ116" s="301"/>
      <c r="IR116" s="301"/>
      <c r="IS116" s="301"/>
      <c r="IT116" s="301"/>
      <c r="IU116" s="301"/>
      <c r="IV116" s="301"/>
    </row>
    <row r="117" spans="1:256" ht="15" hidden="1">
      <c r="A117" s="301"/>
      <c r="B117" s="339"/>
      <c r="C117" s="304"/>
      <c r="D117" s="304"/>
      <c r="E117" s="304" t="s">
        <v>849</v>
      </c>
      <c r="F117" s="304"/>
      <c r="G117" s="304"/>
      <c r="H117" s="304"/>
      <c r="I117" s="304"/>
      <c r="J117" s="304"/>
      <c r="K117" s="335">
        <f>ROUND(K116,0)</f>
        <v>5942</v>
      </c>
      <c r="L117" s="301"/>
      <c r="M117" s="301"/>
      <c r="N117" s="301"/>
      <c r="O117" s="301"/>
      <c r="P117" s="301"/>
      <c r="Q117" s="301"/>
      <c r="R117" s="301"/>
      <c r="S117" s="301"/>
      <c r="T117" s="301"/>
      <c r="U117" s="301"/>
      <c r="V117" s="301"/>
      <c r="W117" s="301"/>
      <c r="X117" s="301"/>
      <c r="Y117" s="301"/>
      <c r="Z117" s="301"/>
      <c r="AA117" s="301"/>
      <c r="AB117" s="301"/>
      <c r="AC117" s="301"/>
      <c r="AD117" s="301"/>
      <c r="AE117" s="301"/>
      <c r="AF117" s="301"/>
      <c r="AG117" s="301"/>
      <c r="AH117" s="301"/>
      <c r="AI117" s="301"/>
      <c r="AJ117" s="301"/>
      <c r="AK117" s="301"/>
      <c r="AL117" s="301"/>
      <c r="AM117" s="301"/>
      <c r="AN117" s="301"/>
      <c r="AO117" s="301"/>
      <c r="AP117" s="301"/>
      <c r="AQ117" s="301"/>
      <c r="AR117" s="301"/>
      <c r="AS117" s="301"/>
      <c r="AT117" s="301"/>
      <c r="AU117" s="301"/>
      <c r="AV117" s="301"/>
      <c r="AW117" s="301"/>
      <c r="AX117" s="301"/>
      <c r="AY117" s="301"/>
      <c r="AZ117" s="301"/>
      <c r="BA117" s="301"/>
      <c r="BB117" s="301"/>
      <c r="BC117" s="301"/>
      <c r="BD117" s="301"/>
      <c r="BE117" s="301"/>
      <c r="BF117" s="301"/>
      <c r="BG117" s="301"/>
      <c r="BH117" s="301"/>
      <c r="BI117" s="301"/>
      <c r="BJ117" s="301"/>
      <c r="BK117" s="301"/>
      <c r="BL117" s="301"/>
      <c r="BM117" s="301"/>
      <c r="BN117" s="301"/>
      <c r="BO117" s="301"/>
      <c r="BP117" s="301"/>
      <c r="BQ117" s="301"/>
      <c r="BR117" s="301"/>
      <c r="BS117" s="301"/>
      <c r="BT117" s="301"/>
      <c r="BU117" s="301"/>
      <c r="BV117" s="301"/>
      <c r="BW117" s="301"/>
      <c r="BX117" s="301"/>
      <c r="BY117" s="301"/>
      <c r="BZ117" s="301"/>
      <c r="CA117" s="301"/>
      <c r="CB117" s="301"/>
      <c r="CC117" s="301"/>
      <c r="CD117" s="301"/>
      <c r="CE117" s="301"/>
      <c r="CF117" s="301"/>
      <c r="CG117" s="301"/>
      <c r="CH117" s="301"/>
      <c r="CI117" s="301"/>
      <c r="CJ117" s="301"/>
      <c r="CK117" s="301"/>
      <c r="CL117" s="301"/>
      <c r="CM117" s="301"/>
      <c r="CN117" s="301"/>
      <c r="CO117" s="301"/>
      <c r="CP117" s="301"/>
      <c r="CQ117" s="301"/>
      <c r="CR117" s="301"/>
      <c r="CS117" s="301"/>
      <c r="CT117" s="301"/>
      <c r="CU117" s="301"/>
      <c r="CV117" s="301"/>
      <c r="CW117" s="301"/>
      <c r="CX117" s="301"/>
      <c r="CY117" s="301"/>
      <c r="CZ117" s="301"/>
      <c r="DA117" s="301"/>
      <c r="DB117" s="301"/>
      <c r="DC117" s="301"/>
      <c r="DD117" s="301"/>
      <c r="DE117" s="301"/>
      <c r="DF117" s="301"/>
      <c r="DG117" s="301"/>
      <c r="DH117" s="301"/>
      <c r="DI117" s="301"/>
      <c r="DJ117" s="301"/>
      <c r="DK117" s="301"/>
      <c r="DL117" s="301"/>
      <c r="DM117" s="301"/>
      <c r="DN117" s="301"/>
      <c r="DO117" s="301"/>
      <c r="DP117" s="301"/>
      <c r="DQ117" s="301"/>
      <c r="DR117" s="301"/>
      <c r="DS117" s="301"/>
      <c r="DT117" s="301"/>
      <c r="DU117" s="301"/>
      <c r="DV117" s="301"/>
      <c r="DW117" s="301"/>
      <c r="DX117" s="301"/>
      <c r="DY117" s="301"/>
      <c r="DZ117" s="301"/>
      <c r="EA117" s="301"/>
      <c r="EB117" s="301"/>
      <c r="EC117" s="301"/>
      <c r="ED117" s="301"/>
      <c r="EE117" s="301"/>
      <c r="EF117" s="301"/>
      <c r="EG117" s="301"/>
      <c r="EH117" s="301"/>
      <c r="EI117" s="301"/>
      <c r="EJ117" s="301"/>
      <c r="EK117" s="301"/>
      <c r="EL117" s="301"/>
      <c r="EM117" s="301"/>
      <c r="EN117" s="301"/>
      <c r="EO117" s="301"/>
      <c r="EP117" s="301"/>
      <c r="EQ117" s="301"/>
      <c r="ER117" s="301"/>
      <c r="ES117" s="301"/>
      <c r="ET117" s="301"/>
      <c r="EU117" s="301"/>
      <c r="EV117" s="301"/>
      <c r="EW117" s="301"/>
      <c r="EX117" s="301"/>
      <c r="EY117" s="301"/>
      <c r="EZ117" s="301"/>
      <c r="FA117" s="301"/>
      <c r="FB117" s="301"/>
      <c r="FC117" s="301"/>
      <c r="FD117" s="301"/>
      <c r="FE117" s="301"/>
      <c r="FF117" s="301"/>
      <c r="FG117" s="301"/>
      <c r="FH117" s="301"/>
      <c r="FI117" s="301"/>
      <c r="FJ117" s="301"/>
      <c r="FK117" s="301"/>
      <c r="FL117" s="301"/>
      <c r="FM117" s="301"/>
      <c r="FN117" s="301"/>
      <c r="FO117" s="301"/>
      <c r="FP117" s="301"/>
      <c r="FQ117" s="301"/>
      <c r="FR117" s="301"/>
      <c r="FS117" s="301"/>
      <c r="FT117" s="301"/>
      <c r="FU117" s="301"/>
      <c r="FV117" s="301"/>
      <c r="FW117" s="301"/>
      <c r="FX117" s="301"/>
      <c r="FY117" s="301"/>
      <c r="FZ117" s="301"/>
      <c r="GA117" s="301"/>
      <c r="GB117" s="301"/>
      <c r="GC117" s="301"/>
      <c r="GD117" s="301"/>
      <c r="GE117" s="301"/>
      <c r="GF117" s="301"/>
      <c r="GG117" s="301"/>
      <c r="GH117" s="301"/>
      <c r="GI117" s="301"/>
      <c r="GJ117" s="301"/>
      <c r="GK117" s="301"/>
      <c r="GL117" s="301"/>
      <c r="GM117" s="301"/>
      <c r="GN117" s="301"/>
      <c r="GO117" s="301"/>
      <c r="GP117" s="301"/>
      <c r="GQ117" s="301"/>
      <c r="GR117" s="301"/>
      <c r="GS117" s="301"/>
      <c r="GT117" s="301"/>
      <c r="GU117" s="301"/>
      <c r="GV117" s="301"/>
      <c r="GW117" s="301"/>
      <c r="GX117" s="301"/>
      <c r="GY117" s="301"/>
      <c r="GZ117" s="301"/>
      <c r="HA117" s="301"/>
      <c r="HB117" s="301"/>
      <c r="HC117" s="301"/>
      <c r="HD117" s="301"/>
      <c r="HE117" s="301"/>
      <c r="HF117" s="301"/>
      <c r="HG117" s="301"/>
      <c r="HH117" s="301"/>
      <c r="HI117" s="301"/>
      <c r="HJ117" s="301"/>
      <c r="HK117" s="301"/>
      <c r="HL117" s="301"/>
      <c r="HM117" s="301"/>
      <c r="HN117" s="301"/>
      <c r="HO117" s="301"/>
      <c r="HP117" s="301"/>
      <c r="HQ117" s="301"/>
      <c r="HR117" s="301"/>
      <c r="HS117" s="301"/>
      <c r="HT117" s="301"/>
      <c r="HU117" s="301"/>
      <c r="HV117" s="301"/>
      <c r="HW117" s="301"/>
      <c r="HX117" s="301"/>
      <c r="HY117" s="301"/>
      <c r="HZ117" s="301"/>
      <c r="IA117" s="301"/>
      <c r="IB117" s="301"/>
      <c r="IC117" s="301"/>
      <c r="ID117" s="301"/>
      <c r="IE117" s="301"/>
      <c r="IF117" s="301"/>
      <c r="IG117" s="301"/>
      <c r="IH117" s="301"/>
      <c r="II117" s="301"/>
      <c r="IJ117" s="301"/>
      <c r="IK117" s="301"/>
      <c r="IL117" s="301"/>
      <c r="IM117" s="301"/>
      <c r="IN117" s="301"/>
      <c r="IO117" s="301"/>
      <c r="IP117" s="301"/>
      <c r="IQ117" s="301"/>
      <c r="IR117" s="301"/>
      <c r="IS117" s="301"/>
      <c r="IT117" s="301"/>
      <c r="IU117" s="301"/>
      <c r="IV117" s="301"/>
    </row>
    <row r="118" spans="1:256" ht="15" hidden="1">
      <c r="A118" s="301"/>
      <c r="B118" s="339"/>
      <c r="C118" s="304"/>
      <c r="D118" s="304"/>
      <c r="E118" s="304"/>
      <c r="F118" s="304"/>
      <c r="G118" s="304"/>
      <c r="H118" s="304"/>
      <c r="I118" s="304"/>
      <c r="J118" s="304"/>
      <c r="K118" s="337" t="s">
        <v>367</v>
      </c>
      <c r="L118" s="301"/>
      <c r="M118" s="301"/>
      <c r="N118" s="301"/>
      <c r="O118" s="301"/>
      <c r="P118" s="301"/>
      <c r="Q118" s="301"/>
      <c r="R118" s="301"/>
      <c r="S118" s="301"/>
      <c r="T118" s="301"/>
      <c r="U118" s="301"/>
      <c r="V118" s="301"/>
      <c r="W118" s="301"/>
      <c r="X118" s="301"/>
      <c r="Y118" s="301"/>
      <c r="Z118" s="301"/>
      <c r="AA118" s="301"/>
      <c r="AB118" s="301"/>
      <c r="AC118" s="301"/>
      <c r="AD118" s="301"/>
      <c r="AE118" s="301"/>
      <c r="AF118" s="301"/>
      <c r="AG118" s="301"/>
      <c r="AH118" s="301"/>
      <c r="AI118" s="301"/>
      <c r="AJ118" s="301"/>
      <c r="AK118" s="301"/>
      <c r="AL118" s="301"/>
      <c r="AM118" s="301"/>
      <c r="AN118" s="301"/>
      <c r="AO118" s="301"/>
      <c r="AP118" s="301"/>
      <c r="AQ118" s="301"/>
      <c r="AR118" s="301"/>
      <c r="AS118" s="301"/>
      <c r="AT118" s="301"/>
      <c r="AU118" s="301"/>
      <c r="AV118" s="301"/>
      <c r="AW118" s="301"/>
      <c r="AX118" s="301"/>
      <c r="AY118" s="301"/>
      <c r="AZ118" s="301"/>
      <c r="BA118" s="301"/>
      <c r="BB118" s="301"/>
      <c r="BC118" s="301"/>
      <c r="BD118" s="301"/>
      <c r="BE118" s="301"/>
      <c r="BF118" s="301"/>
      <c r="BG118" s="301"/>
      <c r="BH118" s="301"/>
      <c r="BI118" s="301"/>
      <c r="BJ118" s="301"/>
      <c r="BK118" s="301"/>
      <c r="BL118" s="301"/>
      <c r="BM118" s="301"/>
      <c r="BN118" s="301"/>
      <c r="BO118" s="301"/>
      <c r="BP118" s="301"/>
      <c r="BQ118" s="301"/>
      <c r="BR118" s="301"/>
      <c r="BS118" s="301"/>
      <c r="BT118" s="301"/>
      <c r="BU118" s="301"/>
      <c r="BV118" s="301"/>
      <c r="BW118" s="301"/>
      <c r="BX118" s="301"/>
      <c r="BY118" s="301"/>
      <c r="BZ118" s="301"/>
      <c r="CA118" s="301"/>
      <c r="CB118" s="301"/>
      <c r="CC118" s="301"/>
      <c r="CD118" s="301"/>
      <c r="CE118" s="301"/>
      <c r="CF118" s="301"/>
      <c r="CG118" s="301"/>
      <c r="CH118" s="301"/>
      <c r="CI118" s="301"/>
      <c r="CJ118" s="301"/>
      <c r="CK118" s="301"/>
      <c r="CL118" s="301"/>
      <c r="CM118" s="301"/>
      <c r="CN118" s="301"/>
      <c r="CO118" s="301"/>
      <c r="CP118" s="301"/>
      <c r="CQ118" s="301"/>
      <c r="CR118" s="301"/>
      <c r="CS118" s="301"/>
      <c r="CT118" s="301"/>
      <c r="CU118" s="301"/>
      <c r="CV118" s="301"/>
      <c r="CW118" s="301"/>
      <c r="CX118" s="301"/>
      <c r="CY118" s="301"/>
      <c r="CZ118" s="301"/>
      <c r="DA118" s="301"/>
      <c r="DB118" s="301"/>
      <c r="DC118" s="301"/>
      <c r="DD118" s="301"/>
      <c r="DE118" s="301"/>
      <c r="DF118" s="301"/>
      <c r="DG118" s="301"/>
      <c r="DH118" s="301"/>
      <c r="DI118" s="301"/>
      <c r="DJ118" s="301"/>
      <c r="DK118" s="301"/>
      <c r="DL118" s="301"/>
      <c r="DM118" s="301"/>
      <c r="DN118" s="301"/>
      <c r="DO118" s="301"/>
      <c r="DP118" s="301"/>
      <c r="DQ118" s="301"/>
      <c r="DR118" s="301"/>
      <c r="DS118" s="301"/>
      <c r="DT118" s="301"/>
      <c r="DU118" s="301"/>
      <c r="DV118" s="301"/>
      <c r="DW118" s="301"/>
      <c r="DX118" s="301"/>
      <c r="DY118" s="301"/>
      <c r="DZ118" s="301"/>
      <c r="EA118" s="301"/>
      <c r="EB118" s="301"/>
      <c r="EC118" s="301"/>
      <c r="ED118" s="301"/>
      <c r="EE118" s="301"/>
      <c r="EF118" s="301"/>
      <c r="EG118" s="301"/>
      <c r="EH118" s="301"/>
      <c r="EI118" s="301"/>
      <c r="EJ118" s="301"/>
      <c r="EK118" s="301"/>
      <c r="EL118" s="301"/>
      <c r="EM118" s="301"/>
      <c r="EN118" s="301"/>
      <c r="EO118" s="301"/>
      <c r="EP118" s="301"/>
      <c r="EQ118" s="301"/>
      <c r="ER118" s="301"/>
      <c r="ES118" s="301"/>
      <c r="ET118" s="301"/>
      <c r="EU118" s="301"/>
      <c r="EV118" s="301"/>
      <c r="EW118" s="301"/>
      <c r="EX118" s="301"/>
      <c r="EY118" s="301"/>
      <c r="EZ118" s="301"/>
      <c r="FA118" s="301"/>
      <c r="FB118" s="301"/>
      <c r="FC118" s="301"/>
      <c r="FD118" s="301"/>
      <c r="FE118" s="301"/>
      <c r="FF118" s="301"/>
      <c r="FG118" s="301"/>
      <c r="FH118" s="301"/>
      <c r="FI118" s="301"/>
      <c r="FJ118" s="301"/>
      <c r="FK118" s="301"/>
      <c r="FL118" s="301"/>
      <c r="FM118" s="301"/>
      <c r="FN118" s="301"/>
      <c r="FO118" s="301"/>
      <c r="FP118" s="301"/>
      <c r="FQ118" s="301"/>
      <c r="FR118" s="301"/>
      <c r="FS118" s="301"/>
      <c r="FT118" s="301"/>
      <c r="FU118" s="301"/>
      <c r="FV118" s="301"/>
      <c r="FW118" s="301"/>
      <c r="FX118" s="301"/>
      <c r="FY118" s="301"/>
      <c r="FZ118" s="301"/>
      <c r="GA118" s="301"/>
      <c r="GB118" s="301"/>
      <c r="GC118" s="301"/>
      <c r="GD118" s="301"/>
      <c r="GE118" s="301"/>
      <c r="GF118" s="301"/>
      <c r="GG118" s="301"/>
      <c r="GH118" s="301"/>
      <c r="GI118" s="301"/>
      <c r="GJ118" s="301"/>
      <c r="GK118" s="301"/>
      <c r="GL118" s="301"/>
      <c r="GM118" s="301"/>
      <c r="GN118" s="301"/>
      <c r="GO118" s="301"/>
      <c r="GP118" s="301"/>
      <c r="GQ118" s="301"/>
      <c r="GR118" s="301"/>
      <c r="GS118" s="301"/>
      <c r="GT118" s="301"/>
      <c r="GU118" s="301"/>
      <c r="GV118" s="301"/>
      <c r="GW118" s="301"/>
      <c r="GX118" s="301"/>
      <c r="GY118" s="301"/>
      <c r="GZ118" s="301"/>
      <c r="HA118" s="301"/>
      <c r="HB118" s="301"/>
      <c r="HC118" s="301"/>
      <c r="HD118" s="301"/>
      <c r="HE118" s="301"/>
      <c r="HF118" s="301"/>
      <c r="HG118" s="301"/>
      <c r="HH118" s="301"/>
      <c r="HI118" s="301"/>
      <c r="HJ118" s="301"/>
      <c r="HK118" s="301"/>
      <c r="HL118" s="301"/>
      <c r="HM118" s="301"/>
      <c r="HN118" s="301"/>
      <c r="HO118" s="301"/>
      <c r="HP118" s="301"/>
      <c r="HQ118" s="301"/>
      <c r="HR118" s="301"/>
      <c r="HS118" s="301"/>
      <c r="HT118" s="301"/>
      <c r="HU118" s="301"/>
      <c r="HV118" s="301"/>
      <c r="HW118" s="301"/>
      <c r="HX118" s="301"/>
      <c r="HY118" s="301"/>
      <c r="HZ118" s="301"/>
      <c r="IA118" s="301"/>
      <c r="IB118" s="301"/>
      <c r="IC118" s="301"/>
      <c r="ID118" s="301"/>
      <c r="IE118" s="301"/>
      <c r="IF118" s="301"/>
      <c r="IG118" s="301"/>
      <c r="IH118" s="301"/>
      <c r="II118" s="301"/>
      <c r="IJ118" s="301"/>
      <c r="IK118" s="301"/>
      <c r="IL118" s="301"/>
      <c r="IM118" s="301"/>
      <c r="IN118" s="301"/>
      <c r="IO118" s="301"/>
      <c r="IP118" s="301"/>
      <c r="IQ118" s="301"/>
      <c r="IR118" s="301"/>
      <c r="IS118" s="301"/>
      <c r="IT118" s="301"/>
      <c r="IU118" s="301"/>
      <c r="IV118" s="301"/>
    </row>
    <row r="119" spans="1:256" ht="98.25" customHeight="1">
      <c r="A119" s="301"/>
      <c r="B119" s="302">
        <v>3</v>
      </c>
      <c r="C119" s="1534" t="s">
        <v>2193</v>
      </c>
      <c r="D119" s="1534"/>
      <c r="E119" s="1534"/>
      <c r="F119" s="1534"/>
      <c r="G119" s="1534"/>
      <c r="H119" s="1534"/>
      <c r="I119" s="1534"/>
      <c r="J119" s="1534"/>
      <c r="K119" s="1534"/>
      <c r="L119" s="301"/>
      <c r="M119" s="301"/>
      <c r="N119" s="301"/>
      <c r="O119" s="301"/>
      <c r="P119" s="301"/>
      <c r="Q119" s="301"/>
      <c r="R119" s="301"/>
      <c r="S119" s="301"/>
      <c r="T119" s="301"/>
      <c r="U119" s="301"/>
      <c r="V119" s="301"/>
      <c r="W119" s="301"/>
      <c r="X119" s="301"/>
      <c r="Y119" s="301"/>
      <c r="Z119" s="301"/>
      <c r="AA119" s="301"/>
      <c r="AB119" s="301"/>
      <c r="AC119" s="301"/>
      <c r="AD119" s="301"/>
      <c r="AE119" s="301"/>
      <c r="AF119" s="301"/>
      <c r="AG119" s="301"/>
      <c r="AH119" s="301"/>
      <c r="AI119" s="301"/>
      <c r="AJ119" s="301"/>
      <c r="AK119" s="301"/>
      <c r="AL119" s="301"/>
      <c r="AM119" s="301"/>
      <c r="AN119" s="301"/>
      <c r="AO119" s="301"/>
      <c r="AP119" s="301"/>
      <c r="AQ119" s="301"/>
      <c r="AR119" s="301"/>
      <c r="AS119" s="301"/>
      <c r="AT119" s="301"/>
      <c r="AU119" s="301"/>
      <c r="AV119" s="301"/>
      <c r="AW119" s="301"/>
      <c r="AX119" s="301"/>
      <c r="AY119" s="301"/>
      <c r="AZ119" s="301"/>
      <c r="BA119" s="301"/>
      <c r="BB119" s="301"/>
      <c r="BC119" s="301"/>
      <c r="BD119" s="301"/>
      <c r="BE119" s="301"/>
      <c r="BF119" s="301"/>
      <c r="BG119" s="301"/>
      <c r="BH119" s="301"/>
      <c r="BI119" s="301"/>
      <c r="BJ119" s="301"/>
      <c r="BK119" s="301"/>
      <c r="BL119" s="301"/>
      <c r="BM119" s="301"/>
      <c r="BN119" s="301"/>
      <c r="BO119" s="301"/>
      <c r="BP119" s="301"/>
      <c r="BQ119" s="301"/>
      <c r="BR119" s="301"/>
      <c r="BS119" s="301"/>
      <c r="BT119" s="301"/>
      <c r="BU119" s="301"/>
      <c r="BV119" s="301"/>
      <c r="BW119" s="301"/>
      <c r="BX119" s="301"/>
      <c r="BY119" s="301"/>
      <c r="BZ119" s="301"/>
      <c r="CA119" s="301"/>
      <c r="CB119" s="301"/>
      <c r="CC119" s="301"/>
      <c r="CD119" s="301"/>
      <c r="CE119" s="301"/>
      <c r="CF119" s="301"/>
      <c r="CG119" s="301"/>
      <c r="CH119" s="301"/>
      <c r="CI119" s="301"/>
      <c r="CJ119" s="301"/>
      <c r="CK119" s="301"/>
      <c r="CL119" s="301"/>
      <c r="CM119" s="301"/>
      <c r="CN119" s="301"/>
      <c r="CO119" s="301"/>
      <c r="CP119" s="301"/>
      <c r="CQ119" s="301"/>
      <c r="CR119" s="301"/>
      <c r="CS119" s="301"/>
      <c r="CT119" s="301"/>
      <c r="CU119" s="301"/>
      <c r="CV119" s="301"/>
      <c r="CW119" s="301"/>
      <c r="CX119" s="301"/>
      <c r="CY119" s="301"/>
      <c r="CZ119" s="301"/>
      <c r="DA119" s="301"/>
      <c r="DB119" s="301"/>
      <c r="DC119" s="301"/>
      <c r="DD119" s="301"/>
      <c r="DE119" s="301"/>
      <c r="DF119" s="301"/>
      <c r="DG119" s="301"/>
      <c r="DH119" s="301"/>
      <c r="DI119" s="301"/>
      <c r="DJ119" s="301"/>
      <c r="DK119" s="301"/>
      <c r="DL119" s="301"/>
      <c r="DM119" s="301"/>
      <c r="DN119" s="301"/>
      <c r="DO119" s="301"/>
      <c r="DP119" s="301"/>
      <c r="DQ119" s="301"/>
      <c r="DR119" s="301"/>
      <c r="DS119" s="301"/>
      <c r="DT119" s="301"/>
      <c r="DU119" s="301"/>
      <c r="DV119" s="301"/>
      <c r="DW119" s="301"/>
      <c r="DX119" s="301"/>
      <c r="DY119" s="301"/>
      <c r="DZ119" s="301"/>
      <c r="EA119" s="301"/>
      <c r="EB119" s="301"/>
      <c r="EC119" s="301"/>
      <c r="ED119" s="301"/>
      <c r="EE119" s="301"/>
      <c r="EF119" s="301"/>
      <c r="EG119" s="301"/>
      <c r="EH119" s="301"/>
      <c r="EI119" s="301"/>
      <c r="EJ119" s="301"/>
      <c r="EK119" s="301"/>
      <c r="EL119" s="301"/>
      <c r="EM119" s="301"/>
      <c r="EN119" s="301"/>
      <c r="EO119" s="301"/>
      <c r="EP119" s="301"/>
      <c r="EQ119" s="301"/>
      <c r="ER119" s="301"/>
      <c r="ES119" s="301"/>
      <c r="ET119" s="301"/>
      <c r="EU119" s="301"/>
      <c r="EV119" s="301"/>
      <c r="EW119" s="301"/>
      <c r="EX119" s="301"/>
      <c r="EY119" s="301"/>
      <c r="EZ119" s="301"/>
      <c r="FA119" s="301"/>
      <c r="FB119" s="301"/>
      <c r="FC119" s="301"/>
      <c r="FD119" s="301"/>
      <c r="FE119" s="301"/>
      <c r="FF119" s="301"/>
      <c r="FG119" s="301"/>
      <c r="FH119" s="301"/>
      <c r="FI119" s="301"/>
      <c r="FJ119" s="301"/>
      <c r="FK119" s="301"/>
      <c r="FL119" s="301"/>
      <c r="FM119" s="301"/>
      <c r="FN119" s="301"/>
      <c r="FO119" s="301"/>
      <c r="FP119" s="301"/>
      <c r="FQ119" s="301"/>
      <c r="FR119" s="301"/>
      <c r="FS119" s="301"/>
      <c r="FT119" s="301"/>
      <c r="FU119" s="301"/>
      <c r="FV119" s="301"/>
      <c r="FW119" s="301"/>
      <c r="FX119" s="301"/>
      <c r="FY119" s="301"/>
      <c r="FZ119" s="301"/>
      <c r="GA119" s="301"/>
      <c r="GB119" s="301"/>
      <c r="GC119" s="301"/>
      <c r="GD119" s="301"/>
      <c r="GE119" s="301"/>
      <c r="GF119" s="301"/>
      <c r="GG119" s="301"/>
      <c r="GH119" s="301"/>
      <c r="GI119" s="301"/>
      <c r="GJ119" s="301"/>
      <c r="GK119" s="301"/>
      <c r="GL119" s="301"/>
      <c r="GM119" s="301"/>
      <c r="GN119" s="301"/>
      <c r="GO119" s="301"/>
      <c r="GP119" s="301"/>
      <c r="GQ119" s="301"/>
      <c r="GR119" s="301"/>
      <c r="GS119" s="301"/>
      <c r="GT119" s="301"/>
      <c r="GU119" s="301"/>
      <c r="GV119" s="301"/>
      <c r="GW119" s="301"/>
      <c r="GX119" s="301"/>
      <c r="GY119" s="301"/>
      <c r="GZ119" s="301"/>
      <c r="HA119" s="301"/>
      <c r="HB119" s="301"/>
      <c r="HC119" s="301"/>
      <c r="HD119" s="301"/>
      <c r="HE119" s="301"/>
      <c r="HF119" s="301"/>
      <c r="HG119" s="301"/>
      <c r="HH119" s="301"/>
      <c r="HI119" s="301"/>
      <c r="HJ119" s="301"/>
      <c r="HK119" s="301"/>
      <c r="HL119" s="301"/>
      <c r="HM119" s="301"/>
      <c r="HN119" s="301"/>
      <c r="HO119" s="301"/>
      <c r="HP119" s="301"/>
      <c r="HQ119" s="301"/>
      <c r="HR119" s="301"/>
      <c r="HS119" s="301"/>
      <c r="HT119" s="301"/>
      <c r="HU119" s="301"/>
      <c r="HV119" s="301"/>
      <c r="HW119" s="301"/>
      <c r="HX119" s="301"/>
      <c r="HY119" s="301"/>
      <c r="HZ119" s="301"/>
      <c r="IA119" s="301"/>
      <c r="IB119" s="301"/>
      <c r="IC119" s="301"/>
      <c r="ID119" s="301"/>
      <c r="IE119" s="301"/>
      <c r="IF119" s="301"/>
      <c r="IG119" s="301"/>
      <c r="IH119" s="301"/>
      <c r="II119" s="301"/>
      <c r="IJ119" s="301"/>
      <c r="IK119" s="301"/>
      <c r="IL119" s="301"/>
      <c r="IM119" s="301"/>
      <c r="IN119" s="301"/>
      <c r="IO119" s="301"/>
      <c r="IP119" s="301"/>
      <c r="IQ119" s="301"/>
      <c r="IR119" s="301"/>
      <c r="IS119" s="301"/>
      <c r="IT119" s="301"/>
      <c r="IU119" s="301"/>
      <c r="IV119" s="301"/>
    </row>
    <row r="120" spans="1:256" ht="15">
      <c r="A120" s="301"/>
      <c r="B120" s="302"/>
      <c r="C120" s="363" t="s">
        <v>837</v>
      </c>
      <c r="D120" s="304"/>
      <c r="E120" s="316"/>
      <c r="F120" s="304"/>
      <c r="G120" s="316"/>
      <c r="H120" s="317"/>
      <c r="I120" s="317"/>
      <c r="J120" s="317"/>
      <c r="K120" s="304"/>
      <c r="L120" s="301"/>
      <c r="M120" s="301"/>
      <c r="N120" s="301"/>
      <c r="O120" s="301"/>
      <c r="P120" s="301"/>
      <c r="Q120" s="301"/>
      <c r="R120" s="301"/>
      <c r="S120" s="301"/>
      <c r="T120" s="301"/>
      <c r="U120" s="301"/>
      <c r="V120" s="301"/>
      <c r="W120" s="301"/>
      <c r="X120" s="301"/>
      <c r="Y120" s="301"/>
      <c r="Z120" s="301"/>
      <c r="AA120" s="301"/>
      <c r="AB120" s="301"/>
      <c r="AC120" s="301"/>
      <c r="AD120" s="301"/>
      <c r="AE120" s="301"/>
      <c r="AF120" s="301"/>
      <c r="AG120" s="301"/>
      <c r="AH120" s="301"/>
      <c r="AI120" s="301"/>
      <c r="AJ120" s="301"/>
      <c r="AK120" s="301"/>
      <c r="AL120" s="301"/>
      <c r="AM120" s="301"/>
      <c r="AN120" s="301"/>
      <c r="AO120" s="301"/>
      <c r="AP120" s="301"/>
      <c r="AQ120" s="301"/>
      <c r="AR120" s="301"/>
      <c r="AS120" s="301"/>
      <c r="AT120" s="301"/>
      <c r="AU120" s="301"/>
      <c r="AV120" s="301"/>
      <c r="AW120" s="301"/>
      <c r="AX120" s="301"/>
      <c r="AY120" s="301"/>
      <c r="AZ120" s="301"/>
      <c r="BA120" s="301"/>
      <c r="BB120" s="301"/>
      <c r="BC120" s="301"/>
      <c r="BD120" s="301"/>
      <c r="BE120" s="301"/>
      <c r="BF120" s="301"/>
      <c r="BG120" s="301"/>
      <c r="BH120" s="301"/>
      <c r="BI120" s="301"/>
      <c r="BJ120" s="301"/>
      <c r="BK120" s="301"/>
      <c r="BL120" s="301"/>
      <c r="BM120" s="301"/>
      <c r="BN120" s="301"/>
      <c r="BO120" s="301"/>
      <c r="BP120" s="301"/>
      <c r="BQ120" s="301"/>
      <c r="BR120" s="301"/>
      <c r="BS120" s="301"/>
      <c r="BT120" s="301"/>
      <c r="BU120" s="301"/>
      <c r="BV120" s="301"/>
      <c r="BW120" s="301"/>
      <c r="BX120" s="301"/>
      <c r="BY120" s="301"/>
      <c r="BZ120" s="301"/>
      <c r="CA120" s="301"/>
      <c r="CB120" s="301"/>
      <c r="CC120" s="301"/>
      <c r="CD120" s="301"/>
      <c r="CE120" s="301"/>
      <c r="CF120" s="301"/>
      <c r="CG120" s="301"/>
      <c r="CH120" s="301"/>
      <c r="CI120" s="301"/>
      <c r="CJ120" s="301"/>
      <c r="CK120" s="301"/>
      <c r="CL120" s="301"/>
      <c r="CM120" s="301"/>
      <c r="CN120" s="301"/>
      <c r="CO120" s="301"/>
      <c r="CP120" s="301"/>
      <c r="CQ120" s="301"/>
      <c r="CR120" s="301"/>
      <c r="CS120" s="301"/>
      <c r="CT120" s="301"/>
      <c r="CU120" s="301"/>
      <c r="CV120" s="301"/>
      <c r="CW120" s="301"/>
      <c r="CX120" s="301"/>
      <c r="CY120" s="301"/>
      <c r="CZ120" s="301"/>
      <c r="DA120" s="301"/>
      <c r="DB120" s="301"/>
      <c r="DC120" s="301"/>
      <c r="DD120" s="301"/>
      <c r="DE120" s="301"/>
      <c r="DF120" s="301"/>
      <c r="DG120" s="301"/>
      <c r="DH120" s="301"/>
      <c r="DI120" s="301"/>
      <c r="DJ120" s="301"/>
      <c r="DK120" s="301"/>
      <c r="DL120" s="301"/>
      <c r="DM120" s="301"/>
      <c r="DN120" s="301"/>
      <c r="DO120" s="301"/>
      <c r="DP120" s="301"/>
      <c r="DQ120" s="301"/>
      <c r="DR120" s="301"/>
      <c r="DS120" s="301"/>
      <c r="DT120" s="301"/>
      <c r="DU120" s="301"/>
      <c r="DV120" s="301"/>
      <c r="DW120" s="301"/>
      <c r="DX120" s="301"/>
      <c r="DY120" s="301"/>
      <c r="DZ120" s="301"/>
      <c r="EA120" s="301"/>
      <c r="EB120" s="301"/>
      <c r="EC120" s="301"/>
      <c r="ED120" s="301"/>
      <c r="EE120" s="301"/>
      <c r="EF120" s="301"/>
      <c r="EG120" s="301"/>
      <c r="EH120" s="301"/>
      <c r="EI120" s="301"/>
      <c r="EJ120" s="301"/>
      <c r="EK120" s="301"/>
      <c r="EL120" s="301"/>
      <c r="EM120" s="301"/>
      <c r="EN120" s="301"/>
      <c r="EO120" s="301"/>
      <c r="EP120" s="301"/>
      <c r="EQ120" s="301"/>
      <c r="ER120" s="301"/>
      <c r="ES120" s="301"/>
      <c r="ET120" s="301"/>
      <c r="EU120" s="301"/>
      <c r="EV120" s="301"/>
      <c r="EW120" s="301"/>
      <c r="EX120" s="301"/>
      <c r="EY120" s="301"/>
      <c r="EZ120" s="301"/>
      <c r="FA120" s="301"/>
      <c r="FB120" s="301"/>
      <c r="FC120" s="301"/>
      <c r="FD120" s="301"/>
      <c r="FE120" s="301"/>
      <c r="FF120" s="301"/>
      <c r="FG120" s="301"/>
      <c r="FH120" s="301"/>
      <c r="FI120" s="301"/>
      <c r="FJ120" s="301"/>
      <c r="FK120" s="301"/>
      <c r="FL120" s="301"/>
      <c r="FM120" s="301"/>
      <c r="FN120" s="301"/>
      <c r="FO120" s="301"/>
      <c r="FP120" s="301"/>
      <c r="FQ120" s="301"/>
      <c r="FR120" s="301"/>
      <c r="FS120" s="301"/>
      <c r="FT120" s="301"/>
      <c r="FU120" s="301"/>
      <c r="FV120" s="301"/>
      <c r="FW120" s="301"/>
      <c r="FX120" s="301"/>
      <c r="FY120" s="301"/>
      <c r="FZ120" s="301"/>
      <c r="GA120" s="301"/>
      <c r="GB120" s="301"/>
      <c r="GC120" s="301"/>
      <c r="GD120" s="301"/>
      <c r="GE120" s="301"/>
      <c r="GF120" s="301"/>
      <c r="GG120" s="301"/>
      <c r="GH120" s="301"/>
      <c r="GI120" s="301"/>
      <c r="GJ120" s="301"/>
      <c r="GK120" s="301"/>
      <c r="GL120" s="301"/>
      <c r="GM120" s="301"/>
      <c r="GN120" s="301"/>
      <c r="GO120" s="301"/>
      <c r="GP120" s="301"/>
      <c r="GQ120" s="301"/>
      <c r="GR120" s="301"/>
      <c r="GS120" s="301"/>
      <c r="GT120" s="301"/>
      <c r="GU120" s="301"/>
      <c r="GV120" s="301"/>
      <c r="GW120" s="301"/>
      <c r="GX120" s="301"/>
      <c r="GY120" s="301"/>
      <c r="GZ120" s="301"/>
      <c r="HA120" s="301"/>
      <c r="HB120" s="301"/>
      <c r="HC120" s="301"/>
      <c r="HD120" s="301"/>
      <c r="HE120" s="301"/>
      <c r="HF120" s="301"/>
      <c r="HG120" s="301"/>
      <c r="HH120" s="301"/>
      <c r="HI120" s="301"/>
      <c r="HJ120" s="301"/>
      <c r="HK120" s="301"/>
      <c r="HL120" s="301"/>
      <c r="HM120" s="301"/>
      <c r="HN120" s="301"/>
      <c r="HO120" s="301"/>
      <c r="HP120" s="301"/>
      <c r="HQ120" s="301"/>
      <c r="HR120" s="301"/>
      <c r="HS120" s="301"/>
      <c r="HT120" s="301"/>
      <c r="HU120" s="301"/>
      <c r="HV120" s="301"/>
      <c r="HW120" s="301"/>
      <c r="HX120" s="301"/>
      <c r="HY120" s="301"/>
      <c r="HZ120" s="301"/>
      <c r="IA120" s="301"/>
      <c r="IB120" s="301"/>
      <c r="IC120" s="301"/>
      <c r="ID120" s="301"/>
      <c r="IE120" s="301"/>
      <c r="IF120" s="301"/>
      <c r="IG120" s="301"/>
      <c r="IH120" s="301"/>
      <c r="II120" s="301"/>
      <c r="IJ120" s="301"/>
      <c r="IK120" s="301"/>
      <c r="IL120" s="301"/>
      <c r="IM120" s="301"/>
      <c r="IN120" s="301"/>
      <c r="IO120" s="301"/>
      <c r="IP120" s="301"/>
      <c r="IQ120" s="301"/>
      <c r="IR120" s="301"/>
      <c r="IS120" s="301"/>
      <c r="IT120" s="301"/>
      <c r="IU120" s="301"/>
      <c r="IV120" s="301"/>
    </row>
    <row r="121" spans="1:256" ht="15">
      <c r="A121" s="301"/>
      <c r="B121" s="302"/>
      <c r="C121" s="363" t="s">
        <v>862</v>
      </c>
      <c r="D121" s="304"/>
      <c r="E121" s="316"/>
      <c r="F121" s="304"/>
      <c r="G121" s="316"/>
      <c r="H121" s="317"/>
      <c r="I121" s="317"/>
      <c r="J121" s="317"/>
      <c r="K121" s="304"/>
      <c r="L121" s="301"/>
      <c r="M121" s="301"/>
      <c r="N121" s="301"/>
      <c r="O121" s="301"/>
      <c r="P121" s="301"/>
      <c r="Q121" s="301"/>
      <c r="R121" s="301"/>
      <c r="S121" s="301"/>
      <c r="T121" s="301"/>
      <c r="U121" s="301"/>
      <c r="V121" s="301"/>
      <c r="W121" s="301"/>
      <c r="X121" s="301"/>
      <c r="Y121" s="301"/>
      <c r="Z121" s="301"/>
      <c r="AA121" s="301"/>
      <c r="AB121" s="301"/>
      <c r="AC121" s="301"/>
      <c r="AD121" s="301"/>
      <c r="AE121" s="301"/>
      <c r="AF121" s="301"/>
      <c r="AG121" s="301"/>
      <c r="AH121" s="301"/>
      <c r="AI121" s="301"/>
      <c r="AJ121" s="301"/>
      <c r="AK121" s="301"/>
      <c r="AL121" s="301"/>
      <c r="AM121" s="301"/>
      <c r="AN121" s="301"/>
      <c r="AO121" s="301"/>
      <c r="AP121" s="301"/>
      <c r="AQ121" s="301"/>
      <c r="AR121" s="301"/>
      <c r="AS121" s="301"/>
      <c r="AT121" s="301"/>
      <c r="AU121" s="301"/>
      <c r="AV121" s="301"/>
      <c r="AW121" s="301"/>
      <c r="AX121" s="301"/>
      <c r="AY121" s="301"/>
      <c r="AZ121" s="301"/>
      <c r="BA121" s="301"/>
      <c r="BB121" s="301"/>
      <c r="BC121" s="301"/>
      <c r="BD121" s="301"/>
      <c r="BE121" s="301"/>
      <c r="BF121" s="301"/>
      <c r="BG121" s="301"/>
      <c r="BH121" s="301"/>
      <c r="BI121" s="301"/>
      <c r="BJ121" s="301"/>
      <c r="BK121" s="301"/>
      <c r="BL121" s="301"/>
      <c r="BM121" s="301"/>
      <c r="BN121" s="301"/>
      <c r="BO121" s="301"/>
      <c r="BP121" s="301"/>
      <c r="BQ121" s="301"/>
      <c r="BR121" s="301"/>
      <c r="BS121" s="301"/>
      <c r="BT121" s="301"/>
      <c r="BU121" s="301"/>
      <c r="BV121" s="301"/>
      <c r="BW121" s="301"/>
      <c r="BX121" s="301"/>
      <c r="BY121" s="301"/>
      <c r="BZ121" s="301"/>
      <c r="CA121" s="301"/>
      <c r="CB121" s="301"/>
      <c r="CC121" s="301"/>
      <c r="CD121" s="301"/>
      <c r="CE121" s="301"/>
      <c r="CF121" s="301"/>
      <c r="CG121" s="301"/>
      <c r="CH121" s="301"/>
      <c r="CI121" s="301"/>
      <c r="CJ121" s="301"/>
      <c r="CK121" s="301"/>
      <c r="CL121" s="301"/>
      <c r="CM121" s="301"/>
      <c r="CN121" s="301"/>
      <c r="CO121" s="301"/>
      <c r="CP121" s="301"/>
      <c r="CQ121" s="301"/>
      <c r="CR121" s="301"/>
      <c r="CS121" s="301"/>
      <c r="CT121" s="301"/>
      <c r="CU121" s="301"/>
      <c r="CV121" s="301"/>
      <c r="CW121" s="301"/>
      <c r="CX121" s="301"/>
      <c r="CY121" s="301"/>
      <c r="CZ121" s="301"/>
      <c r="DA121" s="301"/>
      <c r="DB121" s="301"/>
      <c r="DC121" s="301"/>
      <c r="DD121" s="301"/>
      <c r="DE121" s="301"/>
      <c r="DF121" s="301"/>
      <c r="DG121" s="301"/>
      <c r="DH121" s="301"/>
      <c r="DI121" s="301"/>
      <c r="DJ121" s="301"/>
      <c r="DK121" s="301"/>
      <c r="DL121" s="301"/>
      <c r="DM121" s="301"/>
      <c r="DN121" s="301"/>
      <c r="DO121" s="301"/>
      <c r="DP121" s="301"/>
      <c r="DQ121" s="301"/>
      <c r="DR121" s="301"/>
      <c r="DS121" s="301"/>
      <c r="DT121" s="301"/>
      <c r="DU121" s="301"/>
      <c r="DV121" s="301"/>
      <c r="DW121" s="301"/>
      <c r="DX121" s="301"/>
      <c r="DY121" s="301"/>
      <c r="DZ121" s="301"/>
      <c r="EA121" s="301"/>
      <c r="EB121" s="301"/>
      <c r="EC121" s="301"/>
      <c r="ED121" s="301"/>
      <c r="EE121" s="301"/>
      <c r="EF121" s="301"/>
      <c r="EG121" s="301"/>
      <c r="EH121" s="301"/>
      <c r="EI121" s="301"/>
      <c r="EJ121" s="301"/>
      <c r="EK121" s="301"/>
      <c r="EL121" s="301"/>
      <c r="EM121" s="301"/>
      <c r="EN121" s="301"/>
      <c r="EO121" s="301"/>
      <c r="EP121" s="301"/>
      <c r="EQ121" s="301"/>
      <c r="ER121" s="301"/>
      <c r="ES121" s="301"/>
      <c r="ET121" s="301"/>
      <c r="EU121" s="301"/>
      <c r="EV121" s="301"/>
      <c r="EW121" s="301"/>
      <c r="EX121" s="301"/>
      <c r="EY121" s="301"/>
      <c r="EZ121" s="301"/>
      <c r="FA121" s="301"/>
      <c r="FB121" s="301"/>
      <c r="FC121" s="301"/>
      <c r="FD121" s="301"/>
      <c r="FE121" s="301"/>
      <c r="FF121" s="301"/>
      <c r="FG121" s="301"/>
      <c r="FH121" s="301"/>
      <c r="FI121" s="301"/>
      <c r="FJ121" s="301"/>
      <c r="FK121" s="301"/>
      <c r="FL121" s="301"/>
      <c r="FM121" s="301"/>
      <c r="FN121" s="301"/>
      <c r="FO121" s="301"/>
      <c r="FP121" s="301"/>
      <c r="FQ121" s="301"/>
      <c r="FR121" s="301"/>
      <c r="FS121" s="301"/>
      <c r="FT121" s="301"/>
      <c r="FU121" s="301"/>
      <c r="FV121" s="301"/>
      <c r="FW121" s="301"/>
      <c r="FX121" s="301"/>
      <c r="FY121" s="301"/>
      <c r="FZ121" s="301"/>
      <c r="GA121" s="301"/>
      <c r="GB121" s="301"/>
      <c r="GC121" s="301"/>
      <c r="GD121" s="301"/>
      <c r="GE121" s="301"/>
      <c r="GF121" s="301"/>
      <c r="GG121" s="301"/>
      <c r="GH121" s="301"/>
      <c r="GI121" s="301"/>
      <c r="GJ121" s="301"/>
      <c r="GK121" s="301"/>
      <c r="GL121" s="301"/>
      <c r="GM121" s="301"/>
      <c r="GN121" s="301"/>
      <c r="GO121" s="301"/>
      <c r="GP121" s="301"/>
      <c r="GQ121" s="301"/>
      <c r="GR121" s="301"/>
      <c r="GS121" s="301"/>
      <c r="GT121" s="301"/>
      <c r="GU121" s="301"/>
      <c r="GV121" s="301"/>
      <c r="GW121" s="301"/>
      <c r="GX121" s="301"/>
      <c r="GY121" s="301"/>
      <c r="GZ121" s="301"/>
      <c r="HA121" s="301"/>
      <c r="HB121" s="301"/>
      <c r="HC121" s="301"/>
      <c r="HD121" s="301"/>
      <c r="HE121" s="301"/>
      <c r="HF121" s="301"/>
      <c r="HG121" s="301"/>
      <c r="HH121" s="301"/>
      <c r="HI121" s="301"/>
      <c r="HJ121" s="301"/>
      <c r="HK121" s="301"/>
      <c r="HL121" s="301"/>
      <c r="HM121" s="301"/>
      <c r="HN121" s="301"/>
      <c r="HO121" s="301"/>
      <c r="HP121" s="301"/>
      <c r="HQ121" s="301"/>
      <c r="HR121" s="301"/>
      <c r="HS121" s="301"/>
      <c r="HT121" s="301"/>
      <c r="HU121" s="301"/>
      <c r="HV121" s="301"/>
      <c r="HW121" s="301"/>
      <c r="HX121" s="301"/>
      <c r="HY121" s="301"/>
      <c r="HZ121" s="301"/>
      <c r="IA121" s="301"/>
      <c r="IB121" s="301"/>
      <c r="IC121" s="301"/>
      <c r="ID121" s="301"/>
      <c r="IE121" s="301"/>
      <c r="IF121" s="301"/>
      <c r="IG121" s="301"/>
      <c r="IH121" s="301"/>
      <c r="II121" s="301"/>
      <c r="IJ121" s="301"/>
      <c r="IK121" s="301"/>
      <c r="IL121" s="301"/>
      <c r="IM121" s="301"/>
      <c r="IN121" s="301"/>
      <c r="IO121" s="301"/>
      <c r="IP121" s="301"/>
      <c r="IQ121" s="301"/>
      <c r="IR121" s="301"/>
      <c r="IS121" s="301"/>
      <c r="IT121" s="301"/>
      <c r="IU121" s="301"/>
      <c r="IV121" s="301"/>
    </row>
    <row r="122" spans="1:256" ht="15">
      <c r="A122" s="301"/>
      <c r="B122" s="302"/>
      <c r="C122" s="312" t="s">
        <v>813</v>
      </c>
      <c r="D122" s="313" t="s">
        <v>690</v>
      </c>
      <c r="E122" s="310"/>
      <c r="F122" s="310"/>
      <c r="G122" s="310"/>
      <c r="H122" s="310"/>
      <c r="I122" s="311"/>
      <c r="J122" s="311"/>
      <c r="K122" s="311"/>
      <c r="L122" s="301"/>
      <c r="M122" s="301"/>
      <c r="N122" s="301"/>
      <c r="O122" s="301"/>
      <c r="P122" s="301"/>
      <c r="Q122" s="301"/>
      <c r="R122" s="301"/>
      <c r="S122" s="301"/>
      <c r="T122" s="301"/>
      <c r="U122" s="301"/>
      <c r="V122" s="301"/>
      <c r="W122" s="301"/>
      <c r="X122" s="301"/>
      <c r="Y122" s="301"/>
      <c r="Z122" s="301"/>
      <c r="AA122" s="301"/>
      <c r="AB122" s="301"/>
      <c r="AC122" s="301"/>
      <c r="AD122" s="301"/>
      <c r="AE122" s="301"/>
      <c r="AF122" s="301"/>
      <c r="AG122" s="301"/>
      <c r="AH122" s="301"/>
      <c r="AI122" s="301"/>
      <c r="AJ122" s="301"/>
      <c r="AK122" s="301"/>
      <c r="AL122" s="301"/>
      <c r="AM122" s="301"/>
      <c r="AN122" s="301"/>
      <c r="AO122" s="301"/>
      <c r="AP122" s="301"/>
      <c r="AQ122" s="301"/>
      <c r="AR122" s="301"/>
      <c r="AS122" s="301"/>
      <c r="AT122" s="301"/>
      <c r="AU122" s="301"/>
      <c r="AV122" s="301"/>
      <c r="AW122" s="301"/>
      <c r="AX122" s="301"/>
      <c r="AY122" s="301"/>
      <c r="AZ122" s="301"/>
      <c r="BA122" s="301"/>
      <c r="BB122" s="301"/>
      <c r="BC122" s="301"/>
      <c r="BD122" s="301"/>
      <c r="BE122" s="301"/>
      <c r="BF122" s="301"/>
      <c r="BG122" s="301"/>
      <c r="BH122" s="301"/>
      <c r="BI122" s="301"/>
      <c r="BJ122" s="301"/>
      <c r="BK122" s="301"/>
      <c r="BL122" s="301"/>
      <c r="BM122" s="301"/>
      <c r="BN122" s="301"/>
      <c r="BO122" s="301"/>
      <c r="BP122" s="301"/>
      <c r="BQ122" s="301"/>
      <c r="BR122" s="301"/>
      <c r="BS122" s="301"/>
      <c r="BT122" s="301"/>
      <c r="BU122" s="301"/>
      <c r="BV122" s="301"/>
      <c r="BW122" s="301"/>
      <c r="BX122" s="301"/>
      <c r="BY122" s="301"/>
      <c r="BZ122" s="301"/>
      <c r="CA122" s="301"/>
      <c r="CB122" s="301"/>
      <c r="CC122" s="301"/>
      <c r="CD122" s="301"/>
      <c r="CE122" s="301"/>
      <c r="CF122" s="301"/>
      <c r="CG122" s="301"/>
      <c r="CH122" s="301"/>
      <c r="CI122" s="301"/>
      <c r="CJ122" s="301"/>
      <c r="CK122" s="301"/>
      <c r="CL122" s="301"/>
      <c r="CM122" s="301"/>
      <c r="CN122" s="301"/>
      <c r="CO122" s="301"/>
      <c r="CP122" s="301"/>
      <c r="CQ122" s="301"/>
      <c r="CR122" s="301"/>
      <c r="CS122" s="301"/>
      <c r="CT122" s="301"/>
      <c r="CU122" s="301"/>
      <c r="CV122" s="301"/>
      <c r="CW122" s="301"/>
      <c r="CX122" s="301"/>
      <c r="CY122" s="301"/>
      <c r="CZ122" s="301"/>
      <c r="DA122" s="301"/>
      <c r="DB122" s="301"/>
      <c r="DC122" s="301"/>
      <c r="DD122" s="301"/>
      <c r="DE122" s="301"/>
      <c r="DF122" s="301"/>
      <c r="DG122" s="301"/>
      <c r="DH122" s="301"/>
      <c r="DI122" s="301"/>
      <c r="DJ122" s="301"/>
      <c r="DK122" s="301"/>
      <c r="DL122" s="301"/>
      <c r="DM122" s="301"/>
      <c r="DN122" s="301"/>
      <c r="DO122" s="301"/>
      <c r="DP122" s="301"/>
      <c r="DQ122" s="301"/>
      <c r="DR122" s="301"/>
      <c r="DS122" s="301"/>
      <c r="DT122" s="301"/>
      <c r="DU122" s="301"/>
      <c r="DV122" s="301"/>
      <c r="DW122" s="301"/>
      <c r="DX122" s="301"/>
      <c r="DY122" s="301"/>
      <c r="DZ122" s="301"/>
      <c r="EA122" s="301"/>
      <c r="EB122" s="301"/>
      <c r="EC122" s="301"/>
      <c r="ED122" s="301"/>
      <c r="EE122" s="301"/>
      <c r="EF122" s="301"/>
      <c r="EG122" s="301"/>
      <c r="EH122" s="301"/>
      <c r="EI122" s="301"/>
      <c r="EJ122" s="301"/>
      <c r="EK122" s="301"/>
      <c r="EL122" s="301"/>
      <c r="EM122" s="301"/>
      <c r="EN122" s="301"/>
      <c r="EO122" s="301"/>
      <c r="EP122" s="301"/>
      <c r="EQ122" s="301"/>
      <c r="ER122" s="301"/>
      <c r="ES122" s="301"/>
      <c r="ET122" s="301"/>
      <c r="EU122" s="301"/>
      <c r="EV122" s="301"/>
      <c r="EW122" s="301"/>
      <c r="EX122" s="301"/>
      <c r="EY122" s="301"/>
      <c r="EZ122" s="301"/>
      <c r="FA122" s="301"/>
      <c r="FB122" s="301"/>
      <c r="FC122" s="301"/>
      <c r="FD122" s="301"/>
      <c r="FE122" s="301"/>
      <c r="FF122" s="301"/>
      <c r="FG122" s="301"/>
      <c r="FH122" s="301"/>
      <c r="FI122" s="301"/>
      <c r="FJ122" s="301"/>
      <c r="FK122" s="301"/>
      <c r="FL122" s="301"/>
      <c r="FM122" s="301"/>
      <c r="FN122" s="301"/>
      <c r="FO122" s="301"/>
      <c r="FP122" s="301"/>
      <c r="FQ122" s="301"/>
      <c r="FR122" s="301"/>
      <c r="FS122" s="301"/>
      <c r="FT122" s="301"/>
      <c r="FU122" s="301"/>
      <c r="FV122" s="301"/>
      <c r="FW122" s="301"/>
      <c r="FX122" s="301"/>
      <c r="FY122" s="301"/>
      <c r="FZ122" s="301"/>
      <c r="GA122" s="301"/>
      <c r="GB122" s="301"/>
      <c r="GC122" s="301"/>
      <c r="GD122" s="301"/>
      <c r="GE122" s="301"/>
      <c r="GF122" s="301"/>
      <c r="GG122" s="301"/>
      <c r="GH122" s="301"/>
      <c r="GI122" s="301"/>
      <c r="GJ122" s="301"/>
      <c r="GK122" s="301"/>
      <c r="GL122" s="301"/>
      <c r="GM122" s="301"/>
      <c r="GN122" s="301"/>
      <c r="GO122" s="301"/>
      <c r="GP122" s="301"/>
      <c r="GQ122" s="301"/>
      <c r="GR122" s="301"/>
      <c r="GS122" s="301"/>
      <c r="GT122" s="301"/>
      <c r="GU122" s="301"/>
      <c r="GV122" s="301"/>
      <c r="GW122" s="301"/>
      <c r="GX122" s="301"/>
      <c r="GY122" s="301"/>
      <c r="GZ122" s="301"/>
      <c r="HA122" s="301"/>
      <c r="HB122" s="301"/>
      <c r="HC122" s="301"/>
      <c r="HD122" s="301"/>
      <c r="HE122" s="301"/>
      <c r="HF122" s="301"/>
      <c r="HG122" s="301"/>
      <c r="HH122" s="301"/>
      <c r="HI122" s="301"/>
      <c r="HJ122" s="301"/>
      <c r="HK122" s="301"/>
      <c r="HL122" s="301"/>
      <c r="HM122" s="301"/>
      <c r="HN122" s="301"/>
      <c r="HO122" s="301"/>
      <c r="HP122" s="301"/>
      <c r="HQ122" s="301"/>
      <c r="HR122" s="301"/>
      <c r="HS122" s="301"/>
      <c r="HT122" s="301"/>
      <c r="HU122" s="301"/>
      <c r="HV122" s="301"/>
      <c r="HW122" s="301"/>
      <c r="HX122" s="301"/>
      <c r="HY122" s="301"/>
      <c r="HZ122" s="301"/>
      <c r="IA122" s="301"/>
      <c r="IB122" s="301"/>
      <c r="IC122" s="301"/>
      <c r="ID122" s="301"/>
      <c r="IE122" s="301"/>
      <c r="IF122" s="301"/>
      <c r="IG122" s="301"/>
      <c r="IH122" s="301"/>
      <c r="II122" s="301"/>
      <c r="IJ122" s="301"/>
      <c r="IK122" s="301"/>
      <c r="IL122" s="301"/>
      <c r="IM122" s="301"/>
      <c r="IN122" s="301"/>
      <c r="IO122" s="301"/>
      <c r="IP122" s="301"/>
      <c r="IQ122" s="301"/>
      <c r="IR122" s="301"/>
      <c r="IS122" s="301"/>
      <c r="IT122" s="301"/>
      <c r="IU122" s="301"/>
      <c r="IV122" s="301"/>
    </row>
    <row r="123" spans="1:256" ht="15">
      <c r="A123" s="301"/>
      <c r="B123" s="302"/>
      <c r="C123" s="314">
        <v>0.4</v>
      </c>
      <c r="D123" s="315" t="s">
        <v>594</v>
      </c>
      <c r="E123" s="316" t="s">
        <v>814</v>
      </c>
      <c r="F123" s="304"/>
      <c r="G123" s="316"/>
      <c r="H123" s="317"/>
      <c r="I123" s="318">
        <f>'C-data'!F17</f>
        <v>515</v>
      </c>
      <c r="J123" s="319" t="s">
        <v>594</v>
      </c>
      <c r="K123" s="320">
        <f>ROUND(C123*I123,2)</f>
        <v>206</v>
      </c>
      <c r="L123" s="301"/>
      <c r="M123" s="301"/>
      <c r="N123" s="301"/>
      <c r="O123" s="301"/>
      <c r="P123" s="301"/>
      <c r="Q123" s="301"/>
      <c r="R123" s="301"/>
      <c r="S123" s="301"/>
      <c r="T123" s="301"/>
      <c r="U123" s="301"/>
      <c r="V123" s="301"/>
      <c r="W123" s="301"/>
      <c r="X123" s="301"/>
      <c r="Y123" s="301"/>
      <c r="Z123" s="301"/>
      <c r="AA123" s="301"/>
      <c r="AB123" s="301"/>
      <c r="AC123" s="301"/>
      <c r="AD123" s="301"/>
      <c r="AE123" s="301"/>
      <c r="AF123" s="301"/>
      <c r="AG123" s="301"/>
      <c r="AH123" s="301"/>
      <c r="AI123" s="301"/>
      <c r="AJ123" s="301"/>
      <c r="AK123" s="301"/>
      <c r="AL123" s="301"/>
      <c r="AM123" s="301"/>
      <c r="AN123" s="301"/>
      <c r="AO123" s="301"/>
      <c r="AP123" s="301"/>
      <c r="AQ123" s="301"/>
      <c r="AR123" s="301"/>
      <c r="AS123" s="301"/>
      <c r="AT123" s="301"/>
      <c r="AU123" s="301"/>
      <c r="AV123" s="301"/>
      <c r="AW123" s="301"/>
      <c r="AX123" s="301"/>
      <c r="AY123" s="301"/>
      <c r="AZ123" s="301"/>
      <c r="BA123" s="301"/>
      <c r="BB123" s="301"/>
      <c r="BC123" s="301"/>
      <c r="BD123" s="301"/>
      <c r="BE123" s="301"/>
      <c r="BF123" s="301"/>
      <c r="BG123" s="301"/>
      <c r="BH123" s="301"/>
      <c r="BI123" s="301"/>
      <c r="BJ123" s="301"/>
      <c r="BK123" s="301"/>
      <c r="BL123" s="301"/>
      <c r="BM123" s="301"/>
      <c r="BN123" s="301"/>
      <c r="BO123" s="301"/>
      <c r="BP123" s="301"/>
      <c r="BQ123" s="301"/>
      <c r="BR123" s="301"/>
      <c r="BS123" s="301"/>
      <c r="BT123" s="301"/>
      <c r="BU123" s="301"/>
      <c r="BV123" s="301"/>
      <c r="BW123" s="301"/>
      <c r="BX123" s="301"/>
      <c r="BY123" s="301"/>
      <c r="BZ123" s="301"/>
      <c r="CA123" s="301"/>
      <c r="CB123" s="301"/>
      <c r="CC123" s="301"/>
      <c r="CD123" s="301"/>
      <c r="CE123" s="301"/>
      <c r="CF123" s="301"/>
      <c r="CG123" s="301"/>
      <c r="CH123" s="301"/>
      <c r="CI123" s="301"/>
      <c r="CJ123" s="301"/>
      <c r="CK123" s="301"/>
      <c r="CL123" s="301"/>
      <c r="CM123" s="301"/>
      <c r="CN123" s="301"/>
      <c r="CO123" s="301"/>
      <c r="CP123" s="301"/>
      <c r="CQ123" s="301"/>
      <c r="CR123" s="301"/>
      <c r="CS123" s="301"/>
      <c r="CT123" s="301"/>
      <c r="CU123" s="301"/>
      <c r="CV123" s="301"/>
      <c r="CW123" s="301"/>
      <c r="CX123" s="301"/>
      <c r="CY123" s="301"/>
      <c r="CZ123" s="301"/>
      <c r="DA123" s="301"/>
      <c r="DB123" s="301"/>
      <c r="DC123" s="301"/>
      <c r="DD123" s="301"/>
      <c r="DE123" s="301"/>
      <c r="DF123" s="301"/>
      <c r="DG123" s="301"/>
      <c r="DH123" s="301"/>
      <c r="DI123" s="301"/>
      <c r="DJ123" s="301"/>
      <c r="DK123" s="301"/>
      <c r="DL123" s="301"/>
      <c r="DM123" s="301"/>
      <c r="DN123" s="301"/>
      <c r="DO123" s="301"/>
      <c r="DP123" s="301"/>
      <c r="DQ123" s="301"/>
      <c r="DR123" s="301"/>
      <c r="DS123" s="301"/>
      <c r="DT123" s="301"/>
      <c r="DU123" s="301"/>
      <c r="DV123" s="301"/>
      <c r="DW123" s="301"/>
      <c r="DX123" s="301"/>
      <c r="DY123" s="301"/>
      <c r="DZ123" s="301"/>
      <c r="EA123" s="301"/>
      <c r="EB123" s="301"/>
      <c r="EC123" s="301"/>
      <c r="ED123" s="301"/>
      <c r="EE123" s="301"/>
      <c r="EF123" s="301"/>
      <c r="EG123" s="301"/>
      <c r="EH123" s="301"/>
      <c r="EI123" s="301"/>
      <c r="EJ123" s="301"/>
      <c r="EK123" s="301"/>
      <c r="EL123" s="301"/>
      <c r="EM123" s="301"/>
      <c r="EN123" s="301"/>
      <c r="EO123" s="301"/>
      <c r="EP123" s="301"/>
      <c r="EQ123" s="301"/>
      <c r="ER123" s="301"/>
      <c r="ES123" s="301"/>
      <c r="ET123" s="301"/>
      <c r="EU123" s="301"/>
      <c r="EV123" s="301"/>
      <c r="EW123" s="301"/>
      <c r="EX123" s="301"/>
      <c r="EY123" s="301"/>
      <c r="EZ123" s="301"/>
      <c r="FA123" s="301"/>
      <c r="FB123" s="301"/>
      <c r="FC123" s="301"/>
      <c r="FD123" s="301"/>
      <c r="FE123" s="301"/>
      <c r="FF123" s="301"/>
      <c r="FG123" s="301"/>
      <c r="FH123" s="301"/>
      <c r="FI123" s="301"/>
      <c r="FJ123" s="301"/>
      <c r="FK123" s="301"/>
      <c r="FL123" s="301"/>
      <c r="FM123" s="301"/>
      <c r="FN123" s="301"/>
      <c r="FO123" s="301"/>
      <c r="FP123" s="301"/>
      <c r="FQ123" s="301"/>
      <c r="FR123" s="301"/>
      <c r="FS123" s="301"/>
      <c r="FT123" s="301"/>
      <c r="FU123" s="301"/>
      <c r="FV123" s="301"/>
      <c r="FW123" s="301"/>
      <c r="FX123" s="301"/>
      <c r="FY123" s="301"/>
      <c r="FZ123" s="301"/>
      <c r="GA123" s="301"/>
      <c r="GB123" s="301"/>
      <c r="GC123" s="301"/>
      <c r="GD123" s="301"/>
      <c r="GE123" s="301"/>
      <c r="GF123" s="301"/>
      <c r="GG123" s="301"/>
      <c r="GH123" s="301"/>
      <c r="GI123" s="301"/>
      <c r="GJ123" s="301"/>
      <c r="GK123" s="301"/>
      <c r="GL123" s="301"/>
      <c r="GM123" s="301"/>
      <c r="GN123" s="301"/>
      <c r="GO123" s="301"/>
      <c r="GP123" s="301"/>
      <c r="GQ123" s="301"/>
      <c r="GR123" s="301"/>
      <c r="GS123" s="301"/>
      <c r="GT123" s="301"/>
      <c r="GU123" s="301"/>
      <c r="GV123" s="301"/>
      <c r="GW123" s="301"/>
      <c r="GX123" s="301"/>
      <c r="GY123" s="301"/>
      <c r="GZ123" s="301"/>
      <c r="HA123" s="301"/>
      <c r="HB123" s="301"/>
      <c r="HC123" s="301"/>
      <c r="HD123" s="301"/>
      <c r="HE123" s="301"/>
      <c r="HF123" s="301"/>
      <c r="HG123" s="301"/>
      <c r="HH123" s="301"/>
      <c r="HI123" s="301"/>
      <c r="HJ123" s="301"/>
      <c r="HK123" s="301"/>
      <c r="HL123" s="301"/>
      <c r="HM123" s="301"/>
      <c r="HN123" s="301"/>
      <c r="HO123" s="301"/>
      <c r="HP123" s="301"/>
      <c r="HQ123" s="301"/>
      <c r="HR123" s="301"/>
      <c r="HS123" s="301"/>
      <c r="HT123" s="301"/>
      <c r="HU123" s="301"/>
      <c r="HV123" s="301"/>
      <c r="HW123" s="301"/>
      <c r="HX123" s="301"/>
      <c r="HY123" s="301"/>
      <c r="HZ123" s="301"/>
      <c r="IA123" s="301"/>
      <c r="IB123" s="301"/>
      <c r="IC123" s="301"/>
      <c r="ID123" s="301"/>
      <c r="IE123" s="301"/>
      <c r="IF123" s="301"/>
      <c r="IG123" s="301"/>
      <c r="IH123" s="301"/>
      <c r="II123" s="301"/>
      <c r="IJ123" s="301"/>
      <c r="IK123" s="301"/>
      <c r="IL123" s="301"/>
      <c r="IM123" s="301"/>
      <c r="IN123" s="301"/>
      <c r="IO123" s="301"/>
      <c r="IP123" s="301"/>
      <c r="IQ123" s="301"/>
      <c r="IR123" s="301"/>
      <c r="IS123" s="301"/>
      <c r="IT123" s="301"/>
      <c r="IU123" s="301"/>
      <c r="IV123" s="301"/>
    </row>
    <row r="124" spans="1:256" ht="15">
      <c r="A124" s="301"/>
      <c r="B124" s="302"/>
      <c r="C124" s="314">
        <v>2</v>
      </c>
      <c r="D124" s="315" t="s">
        <v>594</v>
      </c>
      <c r="E124" s="316" t="s">
        <v>863</v>
      </c>
      <c r="F124" s="304"/>
      <c r="G124" s="316"/>
      <c r="H124" s="317"/>
      <c r="I124" s="318">
        <f>'C-data'!F18</f>
        <v>515</v>
      </c>
      <c r="J124" s="319" t="s">
        <v>594</v>
      </c>
      <c r="K124" s="320">
        <f>ROUND(C124*I124,2)</f>
        <v>1030</v>
      </c>
      <c r="L124" s="301"/>
      <c r="M124" s="301"/>
      <c r="N124" s="301"/>
      <c r="O124" s="301"/>
      <c r="P124" s="301"/>
      <c r="Q124" s="301"/>
      <c r="R124" s="301"/>
      <c r="S124" s="301"/>
      <c r="T124" s="301"/>
      <c r="U124" s="301"/>
      <c r="V124" s="301"/>
      <c r="W124" s="301"/>
      <c r="X124" s="301"/>
      <c r="Y124" s="301"/>
      <c r="Z124" s="301"/>
      <c r="AA124" s="301"/>
      <c r="AB124" s="301"/>
      <c r="AC124" s="301"/>
      <c r="AD124" s="301"/>
      <c r="AE124" s="301"/>
      <c r="AF124" s="301"/>
      <c r="AG124" s="301"/>
      <c r="AH124" s="301"/>
      <c r="AI124" s="301"/>
      <c r="AJ124" s="301"/>
      <c r="AK124" s="301"/>
      <c r="AL124" s="301"/>
      <c r="AM124" s="301"/>
      <c r="AN124" s="301"/>
      <c r="AO124" s="301"/>
      <c r="AP124" s="301"/>
      <c r="AQ124" s="301"/>
      <c r="AR124" s="301"/>
      <c r="AS124" s="301"/>
      <c r="AT124" s="301"/>
      <c r="AU124" s="301"/>
      <c r="AV124" s="301"/>
      <c r="AW124" s="301"/>
      <c r="AX124" s="301"/>
      <c r="AY124" s="301"/>
      <c r="AZ124" s="301"/>
      <c r="BA124" s="301"/>
      <c r="BB124" s="301"/>
      <c r="BC124" s="301"/>
      <c r="BD124" s="301"/>
      <c r="BE124" s="301"/>
      <c r="BF124" s="301"/>
      <c r="BG124" s="301"/>
      <c r="BH124" s="301"/>
      <c r="BI124" s="301"/>
      <c r="BJ124" s="301"/>
      <c r="BK124" s="301"/>
      <c r="BL124" s="301"/>
      <c r="BM124" s="301"/>
      <c r="BN124" s="301"/>
      <c r="BO124" s="301"/>
      <c r="BP124" s="301"/>
      <c r="BQ124" s="301"/>
      <c r="BR124" s="301"/>
      <c r="BS124" s="301"/>
      <c r="BT124" s="301"/>
      <c r="BU124" s="301"/>
      <c r="BV124" s="301"/>
      <c r="BW124" s="301"/>
      <c r="BX124" s="301"/>
      <c r="BY124" s="301"/>
      <c r="BZ124" s="301"/>
      <c r="CA124" s="301"/>
      <c r="CB124" s="301"/>
      <c r="CC124" s="301"/>
      <c r="CD124" s="301"/>
      <c r="CE124" s="301"/>
      <c r="CF124" s="301"/>
      <c r="CG124" s="301"/>
      <c r="CH124" s="301"/>
      <c r="CI124" s="301"/>
      <c r="CJ124" s="301"/>
      <c r="CK124" s="301"/>
      <c r="CL124" s="301"/>
      <c r="CM124" s="301"/>
      <c r="CN124" s="301"/>
      <c r="CO124" s="301"/>
      <c r="CP124" s="301"/>
      <c r="CQ124" s="301"/>
      <c r="CR124" s="301"/>
      <c r="CS124" s="301"/>
      <c r="CT124" s="301"/>
      <c r="CU124" s="301"/>
      <c r="CV124" s="301"/>
      <c r="CW124" s="301"/>
      <c r="CX124" s="301"/>
      <c r="CY124" s="301"/>
      <c r="CZ124" s="301"/>
      <c r="DA124" s="301"/>
      <c r="DB124" s="301"/>
      <c r="DC124" s="301"/>
      <c r="DD124" s="301"/>
      <c r="DE124" s="301"/>
      <c r="DF124" s="301"/>
      <c r="DG124" s="301"/>
      <c r="DH124" s="301"/>
      <c r="DI124" s="301"/>
      <c r="DJ124" s="301"/>
      <c r="DK124" s="301"/>
      <c r="DL124" s="301"/>
      <c r="DM124" s="301"/>
      <c r="DN124" s="301"/>
      <c r="DO124" s="301"/>
      <c r="DP124" s="301"/>
      <c r="DQ124" s="301"/>
      <c r="DR124" s="301"/>
      <c r="DS124" s="301"/>
      <c r="DT124" s="301"/>
      <c r="DU124" s="301"/>
      <c r="DV124" s="301"/>
      <c r="DW124" s="301"/>
      <c r="DX124" s="301"/>
      <c r="DY124" s="301"/>
      <c r="DZ124" s="301"/>
      <c r="EA124" s="301"/>
      <c r="EB124" s="301"/>
      <c r="EC124" s="301"/>
      <c r="ED124" s="301"/>
      <c r="EE124" s="301"/>
      <c r="EF124" s="301"/>
      <c r="EG124" s="301"/>
      <c r="EH124" s="301"/>
      <c r="EI124" s="301"/>
      <c r="EJ124" s="301"/>
      <c r="EK124" s="301"/>
      <c r="EL124" s="301"/>
      <c r="EM124" s="301"/>
      <c r="EN124" s="301"/>
      <c r="EO124" s="301"/>
      <c r="EP124" s="301"/>
      <c r="EQ124" s="301"/>
      <c r="ER124" s="301"/>
      <c r="ES124" s="301"/>
      <c r="ET124" s="301"/>
      <c r="EU124" s="301"/>
      <c r="EV124" s="301"/>
      <c r="EW124" s="301"/>
      <c r="EX124" s="301"/>
      <c r="EY124" s="301"/>
      <c r="EZ124" s="301"/>
      <c r="FA124" s="301"/>
      <c r="FB124" s="301"/>
      <c r="FC124" s="301"/>
      <c r="FD124" s="301"/>
      <c r="FE124" s="301"/>
      <c r="FF124" s="301"/>
      <c r="FG124" s="301"/>
      <c r="FH124" s="301"/>
      <c r="FI124" s="301"/>
      <c r="FJ124" s="301"/>
      <c r="FK124" s="301"/>
      <c r="FL124" s="301"/>
      <c r="FM124" s="301"/>
      <c r="FN124" s="301"/>
      <c r="FO124" s="301"/>
      <c r="FP124" s="301"/>
      <c r="FQ124" s="301"/>
      <c r="FR124" s="301"/>
      <c r="FS124" s="301"/>
      <c r="FT124" s="301"/>
      <c r="FU124" s="301"/>
      <c r="FV124" s="301"/>
      <c r="FW124" s="301"/>
      <c r="FX124" s="301"/>
      <c r="FY124" s="301"/>
      <c r="FZ124" s="301"/>
      <c r="GA124" s="301"/>
      <c r="GB124" s="301"/>
      <c r="GC124" s="301"/>
      <c r="GD124" s="301"/>
      <c r="GE124" s="301"/>
      <c r="GF124" s="301"/>
      <c r="GG124" s="301"/>
      <c r="GH124" s="301"/>
      <c r="GI124" s="301"/>
      <c r="GJ124" s="301"/>
      <c r="GK124" s="301"/>
      <c r="GL124" s="301"/>
      <c r="GM124" s="301"/>
      <c r="GN124" s="301"/>
      <c r="GO124" s="301"/>
      <c r="GP124" s="301"/>
      <c r="GQ124" s="301"/>
      <c r="GR124" s="301"/>
      <c r="GS124" s="301"/>
      <c r="GT124" s="301"/>
      <c r="GU124" s="301"/>
      <c r="GV124" s="301"/>
      <c r="GW124" s="301"/>
      <c r="GX124" s="301"/>
      <c r="GY124" s="301"/>
      <c r="GZ124" s="301"/>
      <c r="HA124" s="301"/>
      <c r="HB124" s="301"/>
      <c r="HC124" s="301"/>
      <c r="HD124" s="301"/>
      <c r="HE124" s="301"/>
      <c r="HF124" s="301"/>
      <c r="HG124" s="301"/>
      <c r="HH124" s="301"/>
      <c r="HI124" s="301"/>
      <c r="HJ124" s="301"/>
      <c r="HK124" s="301"/>
      <c r="HL124" s="301"/>
      <c r="HM124" s="301"/>
      <c r="HN124" s="301"/>
      <c r="HO124" s="301"/>
      <c r="HP124" s="301"/>
      <c r="HQ124" s="301"/>
      <c r="HR124" s="301"/>
      <c r="HS124" s="301"/>
      <c r="HT124" s="301"/>
      <c r="HU124" s="301"/>
      <c r="HV124" s="301"/>
      <c r="HW124" s="301"/>
      <c r="HX124" s="301"/>
      <c r="HY124" s="301"/>
      <c r="HZ124" s="301"/>
      <c r="IA124" s="301"/>
      <c r="IB124" s="301"/>
      <c r="IC124" s="301"/>
      <c r="ID124" s="301"/>
      <c r="IE124" s="301"/>
      <c r="IF124" s="301"/>
      <c r="IG124" s="301"/>
      <c r="IH124" s="301"/>
      <c r="II124" s="301"/>
      <c r="IJ124" s="301"/>
      <c r="IK124" s="301"/>
      <c r="IL124" s="301"/>
      <c r="IM124" s="301"/>
      <c r="IN124" s="301"/>
      <c r="IO124" s="301"/>
      <c r="IP124" s="301"/>
      <c r="IQ124" s="301"/>
      <c r="IR124" s="301"/>
      <c r="IS124" s="301"/>
      <c r="IT124" s="301"/>
      <c r="IU124" s="301"/>
      <c r="IV124" s="301"/>
    </row>
    <row r="125" spans="1:256" ht="15">
      <c r="A125" s="301"/>
      <c r="B125" s="302"/>
      <c r="C125" s="321">
        <v>8</v>
      </c>
      <c r="D125" s="307" t="s">
        <v>594</v>
      </c>
      <c r="E125" s="316" t="s">
        <v>815</v>
      </c>
      <c r="F125" s="304"/>
      <c r="G125" s="316"/>
      <c r="H125" s="317"/>
      <c r="I125" s="318">
        <f>'C-data'!F22</f>
        <v>490</v>
      </c>
      <c r="J125" s="319" t="s">
        <v>594</v>
      </c>
      <c r="K125" s="320">
        <f>ROUND(C125*I125,2)</f>
        <v>3920</v>
      </c>
      <c r="L125" s="301"/>
      <c r="M125" s="301"/>
      <c r="N125" s="301"/>
      <c r="O125" s="301"/>
      <c r="P125" s="301"/>
      <c r="Q125" s="301"/>
      <c r="R125" s="301"/>
      <c r="S125" s="301"/>
      <c r="T125" s="301"/>
      <c r="U125" s="301"/>
      <c r="V125" s="301"/>
      <c r="W125" s="301"/>
      <c r="X125" s="301"/>
      <c r="Y125" s="301"/>
      <c r="Z125" s="301"/>
      <c r="AA125" s="301"/>
      <c r="AB125" s="301"/>
      <c r="AC125" s="301"/>
      <c r="AD125" s="301"/>
      <c r="AE125" s="301"/>
      <c r="AF125" s="301"/>
      <c r="AG125" s="301"/>
      <c r="AH125" s="301"/>
      <c r="AI125" s="301"/>
      <c r="AJ125" s="301"/>
      <c r="AK125" s="301"/>
      <c r="AL125" s="301"/>
      <c r="AM125" s="301"/>
      <c r="AN125" s="301"/>
      <c r="AO125" s="301"/>
      <c r="AP125" s="301"/>
      <c r="AQ125" s="301"/>
      <c r="AR125" s="301"/>
      <c r="AS125" s="301"/>
      <c r="AT125" s="301"/>
      <c r="AU125" s="301"/>
      <c r="AV125" s="301"/>
      <c r="AW125" s="301"/>
      <c r="AX125" s="301"/>
      <c r="AY125" s="301"/>
      <c r="AZ125" s="301"/>
      <c r="BA125" s="301"/>
      <c r="BB125" s="301"/>
      <c r="BC125" s="301"/>
      <c r="BD125" s="301"/>
      <c r="BE125" s="301"/>
      <c r="BF125" s="301"/>
      <c r="BG125" s="301"/>
      <c r="BH125" s="301"/>
      <c r="BI125" s="301"/>
      <c r="BJ125" s="301"/>
      <c r="BK125" s="301"/>
      <c r="BL125" s="301"/>
      <c r="BM125" s="301"/>
      <c r="BN125" s="301"/>
      <c r="BO125" s="301"/>
      <c r="BP125" s="301"/>
      <c r="BQ125" s="301"/>
      <c r="BR125" s="301"/>
      <c r="BS125" s="301"/>
      <c r="BT125" s="301"/>
      <c r="BU125" s="301"/>
      <c r="BV125" s="301"/>
      <c r="BW125" s="301"/>
      <c r="BX125" s="301"/>
      <c r="BY125" s="301"/>
      <c r="BZ125" s="301"/>
      <c r="CA125" s="301"/>
      <c r="CB125" s="301"/>
      <c r="CC125" s="301"/>
      <c r="CD125" s="301"/>
      <c r="CE125" s="301"/>
      <c r="CF125" s="301"/>
      <c r="CG125" s="301"/>
      <c r="CH125" s="301"/>
      <c r="CI125" s="301"/>
      <c r="CJ125" s="301"/>
      <c r="CK125" s="301"/>
      <c r="CL125" s="301"/>
      <c r="CM125" s="301"/>
      <c r="CN125" s="301"/>
      <c r="CO125" s="301"/>
      <c r="CP125" s="301"/>
      <c r="CQ125" s="301"/>
      <c r="CR125" s="301"/>
      <c r="CS125" s="301"/>
      <c r="CT125" s="301"/>
      <c r="CU125" s="301"/>
      <c r="CV125" s="301"/>
      <c r="CW125" s="301"/>
      <c r="CX125" s="301"/>
      <c r="CY125" s="301"/>
      <c r="CZ125" s="301"/>
      <c r="DA125" s="301"/>
      <c r="DB125" s="301"/>
      <c r="DC125" s="301"/>
      <c r="DD125" s="301"/>
      <c r="DE125" s="301"/>
      <c r="DF125" s="301"/>
      <c r="DG125" s="301"/>
      <c r="DH125" s="301"/>
      <c r="DI125" s="301"/>
      <c r="DJ125" s="301"/>
      <c r="DK125" s="301"/>
      <c r="DL125" s="301"/>
      <c r="DM125" s="301"/>
      <c r="DN125" s="301"/>
      <c r="DO125" s="301"/>
      <c r="DP125" s="301"/>
      <c r="DQ125" s="301"/>
      <c r="DR125" s="301"/>
      <c r="DS125" s="301"/>
      <c r="DT125" s="301"/>
      <c r="DU125" s="301"/>
      <c r="DV125" s="301"/>
      <c r="DW125" s="301"/>
      <c r="DX125" s="301"/>
      <c r="DY125" s="301"/>
      <c r="DZ125" s="301"/>
      <c r="EA125" s="301"/>
      <c r="EB125" s="301"/>
      <c r="EC125" s="301"/>
      <c r="ED125" s="301"/>
      <c r="EE125" s="301"/>
      <c r="EF125" s="301"/>
      <c r="EG125" s="301"/>
      <c r="EH125" s="301"/>
      <c r="EI125" s="301"/>
      <c r="EJ125" s="301"/>
      <c r="EK125" s="301"/>
      <c r="EL125" s="301"/>
      <c r="EM125" s="301"/>
      <c r="EN125" s="301"/>
      <c r="EO125" s="301"/>
      <c r="EP125" s="301"/>
      <c r="EQ125" s="301"/>
      <c r="ER125" s="301"/>
      <c r="ES125" s="301"/>
      <c r="ET125" s="301"/>
      <c r="EU125" s="301"/>
      <c r="EV125" s="301"/>
      <c r="EW125" s="301"/>
      <c r="EX125" s="301"/>
      <c r="EY125" s="301"/>
      <c r="EZ125" s="301"/>
      <c r="FA125" s="301"/>
      <c r="FB125" s="301"/>
      <c r="FC125" s="301"/>
      <c r="FD125" s="301"/>
      <c r="FE125" s="301"/>
      <c r="FF125" s="301"/>
      <c r="FG125" s="301"/>
      <c r="FH125" s="301"/>
      <c r="FI125" s="301"/>
      <c r="FJ125" s="301"/>
      <c r="FK125" s="301"/>
      <c r="FL125" s="301"/>
      <c r="FM125" s="301"/>
      <c r="FN125" s="301"/>
      <c r="FO125" s="301"/>
      <c r="FP125" s="301"/>
      <c r="FQ125" s="301"/>
      <c r="FR125" s="301"/>
      <c r="FS125" s="301"/>
      <c r="FT125" s="301"/>
      <c r="FU125" s="301"/>
      <c r="FV125" s="301"/>
      <c r="FW125" s="301"/>
      <c r="FX125" s="301"/>
      <c r="FY125" s="301"/>
      <c r="FZ125" s="301"/>
      <c r="GA125" s="301"/>
      <c r="GB125" s="301"/>
      <c r="GC125" s="301"/>
      <c r="GD125" s="301"/>
      <c r="GE125" s="301"/>
      <c r="GF125" s="301"/>
      <c r="GG125" s="301"/>
      <c r="GH125" s="301"/>
      <c r="GI125" s="301"/>
      <c r="GJ125" s="301"/>
      <c r="GK125" s="301"/>
      <c r="GL125" s="301"/>
      <c r="GM125" s="301"/>
      <c r="GN125" s="301"/>
      <c r="GO125" s="301"/>
      <c r="GP125" s="301"/>
      <c r="GQ125" s="301"/>
      <c r="GR125" s="301"/>
      <c r="GS125" s="301"/>
      <c r="GT125" s="301"/>
      <c r="GU125" s="301"/>
      <c r="GV125" s="301"/>
      <c r="GW125" s="301"/>
      <c r="GX125" s="301"/>
      <c r="GY125" s="301"/>
      <c r="GZ125" s="301"/>
      <c r="HA125" s="301"/>
      <c r="HB125" s="301"/>
      <c r="HC125" s="301"/>
      <c r="HD125" s="301"/>
      <c r="HE125" s="301"/>
      <c r="HF125" s="301"/>
      <c r="HG125" s="301"/>
      <c r="HH125" s="301"/>
      <c r="HI125" s="301"/>
      <c r="HJ125" s="301"/>
      <c r="HK125" s="301"/>
      <c r="HL125" s="301"/>
      <c r="HM125" s="301"/>
      <c r="HN125" s="301"/>
      <c r="HO125" s="301"/>
      <c r="HP125" s="301"/>
      <c r="HQ125" s="301"/>
      <c r="HR125" s="301"/>
      <c r="HS125" s="301"/>
      <c r="HT125" s="301"/>
      <c r="HU125" s="301"/>
      <c r="HV125" s="301"/>
      <c r="HW125" s="301"/>
      <c r="HX125" s="301"/>
      <c r="HY125" s="301"/>
      <c r="HZ125" s="301"/>
      <c r="IA125" s="301"/>
      <c r="IB125" s="301"/>
      <c r="IC125" s="301"/>
      <c r="ID125" s="301"/>
      <c r="IE125" s="301"/>
      <c r="IF125" s="301"/>
      <c r="IG125" s="301"/>
      <c r="IH125" s="301"/>
      <c r="II125" s="301"/>
      <c r="IJ125" s="301"/>
      <c r="IK125" s="301"/>
      <c r="IL125" s="301"/>
      <c r="IM125" s="301"/>
      <c r="IN125" s="301"/>
      <c r="IO125" s="301"/>
      <c r="IP125" s="301"/>
      <c r="IQ125" s="301"/>
      <c r="IR125" s="301"/>
      <c r="IS125" s="301"/>
      <c r="IT125" s="301"/>
      <c r="IU125" s="301"/>
      <c r="IV125" s="301"/>
    </row>
    <row r="126" spans="1:256" ht="15">
      <c r="A126" s="301"/>
      <c r="B126" s="302"/>
      <c r="C126" s="316"/>
      <c r="D126" s="316"/>
      <c r="E126" s="316" t="s">
        <v>466</v>
      </c>
      <c r="F126" s="304"/>
      <c r="G126" s="316"/>
      <c r="H126" s="317"/>
      <c r="I126" s="317"/>
      <c r="J126" s="317"/>
      <c r="K126" s="323">
        <f>SUM(K123:K125)</f>
        <v>5156</v>
      </c>
      <c r="L126" s="301"/>
      <c r="M126" s="301"/>
      <c r="N126" s="301"/>
      <c r="O126" s="301"/>
      <c r="P126" s="301"/>
      <c r="Q126" s="301"/>
      <c r="R126" s="301"/>
      <c r="S126" s="301"/>
      <c r="T126" s="301"/>
      <c r="U126" s="301"/>
      <c r="V126" s="301"/>
      <c r="W126" s="301"/>
      <c r="X126" s="301"/>
      <c r="Y126" s="301"/>
      <c r="Z126" s="301"/>
      <c r="AA126" s="301"/>
      <c r="AB126" s="301"/>
      <c r="AC126" s="301"/>
      <c r="AD126" s="301"/>
      <c r="AE126" s="301"/>
      <c r="AF126" s="301"/>
      <c r="AG126" s="301"/>
      <c r="AH126" s="301"/>
      <c r="AI126" s="301"/>
      <c r="AJ126" s="301"/>
      <c r="AK126" s="301"/>
      <c r="AL126" s="301"/>
      <c r="AM126" s="301"/>
      <c r="AN126" s="301"/>
      <c r="AO126" s="301"/>
      <c r="AP126" s="301"/>
      <c r="AQ126" s="301"/>
      <c r="AR126" s="301"/>
      <c r="AS126" s="301"/>
      <c r="AT126" s="301"/>
      <c r="AU126" s="301"/>
      <c r="AV126" s="301"/>
      <c r="AW126" s="301"/>
      <c r="AX126" s="301"/>
      <c r="AY126" s="301"/>
      <c r="AZ126" s="301"/>
      <c r="BA126" s="301"/>
      <c r="BB126" s="301"/>
      <c r="BC126" s="301"/>
      <c r="BD126" s="301"/>
      <c r="BE126" s="301"/>
      <c r="BF126" s="301"/>
      <c r="BG126" s="301"/>
      <c r="BH126" s="301"/>
      <c r="BI126" s="301"/>
      <c r="BJ126" s="301"/>
      <c r="BK126" s="301"/>
      <c r="BL126" s="301"/>
      <c r="BM126" s="301"/>
      <c r="BN126" s="301"/>
      <c r="BO126" s="301"/>
      <c r="BP126" s="301"/>
      <c r="BQ126" s="301"/>
      <c r="BR126" s="301"/>
      <c r="BS126" s="301"/>
      <c r="BT126" s="301"/>
      <c r="BU126" s="301"/>
      <c r="BV126" s="301"/>
      <c r="BW126" s="301"/>
      <c r="BX126" s="301"/>
      <c r="BY126" s="301"/>
      <c r="BZ126" s="301"/>
      <c r="CA126" s="301"/>
      <c r="CB126" s="301"/>
      <c r="CC126" s="301"/>
      <c r="CD126" s="301"/>
      <c r="CE126" s="301"/>
      <c r="CF126" s="301"/>
      <c r="CG126" s="301"/>
      <c r="CH126" s="301"/>
      <c r="CI126" s="301"/>
      <c r="CJ126" s="301"/>
      <c r="CK126" s="301"/>
      <c r="CL126" s="301"/>
      <c r="CM126" s="301"/>
      <c r="CN126" s="301"/>
      <c r="CO126" s="301"/>
      <c r="CP126" s="301"/>
      <c r="CQ126" s="301"/>
      <c r="CR126" s="301"/>
      <c r="CS126" s="301"/>
      <c r="CT126" s="301"/>
      <c r="CU126" s="301"/>
      <c r="CV126" s="301"/>
      <c r="CW126" s="301"/>
      <c r="CX126" s="301"/>
      <c r="CY126" s="301"/>
      <c r="CZ126" s="301"/>
      <c r="DA126" s="301"/>
      <c r="DB126" s="301"/>
      <c r="DC126" s="301"/>
      <c r="DD126" s="301"/>
      <c r="DE126" s="301"/>
      <c r="DF126" s="301"/>
      <c r="DG126" s="301"/>
      <c r="DH126" s="301"/>
      <c r="DI126" s="301"/>
      <c r="DJ126" s="301"/>
      <c r="DK126" s="301"/>
      <c r="DL126" s="301"/>
      <c r="DM126" s="301"/>
      <c r="DN126" s="301"/>
      <c r="DO126" s="301"/>
      <c r="DP126" s="301"/>
      <c r="DQ126" s="301"/>
      <c r="DR126" s="301"/>
      <c r="DS126" s="301"/>
      <c r="DT126" s="301"/>
      <c r="DU126" s="301"/>
      <c r="DV126" s="301"/>
      <c r="DW126" s="301"/>
      <c r="DX126" s="301"/>
      <c r="DY126" s="301"/>
      <c r="DZ126" s="301"/>
      <c r="EA126" s="301"/>
      <c r="EB126" s="301"/>
      <c r="EC126" s="301"/>
      <c r="ED126" s="301"/>
      <c r="EE126" s="301"/>
      <c r="EF126" s="301"/>
      <c r="EG126" s="301"/>
      <c r="EH126" s="301"/>
      <c r="EI126" s="301"/>
      <c r="EJ126" s="301"/>
      <c r="EK126" s="301"/>
      <c r="EL126" s="301"/>
      <c r="EM126" s="301"/>
      <c r="EN126" s="301"/>
      <c r="EO126" s="301"/>
      <c r="EP126" s="301"/>
      <c r="EQ126" s="301"/>
      <c r="ER126" s="301"/>
      <c r="ES126" s="301"/>
      <c r="ET126" s="301"/>
      <c r="EU126" s="301"/>
      <c r="EV126" s="301"/>
      <c r="EW126" s="301"/>
      <c r="EX126" s="301"/>
      <c r="EY126" s="301"/>
      <c r="EZ126" s="301"/>
      <c r="FA126" s="301"/>
      <c r="FB126" s="301"/>
      <c r="FC126" s="301"/>
      <c r="FD126" s="301"/>
      <c r="FE126" s="301"/>
      <c r="FF126" s="301"/>
      <c r="FG126" s="301"/>
      <c r="FH126" s="301"/>
      <c r="FI126" s="301"/>
      <c r="FJ126" s="301"/>
      <c r="FK126" s="301"/>
      <c r="FL126" s="301"/>
      <c r="FM126" s="301"/>
      <c r="FN126" s="301"/>
      <c r="FO126" s="301"/>
      <c r="FP126" s="301"/>
      <c r="FQ126" s="301"/>
      <c r="FR126" s="301"/>
      <c r="FS126" s="301"/>
      <c r="FT126" s="301"/>
      <c r="FU126" s="301"/>
      <c r="FV126" s="301"/>
      <c r="FW126" s="301"/>
      <c r="FX126" s="301"/>
      <c r="FY126" s="301"/>
      <c r="FZ126" s="301"/>
      <c r="GA126" s="301"/>
      <c r="GB126" s="301"/>
      <c r="GC126" s="301"/>
      <c r="GD126" s="301"/>
      <c r="GE126" s="301"/>
      <c r="GF126" s="301"/>
      <c r="GG126" s="301"/>
      <c r="GH126" s="301"/>
      <c r="GI126" s="301"/>
      <c r="GJ126" s="301"/>
      <c r="GK126" s="301"/>
      <c r="GL126" s="301"/>
      <c r="GM126" s="301"/>
      <c r="GN126" s="301"/>
      <c r="GO126" s="301"/>
      <c r="GP126" s="301"/>
      <c r="GQ126" s="301"/>
      <c r="GR126" s="301"/>
      <c r="GS126" s="301"/>
      <c r="GT126" s="301"/>
      <c r="GU126" s="301"/>
      <c r="GV126" s="301"/>
      <c r="GW126" s="301"/>
      <c r="GX126" s="301"/>
      <c r="GY126" s="301"/>
      <c r="GZ126" s="301"/>
      <c r="HA126" s="301"/>
      <c r="HB126" s="301"/>
      <c r="HC126" s="301"/>
      <c r="HD126" s="301"/>
      <c r="HE126" s="301"/>
      <c r="HF126" s="301"/>
      <c r="HG126" s="301"/>
      <c r="HH126" s="301"/>
      <c r="HI126" s="301"/>
      <c r="HJ126" s="301"/>
      <c r="HK126" s="301"/>
      <c r="HL126" s="301"/>
      <c r="HM126" s="301"/>
      <c r="HN126" s="301"/>
      <c r="HO126" s="301"/>
      <c r="HP126" s="301"/>
      <c r="HQ126" s="301"/>
      <c r="HR126" s="301"/>
      <c r="HS126" s="301"/>
      <c r="HT126" s="301"/>
      <c r="HU126" s="301"/>
      <c r="HV126" s="301"/>
      <c r="HW126" s="301"/>
      <c r="HX126" s="301"/>
      <c r="HY126" s="301"/>
      <c r="HZ126" s="301"/>
      <c r="IA126" s="301"/>
      <c r="IB126" s="301"/>
      <c r="IC126" s="301"/>
      <c r="ID126" s="301"/>
      <c r="IE126" s="301"/>
      <c r="IF126" s="301"/>
      <c r="IG126" s="301"/>
      <c r="IH126" s="301"/>
      <c r="II126" s="301"/>
      <c r="IJ126" s="301"/>
      <c r="IK126" s="301"/>
      <c r="IL126" s="301"/>
      <c r="IM126" s="301"/>
      <c r="IN126" s="301"/>
      <c r="IO126" s="301"/>
      <c r="IP126" s="301"/>
      <c r="IQ126" s="301"/>
      <c r="IR126" s="301"/>
      <c r="IS126" s="301"/>
      <c r="IT126" s="301"/>
      <c r="IU126" s="301"/>
      <c r="IV126" s="301"/>
    </row>
    <row r="127" spans="1:256" ht="15">
      <c r="A127" s="301"/>
      <c r="B127" s="302"/>
      <c r="C127" s="312" t="s">
        <v>816</v>
      </c>
      <c r="D127" s="313" t="s">
        <v>424</v>
      </c>
      <c r="E127" s="304"/>
      <c r="F127" s="304"/>
      <c r="G127" s="316"/>
      <c r="H127" s="317"/>
      <c r="I127" s="317"/>
      <c r="J127" s="317"/>
      <c r="K127" s="304"/>
      <c r="L127" s="301"/>
      <c r="M127" s="301"/>
      <c r="N127" s="301"/>
      <c r="O127" s="301"/>
      <c r="P127" s="301"/>
      <c r="Q127" s="301"/>
      <c r="R127" s="301"/>
      <c r="S127" s="301"/>
      <c r="T127" s="301"/>
      <c r="U127" s="301"/>
      <c r="V127" s="301"/>
      <c r="W127" s="301"/>
      <c r="X127" s="301"/>
      <c r="Y127" s="301"/>
      <c r="Z127" s="301"/>
      <c r="AA127" s="301"/>
      <c r="AB127" s="301"/>
      <c r="AC127" s="301"/>
      <c r="AD127" s="301"/>
      <c r="AE127" s="301"/>
      <c r="AF127" s="301"/>
      <c r="AG127" s="301"/>
      <c r="AH127" s="301"/>
      <c r="AI127" s="301"/>
      <c r="AJ127" s="301"/>
      <c r="AK127" s="301"/>
      <c r="AL127" s="301"/>
      <c r="AM127" s="301"/>
      <c r="AN127" s="301"/>
      <c r="AO127" s="301"/>
      <c r="AP127" s="301"/>
      <c r="AQ127" s="301"/>
      <c r="AR127" s="301"/>
      <c r="AS127" s="301"/>
      <c r="AT127" s="301"/>
      <c r="AU127" s="301"/>
      <c r="AV127" s="301"/>
      <c r="AW127" s="301"/>
      <c r="AX127" s="301"/>
      <c r="AY127" s="301"/>
      <c r="AZ127" s="301"/>
      <c r="BA127" s="301"/>
      <c r="BB127" s="301"/>
      <c r="BC127" s="301"/>
      <c r="BD127" s="301"/>
      <c r="BE127" s="301"/>
      <c r="BF127" s="301"/>
      <c r="BG127" s="301"/>
      <c r="BH127" s="301"/>
      <c r="BI127" s="301"/>
      <c r="BJ127" s="301"/>
      <c r="BK127" s="301"/>
      <c r="BL127" s="301"/>
      <c r="BM127" s="301"/>
      <c r="BN127" s="301"/>
      <c r="BO127" s="301"/>
      <c r="BP127" s="301"/>
      <c r="BQ127" s="301"/>
      <c r="BR127" s="301"/>
      <c r="BS127" s="301"/>
      <c r="BT127" s="301"/>
      <c r="BU127" s="301"/>
      <c r="BV127" s="301"/>
      <c r="BW127" s="301"/>
      <c r="BX127" s="301"/>
      <c r="BY127" s="301"/>
      <c r="BZ127" s="301"/>
      <c r="CA127" s="301"/>
      <c r="CB127" s="301"/>
      <c r="CC127" s="301"/>
      <c r="CD127" s="301"/>
      <c r="CE127" s="301"/>
      <c r="CF127" s="301"/>
      <c r="CG127" s="301"/>
      <c r="CH127" s="301"/>
      <c r="CI127" s="301"/>
      <c r="CJ127" s="301"/>
      <c r="CK127" s="301"/>
      <c r="CL127" s="301"/>
      <c r="CM127" s="301"/>
      <c r="CN127" s="301"/>
      <c r="CO127" s="301"/>
      <c r="CP127" s="301"/>
      <c r="CQ127" s="301"/>
      <c r="CR127" s="301"/>
      <c r="CS127" s="301"/>
      <c r="CT127" s="301"/>
      <c r="CU127" s="301"/>
      <c r="CV127" s="301"/>
      <c r="CW127" s="301"/>
      <c r="CX127" s="301"/>
      <c r="CY127" s="301"/>
      <c r="CZ127" s="301"/>
      <c r="DA127" s="301"/>
      <c r="DB127" s="301"/>
      <c r="DC127" s="301"/>
      <c r="DD127" s="301"/>
      <c r="DE127" s="301"/>
      <c r="DF127" s="301"/>
      <c r="DG127" s="301"/>
      <c r="DH127" s="301"/>
      <c r="DI127" s="301"/>
      <c r="DJ127" s="301"/>
      <c r="DK127" s="301"/>
      <c r="DL127" s="301"/>
      <c r="DM127" s="301"/>
      <c r="DN127" s="301"/>
      <c r="DO127" s="301"/>
      <c r="DP127" s="301"/>
      <c r="DQ127" s="301"/>
      <c r="DR127" s="301"/>
      <c r="DS127" s="301"/>
      <c r="DT127" s="301"/>
      <c r="DU127" s="301"/>
      <c r="DV127" s="301"/>
      <c r="DW127" s="301"/>
      <c r="DX127" s="301"/>
      <c r="DY127" s="301"/>
      <c r="DZ127" s="301"/>
      <c r="EA127" s="301"/>
      <c r="EB127" s="301"/>
      <c r="EC127" s="301"/>
      <c r="ED127" s="301"/>
      <c r="EE127" s="301"/>
      <c r="EF127" s="301"/>
      <c r="EG127" s="301"/>
      <c r="EH127" s="301"/>
      <c r="EI127" s="301"/>
      <c r="EJ127" s="301"/>
      <c r="EK127" s="301"/>
      <c r="EL127" s="301"/>
      <c r="EM127" s="301"/>
      <c r="EN127" s="301"/>
      <c r="EO127" s="301"/>
      <c r="EP127" s="301"/>
      <c r="EQ127" s="301"/>
      <c r="ER127" s="301"/>
      <c r="ES127" s="301"/>
      <c r="ET127" s="301"/>
      <c r="EU127" s="301"/>
      <c r="EV127" s="301"/>
      <c r="EW127" s="301"/>
      <c r="EX127" s="301"/>
      <c r="EY127" s="301"/>
      <c r="EZ127" s="301"/>
      <c r="FA127" s="301"/>
      <c r="FB127" s="301"/>
      <c r="FC127" s="301"/>
      <c r="FD127" s="301"/>
      <c r="FE127" s="301"/>
      <c r="FF127" s="301"/>
      <c r="FG127" s="301"/>
      <c r="FH127" s="301"/>
      <c r="FI127" s="301"/>
      <c r="FJ127" s="301"/>
      <c r="FK127" s="301"/>
      <c r="FL127" s="301"/>
      <c r="FM127" s="301"/>
      <c r="FN127" s="301"/>
      <c r="FO127" s="301"/>
      <c r="FP127" s="301"/>
      <c r="FQ127" s="301"/>
      <c r="FR127" s="301"/>
      <c r="FS127" s="301"/>
      <c r="FT127" s="301"/>
      <c r="FU127" s="301"/>
      <c r="FV127" s="301"/>
      <c r="FW127" s="301"/>
      <c r="FX127" s="301"/>
      <c r="FY127" s="301"/>
      <c r="FZ127" s="301"/>
      <c r="GA127" s="301"/>
      <c r="GB127" s="301"/>
      <c r="GC127" s="301"/>
      <c r="GD127" s="301"/>
      <c r="GE127" s="301"/>
      <c r="GF127" s="301"/>
      <c r="GG127" s="301"/>
      <c r="GH127" s="301"/>
      <c r="GI127" s="301"/>
      <c r="GJ127" s="301"/>
      <c r="GK127" s="301"/>
      <c r="GL127" s="301"/>
      <c r="GM127" s="301"/>
      <c r="GN127" s="301"/>
      <c r="GO127" s="301"/>
      <c r="GP127" s="301"/>
      <c r="GQ127" s="301"/>
      <c r="GR127" s="301"/>
      <c r="GS127" s="301"/>
      <c r="GT127" s="301"/>
      <c r="GU127" s="301"/>
      <c r="GV127" s="301"/>
      <c r="GW127" s="301"/>
      <c r="GX127" s="301"/>
      <c r="GY127" s="301"/>
      <c r="GZ127" s="301"/>
      <c r="HA127" s="301"/>
      <c r="HB127" s="301"/>
      <c r="HC127" s="301"/>
      <c r="HD127" s="301"/>
      <c r="HE127" s="301"/>
      <c r="HF127" s="301"/>
      <c r="HG127" s="301"/>
      <c r="HH127" s="301"/>
      <c r="HI127" s="301"/>
      <c r="HJ127" s="301"/>
      <c r="HK127" s="301"/>
      <c r="HL127" s="301"/>
      <c r="HM127" s="301"/>
      <c r="HN127" s="301"/>
      <c r="HO127" s="301"/>
      <c r="HP127" s="301"/>
      <c r="HQ127" s="301"/>
      <c r="HR127" s="301"/>
      <c r="HS127" s="301"/>
      <c r="HT127" s="301"/>
      <c r="HU127" s="301"/>
      <c r="HV127" s="301"/>
      <c r="HW127" s="301"/>
      <c r="HX127" s="301"/>
      <c r="HY127" s="301"/>
      <c r="HZ127" s="301"/>
      <c r="IA127" s="301"/>
      <c r="IB127" s="301"/>
      <c r="IC127" s="301"/>
      <c r="ID127" s="301"/>
      <c r="IE127" s="301"/>
      <c r="IF127" s="301"/>
      <c r="IG127" s="301"/>
      <c r="IH127" s="301"/>
      <c r="II127" s="301"/>
      <c r="IJ127" s="301"/>
      <c r="IK127" s="301"/>
      <c r="IL127" s="301"/>
      <c r="IM127" s="301"/>
      <c r="IN127" s="301"/>
      <c r="IO127" s="301"/>
      <c r="IP127" s="301"/>
      <c r="IQ127" s="301"/>
      <c r="IR127" s="301"/>
      <c r="IS127" s="301"/>
      <c r="IT127" s="301"/>
      <c r="IU127" s="301"/>
      <c r="IV127" s="301"/>
    </row>
    <row r="128" spans="1:256" ht="15">
      <c r="A128" s="301"/>
      <c r="B128" s="302"/>
      <c r="C128" s="321">
        <v>6</v>
      </c>
      <c r="D128" s="307" t="s">
        <v>818</v>
      </c>
      <c r="E128" s="316" t="s">
        <v>821</v>
      </c>
      <c r="F128" s="304"/>
      <c r="G128" s="316"/>
      <c r="H128" s="317"/>
      <c r="I128" s="318">
        <f>I24</f>
        <v>2861.8</v>
      </c>
      <c r="J128" s="318" t="s">
        <v>818</v>
      </c>
      <c r="K128" s="320">
        <f>ROUND(C128*I128,2)</f>
        <v>17170.8</v>
      </c>
      <c r="L128" s="301"/>
      <c r="M128" s="301"/>
      <c r="N128" s="301"/>
      <c r="O128" s="301"/>
      <c r="P128" s="301"/>
      <c r="Q128" s="301"/>
      <c r="R128" s="301"/>
      <c r="S128" s="301"/>
      <c r="T128" s="301"/>
      <c r="U128" s="301"/>
      <c r="V128" s="301"/>
      <c r="W128" s="301"/>
      <c r="X128" s="301"/>
      <c r="Y128" s="301"/>
      <c r="Z128" s="301"/>
      <c r="AA128" s="301"/>
      <c r="AB128" s="301"/>
      <c r="AC128" s="301"/>
      <c r="AD128" s="301"/>
      <c r="AE128" s="301"/>
      <c r="AF128" s="301"/>
      <c r="AG128" s="301"/>
      <c r="AH128" s="301"/>
      <c r="AI128" s="301"/>
      <c r="AJ128" s="301"/>
      <c r="AK128" s="301"/>
      <c r="AL128" s="301"/>
      <c r="AM128" s="301"/>
      <c r="AN128" s="301"/>
      <c r="AO128" s="301"/>
      <c r="AP128" s="301"/>
      <c r="AQ128" s="301"/>
      <c r="AR128" s="301"/>
      <c r="AS128" s="301"/>
      <c r="AT128" s="301"/>
      <c r="AU128" s="301"/>
      <c r="AV128" s="301"/>
      <c r="AW128" s="301"/>
      <c r="AX128" s="301"/>
      <c r="AY128" s="301"/>
      <c r="AZ128" s="301"/>
      <c r="BA128" s="301"/>
      <c r="BB128" s="301"/>
      <c r="BC128" s="301"/>
      <c r="BD128" s="301"/>
      <c r="BE128" s="301"/>
      <c r="BF128" s="301"/>
      <c r="BG128" s="301"/>
      <c r="BH128" s="301"/>
      <c r="BI128" s="301"/>
      <c r="BJ128" s="301"/>
      <c r="BK128" s="301"/>
      <c r="BL128" s="301"/>
      <c r="BM128" s="301"/>
      <c r="BN128" s="301"/>
      <c r="BO128" s="301"/>
      <c r="BP128" s="301"/>
      <c r="BQ128" s="301"/>
      <c r="BR128" s="301"/>
      <c r="BS128" s="301"/>
      <c r="BT128" s="301"/>
      <c r="BU128" s="301"/>
      <c r="BV128" s="301"/>
      <c r="BW128" s="301"/>
      <c r="BX128" s="301"/>
      <c r="BY128" s="301"/>
      <c r="BZ128" s="301"/>
      <c r="CA128" s="301"/>
      <c r="CB128" s="301"/>
      <c r="CC128" s="301"/>
      <c r="CD128" s="301"/>
      <c r="CE128" s="301"/>
      <c r="CF128" s="301"/>
      <c r="CG128" s="301"/>
      <c r="CH128" s="301"/>
      <c r="CI128" s="301"/>
      <c r="CJ128" s="301"/>
      <c r="CK128" s="301"/>
      <c r="CL128" s="301"/>
      <c r="CM128" s="301"/>
      <c r="CN128" s="301"/>
      <c r="CO128" s="301"/>
      <c r="CP128" s="301"/>
      <c r="CQ128" s="301"/>
      <c r="CR128" s="301"/>
      <c r="CS128" s="301"/>
      <c r="CT128" s="301"/>
      <c r="CU128" s="301"/>
      <c r="CV128" s="301"/>
      <c r="CW128" s="301"/>
      <c r="CX128" s="301"/>
      <c r="CY128" s="301"/>
      <c r="CZ128" s="301"/>
      <c r="DA128" s="301"/>
      <c r="DB128" s="301"/>
      <c r="DC128" s="301"/>
      <c r="DD128" s="301"/>
      <c r="DE128" s="301"/>
      <c r="DF128" s="301"/>
      <c r="DG128" s="301"/>
      <c r="DH128" s="301"/>
      <c r="DI128" s="301"/>
      <c r="DJ128" s="301"/>
      <c r="DK128" s="301"/>
      <c r="DL128" s="301"/>
      <c r="DM128" s="301"/>
      <c r="DN128" s="301"/>
      <c r="DO128" s="301"/>
      <c r="DP128" s="301"/>
      <c r="DQ128" s="301"/>
      <c r="DR128" s="301"/>
      <c r="DS128" s="301"/>
      <c r="DT128" s="301"/>
      <c r="DU128" s="301"/>
      <c r="DV128" s="301"/>
      <c r="DW128" s="301"/>
      <c r="DX128" s="301"/>
      <c r="DY128" s="301"/>
      <c r="DZ128" s="301"/>
      <c r="EA128" s="301"/>
      <c r="EB128" s="301"/>
      <c r="EC128" s="301"/>
      <c r="ED128" s="301"/>
      <c r="EE128" s="301"/>
      <c r="EF128" s="301"/>
      <c r="EG128" s="301"/>
      <c r="EH128" s="301"/>
      <c r="EI128" s="301"/>
      <c r="EJ128" s="301"/>
      <c r="EK128" s="301"/>
      <c r="EL128" s="301"/>
      <c r="EM128" s="301"/>
      <c r="EN128" s="301"/>
      <c r="EO128" s="301"/>
      <c r="EP128" s="301"/>
      <c r="EQ128" s="301"/>
      <c r="ER128" s="301"/>
      <c r="ES128" s="301"/>
      <c r="ET128" s="301"/>
      <c r="EU128" s="301"/>
      <c r="EV128" s="301"/>
      <c r="EW128" s="301"/>
      <c r="EX128" s="301"/>
      <c r="EY128" s="301"/>
      <c r="EZ128" s="301"/>
      <c r="FA128" s="301"/>
      <c r="FB128" s="301"/>
      <c r="FC128" s="301"/>
      <c r="FD128" s="301"/>
      <c r="FE128" s="301"/>
      <c r="FF128" s="301"/>
      <c r="FG128" s="301"/>
      <c r="FH128" s="301"/>
      <c r="FI128" s="301"/>
      <c r="FJ128" s="301"/>
      <c r="FK128" s="301"/>
      <c r="FL128" s="301"/>
      <c r="FM128" s="301"/>
      <c r="FN128" s="301"/>
      <c r="FO128" s="301"/>
      <c r="FP128" s="301"/>
      <c r="FQ128" s="301"/>
      <c r="FR128" s="301"/>
      <c r="FS128" s="301"/>
      <c r="FT128" s="301"/>
      <c r="FU128" s="301"/>
      <c r="FV128" s="301"/>
      <c r="FW128" s="301"/>
      <c r="FX128" s="301"/>
      <c r="FY128" s="301"/>
      <c r="FZ128" s="301"/>
      <c r="GA128" s="301"/>
      <c r="GB128" s="301"/>
      <c r="GC128" s="301"/>
      <c r="GD128" s="301"/>
      <c r="GE128" s="301"/>
      <c r="GF128" s="301"/>
      <c r="GG128" s="301"/>
      <c r="GH128" s="301"/>
      <c r="GI128" s="301"/>
      <c r="GJ128" s="301"/>
      <c r="GK128" s="301"/>
      <c r="GL128" s="301"/>
      <c r="GM128" s="301"/>
      <c r="GN128" s="301"/>
      <c r="GO128" s="301"/>
      <c r="GP128" s="301"/>
      <c r="GQ128" s="301"/>
      <c r="GR128" s="301"/>
      <c r="GS128" s="301"/>
      <c r="GT128" s="301"/>
      <c r="GU128" s="301"/>
      <c r="GV128" s="301"/>
      <c r="GW128" s="301"/>
      <c r="GX128" s="301"/>
      <c r="GY128" s="301"/>
      <c r="GZ128" s="301"/>
      <c r="HA128" s="301"/>
      <c r="HB128" s="301"/>
      <c r="HC128" s="301"/>
      <c r="HD128" s="301"/>
      <c r="HE128" s="301"/>
      <c r="HF128" s="301"/>
      <c r="HG128" s="301"/>
      <c r="HH128" s="301"/>
      <c r="HI128" s="301"/>
      <c r="HJ128" s="301"/>
      <c r="HK128" s="301"/>
      <c r="HL128" s="301"/>
      <c r="HM128" s="301"/>
      <c r="HN128" s="301"/>
      <c r="HO128" s="301"/>
      <c r="HP128" s="301"/>
      <c r="HQ128" s="301"/>
      <c r="HR128" s="301"/>
      <c r="HS128" s="301"/>
      <c r="HT128" s="301"/>
      <c r="HU128" s="301"/>
      <c r="HV128" s="301"/>
      <c r="HW128" s="301"/>
      <c r="HX128" s="301"/>
      <c r="HY128" s="301"/>
      <c r="HZ128" s="301"/>
      <c r="IA128" s="301"/>
      <c r="IB128" s="301"/>
      <c r="IC128" s="301"/>
      <c r="ID128" s="301"/>
      <c r="IE128" s="301"/>
      <c r="IF128" s="301"/>
      <c r="IG128" s="301"/>
      <c r="IH128" s="301"/>
      <c r="II128" s="301"/>
      <c r="IJ128" s="301"/>
      <c r="IK128" s="301"/>
      <c r="IL128" s="301"/>
      <c r="IM128" s="301"/>
      <c r="IN128" s="301"/>
      <c r="IO128" s="301"/>
      <c r="IP128" s="301"/>
      <c r="IQ128" s="301"/>
      <c r="IR128" s="301"/>
      <c r="IS128" s="301"/>
      <c r="IT128" s="301"/>
      <c r="IU128" s="301"/>
      <c r="IV128" s="301"/>
    </row>
    <row r="129" spans="1:256" ht="15">
      <c r="A129" s="301"/>
      <c r="B129" s="302"/>
      <c r="C129" s="321">
        <v>3</v>
      </c>
      <c r="D129" s="307" t="s">
        <v>818</v>
      </c>
      <c r="E129" s="316" t="s">
        <v>820</v>
      </c>
      <c r="F129" s="304"/>
      <c r="G129" s="316"/>
      <c r="H129" s="317"/>
      <c r="I129" s="328">
        <f>I23</f>
        <v>698.88</v>
      </c>
      <c r="J129" s="318" t="s">
        <v>818</v>
      </c>
      <c r="K129" s="320">
        <f>ROUND(C129*I129,2)</f>
        <v>2096.64</v>
      </c>
      <c r="L129" s="301"/>
      <c r="M129" s="301"/>
      <c r="N129" s="301"/>
      <c r="O129" s="301"/>
      <c r="P129" s="301"/>
      <c r="Q129" s="301"/>
      <c r="R129" s="301"/>
      <c r="S129" s="301"/>
      <c r="T129" s="301"/>
      <c r="U129" s="301"/>
      <c r="V129" s="301"/>
      <c r="W129" s="301"/>
      <c r="X129" s="301"/>
      <c r="Y129" s="301"/>
      <c r="Z129" s="301"/>
      <c r="AA129" s="301"/>
      <c r="AB129" s="301"/>
      <c r="AC129" s="301"/>
      <c r="AD129" s="301"/>
      <c r="AE129" s="301"/>
      <c r="AF129" s="301"/>
      <c r="AG129" s="301"/>
      <c r="AH129" s="301"/>
      <c r="AI129" s="301"/>
      <c r="AJ129" s="301"/>
      <c r="AK129" s="301"/>
      <c r="AL129" s="301"/>
      <c r="AM129" s="301"/>
      <c r="AN129" s="301"/>
      <c r="AO129" s="301"/>
      <c r="AP129" s="301"/>
      <c r="AQ129" s="301"/>
      <c r="AR129" s="301"/>
      <c r="AS129" s="301"/>
      <c r="AT129" s="301"/>
      <c r="AU129" s="301"/>
      <c r="AV129" s="301"/>
      <c r="AW129" s="301"/>
      <c r="AX129" s="301"/>
      <c r="AY129" s="301"/>
      <c r="AZ129" s="301"/>
      <c r="BA129" s="301"/>
      <c r="BB129" s="301"/>
      <c r="BC129" s="301"/>
      <c r="BD129" s="301"/>
      <c r="BE129" s="301"/>
      <c r="BF129" s="301"/>
      <c r="BG129" s="301"/>
      <c r="BH129" s="301"/>
      <c r="BI129" s="301"/>
      <c r="BJ129" s="301"/>
      <c r="BK129" s="301"/>
      <c r="BL129" s="301"/>
      <c r="BM129" s="301"/>
      <c r="BN129" s="301"/>
      <c r="BO129" s="301"/>
      <c r="BP129" s="301"/>
      <c r="BQ129" s="301"/>
      <c r="BR129" s="301"/>
      <c r="BS129" s="301"/>
      <c r="BT129" s="301"/>
      <c r="BU129" s="301"/>
      <c r="BV129" s="301"/>
      <c r="BW129" s="301"/>
      <c r="BX129" s="301"/>
      <c r="BY129" s="301"/>
      <c r="BZ129" s="301"/>
      <c r="CA129" s="301"/>
      <c r="CB129" s="301"/>
      <c r="CC129" s="301"/>
      <c r="CD129" s="301"/>
      <c r="CE129" s="301"/>
      <c r="CF129" s="301"/>
      <c r="CG129" s="301"/>
      <c r="CH129" s="301"/>
      <c r="CI129" s="301"/>
      <c r="CJ129" s="301"/>
      <c r="CK129" s="301"/>
      <c r="CL129" s="301"/>
      <c r="CM129" s="301"/>
      <c r="CN129" s="301"/>
      <c r="CO129" s="301"/>
      <c r="CP129" s="301"/>
      <c r="CQ129" s="301"/>
      <c r="CR129" s="301"/>
      <c r="CS129" s="301"/>
      <c r="CT129" s="301"/>
      <c r="CU129" s="301"/>
      <c r="CV129" s="301"/>
      <c r="CW129" s="301"/>
      <c r="CX129" s="301"/>
      <c r="CY129" s="301"/>
      <c r="CZ129" s="301"/>
      <c r="DA129" s="301"/>
      <c r="DB129" s="301"/>
      <c r="DC129" s="301"/>
      <c r="DD129" s="301"/>
      <c r="DE129" s="301"/>
      <c r="DF129" s="301"/>
      <c r="DG129" s="301"/>
      <c r="DH129" s="301"/>
      <c r="DI129" s="301"/>
      <c r="DJ129" s="301"/>
      <c r="DK129" s="301"/>
      <c r="DL129" s="301"/>
      <c r="DM129" s="301"/>
      <c r="DN129" s="301"/>
      <c r="DO129" s="301"/>
      <c r="DP129" s="301"/>
      <c r="DQ129" s="301"/>
      <c r="DR129" s="301"/>
      <c r="DS129" s="301"/>
      <c r="DT129" s="301"/>
      <c r="DU129" s="301"/>
      <c r="DV129" s="301"/>
      <c r="DW129" s="301"/>
      <c r="DX129" s="301"/>
      <c r="DY129" s="301"/>
      <c r="DZ129" s="301"/>
      <c r="EA129" s="301"/>
      <c r="EB129" s="301"/>
      <c r="EC129" s="301"/>
      <c r="ED129" s="301"/>
      <c r="EE129" s="301"/>
      <c r="EF129" s="301"/>
      <c r="EG129" s="301"/>
      <c r="EH129" s="301"/>
      <c r="EI129" s="301"/>
      <c r="EJ129" s="301"/>
      <c r="EK129" s="301"/>
      <c r="EL129" s="301"/>
      <c r="EM129" s="301"/>
      <c r="EN129" s="301"/>
      <c r="EO129" s="301"/>
      <c r="EP129" s="301"/>
      <c r="EQ129" s="301"/>
      <c r="ER129" s="301"/>
      <c r="ES129" s="301"/>
      <c r="ET129" s="301"/>
      <c r="EU129" s="301"/>
      <c r="EV129" s="301"/>
      <c r="EW129" s="301"/>
      <c r="EX129" s="301"/>
      <c r="EY129" s="301"/>
      <c r="EZ129" s="301"/>
      <c r="FA129" s="301"/>
      <c r="FB129" s="301"/>
      <c r="FC129" s="301"/>
      <c r="FD129" s="301"/>
      <c r="FE129" s="301"/>
      <c r="FF129" s="301"/>
      <c r="FG129" s="301"/>
      <c r="FH129" s="301"/>
      <c r="FI129" s="301"/>
      <c r="FJ129" s="301"/>
      <c r="FK129" s="301"/>
      <c r="FL129" s="301"/>
      <c r="FM129" s="301"/>
      <c r="FN129" s="301"/>
      <c r="FO129" s="301"/>
      <c r="FP129" s="301"/>
      <c r="FQ129" s="301"/>
      <c r="FR129" s="301"/>
      <c r="FS129" s="301"/>
      <c r="FT129" s="301"/>
      <c r="FU129" s="301"/>
      <c r="FV129" s="301"/>
      <c r="FW129" s="301"/>
      <c r="FX129" s="301"/>
      <c r="FY129" s="301"/>
      <c r="FZ129" s="301"/>
      <c r="GA129" s="301"/>
      <c r="GB129" s="301"/>
      <c r="GC129" s="301"/>
      <c r="GD129" s="301"/>
      <c r="GE129" s="301"/>
      <c r="GF129" s="301"/>
      <c r="GG129" s="301"/>
      <c r="GH129" s="301"/>
      <c r="GI129" s="301"/>
      <c r="GJ129" s="301"/>
      <c r="GK129" s="301"/>
      <c r="GL129" s="301"/>
      <c r="GM129" s="301"/>
      <c r="GN129" s="301"/>
      <c r="GO129" s="301"/>
      <c r="GP129" s="301"/>
      <c r="GQ129" s="301"/>
      <c r="GR129" s="301"/>
      <c r="GS129" s="301"/>
      <c r="GT129" s="301"/>
      <c r="GU129" s="301"/>
      <c r="GV129" s="301"/>
      <c r="GW129" s="301"/>
      <c r="GX129" s="301"/>
      <c r="GY129" s="301"/>
      <c r="GZ129" s="301"/>
      <c r="HA129" s="301"/>
      <c r="HB129" s="301"/>
      <c r="HC129" s="301"/>
      <c r="HD129" s="301"/>
      <c r="HE129" s="301"/>
      <c r="HF129" s="301"/>
      <c r="HG129" s="301"/>
      <c r="HH129" s="301"/>
      <c r="HI129" s="301"/>
      <c r="HJ129" s="301"/>
      <c r="HK129" s="301"/>
      <c r="HL129" s="301"/>
      <c r="HM129" s="301"/>
      <c r="HN129" s="301"/>
      <c r="HO129" s="301"/>
      <c r="HP129" s="301"/>
      <c r="HQ129" s="301"/>
      <c r="HR129" s="301"/>
      <c r="HS129" s="301"/>
      <c r="HT129" s="301"/>
      <c r="HU129" s="301"/>
      <c r="HV129" s="301"/>
      <c r="HW129" s="301"/>
      <c r="HX129" s="301"/>
      <c r="HY129" s="301"/>
      <c r="HZ129" s="301"/>
      <c r="IA129" s="301"/>
      <c r="IB129" s="301"/>
      <c r="IC129" s="301"/>
      <c r="ID129" s="301"/>
      <c r="IE129" s="301"/>
      <c r="IF129" s="301"/>
      <c r="IG129" s="301"/>
      <c r="IH129" s="301"/>
      <c r="II129" s="301"/>
      <c r="IJ129" s="301"/>
      <c r="IK129" s="301"/>
      <c r="IL129" s="301"/>
      <c r="IM129" s="301"/>
      <c r="IN129" s="301"/>
      <c r="IO129" s="301"/>
      <c r="IP129" s="301"/>
      <c r="IQ129" s="301"/>
      <c r="IR129" s="301"/>
      <c r="IS129" s="301"/>
      <c r="IT129" s="301"/>
      <c r="IU129" s="301"/>
      <c r="IV129" s="301"/>
    </row>
    <row r="130" spans="1:256" ht="15">
      <c r="A130" s="301"/>
      <c r="B130" s="302"/>
      <c r="C130" s="316"/>
      <c r="D130" s="316"/>
      <c r="E130" s="316" t="s">
        <v>466</v>
      </c>
      <c r="F130" s="304"/>
      <c r="G130" s="316"/>
      <c r="H130" s="317"/>
      <c r="I130" s="317"/>
      <c r="J130" s="317"/>
      <c r="K130" s="323">
        <f>SUM(K128:K129)</f>
        <v>19267.439999999999</v>
      </c>
      <c r="L130" s="301"/>
      <c r="M130" s="301"/>
      <c r="N130" s="301"/>
      <c r="O130" s="301"/>
      <c r="P130" s="301"/>
      <c r="Q130" s="301"/>
      <c r="R130" s="301"/>
      <c r="S130" s="301"/>
      <c r="T130" s="301"/>
      <c r="U130" s="301"/>
      <c r="V130" s="301"/>
      <c r="W130" s="301"/>
      <c r="X130" s="301"/>
      <c r="Y130" s="301"/>
      <c r="Z130" s="301"/>
      <c r="AA130" s="301"/>
      <c r="AB130" s="301"/>
      <c r="AC130" s="301"/>
      <c r="AD130" s="301"/>
      <c r="AE130" s="301"/>
      <c r="AF130" s="301"/>
      <c r="AG130" s="301"/>
      <c r="AH130" s="301"/>
      <c r="AI130" s="301"/>
      <c r="AJ130" s="301"/>
      <c r="AK130" s="301"/>
      <c r="AL130" s="301"/>
      <c r="AM130" s="301"/>
      <c r="AN130" s="301"/>
      <c r="AO130" s="301"/>
      <c r="AP130" s="301"/>
      <c r="AQ130" s="301"/>
      <c r="AR130" s="301"/>
      <c r="AS130" s="301"/>
      <c r="AT130" s="301"/>
      <c r="AU130" s="301"/>
      <c r="AV130" s="301"/>
      <c r="AW130" s="301"/>
      <c r="AX130" s="301"/>
      <c r="AY130" s="301"/>
      <c r="AZ130" s="301"/>
      <c r="BA130" s="301"/>
      <c r="BB130" s="301"/>
      <c r="BC130" s="301"/>
      <c r="BD130" s="301"/>
      <c r="BE130" s="301"/>
      <c r="BF130" s="301"/>
      <c r="BG130" s="301"/>
      <c r="BH130" s="301"/>
      <c r="BI130" s="301"/>
      <c r="BJ130" s="301"/>
      <c r="BK130" s="301"/>
      <c r="BL130" s="301"/>
      <c r="BM130" s="301"/>
      <c r="BN130" s="301"/>
      <c r="BO130" s="301"/>
      <c r="BP130" s="301"/>
      <c r="BQ130" s="301"/>
      <c r="BR130" s="301"/>
      <c r="BS130" s="301"/>
      <c r="BT130" s="301"/>
      <c r="BU130" s="301"/>
      <c r="BV130" s="301"/>
      <c r="BW130" s="301"/>
      <c r="BX130" s="301"/>
      <c r="BY130" s="301"/>
      <c r="BZ130" s="301"/>
      <c r="CA130" s="301"/>
      <c r="CB130" s="301"/>
      <c r="CC130" s="301"/>
      <c r="CD130" s="301"/>
      <c r="CE130" s="301"/>
      <c r="CF130" s="301"/>
      <c r="CG130" s="301"/>
      <c r="CH130" s="301"/>
      <c r="CI130" s="301"/>
      <c r="CJ130" s="301"/>
      <c r="CK130" s="301"/>
      <c r="CL130" s="301"/>
      <c r="CM130" s="301"/>
      <c r="CN130" s="301"/>
      <c r="CO130" s="301"/>
      <c r="CP130" s="301"/>
      <c r="CQ130" s="301"/>
      <c r="CR130" s="301"/>
      <c r="CS130" s="301"/>
      <c r="CT130" s="301"/>
      <c r="CU130" s="301"/>
      <c r="CV130" s="301"/>
      <c r="CW130" s="301"/>
      <c r="CX130" s="301"/>
      <c r="CY130" s="301"/>
      <c r="CZ130" s="301"/>
      <c r="DA130" s="301"/>
      <c r="DB130" s="301"/>
      <c r="DC130" s="301"/>
      <c r="DD130" s="301"/>
      <c r="DE130" s="301"/>
      <c r="DF130" s="301"/>
      <c r="DG130" s="301"/>
      <c r="DH130" s="301"/>
      <c r="DI130" s="301"/>
      <c r="DJ130" s="301"/>
      <c r="DK130" s="301"/>
      <c r="DL130" s="301"/>
      <c r="DM130" s="301"/>
      <c r="DN130" s="301"/>
      <c r="DO130" s="301"/>
      <c r="DP130" s="301"/>
      <c r="DQ130" s="301"/>
      <c r="DR130" s="301"/>
      <c r="DS130" s="301"/>
      <c r="DT130" s="301"/>
      <c r="DU130" s="301"/>
      <c r="DV130" s="301"/>
      <c r="DW130" s="301"/>
      <c r="DX130" s="301"/>
      <c r="DY130" s="301"/>
      <c r="DZ130" s="301"/>
      <c r="EA130" s="301"/>
      <c r="EB130" s="301"/>
      <c r="EC130" s="301"/>
      <c r="ED130" s="301"/>
      <c r="EE130" s="301"/>
      <c r="EF130" s="301"/>
      <c r="EG130" s="301"/>
      <c r="EH130" s="301"/>
      <c r="EI130" s="301"/>
      <c r="EJ130" s="301"/>
      <c r="EK130" s="301"/>
      <c r="EL130" s="301"/>
      <c r="EM130" s="301"/>
      <c r="EN130" s="301"/>
      <c r="EO130" s="301"/>
      <c r="EP130" s="301"/>
      <c r="EQ130" s="301"/>
      <c r="ER130" s="301"/>
      <c r="ES130" s="301"/>
      <c r="ET130" s="301"/>
      <c r="EU130" s="301"/>
      <c r="EV130" s="301"/>
      <c r="EW130" s="301"/>
      <c r="EX130" s="301"/>
      <c r="EY130" s="301"/>
      <c r="EZ130" s="301"/>
      <c r="FA130" s="301"/>
      <c r="FB130" s="301"/>
      <c r="FC130" s="301"/>
      <c r="FD130" s="301"/>
      <c r="FE130" s="301"/>
      <c r="FF130" s="301"/>
      <c r="FG130" s="301"/>
      <c r="FH130" s="301"/>
      <c r="FI130" s="301"/>
      <c r="FJ130" s="301"/>
      <c r="FK130" s="301"/>
      <c r="FL130" s="301"/>
      <c r="FM130" s="301"/>
      <c r="FN130" s="301"/>
      <c r="FO130" s="301"/>
      <c r="FP130" s="301"/>
      <c r="FQ130" s="301"/>
      <c r="FR130" s="301"/>
      <c r="FS130" s="301"/>
      <c r="FT130" s="301"/>
      <c r="FU130" s="301"/>
      <c r="FV130" s="301"/>
      <c r="FW130" s="301"/>
      <c r="FX130" s="301"/>
      <c r="FY130" s="301"/>
      <c r="FZ130" s="301"/>
      <c r="GA130" s="301"/>
      <c r="GB130" s="301"/>
      <c r="GC130" s="301"/>
      <c r="GD130" s="301"/>
      <c r="GE130" s="301"/>
      <c r="GF130" s="301"/>
      <c r="GG130" s="301"/>
      <c r="GH130" s="301"/>
      <c r="GI130" s="301"/>
      <c r="GJ130" s="301"/>
      <c r="GK130" s="301"/>
      <c r="GL130" s="301"/>
      <c r="GM130" s="301"/>
      <c r="GN130" s="301"/>
      <c r="GO130" s="301"/>
      <c r="GP130" s="301"/>
      <c r="GQ130" s="301"/>
      <c r="GR130" s="301"/>
      <c r="GS130" s="301"/>
      <c r="GT130" s="301"/>
      <c r="GU130" s="301"/>
      <c r="GV130" s="301"/>
      <c r="GW130" s="301"/>
      <c r="GX130" s="301"/>
      <c r="GY130" s="301"/>
      <c r="GZ130" s="301"/>
      <c r="HA130" s="301"/>
      <c r="HB130" s="301"/>
      <c r="HC130" s="301"/>
      <c r="HD130" s="301"/>
      <c r="HE130" s="301"/>
      <c r="HF130" s="301"/>
      <c r="HG130" s="301"/>
      <c r="HH130" s="301"/>
      <c r="HI130" s="301"/>
      <c r="HJ130" s="301"/>
      <c r="HK130" s="301"/>
      <c r="HL130" s="301"/>
      <c r="HM130" s="301"/>
      <c r="HN130" s="301"/>
      <c r="HO130" s="301"/>
      <c r="HP130" s="301"/>
      <c r="HQ130" s="301"/>
      <c r="HR130" s="301"/>
      <c r="HS130" s="301"/>
      <c r="HT130" s="301"/>
      <c r="HU130" s="301"/>
      <c r="HV130" s="301"/>
      <c r="HW130" s="301"/>
      <c r="HX130" s="301"/>
      <c r="HY130" s="301"/>
      <c r="HZ130" s="301"/>
      <c r="IA130" s="301"/>
      <c r="IB130" s="301"/>
      <c r="IC130" s="301"/>
      <c r="ID130" s="301"/>
      <c r="IE130" s="301"/>
      <c r="IF130" s="301"/>
      <c r="IG130" s="301"/>
      <c r="IH130" s="301"/>
      <c r="II130" s="301"/>
      <c r="IJ130" s="301"/>
      <c r="IK130" s="301"/>
      <c r="IL130" s="301"/>
      <c r="IM130" s="301"/>
      <c r="IN130" s="301"/>
      <c r="IO130" s="301"/>
      <c r="IP130" s="301"/>
      <c r="IQ130" s="301"/>
      <c r="IR130" s="301"/>
      <c r="IS130" s="301"/>
      <c r="IT130" s="301"/>
      <c r="IU130" s="301"/>
      <c r="IV130" s="301"/>
    </row>
    <row r="131" spans="1:256" ht="15">
      <c r="A131" s="301"/>
      <c r="B131" s="302"/>
      <c r="C131" s="312" t="s">
        <v>822</v>
      </c>
      <c r="D131" s="353" t="s">
        <v>557</v>
      </c>
      <c r="E131" s="317"/>
      <c r="F131" s="304"/>
      <c r="G131" s="317"/>
      <c r="H131" s="317"/>
      <c r="I131" s="317"/>
      <c r="J131" s="317"/>
      <c r="K131" s="304"/>
      <c r="L131" s="301"/>
      <c r="M131" s="301"/>
      <c r="N131" s="301"/>
      <c r="O131" s="301"/>
      <c r="P131" s="301"/>
      <c r="Q131" s="301"/>
      <c r="R131" s="301"/>
      <c r="S131" s="301"/>
      <c r="T131" s="301"/>
      <c r="U131" s="301"/>
      <c r="V131" s="301"/>
      <c r="W131" s="301"/>
      <c r="X131" s="301"/>
      <c r="Y131" s="301"/>
      <c r="Z131" s="301"/>
      <c r="AA131" s="301"/>
      <c r="AB131" s="301"/>
      <c r="AC131" s="301"/>
      <c r="AD131" s="301"/>
      <c r="AE131" s="301"/>
      <c r="AF131" s="301"/>
      <c r="AG131" s="301"/>
      <c r="AH131" s="301"/>
      <c r="AI131" s="301"/>
      <c r="AJ131" s="301"/>
      <c r="AK131" s="301"/>
      <c r="AL131" s="301"/>
      <c r="AM131" s="301"/>
      <c r="AN131" s="301"/>
      <c r="AO131" s="301"/>
      <c r="AP131" s="301"/>
      <c r="AQ131" s="301"/>
      <c r="AR131" s="301"/>
      <c r="AS131" s="301"/>
      <c r="AT131" s="301"/>
      <c r="AU131" s="301"/>
      <c r="AV131" s="301"/>
      <c r="AW131" s="301"/>
      <c r="AX131" s="301"/>
      <c r="AY131" s="301"/>
      <c r="AZ131" s="301"/>
      <c r="BA131" s="301"/>
      <c r="BB131" s="301"/>
      <c r="BC131" s="301"/>
      <c r="BD131" s="301"/>
      <c r="BE131" s="301"/>
      <c r="BF131" s="301"/>
      <c r="BG131" s="301"/>
      <c r="BH131" s="301"/>
      <c r="BI131" s="301"/>
      <c r="BJ131" s="301"/>
      <c r="BK131" s="301"/>
      <c r="BL131" s="301"/>
      <c r="BM131" s="301"/>
      <c r="BN131" s="301"/>
      <c r="BO131" s="301"/>
      <c r="BP131" s="301"/>
      <c r="BQ131" s="301"/>
      <c r="BR131" s="301"/>
      <c r="BS131" s="301"/>
      <c r="BT131" s="301"/>
      <c r="BU131" s="301"/>
      <c r="BV131" s="301"/>
      <c r="BW131" s="301"/>
      <c r="BX131" s="301"/>
      <c r="BY131" s="301"/>
      <c r="BZ131" s="301"/>
      <c r="CA131" s="301"/>
      <c r="CB131" s="301"/>
      <c r="CC131" s="301"/>
      <c r="CD131" s="301"/>
      <c r="CE131" s="301"/>
      <c r="CF131" s="301"/>
      <c r="CG131" s="301"/>
      <c r="CH131" s="301"/>
      <c r="CI131" s="301"/>
      <c r="CJ131" s="301"/>
      <c r="CK131" s="301"/>
      <c r="CL131" s="301"/>
      <c r="CM131" s="301"/>
      <c r="CN131" s="301"/>
      <c r="CO131" s="301"/>
      <c r="CP131" s="301"/>
      <c r="CQ131" s="301"/>
      <c r="CR131" s="301"/>
      <c r="CS131" s="301"/>
      <c r="CT131" s="301"/>
      <c r="CU131" s="301"/>
      <c r="CV131" s="301"/>
      <c r="CW131" s="301"/>
      <c r="CX131" s="301"/>
      <c r="CY131" s="301"/>
      <c r="CZ131" s="301"/>
      <c r="DA131" s="301"/>
      <c r="DB131" s="301"/>
      <c r="DC131" s="301"/>
      <c r="DD131" s="301"/>
      <c r="DE131" s="301"/>
      <c r="DF131" s="301"/>
      <c r="DG131" s="301"/>
      <c r="DH131" s="301"/>
      <c r="DI131" s="301"/>
      <c r="DJ131" s="301"/>
      <c r="DK131" s="301"/>
      <c r="DL131" s="301"/>
      <c r="DM131" s="301"/>
      <c r="DN131" s="301"/>
      <c r="DO131" s="301"/>
      <c r="DP131" s="301"/>
      <c r="DQ131" s="301"/>
      <c r="DR131" s="301"/>
      <c r="DS131" s="301"/>
      <c r="DT131" s="301"/>
      <c r="DU131" s="301"/>
      <c r="DV131" s="301"/>
      <c r="DW131" s="301"/>
      <c r="DX131" s="301"/>
      <c r="DY131" s="301"/>
      <c r="DZ131" s="301"/>
      <c r="EA131" s="301"/>
      <c r="EB131" s="301"/>
      <c r="EC131" s="301"/>
      <c r="ED131" s="301"/>
      <c r="EE131" s="301"/>
      <c r="EF131" s="301"/>
      <c r="EG131" s="301"/>
      <c r="EH131" s="301"/>
      <c r="EI131" s="301"/>
      <c r="EJ131" s="301"/>
      <c r="EK131" s="301"/>
      <c r="EL131" s="301"/>
      <c r="EM131" s="301"/>
      <c r="EN131" s="301"/>
      <c r="EO131" s="301"/>
      <c r="EP131" s="301"/>
      <c r="EQ131" s="301"/>
      <c r="ER131" s="301"/>
      <c r="ES131" s="301"/>
      <c r="ET131" s="301"/>
      <c r="EU131" s="301"/>
      <c r="EV131" s="301"/>
      <c r="EW131" s="301"/>
      <c r="EX131" s="301"/>
      <c r="EY131" s="301"/>
      <c r="EZ131" s="301"/>
      <c r="FA131" s="301"/>
      <c r="FB131" s="301"/>
      <c r="FC131" s="301"/>
      <c r="FD131" s="301"/>
      <c r="FE131" s="301"/>
      <c r="FF131" s="301"/>
      <c r="FG131" s="301"/>
      <c r="FH131" s="301"/>
      <c r="FI131" s="301"/>
      <c r="FJ131" s="301"/>
      <c r="FK131" s="301"/>
      <c r="FL131" s="301"/>
      <c r="FM131" s="301"/>
      <c r="FN131" s="301"/>
      <c r="FO131" s="301"/>
      <c r="FP131" s="301"/>
      <c r="FQ131" s="301"/>
      <c r="FR131" s="301"/>
      <c r="FS131" s="301"/>
      <c r="FT131" s="301"/>
      <c r="FU131" s="301"/>
      <c r="FV131" s="301"/>
      <c r="FW131" s="301"/>
      <c r="FX131" s="301"/>
      <c r="FY131" s="301"/>
      <c r="FZ131" s="301"/>
      <c r="GA131" s="301"/>
      <c r="GB131" s="301"/>
      <c r="GC131" s="301"/>
      <c r="GD131" s="301"/>
      <c r="GE131" s="301"/>
      <c r="GF131" s="301"/>
      <c r="GG131" s="301"/>
      <c r="GH131" s="301"/>
      <c r="GI131" s="301"/>
      <c r="GJ131" s="301"/>
      <c r="GK131" s="301"/>
      <c r="GL131" s="301"/>
      <c r="GM131" s="301"/>
      <c r="GN131" s="301"/>
      <c r="GO131" s="301"/>
      <c r="GP131" s="301"/>
      <c r="GQ131" s="301"/>
      <c r="GR131" s="301"/>
      <c r="GS131" s="301"/>
      <c r="GT131" s="301"/>
      <c r="GU131" s="301"/>
      <c r="GV131" s="301"/>
      <c r="GW131" s="301"/>
      <c r="GX131" s="301"/>
      <c r="GY131" s="301"/>
      <c r="GZ131" s="301"/>
      <c r="HA131" s="301"/>
      <c r="HB131" s="301"/>
      <c r="HC131" s="301"/>
      <c r="HD131" s="301"/>
      <c r="HE131" s="301"/>
      <c r="HF131" s="301"/>
      <c r="HG131" s="301"/>
      <c r="HH131" s="301"/>
      <c r="HI131" s="301"/>
      <c r="HJ131" s="301"/>
      <c r="HK131" s="301"/>
      <c r="HL131" s="301"/>
      <c r="HM131" s="301"/>
      <c r="HN131" s="301"/>
      <c r="HO131" s="301"/>
      <c r="HP131" s="301"/>
      <c r="HQ131" s="301"/>
      <c r="HR131" s="301"/>
      <c r="HS131" s="301"/>
      <c r="HT131" s="301"/>
      <c r="HU131" s="301"/>
      <c r="HV131" s="301"/>
      <c r="HW131" s="301"/>
      <c r="HX131" s="301"/>
      <c r="HY131" s="301"/>
      <c r="HZ131" s="301"/>
      <c r="IA131" s="301"/>
      <c r="IB131" s="301"/>
      <c r="IC131" s="301"/>
      <c r="ID131" s="301"/>
      <c r="IE131" s="301"/>
      <c r="IF131" s="301"/>
      <c r="IG131" s="301"/>
      <c r="IH131" s="301"/>
      <c r="II131" s="301"/>
      <c r="IJ131" s="301"/>
      <c r="IK131" s="301"/>
      <c r="IL131" s="301"/>
      <c r="IM131" s="301"/>
      <c r="IN131" s="301"/>
      <c r="IO131" s="301"/>
      <c r="IP131" s="301"/>
      <c r="IQ131" s="301"/>
      <c r="IR131" s="301"/>
      <c r="IS131" s="301"/>
      <c r="IT131" s="301"/>
      <c r="IU131" s="301"/>
      <c r="IV131" s="301"/>
    </row>
    <row r="132" spans="1:256" ht="15">
      <c r="A132" s="301"/>
      <c r="B132" s="302"/>
      <c r="C132" s="364">
        <v>384</v>
      </c>
      <c r="D132" s="365" t="s">
        <v>644</v>
      </c>
      <c r="E132" s="1539" t="s">
        <v>389</v>
      </c>
      <c r="F132" s="1539"/>
      <c r="G132" s="1539"/>
      <c r="H132" s="1539"/>
      <c r="I132" s="318">
        <f>+LEAD!P10</f>
        <v>192.88</v>
      </c>
      <c r="J132" s="319"/>
      <c r="K132" s="366">
        <f>ROUND(C132*I132,2)</f>
        <v>74065.919999999998</v>
      </c>
      <c r="L132" s="301"/>
      <c r="M132" s="301"/>
      <c r="N132" s="301"/>
      <c r="O132" s="301"/>
      <c r="P132" s="301"/>
      <c r="Q132" s="301"/>
      <c r="R132" s="301"/>
      <c r="S132" s="301"/>
      <c r="T132" s="301"/>
      <c r="U132" s="301"/>
      <c r="V132" s="301"/>
      <c r="W132" s="301"/>
      <c r="X132" s="301"/>
      <c r="Y132" s="301"/>
      <c r="Z132" s="301"/>
      <c r="AA132" s="301"/>
      <c r="AB132" s="301"/>
      <c r="AC132" s="301"/>
      <c r="AD132" s="301"/>
      <c r="AE132" s="301"/>
      <c r="AF132" s="301"/>
      <c r="AG132" s="301"/>
      <c r="AH132" s="301"/>
      <c r="AI132" s="301"/>
      <c r="AJ132" s="301"/>
      <c r="AK132" s="301"/>
      <c r="AL132" s="301"/>
      <c r="AM132" s="301"/>
      <c r="AN132" s="301"/>
      <c r="AO132" s="301"/>
      <c r="AP132" s="301"/>
      <c r="AQ132" s="301"/>
      <c r="AR132" s="301"/>
      <c r="AS132" s="301"/>
      <c r="AT132" s="301"/>
      <c r="AU132" s="301"/>
      <c r="AV132" s="301"/>
      <c r="AW132" s="301"/>
      <c r="AX132" s="301"/>
      <c r="AY132" s="301"/>
      <c r="AZ132" s="301"/>
      <c r="BA132" s="301"/>
      <c r="BB132" s="301"/>
      <c r="BC132" s="301"/>
      <c r="BD132" s="301"/>
      <c r="BE132" s="301"/>
      <c r="BF132" s="301"/>
      <c r="BG132" s="301"/>
      <c r="BH132" s="301"/>
      <c r="BI132" s="301"/>
      <c r="BJ132" s="301"/>
      <c r="BK132" s="301"/>
      <c r="BL132" s="301"/>
      <c r="BM132" s="301"/>
      <c r="BN132" s="301"/>
      <c r="BO132" s="301"/>
      <c r="BP132" s="301"/>
      <c r="BQ132" s="301"/>
      <c r="BR132" s="301"/>
      <c r="BS132" s="301"/>
      <c r="BT132" s="301"/>
      <c r="BU132" s="301"/>
      <c r="BV132" s="301"/>
      <c r="BW132" s="301"/>
      <c r="BX132" s="301"/>
      <c r="BY132" s="301"/>
      <c r="BZ132" s="301"/>
      <c r="CA132" s="301"/>
      <c r="CB132" s="301"/>
      <c r="CC132" s="301"/>
      <c r="CD132" s="301"/>
      <c r="CE132" s="301"/>
      <c r="CF132" s="301"/>
      <c r="CG132" s="301"/>
      <c r="CH132" s="301"/>
      <c r="CI132" s="301"/>
      <c r="CJ132" s="301"/>
      <c r="CK132" s="301"/>
      <c r="CL132" s="301"/>
      <c r="CM132" s="301"/>
      <c r="CN132" s="301"/>
      <c r="CO132" s="301"/>
      <c r="CP132" s="301"/>
      <c r="CQ132" s="301"/>
      <c r="CR132" s="301"/>
      <c r="CS132" s="301"/>
      <c r="CT132" s="301"/>
      <c r="CU132" s="301"/>
      <c r="CV132" s="301"/>
      <c r="CW132" s="301"/>
      <c r="CX132" s="301"/>
      <c r="CY132" s="301"/>
      <c r="CZ132" s="301"/>
      <c r="DA132" s="301"/>
      <c r="DB132" s="301"/>
      <c r="DC132" s="301"/>
      <c r="DD132" s="301"/>
      <c r="DE132" s="301"/>
      <c r="DF132" s="301"/>
      <c r="DG132" s="301"/>
      <c r="DH132" s="301"/>
      <c r="DI132" s="301"/>
      <c r="DJ132" s="301"/>
      <c r="DK132" s="301"/>
      <c r="DL132" s="301"/>
      <c r="DM132" s="301"/>
      <c r="DN132" s="301"/>
      <c r="DO132" s="301"/>
      <c r="DP132" s="301"/>
      <c r="DQ132" s="301"/>
      <c r="DR132" s="301"/>
      <c r="DS132" s="301"/>
      <c r="DT132" s="301"/>
      <c r="DU132" s="301"/>
      <c r="DV132" s="301"/>
      <c r="DW132" s="301"/>
      <c r="DX132" s="301"/>
      <c r="DY132" s="301"/>
      <c r="DZ132" s="301"/>
      <c r="EA132" s="301"/>
      <c r="EB132" s="301"/>
      <c r="EC132" s="301"/>
      <c r="ED132" s="301"/>
      <c r="EE132" s="301"/>
      <c r="EF132" s="301"/>
      <c r="EG132" s="301"/>
      <c r="EH132" s="301"/>
      <c r="EI132" s="301"/>
      <c r="EJ132" s="301"/>
      <c r="EK132" s="301"/>
      <c r="EL132" s="301"/>
      <c r="EM132" s="301"/>
      <c r="EN132" s="301"/>
      <c r="EO132" s="301"/>
      <c r="EP132" s="301"/>
      <c r="EQ132" s="301"/>
      <c r="ER132" s="301"/>
      <c r="ES132" s="301"/>
      <c r="ET132" s="301"/>
      <c r="EU132" s="301"/>
      <c r="EV132" s="301"/>
      <c r="EW132" s="301"/>
      <c r="EX132" s="301"/>
      <c r="EY132" s="301"/>
      <c r="EZ132" s="301"/>
      <c r="FA132" s="301"/>
      <c r="FB132" s="301"/>
      <c r="FC132" s="301"/>
      <c r="FD132" s="301"/>
      <c r="FE132" s="301"/>
      <c r="FF132" s="301"/>
      <c r="FG132" s="301"/>
      <c r="FH132" s="301"/>
      <c r="FI132" s="301"/>
      <c r="FJ132" s="301"/>
      <c r="FK132" s="301"/>
      <c r="FL132" s="301"/>
      <c r="FM132" s="301"/>
      <c r="FN132" s="301"/>
      <c r="FO132" s="301"/>
      <c r="FP132" s="301"/>
      <c r="FQ132" s="301"/>
      <c r="FR132" s="301"/>
      <c r="FS132" s="301"/>
      <c r="FT132" s="301"/>
      <c r="FU132" s="301"/>
      <c r="FV132" s="301"/>
      <c r="FW132" s="301"/>
      <c r="FX132" s="301"/>
      <c r="FY132" s="301"/>
      <c r="FZ132" s="301"/>
      <c r="GA132" s="301"/>
      <c r="GB132" s="301"/>
      <c r="GC132" s="301"/>
      <c r="GD132" s="301"/>
      <c r="GE132" s="301"/>
      <c r="GF132" s="301"/>
      <c r="GG132" s="301"/>
      <c r="GH132" s="301"/>
      <c r="GI132" s="301"/>
      <c r="GJ132" s="301"/>
      <c r="GK132" s="301"/>
      <c r="GL132" s="301"/>
      <c r="GM132" s="301"/>
      <c r="GN132" s="301"/>
      <c r="GO132" s="301"/>
      <c r="GP132" s="301"/>
      <c r="GQ132" s="301"/>
      <c r="GR132" s="301"/>
      <c r="GS132" s="301"/>
      <c r="GT132" s="301"/>
      <c r="GU132" s="301"/>
      <c r="GV132" s="301"/>
      <c r="GW132" s="301"/>
      <c r="GX132" s="301"/>
      <c r="GY132" s="301"/>
      <c r="GZ132" s="301"/>
      <c r="HA132" s="301"/>
      <c r="HB132" s="301"/>
      <c r="HC132" s="301"/>
      <c r="HD132" s="301"/>
      <c r="HE132" s="301"/>
      <c r="HF132" s="301"/>
      <c r="HG132" s="301"/>
      <c r="HH132" s="301"/>
      <c r="HI132" s="301"/>
      <c r="HJ132" s="301"/>
      <c r="HK132" s="301"/>
      <c r="HL132" s="301"/>
      <c r="HM132" s="301"/>
      <c r="HN132" s="301"/>
      <c r="HO132" s="301"/>
      <c r="HP132" s="301"/>
      <c r="HQ132" s="301"/>
      <c r="HR132" s="301"/>
      <c r="HS132" s="301"/>
      <c r="HT132" s="301"/>
      <c r="HU132" s="301"/>
      <c r="HV132" s="301"/>
      <c r="HW132" s="301"/>
      <c r="HX132" s="301"/>
      <c r="HY132" s="301"/>
      <c r="HZ132" s="301"/>
      <c r="IA132" s="301"/>
      <c r="IB132" s="301"/>
      <c r="IC132" s="301"/>
      <c r="ID132" s="301"/>
      <c r="IE132" s="301"/>
      <c r="IF132" s="301"/>
      <c r="IG132" s="301"/>
      <c r="IH132" s="301"/>
      <c r="II132" s="301"/>
      <c r="IJ132" s="301"/>
      <c r="IK132" s="301"/>
      <c r="IL132" s="301"/>
      <c r="IM132" s="301"/>
      <c r="IN132" s="301"/>
      <c r="IO132" s="301"/>
      <c r="IP132" s="301"/>
      <c r="IQ132" s="301"/>
      <c r="IR132" s="301"/>
      <c r="IS132" s="301"/>
      <c r="IT132" s="301"/>
      <c r="IU132" s="301"/>
      <c r="IV132" s="301"/>
    </row>
    <row r="133" spans="1:256" ht="15">
      <c r="A133" s="301"/>
      <c r="B133" s="302"/>
      <c r="C133" s="312" t="s">
        <v>825</v>
      </c>
      <c r="D133" s="313" t="s">
        <v>826</v>
      </c>
      <c r="E133" s="304"/>
      <c r="F133" s="304"/>
      <c r="G133" s="316"/>
      <c r="H133" s="317"/>
      <c r="I133" s="317"/>
      <c r="J133" s="317"/>
      <c r="K133" s="333">
        <f>K126+K130+K132</f>
        <v>98489.36</v>
      </c>
      <c r="L133" s="301"/>
      <c r="M133" s="301"/>
      <c r="N133" s="301"/>
      <c r="O133" s="301"/>
      <c r="P133" s="301"/>
      <c r="Q133" s="301"/>
      <c r="R133" s="301"/>
      <c r="S133" s="301"/>
      <c r="T133" s="301"/>
      <c r="U133" s="301"/>
      <c r="V133" s="301"/>
      <c r="W133" s="301"/>
      <c r="X133" s="301"/>
      <c r="Y133" s="301"/>
      <c r="Z133" s="301"/>
      <c r="AA133" s="301"/>
      <c r="AB133" s="301"/>
      <c r="AC133" s="301"/>
      <c r="AD133" s="301"/>
      <c r="AE133" s="301"/>
      <c r="AF133" s="301"/>
      <c r="AG133" s="301"/>
      <c r="AH133" s="301"/>
      <c r="AI133" s="301"/>
      <c r="AJ133" s="301"/>
      <c r="AK133" s="301"/>
      <c r="AL133" s="301"/>
      <c r="AM133" s="301"/>
      <c r="AN133" s="301"/>
      <c r="AO133" s="301"/>
      <c r="AP133" s="301"/>
      <c r="AQ133" s="301"/>
      <c r="AR133" s="301"/>
      <c r="AS133" s="301"/>
      <c r="AT133" s="301"/>
      <c r="AU133" s="301"/>
      <c r="AV133" s="301"/>
      <c r="AW133" s="301"/>
      <c r="AX133" s="301"/>
      <c r="AY133" s="301"/>
      <c r="AZ133" s="301"/>
      <c r="BA133" s="301"/>
      <c r="BB133" s="301"/>
      <c r="BC133" s="301"/>
      <c r="BD133" s="301"/>
      <c r="BE133" s="301"/>
      <c r="BF133" s="301"/>
      <c r="BG133" s="301"/>
      <c r="BH133" s="301"/>
      <c r="BI133" s="301"/>
      <c r="BJ133" s="301"/>
      <c r="BK133" s="301"/>
      <c r="BL133" s="301"/>
      <c r="BM133" s="301"/>
      <c r="BN133" s="301"/>
      <c r="BO133" s="301"/>
      <c r="BP133" s="301"/>
      <c r="BQ133" s="301"/>
      <c r="BR133" s="301"/>
      <c r="BS133" s="301"/>
      <c r="BT133" s="301"/>
      <c r="BU133" s="301"/>
      <c r="BV133" s="301"/>
      <c r="BW133" s="301"/>
      <c r="BX133" s="301"/>
      <c r="BY133" s="301"/>
      <c r="BZ133" s="301"/>
      <c r="CA133" s="301"/>
      <c r="CB133" s="301"/>
      <c r="CC133" s="301"/>
      <c r="CD133" s="301"/>
      <c r="CE133" s="301"/>
      <c r="CF133" s="301"/>
      <c r="CG133" s="301"/>
      <c r="CH133" s="301"/>
      <c r="CI133" s="301"/>
      <c r="CJ133" s="301"/>
      <c r="CK133" s="301"/>
      <c r="CL133" s="301"/>
      <c r="CM133" s="301"/>
      <c r="CN133" s="301"/>
      <c r="CO133" s="301"/>
      <c r="CP133" s="301"/>
      <c r="CQ133" s="301"/>
      <c r="CR133" s="301"/>
      <c r="CS133" s="301"/>
      <c r="CT133" s="301"/>
      <c r="CU133" s="301"/>
      <c r="CV133" s="301"/>
      <c r="CW133" s="301"/>
      <c r="CX133" s="301"/>
      <c r="CY133" s="301"/>
      <c r="CZ133" s="301"/>
      <c r="DA133" s="301"/>
      <c r="DB133" s="301"/>
      <c r="DC133" s="301"/>
      <c r="DD133" s="301"/>
      <c r="DE133" s="301"/>
      <c r="DF133" s="301"/>
      <c r="DG133" s="301"/>
      <c r="DH133" s="301"/>
      <c r="DI133" s="301"/>
      <c r="DJ133" s="301"/>
      <c r="DK133" s="301"/>
      <c r="DL133" s="301"/>
      <c r="DM133" s="301"/>
      <c r="DN133" s="301"/>
      <c r="DO133" s="301"/>
      <c r="DP133" s="301"/>
      <c r="DQ133" s="301"/>
      <c r="DR133" s="301"/>
      <c r="DS133" s="301"/>
      <c r="DT133" s="301"/>
      <c r="DU133" s="301"/>
      <c r="DV133" s="301"/>
      <c r="DW133" s="301"/>
      <c r="DX133" s="301"/>
      <c r="DY133" s="301"/>
      <c r="DZ133" s="301"/>
      <c r="EA133" s="301"/>
      <c r="EB133" s="301"/>
      <c r="EC133" s="301"/>
      <c r="ED133" s="301"/>
      <c r="EE133" s="301"/>
      <c r="EF133" s="301"/>
      <c r="EG133" s="301"/>
      <c r="EH133" s="301"/>
      <c r="EI133" s="301"/>
      <c r="EJ133" s="301"/>
      <c r="EK133" s="301"/>
      <c r="EL133" s="301"/>
      <c r="EM133" s="301"/>
      <c r="EN133" s="301"/>
      <c r="EO133" s="301"/>
      <c r="EP133" s="301"/>
      <c r="EQ133" s="301"/>
      <c r="ER133" s="301"/>
      <c r="ES133" s="301"/>
      <c r="ET133" s="301"/>
      <c r="EU133" s="301"/>
      <c r="EV133" s="301"/>
      <c r="EW133" s="301"/>
      <c r="EX133" s="301"/>
      <c r="EY133" s="301"/>
      <c r="EZ133" s="301"/>
      <c r="FA133" s="301"/>
      <c r="FB133" s="301"/>
      <c r="FC133" s="301"/>
      <c r="FD133" s="301"/>
      <c r="FE133" s="301"/>
      <c r="FF133" s="301"/>
      <c r="FG133" s="301"/>
      <c r="FH133" s="301"/>
      <c r="FI133" s="301"/>
      <c r="FJ133" s="301"/>
      <c r="FK133" s="301"/>
      <c r="FL133" s="301"/>
      <c r="FM133" s="301"/>
      <c r="FN133" s="301"/>
      <c r="FO133" s="301"/>
      <c r="FP133" s="301"/>
      <c r="FQ133" s="301"/>
      <c r="FR133" s="301"/>
      <c r="FS133" s="301"/>
      <c r="FT133" s="301"/>
      <c r="FU133" s="301"/>
      <c r="FV133" s="301"/>
      <c r="FW133" s="301"/>
      <c r="FX133" s="301"/>
      <c r="FY133" s="301"/>
      <c r="FZ133" s="301"/>
      <c r="GA133" s="301"/>
      <c r="GB133" s="301"/>
      <c r="GC133" s="301"/>
      <c r="GD133" s="301"/>
      <c r="GE133" s="301"/>
      <c r="GF133" s="301"/>
      <c r="GG133" s="301"/>
      <c r="GH133" s="301"/>
      <c r="GI133" s="301"/>
      <c r="GJ133" s="301"/>
      <c r="GK133" s="301"/>
      <c r="GL133" s="301"/>
      <c r="GM133" s="301"/>
      <c r="GN133" s="301"/>
      <c r="GO133" s="301"/>
      <c r="GP133" s="301"/>
      <c r="GQ133" s="301"/>
      <c r="GR133" s="301"/>
      <c r="GS133" s="301"/>
      <c r="GT133" s="301"/>
      <c r="GU133" s="301"/>
      <c r="GV133" s="301"/>
      <c r="GW133" s="301"/>
      <c r="GX133" s="301"/>
      <c r="GY133" s="301"/>
      <c r="GZ133" s="301"/>
      <c r="HA133" s="301"/>
      <c r="HB133" s="301"/>
      <c r="HC133" s="301"/>
      <c r="HD133" s="301"/>
      <c r="HE133" s="301"/>
      <c r="HF133" s="301"/>
      <c r="HG133" s="301"/>
      <c r="HH133" s="301"/>
      <c r="HI133" s="301"/>
      <c r="HJ133" s="301"/>
      <c r="HK133" s="301"/>
      <c r="HL133" s="301"/>
      <c r="HM133" s="301"/>
      <c r="HN133" s="301"/>
      <c r="HO133" s="301"/>
      <c r="HP133" s="301"/>
      <c r="HQ133" s="301"/>
      <c r="HR133" s="301"/>
      <c r="HS133" s="301"/>
      <c r="HT133" s="301"/>
      <c r="HU133" s="301"/>
      <c r="HV133" s="301"/>
      <c r="HW133" s="301"/>
      <c r="HX133" s="301"/>
      <c r="HY133" s="301"/>
      <c r="HZ133" s="301"/>
      <c r="IA133" s="301"/>
      <c r="IB133" s="301"/>
      <c r="IC133" s="301"/>
      <c r="ID133" s="301"/>
      <c r="IE133" s="301"/>
      <c r="IF133" s="301"/>
      <c r="IG133" s="301"/>
      <c r="IH133" s="301"/>
      <c r="II133" s="301"/>
      <c r="IJ133" s="301"/>
      <c r="IK133" s="301"/>
      <c r="IL133" s="301"/>
      <c r="IM133" s="301"/>
      <c r="IN133" s="301"/>
      <c r="IO133" s="301"/>
      <c r="IP133" s="301"/>
      <c r="IQ133" s="301"/>
      <c r="IR133" s="301"/>
      <c r="IS133" s="301"/>
      <c r="IT133" s="301"/>
      <c r="IU133" s="301"/>
      <c r="IV133" s="301"/>
    </row>
    <row r="134" spans="1:256" ht="15">
      <c r="A134" s="301"/>
      <c r="B134" s="302"/>
      <c r="C134" s="312" t="s">
        <v>827</v>
      </c>
      <c r="D134" s="313" t="s">
        <v>1315</v>
      </c>
      <c r="E134" s="304"/>
      <c r="F134" s="304"/>
      <c r="G134" s="316"/>
      <c r="H134" s="317"/>
      <c r="I134" s="317"/>
      <c r="J134" s="317"/>
      <c r="K134" s="334">
        <f>K133*13.615/100</f>
        <v>13409.326364</v>
      </c>
      <c r="L134" s="301"/>
      <c r="M134" s="301"/>
      <c r="N134" s="301"/>
      <c r="O134" s="301"/>
      <c r="P134" s="301"/>
      <c r="Q134" s="301"/>
      <c r="R134" s="301"/>
      <c r="S134" s="301"/>
      <c r="T134" s="301"/>
      <c r="U134" s="301"/>
      <c r="V134" s="301"/>
      <c r="W134" s="301"/>
      <c r="X134" s="301"/>
      <c r="Y134" s="301"/>
      <c r="Z134" s="301"/>
      <c r="AA134" s="301"/>
      <c r="AB134" s="301"/>
      <c r="AC134" s="301"/>
      <c r="AD134" s="301"/>
      <c r="AE134" s="301"/>
      <c r="AF134" s="301"/>
      <c r="AG134" s="301"/>
      <c r="AH134" s="301"/>
      <c r="AI134" s="301"/>
      <c r="AJ134" s="301"/>
      <c r="AK134" s="301"/>
      <c r="AL134" s="301"/>
      <c r="AM134" s="301"/>
      <c r="AN134" s="301"/>
      <c r="AO134" s="301"/>
      <c r="AP134" s="301"/>
      <c r="AQ134" s="301"/>
      <c r="AR134" s="301"/>
      <c r="AS134" s="301"/>
      <c r="AT134" s="301"/>
      <c r="AU134" s="301"/>
      <c r="AV134" s="301"/>
      <c r="AW134" s="301"/>
      <c r="AX134" s="301"/>
      <c r="AY134" s="301"/>
      <c r="AZ134" s="301"/>
      <c r="BA134" s="301"/>
      <c r="BB134" s="301"/>
      <c r="BC134" s="301"/>
      <c r="BD134" s="301"/>
      <c r="BE134" s="301"/>
      <c r="BF134" s="301"/>
      <c r="BG134" s="301"/>
      <c r="BH134" s="301"/>
      <c r="BI134" s="301"/>
      <c r="BJ134" s="301"/>
      <c r="BK134" s="301"/>
      <c r="BL134" s="301"/>
      <c r="BM134" s="301"/>
      <c r="BN134" s="301"/>
      <c r="BO134" s="301"/>
      <c r="BP134" s="301"/>
      <c r="BQ134" s="301"/>
      <c r="BR134" s="301"/>
      <c r="BS134" s="301"/>
      <c r="BT134" s="301"/>
      <c r="BU134" s="301"/>
      <c r="BV134" s="301"/>
      <c r="BW134" s="301"/>
      <c r="BX134" s="301"/>
      <c r="BY134" s="301"/>
      <c r="BZ134" s="301"/>
      <c r="CA134" s="301"/>
      <c r="CB134" s="301"/>
      <c r="CC134" s="301"/>
      <c r="CD134" s="301"/>
      <c r="CE134" s="301"/>
      <c r="CF134" s="301"/>
      <c r="CG134" s="301"/>
      <c r="CH134" s="301"/>
      <c r="CI134" s="301"/>
      <c r="CJ134" s="301"/>
      <c r="CK134" s="301"/>
      <c r="CL134" s="301"/>
      <c r="CM134" s="301"/>
      <c r="CN134" s="301"/>
      <c r="CO134" s="301"/>
      <c r="CP134" s="301"/>
      <c r="CQ134" s="301"/>
      <c r="CR134" s="301"/>
      <c r="CS134" s="301"/>
      <c r="CT134" s="301"/>
      <c r="CU134" s="301"/>
      <c r="CV134" s="301"/>
      <c r="CW134" s="301"/>
      <c r="CX134" s="301"/>
      <c r="CY134" s="301"/>
      <c r="CZ134" s="301"/>
      <c r="DA134" s="301"/>
      <c r="DB134" s="301"/>
      <c r="DC134" s="301"/>
      <c r="DD134" s="301"/>
      <c r="DE134" s="301"/>
      <c r="DF134" s="301"/>
      <c r="DG134" s="301"/>
      <c r="DH134" s="301"/>
      <c r="DI134" s="301"/>
      <c r="DJ134" s="301"/>
      <c r="DK134" s="301"/>
      <c r="DL134" s="301"/>
      <c r="DM134" s="301"/>
      <c r="DN134" s="301"/>
      <c r="DO134" s="301"/>
      <c r="DP134" s="301"/>
      <c r="DQ134" s="301"/>
      <c r="DR134" s="301"/>
      <c r="DS134" s="301"/>
      <c r="DT134" s="301"/>
      <c r="DU134" s="301"/>
      <c r="DV134" s="301"/>
      <c r="DW134" s="301"/>
      <c r="DX134" s="301"/>
      <c r="DY134" s="301"/>
      <c r="DZ134" s="301"/>
      <c r="EA134" s="301"/>
      <c r="EB134" s="301"/>
      <c r="EC134" s="301"/>
      <c r="ED134" s="301"/>
      <c r="EE134" s="301"/>
      <c r="EF134" s="301"/>
      <c r="EG134" s="301"/>
      <c r="EH134" s="301"/>
      <c r="EI134" s="301"/>
      <c r="EJ134" s="301"/>
      <c r="EK134" s="301"/>
      <c r="EL134" s="301"/>
      <c r="EM134" s="301"/>
      <c r="EN134" s="301"/>
      <c r="EO134" s="301"/>
      <c r="EP134" s="301"/>
      <c r="EQ134" s="301"/>
      <c r="ER134" s="301"/>
      <c r="ES134" s="301"/>
      <c r="ET134" s="301"/>
      <c r="EU134" s="301"/>
      <c r="EV134" s="301"/>
      <c r="EW134" s="301"/>
      <c r="EX134" s="301"/>
      <c r="EY134" s="301"/>
      <c r="EZ134" s="301"/>
      <c r="FA134" s="301"/>
      <c r="FB134" s="301"/>
      <c r="FC134" s="301"/>
      <c r="FD134" s="301"/>
      <c r="FE134" s="301"/>
      <c r="FF134" s="301"/>
      <c r="FG134" s="301"/>
      <c r="FH134" s="301"/>
      <c r="FI134" s="301"/>
      <c r="FJ134" s="301"/>
      <c r="FK134" s="301"/>
      <c r="FL134" s="301"/>
      <c r="FM134" s="301"/>
      <c r="FN134" s="301"/>
      <c r="FO134" s="301"/>
      <c r="FP134" s="301"/>
      <c r="FQ134" s="301"/>
      <c r="FR134" s="301"/>
      <c r="FS134" s="301"/>
      <c r="FT134" s="301"/>
      <c r="FU134" s="301"/>
      <c r="FV134" s="301"/>
      <c r="FW134" s="301"/>
      <c r="FX134" s="301"/>
      <c r="FY134" s="301"/>
      <c r="FZ134" s="301"/>
      <c r="GA134" s="301"/>
      <c r="GB134" s="301"/>
      <c r="GC134" s="301"/>
      <c r="GD134" s="301"/>
      <c r="GE134" s="301"/>
      <c r="GF134" s="301"/>
      <c r="GG134" s="301"/>
      <c r="GH134" s="301"/>
      <c r="GI134" s="301"/>
      <c r="GJ134" s="301"/>
      <c r="GK134" s="301"/>
      <c r="GL134" s="301"/>
      <c r="GM134" s="301"/>
      <c r="GN134" s="301"/>
      <c r="GO134" s="301"/>
      <c r="GP134" s="301"/>
      <c r="GQ134" s="301"/>
      <c r="GR134" s="301"/>
      <c r="GS134" s="301"/>
      <c r="GT134" s="301"/>
      <c r="GU134" s="301"/>
      <c r="GV134" s="301"/>
      <c r="GW134" s="301"/>
      <c r="GX134" s="301"/>
      <c r="GY134" s="301"/>
      <c r="GZ134" s="301"/>
      <c r="HA134" s="301"/>
      <c r="HB134" s="301"/>
      <c r="HC134" s="301"/>
      <c r="HD134" s="301"/>
      <c r="HE134" s="301"/>
      <c r="HF134" s="301"/>
      <c r="HG134" s="301"/>
      <c r="HH134" s="301"/>
      <c r="HI134" s="301"/>
      <c r="HJ134" s="301"/>
      <c r="HK134" s="301"/>
      <c r="HL134" s="301"/>
      <c r="HM134" s="301"/>
      <c r="HN134" s="301"/>
      <c r="HO134" s="301"/>
      <c r="HP134" s="301"/>
      <c r="HQ134" s="301"/>
      <c r="HR134" s="301"/>
      <c r="HS134" s="301"/>
      <c r="HT134" s="301"/>
      <c r="HU134" s="301"/>
      <c r="HV134" s="301"/>
      <c r="HW134" s="301"/>
      <c r="HX134" s="301"/>
      <c r="HY134" s="301"/>
      <c r="HZ134" s="301"/>
      <c r="IA134" s="301"/>
      <c r="IB134" s="301"/>
      <c r="IC134" s="301"/>
      <c r="ID134" s="301"/>
      <c r="IE134" s="301"/>
      <c r="IF134" s="301"/>
      <c r="IG134" s="301"/>
      <c r="IH134" s="301"/>
      <c r="II134" s="301"/>
      <c r="IJ134" s="301"/>
      <c r="IK134" s="301"/>
      <c r="IL134" s="301"/>
      <c r="IM134" s="301"/>
      <c r="IN134" s="301"/>
      <c r="IO134" s="301"/>
      <c r="IP134" s="301"/>
      <c r="IQ134" s="301"/>
      <c r="IR134" s="301"/>
      <c r="IS134" s="301"/>
      <c r="IT134" s="301"/>
      <c r="IU134" s="301"/>
      <c r="IV134" s="301"/>
    </row>
    <row r="135" spans="1:256" ht="15">
      <c r="A135" s="301"/>
      <c r="B135" s="302"/>
      <c r="C135" s="317"/>
      <c r="D135" s="317"/>
      <c r="E135" s="353" t="s">
        <v>864</v>
      </c>
      <c r="F135" s="304"/>
      <c r="G135" s="315"/>
      <c r="H135" s="317"/>
      <c r="I135" s="317"/>
      <c r="J135" s="317"/>
      <c r="K135" s="367">
        <f>SUM(K133:K134)</f>
        <v>111898.68636399999</v>
      </c>
      <c r="L135" s="301"/>
      <c r="M135" s="301"/>
      <c r="N135" s="301"/>
      <c r="O135" s="301"/>
      <c r="P135" s="301"/>
      <c r="Q135" s="301"/>
      <c r="R135" s="301"/>
      <c r="S135" s="301"/>
      <c r="T135" s="301"/>
      <c r="U135" s="301"/>
      <c r="V135" s="301"/>
      <c r="W135" s="301"/>
      <c r="X135" s="301"/>
      <c r="Y135" s="301"/>
      <c r="Z135" s="301"/>
      <c r="AA135" s="301"/>
      <c r="AB135" s="301"/>
      <c r="AC135" s="301"/>
      <c r="AD135" s="301"/>
      <c r="AE135" s="301"/>
      <c r="AF135" s="301"/>
      <c r="AG135" s="301"/>
      <c r="AH135" s="301"/>
      <c r="AI135" s="301"/>
      <c r="AJ135" s="301"/>
      <c r="AK135" s="301"/>
      <c r="AL135" s="301"/>
      <c r="AM135" s="301"/>
      <c r="AN135" s="301"/>
      <c r="AO135" s="301"/>
      <c r="AP135" s="301"/>
      <c r="AQ135" s="301"/>
      <c r="AR135" s="301"/>
      <c r="AS135" s="301"/>
      <c r="AT135" s="301"/>
      <c r="AU135" s="301"/>
      <c r="AV135" s="301"/>
      <c r="AW135" s="301"/>
      <c r="AX135" s="301"/>
      <c r="AY135" s="301"/>
      <c r="AZ135" s="301"/>
      <c r="BA135" s="301"/>
      <c r="BB135" s="301"/>
      <c r="BC135" s="301"/>
      <c r="BD135" s="301"/>
      <c r="BE135" s="301"/>
      <c r="BF135" s="301"/>
      <c r="BG135" s="301"/>
      <c r="BH135" s="301"/>
      <c r="BI135" s="301"/>
      <c r="BJ135" s="301"/>
      <c r="BK135" s="301"/>
      <c r="BL135" s="301"/>
      <c r="BM135" s="301"/>
      <c r="BN135" s="301"/>
      <c r="BO135" s="301"/>
      <c r="BP135" s="301"/>
      <c r="BQ135" s="301"/>
      <c r="BR135" s="301"/>
      <c r="BS135" s="301"/>
      <c r="BT135" s="301"/>
      <c r="BU135" s="301"/>
      <c r="BV135" s="301"/>
      <c r="BW135" s="301"/>
      <c r="BX135" s="301"/>
      <c r="BY135" s="301"/>
      <c r="BZ135" s="301"/>
      <c r="CA135" s="301"/>
      <c r="CB135" s="301"/>
      <c r="CC135" s="301"/>
      <c r="CD135" s="301"/>
      <c r="CE135" s="301"/>
      <c r="CF135" s="301"/>
      <c r="CG135" s="301"/>
      <c r="CH135" s="301"/>
      <c r="CI135" s="301"/>
      <c r="CJ135" s="301"/>
      <c r="CK135" s="301"/>
      <c r="CL135" s="301"/>
      <c r="CM135" s="301"/>
      <c r="CN135" s="301"/>
      <c r="CO135" s="301"/>
      <c r="CP135" s="301"/>
      <c r="CQ135" s="301"/>
      <c r="CR135" s="301"/>
      <c r="CS135" s="301"/>
      <c r="CT135" s="301"/>
      <c r="CU135" s="301"/>
      <c r="CV135" s="301"/>
      <c r="CW135" s="301"/>
      <c r="CX135" s="301"/>
      <c r="CY135" s="301"/>
      <c r="CZ135" s="301"/>
      <c r="DA135" s="301"/>
      <c r="DB135" s="301"/>
      <c r="DC135" s="301"/>
      <c r="DD135" s="301"/>
      <c r="DE135" s="301"/>
      <c r="DF135" s="301"/>
      <c r="DG135" s="301"/>
      <c r="DH135" s="301"/>
      <c r="DI135" s="301"/>
      <c r="DJ135" s="301"/>
      <c r="DK135" s="301"/>
      <c r="DL135" s="301"/>
      <c r="DM135" s="301"/>
      <c r="DN135" s="301"/>
      <c r="DO135" s="301"/>
      <c r="DP135" s="301"/>
      <c r="DQ135" s="301"/>
      <c r="DR135" s="301"/>
      <c r="DS135" s="301"/>
      <c r="DT135" s="301"/>
      <c r="DU135" s="301"/>
      <c r="DV135" s="301"/>
      <c r="DW135" s="301"/>
      <c r="DX135" s="301"/>
      <c r="DY135" s="301"/>
      <c r="DZ135" s="301"/>
      <c r="EA135" s="301"/>
      <c r="EB135" s="301"/>
      <c r="EC135" s="301"/>
      <c r="ED135" s="301"/>
      <c r="EE135" s="301"/>
      <c r="EF135" s="301"/>
      <c r="EG135" s="301"/>
      <c r="EH135" s="301"/>
      <c r="EI135" s="301"/>
      <c r="EJ135" s="301"/>
      <c r="EK135" s="301"/>
      <c r="EL135" s="301"/>
      <c r="EM135" s="301"/>
      <c r="EN135" s="301"/>
      <c r="EO135" s="301"/>
      <c r="EP135" s="301"/>
      <c r="EQ135" s="301"/>
      <c r="ER135" s="301"/>
      <c r="ES135" s="301"/>
      <c r="ET135" s="301"/>
      <c r="EU135" s="301"/>
      <c r="EV135" s="301"/>
      <c r="EW135" s="301"/>
      <c r="EX135" s="301"/>
      <c r="EY135" s="301"/>
      <c r="EZ135" s="301"/>
      <c r="FA135" s="301"/>
      <c r="FB135" s="301"/>
      <c r="FC135" s="301"/>
      <c r="FD135" s="301"/>
      <c r="FE135" s="301"/>
      <c r="FF135" s="301"/>
      <c r="FG135" s="301"/>
      <c r="FH135" s="301"/>
      <c r="FI135" s="301"/>
      <c r="FJ135" s="301"/>
      <c r="FK135" s="301"/>
      <c r="FL135" s="301"/>
      <c r="FM135" s="301"/>
      <c r="FN135" s="301"/>
      <c r="FO135" s="301"/>
      <c r="FP135" s="301"/>
      <c r="FQ135" s="301"/>
      <c r="FR135" s="301"/>
      <c r="FS135" s="301"/>
      <c r="FT135" s="301"/>
      <c r="FU135" s="301"/>
      <c r="FV135" s="301"/>
      <c r="FW135" s="301"/>
      <c r="FX135" s="301"/>
      <c r="FY135" s="301"/>
      <c r="FZ135" s="301"/>
      <c r="GA135" s="301"/>
      <c r="GB135" s="301"/>
      <c r="GC135" s="301"/>
      <c r="GD135" s="301"/>
      <c r="GE135" s="301"/>
      <c r="GF135" s="301"/>
      <c r="GG135" s="301"/>
      <c r="GH135" s="301"/>
      <c r="GI135" s="301"/>
      <c r="GJ135" s="301"/>
      <c r="GK135" s="301"/>
      <c r="GL135" s="301"/>
      <c r="GM135" s="301"/>
      <c r="GN135" s="301"/>
      <c r="GO135" s="301"/>
      <c r="GP135" s="301"/>
      <c r="GQ135" s="301"/>
      <c r="GR135" s="301"/>
      <c r="GS135" s="301"/>
      <c r="GT135" s="301"/>
      <c r="GU135" s="301"/>
      <c r="GV135" s="301"/>
      <c r="GW135" s="301"/>
      <c r="GX135" s="301"/>
      <c r="GY135" s="301"/>
      <c r="GZ135" s="301"/>
      <c r="HA135" s="301"/>
      <c r="HB135" s="301"/>
      <c r="HC135" s="301"/>
      <c r="HD135" s="301"/>
      <c r="HE135" s="301"/>
      <c r="HF135" s="301"/>
      <c r="HG135" s="301"/>
      <c r="HH135" s="301"/>
      <c r="HI135" s="301"/>
      <c r="HJ135" s="301"/>
      <c r="HK135" s="301"/>
      <c r="HL135" s="301"/>
      <c r="HM135" s="301"/>
      <c r="HN135" s="301"/>
      <c r="HO135" s="301"/>
      <c r="HP135" s="301"/>
      <c r="HQ135" s="301"/>
      <c r="HR135" s="301"/>
      <c r="HS135" s="301"/>
      <c r="HT135" s="301"/>
      <c r="HU135" s="301"/>
      <c r="HV135" s="301"/>
      <c r="HW135" s="301"/>
      <c r="HX135" s="301"/>
      <c r="HY135" s="301"/>
      <c r="HZ135" s="301"/>
      <c r="IA135" s="301"/>
      <c r="IB135" s="301"/>
      <c r="IC135" s="301"/>
      <c r="ID135" s="301"/>
      <c r="IE135" s="301"/>
      <c r="IF135" s="301"/>
      <c r="IG135" s="301"/>
      <c r="IH135" s="301"/>
      <c r="II135" s="301"/>
      <c r="IJ135" s="301"/>
      <c r="IK135" s="301"/>
      <c r="IL135" s="301"/>
      <c r="IM135" s="301"/>
      <c r="IN135" s="301"/>
      <c r="IO135" s="301"/>
      <c r="IP135" s="301"/>
      <c r="IQ135" s="301"/>
      <c r="IR135" s="301"/>
      <c r="IS135" s="301"/>
      <c r="IT135" s="301"/>
      <c r="IU135" s="301"/>
      <c r="IV135" s="301"/>
    </row>
    <row r="136" spans="1:256" ht="15">
      <c r="A136" s="301"/>
      <c r="B136" s="302"/>
      <c r="C136" s="317"/>
      <c r="D136" s="317"/>
      <c r="E136" s="317" t="s">
        <v>830</v>
      </c>
      <c r="F136" s="304"/>
      <c r="G136" s="317"/>
      <c r="H136" s="317"/>
      <c r="I136" s="317"/>
      <c r="J136" s="317"/>
      <c r="K136" s="329">
        <f>ROUND(K135/300,2)</f>
        <v>373</v>
      </c>
      <c r="L136" s="301"/>
      <c r="M136" s="301"/>
      <c r="N136" s="301"/>
      <c r="O136" s="301"/>
      <c r="P136" s="301"/>
      <c r="Q136" s="301"/>
      <c r="R136" s="301"/>
      <c r="S136" s="301"/>
      <c r="T136" s="301"/>
      <c r="U136" s="301"/>
      <c r="V136" s="301"/>
      <c r="W136" s="301"/>
      <c r="X136" s="301"/>
      <c r="Y136" s="301"/>
      <c r="Z136" s="301"/>
      <c r="AA136" s="301"/>
      <c r="AB136" s="301"/>
      <c r="AC136" s="301"/>
      <c r="AD136" s="301"/>
      <c r="AE136" s="301"/>
      <c r="AF136" s="301"/>
      <c r="AG136" s="301"/>
      <c r="AH136" s="301"/>
      <c r="AI136" s="301"/>
      <c r="AJ136" s="301"/>
      <c r="AK136" s="301"/>
      <c r="AL136" s="301"/>
      <c r="AM136" s="301"/>
      <c r="AN136" s="301"/>
      <c r="AO136" s="301"/>
      <c r="AP136" s="301"/>
      <c r="AQ136" s="301"/>
      <c r="AR136" s="301"/>
      <c r="AS136" s="301"/>
      <c r="AT136" s="301"/>
      <c r="AU136" s="301"/>
      <c r="AV136" s="301"/>
      <c r="AW136" s="301"/>
      <c r="AX136" s="301"/>
      <c r="AY136" s="301"/>
      <c r="AZ136" s="301"/>
      <c r="BA136" s="301"/>
      <c r="BB136" s="301"/>
      <c r="BC136" s="301"/>
      <c r="BD136" s="301"/>
      <c r="BE136" s="301"/>
      <c r="BF136" s="301"/>
      <c r="BG136" s="301"/>
      <c r="BH136" s="301"/>
      <c r="BI136" s="301"/>
      <c r="BJ136" s="301"/>
      <c r="BK136" s="301"/>
      <c r="BL136" s="301"/>
      <c r="BM136" s="301"/>
      <c r="BN136" s="301"/>
      <c r="BO136" s="301"/>
      <c r="BP136" s="301"/>
      <c r="BQ136" s="301"/>
      <c r="BR136" s="301"/>
      <c r="BS136" s="301"/>
      <c r="BT136" s="301"/>
      <c r="BU136" s="301"/>
      <c r="BV136" s="301"/>
      <c r="BW136" s="301"/>
      <c r="BX136" s="301"/>
      <c r="BY136" s="301"/>
      <c r="BZ136" s="301"/>
      <c r="CA136" s="301"/>
      <c r="CB136" s="301"/>
      <c r="CC136" s="301"/>
      <c r="CD136" s="301"/>
      <c r="CE136" s="301"/>
      <c r="CF136" s="301"/>
      <c r="CG136" s="301"/>
      <c r="CH136" s="301"/>
      <c r="CI136" s="301"/>
      <c r="CJ136" s="301"/>
      <c r="CK136" s="301"/>
      <c r="CL136" s="301"/>
      <c r="CM136" s="301"/>
      <c r="CN136" s="301"/>
      <c r="CO136" s="301"/>
      <c r="CP136" s="301"/>
      <c r="CQ136" s="301"/>
      <c r="CR136" s="301"/>
      <c r="CS136" s="301"/>
      <c r="CT136" s="301"/>
      <c r="CU136" s="301"/>
      <c r="CV136" s="301"/>
      <c r="CW136" s="301"/>
      <c r="CX136" s="301"/>
      <c r="CY136" s="301"/>
      <c r="CZ136" s="301"/>
      <c r="DA136" s="301"/>
      <c r="DB136" s="301"/>
      <c r="DC136" s="301"/>
      <c r="DD136" s="301"/>
      <c r="DE136" s="301"/>
      <c r="DF136" s="301"/>
      <c r="DG136" s="301"/>
      <c r="DH136" s="301"/>
      <c r="DI136" s="301"/>
      <c r="DJ136" s="301"/>
      <c r="DK136" s="301"/>
      <c r="DL136" s="301"/>
      <c r="DM136" s="301"/>
      <c r="DN136" s="301"/>
      <c r="DO136" s="301"/>
      <c r="DP136" s="301"/>
      <c r="DQ136" s="301"/>
      <c r="DR136" s="301"/>
      <c r="DS136" s="301"/>
      <c r="DT136" s="301"/>
      <c r="DU136" s="301"/>
      <c r="DV136" s="301"/>
      <c r="DW136" s="301"/>
      <c r="DX136" s="301"/>
      <c r="DY136" s="301"/>
      <c r="DZ136" s="301"/>
      <c r="EA136" s="301"/>
      <c r="EB136" s="301"/>
      <c r="EC136" s="301"/>
      <c r="ED136" s="301"/>
      <c r="EE136" s="301"/>
      <c r="EF136" s="301"/>
      <c r="EG136" s="301"/>
      <c r="EH136" s="301"/>
      <c r="EI136" s="301"/>
      <c r="EJ136" s="301"/>
      <c r="EK136" s="301"/>
      <c r="EL136" s="301"/>
      <c r="EM136" s="301"/>
      <c r="EN136" s="301"/>
      <c r="EO136" s="301"/>
      <c r="EP136" s="301"/>
      <c r="EQ136" s="301"/>
      <c r="ER136" s="301"/>
      <c r="ES136" s="301"/>
      <c r="ET136" s="301"/>
      <c r="EU136" s="301"/>
      <c r="EV136" s="301"/>
      <c r="EW136" s="301"/>
      <c r="EX136" s="301"/>
      <c r="EY136" s="301"/>
      <c r="EZ136" s="301"/>
      <c r="FA136" s="301"/>
      <c r="FB136" s="301"/>
      <c r="FC136" s="301"/>
      <c r="FD136" s="301"/>
      <c r="FE136" s="301"/>
      <c r="FF136" s="301"/>
      <c r="FG136" s="301"/>
      <c r="FH136" s="301"/>
      <c r="FI136" s="301"/>
      <c r="FJ136" s="301"/>
      <c r="FK136" s="301"/>
      <c r="FL136" s="301"/>
      <c r="FM136" s="301"/>
      <c r="FN136" s="301"/>
      <c r="FO136" s="301"/>
      <c r="FP136" s="301"/>
      <c r="FQ136" s="301"/>
      <c r="FR136" s="301"/>
      <c r="FS136" s="301"/>
      <c r="FT136" s="301"/>
      <c r="FU136" s="301"/>
      <c r="FV136" s="301"/>
      <c r="FW136" s="301"/>
      <c r="FX136" s="301"/>
      <c r="FY136" s="301"/>
      <c r="FZ136" s="301"/>
      <c r="GA136" s="301"/>
      <c r="GB136" s="301"/>
      <c r="GC136" s="301"/>
      <c r="GD136" s="301"/>
      <c r="GE136" s="301"/>
      <c r="GF136" s="301"/>
      <c r="GG136" s="301"/>
      <c r="GH136" s="301"/>
      <c r="GI136" s="301"/>
      <c r="GJ136" s="301"/>
      <c r="GK136" s="301"/>
      <c r="GL136" s="301"/>
      <c r="GM136" s="301"/>
      <c r="GN136" s="301"/>
      <c r="GO136" s="301"/>
      <c r="GP136" s="301"/>
      <c r="GQ136" s="301"/>
      <c r="GR136" s="301"/>
      <c r="GS136" s="301"/>
      <c r="GT136" s="301"/>
      <c r="GU136" s="301"/>
      <c r="GV136" s="301"/>
      <c r="GW136" s="301"/>
      <c r="GX136" s="301"/>
      <c r="GY136" s="301"/>
      <c r="GZ136" s="301"/>
      <c r="HA136" s="301"/>
      <c r="HB136" s="301"/>
      <c r="HC136" s="301"/>
      <c r="HD136" s="301"/>
      <c r="HE136" s="301"/>
      <c r="HF136" s="301"/>
      <c r="HG136" s="301"/>
      <c r="HH136" s="301"/>
      <c r="HI136" s="301"/>
      <c r="HJ136" s="301"/>
      <c r="HK136" s="301"/>
      <c r="HL136" s="301"/>
      <c r="HM136" s="301"/>
      <c r="HN136" s="301"/>
      <c r="HO136" s="301"/>
      <c r="HP136" s="301"/>
      <c r="HQ136" s="301"/>
      <c r="HR136" s="301"/>
      <c r="HS136" s="301"/>
      <c r="HT136" s="301"/>
      <c r="HU136" s="301"/>
      <c r="HV136" s="301"/>
      <c r="HW136" s="301"/>
      <c r="HX136" s="301"/>
      <c r="HY136" s="301"/>
      <c r="HZ136" s="301"/>
      <c r="IA136" s="301"/>
      <c r="IB136" s="301"/>
      <c r="IC136" s="301"/>
      <c r="ID136" s="301"/>
      <c r="IE136" s="301"/>
      <c r="IF136" s="301"/>
      <c r="IG136" s="301"/>
      <c r="IH136" s="301"/>
      <c r="II136" s="301"/>
      <c r="IJ136" s="301"/>
      <c r="IK136" s="301"/>
      <c r="IL136" s="301"/>
      <c r="IM136" s="301"/>
      <c r="IN136" s="301"/>
      <c r="IO136" s="301"/>
      <c r="IP136" s="301"/>
      <c r="IQ136" s="301"/>
      <c r="IR136" s="301"/>
      <c r="IS136" s="301"/>
      <c r="IT136" s="301"/>
      <c r="IU136" s="301"/>
      <c r="IV136" s="301"/>
    </row>
    <row r="137" spans="1:256" ht="15">
      <c r="A137" s="301"/>
      <c r="B137" s="302"/>
      <c r="C137" s="317"/>
      <c r="D137" s="317"/>
      <c r="E137" s="317" t="s">
        <v>849</v>
      </c>
      <c r="F137" s="304"/>
      <c r="G137" s="317"/>
      <c r="H137" s="317"/>
      <c r="I137" s="317"/>
      <c r="J137" s="317"/>
      <c r="K137" s="335">
        <f>ROUND(K136,0)</f>
        <v>373</v>
      </c>
      <c r="L137" s="301"/>
      <c r="M137" s="301"/>
      <c r="N137" s="301"/>
      <c r="O137" s="301"/>
      <c r="P137" s="301"/>
      <c r="Q137" s="301"/>
      <c r="R137" s="301"/>
      <c r="S137" s="301"/>
      <c r="T137" s="301"/>
      <c r="U137" s="301"/>
      <c r="V137" s="301"/>
      <c r="W137" s="301"/>
      <c r="X137" s="301"/>
      <c r="Y137" s="301"/>
      <c r="Z137" s="301"/>
      <c r="AA137" s="301"/>
      <c r="AB137" s="301"/>
      <c r="AC137" s="301"/>
      <c r="AD137" s="301"/>
      <c r="AE137" s="301"/>
      <c r="AF137" s="301"/>
      <c r="AG137" s="301"/>
      <c r="AH137" s="301"/>
      <c r="AI137" s="301"/>
      <c r="AJ137" s="301"/>
      <c r="AK137" s="301"/>
      <c r="AL137" s="301"/>
      <c r="AM137" s="301"/>
      <c r="AN137" s="301"/>
      <c r="AO137" s="301"/>
      <c r="AP137" s="301"/>
      <c r="AQ137" s="301"/>
      <c r="AR137" s="301"/>
      <c r="AS137" s="301"/>
      <c r="AT137" s="301"/>
      <c r="AU137" s="301"/>
      <c r="AV137" s="301"/>
      <c r="AW137" s="301"/>
      <c r="AX137" s="301"/>
      <c r="AY137" s="301"/>
      <c r="AZ137" s="301"/>
      <c r="BA137" s="301"/>
      <c r="BB137" s="301"/>
      <c r="BC137" s="301"/>
      <c r="BD137" s="301"/>
      <c r="BE137" s="301"/>
      <c r="BF137" s="301"/>
      <c r="BG137" s="301"/>
      <c r="BH137" s="301"/>
      <c r="BI137" s="301"/>
      <c r="BJ137" s="301"/>
      <c r="BK137" s="301"/>
      <c r="BL137" s="301"/>
      <c r="BM137" s="301"/>
      <c r="BN137" s="301"/>
      <c r="BO137" s="301"/>
      <c r="BP137" s="301"/>
      <c r="BQ137" s="301"/>
      <c r="BR137" s="301"/>
      <c r="BS137" s="301"/>
      <c r="BT137" s="301"/>
      <c r="BU137" s="301"/>
      <c r="BV137" s="301"/>
      <c r="BW137" s="301"/>
      <c r="BX137" s="301"/>
      <c r="BY137" s="301"/>
      <c r="BZ137" s="301"/>
      <c r="CA137" s="301"/>
      <c r="CB137" s="301"/>
      <c r="CC137" s="301"/>
      <c r="CD137" s="301"/>
      <c r="CE137" s="301"/>
      <c r="CF137" s="301"/>
      <c r="CG137" s="301"/>
      <c r="CH137" s="301"/>
      <c r="CI137" s="301"/>
      <c r="CJ137" s="301"/>
      <c r="CK137" s="301"/>
      <c r="CL137" s="301"/>
      <c r="CM137" s="301"/>
      <c r="CN137" s="301"/>
      <c r="CO137" s="301"/>
      <c r="CP137" s="301"/>
      <c r="CQ137" s="301"/>
      <c r="CR137" s="301"/>
      <c r="CS137" s="301"/>
      <c r="CT137" s="301"/>
      <c r="CU137" s="301"/>
      <c r="CV137" s="301"/>
      <c r="CW137" s="301"/>
      <c r="CX137" s="301"/>
      <c r="CY137" s="301"/>
      <c r="CZ137" s="301"/>
      <c r="DA137" s="301"/>
      <c r="DB137" s="301"/>
      <c r="DC137" s="301"/>
      <c r="DD137" s="301"/>
      <c r="DE137" s="301"/>
      <c r="DF137" s="301"/>
      <c r="DG137" s="301"/>
      <c r="DH137" s="301"/>
      <c r="DI137" s="301"/>
      <c r="DJ137" s="301"/>
      <c r="DK137" s="301"/>
      <c r="DL137" s="301"/>
      <c r="DM137" s="301"/>
      <c r="DN137" s="301"/>
      <c r="DO137" s="301"/>
      <c r="DP137" s="301"/>
      <c r="DQ137" s="301"/>
      <c r="DR137" s="301"/>
      <c r="DS137" s="301"/>
      <c r="DT137" s="301"/>
      <c r="DU137" s="301"/>
      <c r="DV137" s="301"/>
      <c r="DW137" s="301"/>
      <c r="DX137" s="301"/>
      <c r="DY137" s="301"/>
      <c r="DZ137" s="301"/>
      <c r="EA137" s="301"/>
      <c r="EB137" s="301"/>
      <c r="EC137" s="301"/>
      <c r="ED137" s="301"/>
      <c r="EE137" s="301"/>
      <c r="EF137" s="301"/>
      <c r="EG137" s="301"/>
      <c r="EH137" s="301"/>
      <c r="EI137" s="301"/>
      <c r="EJ137" s="301"/>
      <c r="EK137" s="301"/>
      <c r="EL137" s="301"/>
      <c r="EM137" s="301"/>
      <c r="EN137" s="301"/>
      <c r="EO137" s="301"/>
      <c r="EP137" s="301"/>
      <c r="EQ137" s="301"/>
      <c r="ER137" s="301"/>
      <c r="ES137" s="301"/>
      <c r="ET137" s="301"/>
      <c r="EU137" s="301"/>
      <c r="EV137" s="301"/>
      <c r="EW137" s="301"/>
      <c r="EX137" s="301"/>
      <c r="EY137" s="301"/>
      <c r="EZ137" s="301"/>
      <c r="FA137" s="301"/>
      <c r="FB137" s="301"/>
      <c r="FC137" s="301"/>
      <c r="FD137" s="301"/>
      <c r="FE137" s="301"/>
      <c r="FF137" s="301"/>
      <c r="FG137" s="301"/>
      <c r="FH137" s="301"/>
      <c r="FI137" s="301"/>
      <c r="FJ137" s="301"/>
      <c r="FK137" s="301"/>
      <c r="FL137" s="301"/>
      <c r="FM137" s="301"/>
      <c r="FN137" s="301"/>
      <c r="FO137" s="301"/>
      <c r="FP137" s="301"/>
      <c r="FQ137" s="301"/>
      <c r="FR137" s="301"/>
      <c r="FS137" s="301"/>
      <c r="FT137" s="301"/>
      <c r="FU137" s="301"/>
      <c r="FV137" s="301"/>
      <c r="FW137" s="301"/>
      <c r="FX137" s="301"/>
      <c r="FY137" s="301"/>
      <c r="FZ137" s="301"/>
      <c r="GA137" s="301"/>
      <c r="GB137" s="301"/>
      <c r="GC137" s="301"/>
      <c r="GD137" s="301"/>
      <c r="GE137" s="301"/>
      <c r="GF137" s="301"/>
      <c r="GG137" s="301"/>
      <c r="GH137" s="301"/>
      <c r="GI137" s="301"/>
      <c r="GJ137" s="301"/>
      <c r="GK137" s="301"/>
      <c r="GL137" s="301"/>
      <c r="GM137" s="301"/>
      <c r="GN137" s="301"/>
      <c r="GO137" s="301"/>
      <c r="GP137" s="301"/>
      <c r="GQ137" s="301"/>
      <c r="GR137" s="301"/>
      <c r="GS137" s="301"/>
      <c r="GT137" s="301"/>
      <c r="GU137" s="301"/>
      <c r="GV137" s="301"/>
      <c r="GW137" s="301"/>
      <c r="GX137" s="301"/>
      <c r="GY137" s="301"/>
      <c r="GZ137" s="301"/>
      <c r="HA137" s="301"/>
      <c r="HB137" s="301"/>
      <c r="HC137" s="301"/>
      <c r="HD137" s="301"/>
      <c r="HE137" s="301"/>
      <c r="HF137" s="301"/>
      <c r="HG137" s="301"/>
      <c r="HH137" s="301"/>
      <c r="HI137" s="301"/>
      <c r="HJ137" s="301"/>
      <c r="HK137" s="301"/>
      <c r="HL137" s="301"/>
      <c r="HM137" s="301"/>
      <c r="HN137" s="301"/>
      <c r="HO137" s="301"/>
      <c r="HP137" s="301"/>
      <c r="HQ137" s="301"/>
      <c r="HR137" s="301"/>
      <c r="HS137" s="301"/>
      <c r="HT137" s="301"/>
      <c r="HU137" s="301"/>
      <c r="HV137" s="301"/>
      <c r="HW137" s="301"/>
      <c r="HX137" s="301"/>
      <c r="HY137" s="301"/>
      <c r="HZ137" s="301"/>
      <c r="IA137" s="301"/>
      <c r="IB137" s="301"/>
      <c r="IC137" s="301"/>
      <c r="ID137" s="301"/>
      <c r="IE137" s="301"/>
      <c r="IF137" s="301"/>
      <c r="IG137" s="301"/>
      <c r="IH137" s="301"/>
      <c r="II137" s="301"/>
      <c r="IJ137" s="301"/>
      <c r="IK137" s="301"/>
      <c r="IL137" s="301"/>
      <c r="IM137" s="301"/>
      <c r="IN137" s="301"/>
      <c r="IO137" s="301"/>
      <c r="IP137" s="301"/>
      <c r="IQ137" s="301"/>
      <c r="IR137" s="301"/>
      <c r="IS137" s="301"/>
      <c r="IT137" s="301"/>
      <c r="IU137" s="301"/>
      <c r="IV137" s="301"/>
    </row>
    <row r="138" spans="1:256" ht="15">
      <c r="A138" s="301"/>
      <c r="B138" s="302"/>
      <c r="C138" s="317"/>
      <c r="D138" s="317"/>
      <c r="E138" s="317"/>
      <c r="F138" s="317"/>
      <c r="G138" s="317"/>
      <c r="H138" s="317"/>
      <c r="I138" s="317"/>
      <c r="J138" s="317"/>
      <c r="K138" s="337" t="s">
        <v>367</v>
      </c>
      <c r="L138" s="301"/>
      <c r="M138" s="301"/>
      <c r="N138" s="301"/>
      <c r="O138" s="301"/>
      <c r="P138" s="301"/>
      <c r="Q138" s="301"/>
      <c r="R138" s="301"/>
      <c r="S138" s="301"/>
      <c r="T138" s="301"/>
      <c r="U138" s="301"/>
      <c r="V138" s="301"/>
      <c r="W138" s="301"/>
      <c r="X138" s="301"/>
      <c r="Y138" s="301"/>
      <c r="Z138" s="301"/>
      <c r="AA138" s="301"/>
      <c r="AB138" s="301"/>
      <c r="AC138" s="301"/>
      <c r="AD138" s="301"/>
      <c r="AE138" s="301"/>
      <c r="AF138" s="301"/>
      <c r="AG138" s="301"/>
      <c r="AH138" s="301"/>
      <c r="AI138" s="301"/>
      <c r="AJ138" s="301"/>
      <c r="AK138" s="301"/>
      <c r="AL138" s="301"/>
      <c r="AM138" s="301"/>
      <c r="AN138" s="301"/>
      <c r="AO138" s="301"/>
      <c r="AP138" s="301"/>
      <c r="AQ138" s="301"/>
      <c r="AR138" s="301"/>
      <c r="AS138" s="301"/>
      <c r="AT138" s="301"/>
      <c r="AU138" s="301"/>
      <c r="AV138" s="301"/>
      <c r="AW138" s="301"/>
      <c r="AX138" s="301"/>
      <c r="AY138" s="301"/>
      <c r="AZ138" s="301"/>
      <c r="BA138" s="301"/>
      <c r="BB138" s="301"/>
      <c r="BC138" s="301"/>
      <c r="BD138" s="301"/>
      <c r="BE138" s="301"/>
      <c r="BF138" s="301"/>
      <c r="BG138" s="301"/>
      <c r="BH138" s="301"/>
      <c r="BI138" s="301"/>
      <c r="BJ138" s="301"/>
      <c r="BK138" s="301"/>
      <c r="BL138" s="301"/>
      <c r="BM138" s="301"/>
      <c r="BN138" s="301"/>
      <c r="BO138" s="301"/>
      <c r="BP138" s="301"/>
      <c r="BQ138" s="301"/>
      <c r="BR138" s="301"/>
      <c r="BS138" s="301"/>
      <c r="BT138" s="301"/>
      <c r="BU138" s="301"/>
      <c r="BV138" s="301"/>
      <c r="BW138" s="301"/>
      <c r="BX138" s="301"/>
      <c r="BY138" s="301"/>
      <c r="BZ138" s="301"/>
      <c r="CA138" s="301"/>
      <c r="CB138" s="301"/>
      <c r="CC138" s="301"/>
      <c r="CD138" s="301"/>
      <c r="CE138" s="301"/>
      <c r="CF138" s="301"/>
      <c r="CG138" s="301"/>
      <c r="CH138" s="301"/>
      <c r="CI138" s="301"/>
      <c r="CJ138" s="301"/>
      <c r="CK138" s="301"/>
      <c r="CL138" s="301"/>
      <c r="CM138" s="301"/>
      <c r="CN138" s="301"/>
      <c r="CO138" s="301"/>
      <c r="CP138" s="301"/>
      <c r="CQ138" s="301"/>
      <c r="CR138" s="301"/>
      <c r="CS138" s="301"/>
      <c r="CT138" s="301"/>
      <c r="CU138" s="301"/>
      <c r="CV138" s="301"/>
      <c r="CW138" s="301"/>
      <c r="CX138" s="301"/>
      <c r="CY138" s="301"/>
      <c r="CZ138" s="301"/>
      <c r="DA138" s="301"/>
      <c r="DB138" s="301"/>
      <c r="DC138" s="301"/>
      <c r="DD138" s="301"/>
      <c r="DE138" s="301"/>
      <c r="DF138" s="301"/>
      <c r="DG138" s="301"/>
      <c r="DH138" s="301"/>
      <c r="DI138" s="301"/>
      <c r="DJ138" s="301"/>
      <c r="DK138" s="301"/>
      <c r="DL138" s="301"/>
      <c r="DM138" s="301"/>
      <c r="DN138" s="301"/>
      <c r="DO138" s="301"/>
      <c r="DP138" s="301"/>
      <c r="DQ138" s="301"/>
      <c r="DR138" s="301"/>
      <c r="DS138" s="301"/>
      <c r="DT138" s="301"/>
      <c r="DU138" s="301"/>
      <c r="DV138" s="301"/>
      <c r="DW138" s="301"/>
      <c r="DX138" s="301"/>
      <c r="DY138" s="301"/>
      <c r="DZ138" s="301"/>
      <c r="EA138" s="301"/>
      <c r="EB138" s="301"/>
      <c r="EC138" s="301"/>
      <c r="ED138" s="301"/>
      <c r="EE138" s="301"/>
      <c r="EF138" s="301"/>
      <c r="EG138" s="301"/>
      <c r="EH138" s="301"/>
      <c r="EI138" s="301"/>
      <c r="EJ138" s="301"/>
      <c r="EK138" s="301"/>
      <c r="EL138" s="301"/>
      <c r="EM138" s="301"/>
      <c r="EN138" s="301"/>
      <c r="EO138" s="301"/>
      <c r="EP138" s="301"/>
      <c r="EQ138" s="301"/>
      <c r="ER138" s="301"/>
      <c r="ES138" s="301"/>
      <c r="ET138" s="301"/>
      <c r="EU138" s="301"/>
      <c r="EV138" s="301"/>
      <c r="EW138" s="301"/>
      <c r="EX138" s="301"/>
      <c r="EY138" s="301"/>
      <c r="EZ138" s="301"/>
      <c r="FA138" s="301"/>
      <c r="FB138" s="301"/>
      <c r="FC138" s="301"/>
      <c r="FD138" s="301"/>
      <c r="FE138" s="301"/>
      <c r="FF138" s="301"/>
      <c r="FG138" s="301"/>
      <c r="FH138" s="301"/>
      <c r="FI138" s="301"/>
      <c r="FJ138" s="301"/>
      <c r="FK138" s="301"/>
      <c r="FL138" s="301"/>
      <c r="FM138" s="301"/>
      <c r="FN138" s="301"/>
      <c r="FO138" s="301"/>
      <c r="FP138" s="301"/>
      <c r="FQ138" s="301"/>
      <c r="FR138" s="301"/>
      <c r="FS138" s="301"/>
      <c r="FT138" s="301"/>
      <c r="FU138" s="301"/>
      <c r="FV138" s="301"/>
      <c r="FW138" s="301"/>
      <c r="FX138" s="301"/>
      <c r="FY138" s="301"/>
      <c r="FZ138" s="301"/>
      <c r="GA138" s="301"/>
      <c r="GB138" s="301"/>
      <c r="GC138" s="301"/>
      <c r="GD138" s="301"/>
      <c r="GE138" s="301"/>
      <c r="GF138" s="301"/>
      <c r="GG138" s="301"/>
      <c r="GH138" s="301"/>
      <c r="GI138" s="301"/>
      <c r="GJ138" s="301"/>
      <c r="GK138" s="301"/>
      <c r="GL138" s="301"/>
      <c r="GM138" s="301"/>
      <c r="GN138" s="301"/>
      <c r="GO138" s="301"/>
      <c r="GP138" s="301"/>
      <c r="GQ138" s="301"/>
      <c r="GR138" s="301"/>
      <c r="GS138" s="301"/>
      <c r="GT138" s="301"/>
      <c r="GU138" s="301"/>
      <c r="GV138" s="301"/>
      <c r="GW138" s="301"/>
      <c r="GX138" s="301"/>
      <c r="GY138" s="301"/>
      <c r="GZ138" s="301"/>
      <c r="HA138" s="301"/>
      <c r="HB138" s="301"/>
      <c r="HC138" s="301"/>
      <c r="HD138" s="301"/>
      <c r="HE138" s="301"/>
      <c r="HF138" s="301"/>
      <c r="HG138" s="301"/>
      <c r="HH138" s="301"/>
      <c r="HI138" s="301"/>
      <c r="HJ138" s="301"/>
      <c r="HK138" s="301"/>
      <c r="HL138" s="301"/>
      <c r="HM138" s="301"/>
      <c r="HN138" s="301"/>
      <c r="HO138" s="301"/>
      <c r="HP138" s="301"/>
      <c r="HQ138" s="301"/>
      <c r="HR138" s="301"/>
      <c r="HS138" s="301"/>
      <c r="HT138" s="301"/>
      <c r="HU138" s="301"/>
      <c r="HV138" s="301"/>
      <c r="HW138" s="301"/>
      <c r="HX138" s="301"/>
      <c r="HY138" s="301"/>
      <c r="HZ138" s="301"/>
      <c r="IA138" s="301"/>
      <c r="IB138" s="301"/>
      <c r="IC138" s="301"/>
      <c r="ID138" s="301"/>
      <c r="IE138" s="301"/>
      <c r="IF138" s="301"/>
      <c r="IG138" s="301"/>
      <c r="IH138" s="301"/>
      <c r="II138" s="301"/>
      <c r="IJ138" s="301"/>
      <c r="IK138" s="301"/>
      <c r="IL138" s="301"/>
      <c r="IM138" s="301"/>
      <c r="IN138" s="301"/>
      <c r="IO138" s="301"/>
      <c r="IP138" s="301"/>
      <c r="IQ138" s="301"/>
      <c r="IR138" s="301"/>
      <c r="IS138" s="301"/>
      <c r="IT138" s="301"/>
      <c r="IU138" s="301"/>
      <c r="IV138" s="301"/>
    </row>
    <row r="139" spans="1:256" ht="15">
      <c r="A139" s="301"/>
      <c r="B139" s="302"/>
      <c r="C139" s="317"/>
      <c r="D139" s="317"/>
      <c r="E139" s="317"/>
      <c r="F139" s="317"/>
      <c r="G139" s="317"/>
      <c r="H139" s="317"/>
      <c r="I139" s="317"/>
      <c r="J139" s="317"/>
      <c r="K139" s="368"/>
      <c r="L139" s="301"/>
      <c r="M139" s="301"/>
      <c r="N139" s="301"/>
      <c r="O139" s="301"/>
      <c r="P139" s="301"/>
      <c r="Q139" s="301"/>
      <c r="R139" s="301"/>
      <c r="S139" s="301"/>
      <c r="T139" s="301"/>
      <c r="U139" s="301"/>
      <c r="V139" s="301"/>
      <c r="W139" s="301"/>
      <c r="X139" s="301"/>
      <c r="Y139" s="301"/>
      <c r="Z139" s="301"/>
      <c r="AA139" s="301"/>
      <c r="AB139" s="301"/>
      <c r="AC139" s="301"/>
      <c r="AD139" s="301"/>
      <c r="AE139" s="301"/>
      <c r="AF139" s="301"/>
      <c r="AG139" s="301"/>
      <c r="AH139" s="301"/>
      <c r="AI139" s="301"/>
      <c r="AJ139" s="301"/>
      <c r="AK139" s="301"/>
      <c r="AL139" s="301"/>
      <c r="AM139" s="301"/>
      <c r="AN139" s="301"/>
      <c r="AO139" s="301"/>
      <c r="AP139" s="301"/>
      <c r="AQ139" s="301"/>
      <c r="AR139" s="301"/>
      <c r="AS139" s="301"/>
      <c r="AT139" s="301"/>
      <c r="AU139" s="301"/>
      <c r="AV139" s="301"/>
      <c r="AW139" s="301"/>
      <c r="AX139" s="301"/>
      <c r="AY139" s="301"/>
      <c r="AZ139" s="301"/>
      <c r="BA139" s="301"/>
      <c r="BB139" s="301"/>
      <c r="BC139" s="301"/>
      <c r="BD139" s="301"/>
      <c r="BE139" s="301"/>
      <c r="BF139" s="301"/>
      <c r="BG139" s="301"/>
      <c r="BH139" s="301"/>
      <c r="BI139" s="301"/>
      <c r="BJ139" s="301"/>
      <c r="BK139" s="301"/>
      <c r="BL139" s="301"/>
      <c r="BM139" s="301"/>
      <c r="BN139" s="301"/>
      <c r="BO139" s="301"/>
      <c r="BP139" s="301"/>
      <c r="BQ139" s="301"/>
      <c r="BR139" s="301"/>
      <c r="BS139" s="301"/>
      <c r="BT139" s="301"/>
      <c r="BU139" s="301"/>
      <c r="BV139" s="301"/>
      <c r="BW139" s="301"/>
      <c r="BX139" s="301"/>
      <c r="BY139" s="301"/>
      <c r="BZ139" s="301"/>
      <c r="CA139" s="301"/>
      <c r="CB139" s="301"/>
      <c r="CC139" s="301"/>
      <c r="CD139" s="301"/>
      <c r="CE139" s="301"/>
      <c r="CF139" s="301"/>
      <c r="CG139" s="301"/>
      <c r="CH139" s="301"/>
      <c r="CI139" s="301"/>
      <c r="CJ139" s="301"/>
      <c r="CK139" s="301"/>
      <c r="CL139" s="301"/>
      <c r="CM139" s="301"/>
      <c r="CN139" s="301"/>
      <c r="CO139" s="301"/>
      <c r="CP139" s="301"/>
      <c r="CQ139" s="301"/>
      <c r="CR139" s="301"/>
      <c r="CS139" s="301"/>
      <c r="CT139" s="301"/>
      <c r="CU139" s="301"/>
      <c r="CV139" s="301"/>
      <c r="CW139" s="301"/>
      <c r="CX139" s="301"/>
      <c r="CY139" s="301"/>
      <c r="CZ139" s="301"/>
      <c r="DA139" s="301"/>
      <c r="DB139" s="301"/>
      <c r="DC139" s="301"/>
      <c r="DD139" s="301"/>
      <c r="DE139" s="301"/>
      <c r="DF139" s="301"/>
      <c r="DG139" s="301"/>
      <c r="DH139" s="301"/>
      <c r="DI139" s="301"/>
      <c r="DJ139" s="301"/>
      <c r="DK139" s="301"/>
      <c r="DL139" s="301"/>
      <c r="DM139" s="301"/>
      <c r="DN139" s="301"/>
      <c r="DO139" s="301"/>
      <c r="DP139" s="301"/>
      <c r="DQ139" s="301"/>
      <c r="DR139" s="301"/>
      <c r="DS139" s="301"/>
      <c r="DT139" s="301"/>
      <c r="DU139" s="301"/>
      <c r="DV139" s="301"/>
      <c r="DW139" s="301"/>
      <c r="DX139" s="301"/>
      <c r="DY139" s="301"/>
      <c r="DZ139" s="301"/>
      <c r="EA139" s="301"/>
      <c r="EB139" s="301"/>
      <c r="EC139" s="301"/>
      <c r="ED139" s="301"/>
      <c r="EE139" s="301"/>
      <c r="EF139" s="301"/>
      <c r="EG139" s="301"/>
      <c r="EH139" s="301"/>
      <c r="EI139" s="301"/>
      <c r="EJ139" s="301"/>
      <c r="EK139" s="301"/>
      <c r="EL139" s="301"/>
      <c r="EM139" s="301"/>
      <c r="EN139" s="301"/>
      <c r="EO139" s="301"/>
      <c r="EP139" s="301"/>
      <c r="EQ139" s="301"/>
      <c r="ER139" s="301"/>
      <c r="ES139" s="301"/>
      <c r="ET139" s="301"/>
      <c r="EU139" s="301"/>
      <c r="EV139" s="301"/>
      <c r="EW139" s="301"/>
      <c r="EX139" s="301"/>
      <c r="EY139" s="301"/>
      <c r="EZ139" s="301"/>
      <c r="FA139" s="301"/>
      <c r="FB139" s="301"/>
      <c r="FC139" s="301"/>
      <c r="FD139" s="301"/>
      <c r="FE139" s="301"/>
      <c r="FF139" s="301"/>
      <c r="FG139" s="301"/>
      <c r="FH139" s="301"/>
      <c r="FI139" s="301"/>
      <c r="FJ139" s="301"/>
      <c r="FK139" s="301"/>
      <c r="FL139" s="301"/>
      <c r="FM139" s="301"/>
      <c r="FN139" s="301"/>
      <c r="FO139" s="301"/>
      <c r="FP139" s="301"/>
      <c r="FQ139" s="301"/>
      <c r="FR139" s="301"/>
      <c r="FS139" s="301"/>
      <c r="FT139" s="301"/>
      <c r="FU139" s="301"/>
      <c r="FV139" s="301"/>
      <c r="FW139" s="301"/>
      <c r="FX139" s="301"/>
      <c r="FY139" s="301"/>
      <c r="FZ139" s="301"/>
      <c r="GA139" s="301"/>
      <c r="GB139" s="301"/>
      <c r="GC139" s="301"/>
      <c r="GD139" s="301"/>
      <c r="GE139" s="301"/>
      <c r="GF139" s="301"/>
      <c r="GG139" s="301"/>
      <c r="GH139" s="301"/>
      <c r="GI139" s="301"/>
      <c r="GJ139" s="301"/>
      <c r="GK139" s="301"/>
      <c r="GL139" s="301"/>
      <c r="GM139" s="301"/>
      <c r="GN139" s="301"/>
      <c r="GO139" s="301"/>
      <c r="GP139" s="301"/>
      <c r="GQ139" s="301"/>
      <c r="GR139" s="301"/>
      <c r="GS139" s="301"/>
      <c r="GT139" s="301"/>
      <c r="GU139" s="301"/>
      <c r="GV139" s="301"/>
      <c r="GW139" s="301"/>
      <c r="GX139" s="301"/>
      <c r="GY139" s="301"/>
      <c r="GZ139" s="301"/>
      <c r="HA139" s="301"/>
      <c r="HB139" s="301"/>
      <c r="HC139" s="301"/>
      <c r="HD139" s="301"/>
      <c r="HE139" s="301"/>
      <c r="HF139" s="301"/>
      <c r="HG139" s="301"/>
      <c r="HH139" s="301"/>
      <c r="HI139" s="301"/>
      <c r="HJ139" s="301"/>
      <c r="HK139" s="301"/>
      <c r="HL139" s="301"/>
      <c r="HM139" s="301"/>
      <c r="HN139" s="301"/>
      <c r="HO139" s="301"/>
      <c r="HP139" s="301"/>
      <c r="HQ139" s="301"/>
      <c r="HR139" s="301"/>
      <c r="HS139" s="301"/>
      <c r="HT139" s="301"/>
      <c r="HU139" s="301"/>
      <c r="HV139" s="301"/>
      <c r="HW139" s="301"/>
      <c r="HX139" s="301"/>
      <c r="HY139" s="301"/>
      <c r="HZ139" s="301"/>
      <c r="IA139" s="301"/>
      <c r="IB139" s="301"/>
      <c r="IC139" s="301"/>
      <c r="ID139" s="301"/>
      <c r="IE139" s="301"/>
      <c r="IF139" s="301"/>
      <c r="IG139" s="301"/>
      <c r="IH139" s="301"/>
      <c r="II139" s="301"/>
      <c r="IJ139" s="301"/>
      <c r="IK139" s="301"/>
      <c r="IL139" s="301"/>
      <c r="IM139" s="301"/>
      <c r="IN139" s="301"/>
      <c r="IO139" s="301"/>
      <c r="IP139" s="301"/>
      <c r="IQ139" s="301"/>
      <c r="IR139" s="301"/>
      <c r="IS139" s="301"/>
      <c r="IT139" s="301"/>
      <c r="IU139" s="301"/>
      <c r="IV139" s="301"/>
    </row>
    <row r="140" spans="1:256" ht="130.5" customHeight="1">
      <c r="A140" s="304"/>
      <c r="B140" s="369">
        <v>4</v>
      </c>
      <c r="C140" s="1531" t="s">
        <v>1321</v>
      </c>
      <c r="D140" s="1531"/>
      <c r="E140" s="1531"/>
      <c r="F140" s="1531"/>
      <c r="G140" s="1531"/>
      <c r="H140" s="1531"/>
      <c r="I140" s="1531"/>
      <c r="J140" s="1531"/>
      <c r="K140" s="1531"/>
      <c r="L140" s="301"/>
      <c r="M140" s="301"/>
      <c r="N140" s="301"/>
      <c r="O140" s="301"/>
      <c r="P140" s="301"/>
      <c r="Q140" s="301"/>
      <c r="R140" s="301"/>
      <c r="S140" s="301"/>
      <c r="T140" s="301"/>
      <c r="U140" s="301"/>
      <c r="V140" s="301"/>
      <c r="W140" s="301"/>
      <c r="X140" s="301"/>
      <c r="Y140" s="301"/>
      <c r="Z140" s="301"/>
      <c r="AA140" s="301"/>
      <c r="AB140" s="301"/>
      <c r="AC140" s="301"/>
      <c r="AD140" s="301"/>
      <c r="AE140" s="301"/>
      <c r="AF140" s="301"/>
      <c r="AG140" s="301"/>
      <c r="AH140" s="301"/>
      <c r="AI140" s="301"/>
      <c r="AJ140" s="301"/>
      <c r="AK140" s="301"/>
      <c r="AL140" s="301"/>
      <c r="AM140" s="301"/>
      <c r="AN140" s="301"/>
      <c r="AO140" s="301"/>
      <c r="AP140" s="301"/>
      <c r="AQ140" s="301"/>
      <c r="AR140" s="301"/>
      <c r="AS140" s="301"/>
      <c r="AT140" s="301"/>
      <c r="AU140" s="301"/>
      <c r="AV140" s="301"/>
      <c r="AW140" s="301"/>
      <c r="AX140" s="301"/>
      <c r="AY140" s="301"/>
      <c r="AZ140" s="301"/>
      <c r="BA140" s="301"/>
      <c r="BB140" s="301"/>
      <c r="BC140" s="301"/>
      <c r="BD140" s="301"/>
      <c r="BE140" s="301"/>
      <c r="BF140" s="301"/>
      <c r="BG140" s="301"/>
      <c r="BH140" s="301"/>
      <c r="BI140" s="301"/>
      <c r="BJ140" s="301"/>
      <c r="BK140" s="301"/>
      <c r="BL140" s="301"/>
      <c r="BM140" s="301"/>
      <c r="BN140" s="301"/>
      <c r="BO140" s="301"/>
      <c r="BP140" s="301"/>
      <c r="BQ140" s="301"/>
      <c r="BR140" s="301"/>
      <c r="BS140" s="301"/>
      <c r="BT140" s="301"/>
      <c r="BU140" s="301"/>
      <c r="BV140" s="301"/>
      <c r="BW140" s="301"/>
      <c r="BX140" s="301"/>
      <c r="BY140" s="301"/>
      <c r="BZ140" s="301"/>
      <c r="CA140" s="301"/>
      <c r="CB140" s="301"/>
      <c r="CC140" s="301"/>
      <c r="CD140" s="301"/>
      <c r="CE140" s="301"/>
      <c r="CF140" s="301"/>
      <c r="CG140" s="301"/>
      <c r="CH140" s="301"/>
      <c r="CI140" s="301"/>
      <c r="CJ140" s="301"/>
      <c r="CK140" s="301"/>
      <c r="CL140" s="301"/>
      <c r="CM140" s="301"/>
      <c r="CN140" s="301"/>
      <c r="CO140" s="301"/>
      <c r="CP140" s="301"/>
      <c r="CQ140" s="301"/>
      <c r="CR140" s="301"/>
      <c r="CS140" s="301"/>
      <c r="CT140" s="301"/>
      <c r="CU140" s="301"/>
      <c r="CV140" s="301"/>
      <c r="CW140" s="301"/>
      <c r="CX140" s="301"/>
      <c r="CY140" s="301"/>
      <c r="CZ140" s="301"/>
      <c r="DA140" s="301"/>
      <c r="DB140" s="301"/>
      <c r="DC140" s="301"/>
      <c r="DD140" s="301"/>
      <c r="DE140" s="301"/>
      <c r="DF140" s="301"/>
      <c r="DG140" s="301"/>
      <c r="DH140" s="301"/>
      <c r="DI140" s="301"/>
      <c r="DJ140" s="301"/>
      <c r="DK140" s="301"/>
      <c r="DL140" s="301"/>
      <c r="DM140" s="301"/>
      <c r="DN140" s="301"/>
      <c r="DO140" s="301"/>
      <c r="DP140" s="301"/>
      <c r="DQ140" s="301"/>
      <c r="DR140" s="301"/>
      <c r="DS140" s="301"/>
      <c r="DT140" s="301"/>
      <c r="DU140" s="301"/>
      <c r="DV140" s="301"/>
      <c r="DW140" s="301"/>
      <c r="DX140" s="301"/>
      <c r="DY140" s="301"/>
      <c r="DZ140" s="301"/>
      <c r="EA140" s="301"/>
      <c r="EB140" s="301"/>
      <c r="EC140" s="301"/>
      <c r="ED140" s="301"/>
      <c r="EE140" s="301"/>
      <c r="EF140" s="301"/>
      <c r="EG140" s="301"/>
      <c r="EH140" s="301"/>
      <c r="EI140" s="301"/>
      <c r="EJ140" s="301"/>
      <c r="EK140" s="301"/>
      <c r="EL140" s="301"/>
      <c r="EM140" s="301"/>
      <c r="EN140" s="301"/>
      <c r="EO140" s="301"/>
      <c r="EP140" s="301"/>
      <c r="EQ140" s="301"/>
      <c r="ER140" s="301"/>
      <c r="ES140" s="301"/>
      <c r="ET140" s="301"/>
      <c r="EU140" s="301"/>
      <c r="EV140" s="301"/>
      <c r="EW140" s="301"/>
      <c r="EX140" s="301"/>
      <c r="EY140" s="301"/>
      <c r="EZ140" s="301"/>
      <c r="FA140" s="301"/>
      <c r="FB140" s="301"/>
      <c r="FC140" s="301"/>
      <c r="FD140" s="301"/>
      <c r="FE140" s="301"/>
      <c r="FF140" s="301"/>
      <c r="FG140" s="301"/>
      <c r="FH140" s="301"/>
      <c r="FI140" s="301"/>
      <c r="FJ140" s="301"/>
      <c r="FK140" s="301"/>
      <c r="FL140" s="301"/>
      <c r="FM140" s="301"/>
      <c r="FN140" s="301"/>
      <c r="FO140" s="301"/>
      <c r="FP140" s="301"/>
      <c r="FQ140" s="301"/>
      <c r="FR140" s="301"/>
      <c r="FS140" s="301"/>
      <c r="FT140" s="301"/>
      <c r="FU140" s="301"/>
      <c r="FV140" s="301"/>
      <c r="FW140" s="301"/>
      <c r="FX140" s="301"/>
      <c r="FY140" s="301"/>
      <c r="FZ140" s="301"/>
      <c r="GA140" s="301"/>
      <c r="GB140" s="301"/>
      <c r="GC140" s="301"/>
      <c r="GD140" s="301"/>
      <c r="GE140" s="301"/>
      <c r="GF140" s="301"/>
      <c r="GG140" s="301"/>
      <c r="GH140" s="301"/>
      <c r="GI140" s="301"/>
      <c r="GJ140" s="301"/>
      <c r="GK140" s="301"/>
      <c r="GL140" s="301"/>
      <c r="GM140" s="301"/>
      <c r="GN140" s="301"/>
      <c r="GO140" s="301"/>
      <c r="GP140" s="301"/>
      <c r="GQ140" s="301"/>
      <c r="GR140" s="301"/>
      <c r="GS140" s="301"/>
      <c r="GT140" s="301"/>
      <c r="GU140" s="301"/>
      <c r="GV140" s="301"/>
      <c r="GW140" s="301"/>
      <c r="GX140" s="301"/>
      <c r="GY140" s="301"/>
      <c r="GZ140" s="301"/>
      <c r="HA140" s="301"/>
      <c r="HB140" s="301"/>
      <c r="HC140" s="301"/>
      <c r="HD140" s="301"/>
      <c r="HE140" s="301"/>
      <c r="HF140" s="301"/>
      <c r="HG140" s="301"/>
      <c r="HH140" s="301"/>
      <c r="HI140" s="301"/>
      <c r="HJ140" s="301"/>
      <c r="HK140" s="301"/>
      <c r="HL140" s="301"/>
      <c r="HM140" s="301"/>
      <c r="HN140" s="301"/>
      <c r="HO140" s="301"/>
      <c r="HP140" s="301"/>
      <c r="HQ140" s="301"/>
      <c r="HR140" s="301"/>
      <c r="HS140" s="301"/>
      <c r="HT140" s="301"/>
      <c r="HU140" s="301"/>
      <c r="HV140" s="301"/>
      <c r="HW140" s="301"/>
      <c r="HX140" s="301"/>
      <c r="HY140" s="301"/>
      <c r="HZ140" s="301"/>
      <c r="IA140" s="301"/>
      <c r="IB140" s="301"/>
      <c r="IC140" s="301"/>
      <c r="ID140" s="301"/>
      <c r="IE140" s="301"/>
      <c r="IF140" s="301"/>
      <c r="IG140" s="301"/>
      <c r="IH140" s="301"/>
      <c r="II140" s="301"/>
      <c r="IJ140" s="301"/>
      <c r="IK140" s="301"/>
      <c r="IL140" s="301"/>
      <c r="IM140" s="301"/>
      <c r="IN140" s="301"/>
      <c r="IO140" s="301"/>
      <c r="IP140" s="301"/>
      <c r="IQ140" s="301"/>
      <c r="IR140" s="301"/>
      <c r="IS140" s="301"/>
      <c r="IT140" s="301"/>
      <c r="IU140" s="301"/>
      <c r="IV140" s="301"/>
    </row>
    <row r="141" spans="1:256" ht="15">
      <c r="A141" s="304"/>
      <c r="B141" s="339"/>
      <c r="C141" s="360"/>
      <c r="D141" s="370" t="s">
        <v>837</v>
      </c>
      <c r="E141" s="304"/>
      <c r="F141" s="304"/>
      <c r="G141" s="304"/>
      <c r="H141" s="304"/>
      <c r="I141" s="304"/>
      <c r="J141" s="304"/>
      <c r="K141" s="304"/>
      <c r="L141" s="371"/>
      <c r="M141" s="372"/>
      <c r="N141" s="373"/>
      <c r="O141" s="372"/>
      <c r="P141" s="372"/>
      <c r="Q141" s="372"/>
      <c r="R141" s="372"/>
      <c r="S141" s="372"/>
      <c r="T141" s="372"/>
      <c r="U141" s="372"/>
      <c r="V141" s="372"/>
      <c r="W141" s="372"/>
      <c r="X141" s="372"/>
      <c r="Y141" s="372"/>
      <c r="Z141" s="372"/>
      <c r="AA141" s="372"/>
      <c r="AB141" s="372"/>
      <c r="AC141" s="372"/>
      <c r="AD141" s="372"/>
      <c r="AE141" s="372"/>
      <c r="AF141" s="372"/>
      <c r="AG141" s="372"/>
      <c r="AH141" s="372"/>
      <c r="AI141" s="372"/>
      <c r="AJ141" s="372"/>
      <c r="AK141" s="372"/>
      <c r="AL141" s="372"/>
      <c r="AM141" s="372"/>
      <c r="AN141" s="372"/>
      <c r="AO141" s="372"/>
      <c r="AP141" s="372"/>
      <c r="AQ141" s="372"/>
      <c r="AR141" s="372"/>
      <c r="AS141" s="372"/>
      <c r="AT141" s="372"/>
      <c r="AU141" s="372"/>
      <c r="AV141" s="372"/>
      <c r="AW141" s="372"/>
      <c r="AX141" s="372"/>
      <c r="AY141" s="372"/>
      <c r="AZ141" s="372"/>
      <c r="BA141" s="372"/>
      <c r="BB141" s="372"/>
      <c r="BC141" s="372"/>
      <c r="BD141" s="372"/>
      <c r="BE141" s="372"/>
      <c r="BF141" s="372"/>
      <c r="BG141" s="372"/>
      <c r="BH141" s="372"/>
      <c r="BI141" s="372"/>
      <c r="BJ141" s="372"/>
      <c r="BK141" s="372"/>
      <c r="BL141" s="372"/>
      <c r="BM141" s="372"/>
      <c r="BN141" s="372"/>
      <c r="BO141" s="372"/>
      <c r="BP141" s="372"/>
      <c r="BQ141" s="372"/>
      <c r="BR141" s="372"/>
      <c r="BS141" s="372"/>
      <c r="BT141" s="372"/>
      <c r="BU141" s="372"/>
      <c r="BV141" s="372"/>
      <c r="BW141" s="372"/>
      <c r="BX141" s="372"/>
      <c r="BY141" s="372"/>
      <c r="BZ141" s="372"/>
      <c r="CA141" s="372"/>
      <c r="CB141" s="372"/>
      <c r="CC141" s="372"/>
      <c r="CD141" s="372"/>
      <c r="CE141" s="372"/>
      <c r="CF141" s="372"/>
      <c r="CG141" s="372"/>
      <c r="CH141" s="372"/>
      <c r="CI141" s="372"/>
      <c r="CJ141" s="372"/>
      <c r="CK141" s="372"/>
      <c r="CL141" s="372"/>
      <c r="CM141" s="372"/>
      <c r="CN141" s="372"/>
      <c r="CO141" s="372"/>
      <c r="CP141" s="372"/>
      <c r="CQ141" s="372"/>
      <c r="CR141" s="372"/>
      <c r="CS141" s="372"/>
      <c r="CT141" s="372"/>
      <c r="CU141" s="372"/>
      <c r="CV141" s="372"/>
      <c r="CW141" s="372"/>
      <c r="CX141" s="372"/>
      <c r="CY141" s="372"/>
      <c r="CZ141" s="372"/>
      <c r="DA141" s="372"/>
      <c r="DB141" s="372"/>
      <c r="DC141" s="372"/>
      <c r="DD141" s="372"/>
      <c r="DE141" s="372"/>
      <c r="DF141" s="372"/>
      <c r="DG141" s="372"/>
      <c r="DH141" s="372"/>
      <c r="DI141" s="372"/>
      <c r="DJ141" s="372"/>
      <c r="DK141" s="372"/>
      <c r="DL141" s="372"/>
      <c r="DM141" s="372"/>
      <c r="DN141" s="372"/>
      <c r="DO141" s="372"/>
      <c r="DP141" s="372"/>
      <c r="DQ141" s="372"/>
      <c r="DR141" s="372"/>
      <c r="DS141" s="372"/>
      <c r="DT141" s="372"/>
      <c r="DU141" s="372"/>
      <c r="DV141" s="372"/>
      <c r="DW141" s="372"/>
      <c r="DX141" s="372"/>
      <c r="DY141" s="372"/>
      <c r="DZ141" s="372"/>
      <c r="EA141" s="372"/>
      <c r="EB141" s="372"/>
      <c r="EC141" s="372"/>
      <c r="ED141" s="372"/>
      <c r="EE141" s="372"/>
      <c r="EF141" s="372"/>
      <c r="EG141" s="372"/>
      <c r="EH141" s="372"/>
      <c r="EI141" s="372"/>
      <c r="EJ141" s="372"/>
      <c r="EK141" s="372"/>
      <c r="EL141" s="372"/>
      <c r="EM141" s="372"/>
      <c r="EN141" s="372"/>
      <c r="EO141" s="372"/>
      <c r="EP141" s="372"/>
      <c r="EQ141" s="372"/>
      <c r="ER141" s="372"/>
      <c r="ES141" s="372"/>
      <c r="ET141" s="372"/>
      <c r="EU141" s="372"/>
      <c r="EV141" s="372"/>
      <c r="EW141" s="372"/>
      <c r="EX141" s="372"/>
      <c r="EY141" s="372"/>
      <c r="EZ141" s="372"/>
      <c r="FA141" s="372"/>
      <c r="FB141" s="372"/>
      <c r="FC141" s="372"/>
      <c r="FD141" s="372"/>
      <c r="FE141" s="372"/>
      <c r="FF141" s="372"/>
      <c r="FG141" s="372"/>
      <c r="FH141" s="372"/>
      <c r="FI141" s="372"/>
      <c r="FJ141" s="372"/>
      <c r="FK141" s="372"/>
      <c r="FL141" s="372"/>
      <c r="FM141" s="372"/>
      <c r="FN141" s="372"/>
      <c r="FO141" s="372"/>
      <c r="FP141" s="372"/>
      <c r="FQ141" s="372"/>
      <c r="FR141" s="372"/>
      <c r="FS141" s="372"/>
      <c r="FT141" s="372"/>
      <c r="FU141" s="372"/>
      <c r="FV141" s="372"/>
      <c r="FW141" s="372"/>
      <c r="FX141" s="372"/>
      <c r="FY141" s="372"/>
      <c r="FZ141" s="372"/>
      <c r="GA141" s="372"/>
      <c r="GB141" s="372"/>
      <c r="GC141" s="372"/>
      <c r="GD141" s="372"/>
      <c r="GE141" s="372"/>
      <c r="GF141" s="372"/>
      <c r="GG141" s="372"/>
      <c r="GH141" s="372"/>
      <c r="GI141" s="372"/>
      <c r="GJ141" s="372"/>
      <c r="GK141" s="372"/>
      <c r="GL141" s="372"/>
      <c r="GM141" s="372"/>
      <c r="GN141" s="372"/>
      <c r="GO141" s="372"/>
      <c r="GP141" s="372"/>
      <c r="GQ141" s="372"/>
      <c r="GR141" s="372"/>
      <c r="GS141" s="372"/>
      <c r="GT141" s="372"/>
      <c r="GU141" s="372"/>
      <c r="GV141" s="372"/>
      <c r="GW141" s="372"/>
      <c r="GX141" s="372"/>
      <c r="GY141" s="372"/>
      <c r="GZ141" s="372"/>
      <c r="HA141" s="372"/>
      <c r="HB141" s="372"/>
      <c r="HC141" s="372"/>
      <c r="HD141" s="372"/>
      <c r="HE141" s="372"/>
      <c r="HF141" s="372"/>
      <c r="HG141" s="372"/>
      <c r="HH141" s="372"/>
      <c r="HI141" s="372"/>
      <c r="HJ141" s="372"/>
      <c r="HK141" s="372"/>
      <c r="HL141" s="372"/>
      <c r="HM141" s="372"/>
      <c r="HN141" s="372"/>
      <c r="HO141" s="372"/>
      <c r="HP141" s="372"/>
      <c r="HQ141" s="372"/>
      <c r="HR141" s="372"/>
      <c r="HS141" s="372"/>
      <c r="HT141" s="372"/>
      <c r="HU141" s="372"/>
      <c r="HV141" s="372"/>
      <c r="HW141" s="372"/>
      <c r="HX141" s="372"/>
      <c r="HY141" s="372"/>
      <c r="HZ141" s="372"/>
      <c r="IA141" s="372"/>
      <c r="IB141" s="372"/>
      <c r="IC141" s="372"/>
      <c r="ID141" s="372"/>
      <c r="IE141" s="372"/>
      <c r="IF141" s="372"/>
      <c r="IG141" s="372"/>
      <c r="IH141" s="372"/>
      <c r="II141" s="372"/>
      <c r="IJ141" s="372"/>
      <c r="IK141" s="372"/>
      <c r="IL141" s="372"/>
      <c r="IM141" s="372"/>
      <c r="IN141" s="372"/>
      <c r="IO141" s="372"/>
      <c r="IP141" s="372"/>
      <c r="IQ141" s="372"/>
      <c r="IR141" s="372"/>
      <c r="IS141" s="372"/>
      <c r="IT141" s="372"/>
      <c r="IU141" s="372"/>
      <c r="IV141" s="372"/>
    </row>
    <row r="142" spans="1:256" ht="15">
      <c r="A142" s="304"/>
      <c r="B142" s="339"/>
      <c r="C142" s="360"/>
      <c r="D142" s="370" t="s">
        <v>838</v>
      </c>
      <c r="E142" s="304"/>
      <c r="F142" s="304"/>
      <c r="G142" s="313" t="s">
        <v>865</v>
      </c>
      <c r="H142" s="304"/>
      <c r="I142" s="304"/>
      <c r="J142" s="304"/>
      <c r="K142" s="304"/>
      <c r="L142" s="372"/>
      <c r="M142" s="374"/>
      <c r="N142" s="373"/>
      <c r="O142" s="372"/>
      <c r="P142" s="372"/>
      <c r="Q142" s="372"/>
      <c r="R142" s="372"/>
      <c r="S142" s="372"/>
      <c r="T142" s="372"/>
      <c r="U142" s="372"/>
      <c r="V142" s="372"/>
      <c r="W142" s="372"/>
      <c r="X142" s="372"/>
      <c r="Y142" s="372"/>
      <c r="Z142" s="372"/>
      <c r="AA142" s="372"/>
      <c r="AB142" s="372"/>
      <c r="AC142" s="372"/>
      <c r="AD142" s="372"/>
      <c r="AE142" s="372"/>
      <c r="AF142" s="372"/>
      <c r="AG142" s="372"/>
      <c r="AH142" s="372"/>
      <c r="AI142" s="372"/>
      <c r="AJ142" s="372"/>
      <c r="AK142" s="372"/>
      <c r="AL142" s="372"/>
      <c r="AM142" s="372"/>
      <c r="AN142" s="372"/>
      <c r="AO142" s="372"/>
      <c r="AP142" s="372"/>
      <c r="AQ142" s="372"/>
      <c r="AR142" s="372"/>
      <c r="AS142" s="372"/>
      <c r="AT142" s="372"/>
      <c r="AU142" s="372"/>
      <c r="AV142" s="372"/>
      <c r="AW142" s="372"/>
      <c r="AX142" s="372"/>
      <c r="AY142" s="372"/>
      <c r="AZ142" s="372"/>
      <c r="BA142" s="372"/>
      <c r="BB142" s="372"/>
      <c r="BC142" s="372"/>
      <c r="BD142" s="372"/>
      <c r="BE142" s="372"/>
      <c r="BF142" s="372"/>
      <c r="BG142" s="372"/>
      <c r="BH142" s="372"/>
      <c r="BI142" s="372"/>
      <c r="BJ142" s="372"/>
      <c r="BK142" s="372"/>
      <c r="BL142" s="372"/>
      <c r="BM142" s="372"/>
      <c r="BN142" s="372"/>
      <c r="BO142" s="372"/>
      <c r="BP142" s="372"/>
      <c r="BQ142" s="372"/>
      <c r="BR142" s="372"/>
      <c r="BS142" s="372"/>
      <c r="BT142" s="372"/>
      <c r="BU142" s="372"/>
      <c r="BV142" s="372"/>
      <c r="BW142" s="372"/>
      <c r="BX142" s="372"/>
      <c r="BY142" s="372"/>
      <c r="BZ142" s="372"/>
      <c r="CA142" s="372"/>
      <c r="CB142" s="372"/>
      <c r="CC142" s="372"/>
      <c r="CD142" s="372"/>
      <c r="CE142" s="372"/>
      <c r="CF142" s="372"/>
      <c r="CG142" s="372"/>
      <c r="CH142" s="372"/>
      <c r="CI142" s="372"/>
      <c r="CJ142" s="372"/>
      <c r="CK142" s="372"/>
      <c r="CL142" s="372"/>
      <c r="CM142" s="372"/>
      <c r="CN142" s="372"/>
      <c r="CO142" s="372"/>
      <c r="CP142" s="372"/>
      <c r="CQ142" s="372"/>
      <c r="CR142" s="372"/>
      <c r="CS142" s="372"/>
      <c r="CT142" s="372"/>
      <c r="CU142" s="372"/>
      <c r="CV142" s="372"/>
      <c r="CW142" s="372"/>
      <c r="CX142" s="372"/>
      <c r="CY142" s="372"/>
      <c r="CZ142" s="372"/>
      <c r="DA142" s="372"/>
      <c r="DB142" s="372"/>
      <c r="DC142" s="372"/>
      <c r="DD142" s="372"/>
      <c r="DE142" s="372"/>
      <c r="DF142" s="372"/>
      <c r="DG142" s="372"/>
      <c r="DH142" s="372"/>
      <c r="DI142" s="372"/>
      <c r="DJ142" s="372"/>
      <c r="DK142" s="372"/>
      <c r="DL142" s="372"/>
      <c r="DM142" s="372"/>
      <c r="DN142" s="372"/>
      <c r="DO142" s="372"/>
      <c r="DP142" s="372"/>
      <c r="DQ142" s="372"/>
      <c r="DR142" s="372"/>
      <c r="DS142" s="372"/>
      <c r="DT142" s="372"/>
      <c r="DU142" s="372"/>
      <c r="DV142" s="372"/>
      <c r="DW142" s="372"/>
      <c r="DX142" s="372"/>
      <c r="DY142" s="372"/>
      <c r="DZ142" s="372"/>
      <c r="EA142" s="372"/>
      <c r="EB142" s="372"/>
      <c r="EC142" s="372"/>
      <c r="ED142" s="372"/>
      <c r="EE142" s="372"/>
      <c r="EF142" s="372"/>
      <c r="EG142" s="372"/>
      <c r="EH142" s="372"/>
      <c r="EI142" s="372"/>
      <c r="EJ142" s="372"/>
      <c r="EK142" s="372"/>
      <c r="EL142" s="372"/>
      <c r="EM142" s="372"/>
      <c r="EN142" s="372"/>
      <c r="EO142" s="372"/>
      <c r="EP142" s="372"/>
      <c r="EQ142" s="372"/>
      <c r="ER142" s="372"/>
      <c r="ES142" s="372"/>
      <c r="ET142" s="372"/>
      <c r="EU142" s="372"/>
      <c r="EV142" s="372"/>
      <c r="EW142" s="372"/>
      <c r="EX142" s="372"/>
      <c r="EY142" s="372"/>
      <c r="EZ142" s="372"/>
      <c r="FA142" s="372"/>
      <c r="FB142" s="372"/>
      <c r="FC142" s="372"/>
      <c r="FD142" s="372"/>
      <c r="FE142" s="372"/>
      <c r="FF142" s="372"/>
      <c r="FG142" s="372"/>
      <c r="FH142" s="372"/>
      <c r="FI142" s="372"/>
      <c r="FJ142" s="372"/>
      <c r="FK142" s="372"/>
      <c r="FL142" s="372"/>
      <c r="FM142" s="372"/>
      <c r="FN142" s="372"/>
      <c r="FO142" s="372"/>
      <c r="FP142" s="372"/>
      <c r="FQ142" s="372"/>
      <c r="FR142" s="372"/>
      <c r="FS142" s="372"/>
      <c r="FT142" s="372"/>
      <c r="FU142" s="372"/>
      <c r="FV142" s="372"/>
      <c r="FW142" s="372"/>
      <c r="FX142" s="372"/>
      <c r="FY142" s="372"/>
      <c r="FZ142" s="372"/>
      <c r="GA142" s="372"/>
      <c r="GB142" s="372"/>
      <c r="GC142" s="372"/>
      <c r="GD142" s="372"/>
      <c r="GE142" s="372"/>
      <c r="GF142" s="372"/>
      <c r="GG142" s="372"/>
      <c r="GH142" s="372"/>
      <c r="GI142" s="372"/>
      <c r="GJ142" s="372"/>
      <c r="GK142" s="372"/>
      <c r="GL142" s="372"/>
      <c r="GM142" s="372"/>
      <c r="GN142" s="372"/>
      <c r="GO142" s="372"/>
      <c r="GP142" s="372"/>
      <c r="GQ142" s="372"/>
      <c r="GR142" s="372"/>
      <c r="GS142" s="372"/>
      <c r="GT142" s="372"/>
      <c r="GU142" s="372"/>
      <c r="GV142" s="372"/>
      <c r="GW142" s="372"/>
      <c r="GX142" s="372"/>
      <c r="GY142" s="372"/>
      <c r="GZ142" s="372"/>
      <c r="HA142" s="372"/>
      <c r="HB142" s="372"/>
      <c r="HC142" s="372"/>
      <c r="HD142" s="372"/>
      <c r="HE142" s="372"/>
      <c r="HF142" s="372"/>
      <c r="HG142" s="372"/>
      <c r="HH142" s="372"/>
      <c r="HI142" s="372"/>
      <c r="HJ142" s="372"/>
      <c r="HK142" s="372"/>
      <c r="HL142" s="372"/>
      <c r="HM142" s="372"/>
      <c r="HN142" s="372"/>
      <c r="HO142" s="372"/>
      <c r="HP142" s="372"/>
      <c r="HQ142" s="372"/>
      <c r="HR142" s="372"/>
      <c r="HS142" s="372"/>
      <c r="HT142" s="372"/>
      <c r="HU142" s="372"/>
      <c r="HV142" s="372"/>
      <c r="HW142" s="372"/>
      <c r="HX142" s="372"/>
      <c r="HY142" s="372"/>
      <c r="HZ142" s="372"/>
      <c r="IA142" s="372"/>
      <c r="IB142" s="372"/>
      <c r="IC142" s="372"/>
      <c r="ID142" s="372"/>
      <c r="IE142" s="372"/>
      <c r="IF142" s="372"/>
      <c r="IG142" s="372"/>
      <c r="IH142" s="372"/>
      <c r="II142" s="372"/>
      <c r="IJ142" s="372"/>
      <c r="IK142" s="372"/>
      <c r="IL142" s="372"/>
      <c r="IM142" s="372"/>
      <c r="IN142" s="372"/>
      <c r="IO142" s="372"/>
      <c r="IP142" s="372"/>
      <c r="IQ142" s="372"/>
      <c r="IR142" s="372"/>
      <c r="IS142" s="372"/>
      <c r="IT142" s="372"/>
      <c r="IU142" s="372"/>
      <c r="IV142" s="372"/>
    </row>
    <row r="143" spans="1:256" ht="15">
      <c r="A143" s="304"/>
      <c r="B143" s="339"/>
      <c r="C143" s="360"/>
      <c r="D143" s="375" t="s">
        <v>813</v>
      </c>
      <c r="E143" s="342" t="s">
        <v>690</v>
      </c>
      <c r="F143" s="304"/>
      <c r="G143" s="304"/>
      <c r="H143" s="304"/>
      <c r="I143" s="304"/>
      <c r="J143" s="304"/>
      <c r="K143" s="304"/>
      <c r="L143" s="372"/>
      <c r="M143" s="374"/>
      <c r="N143" s="373"/>
      <c r="O143" s="372"/>
      <c r="P143" s="372"/>
      <c r="Q143" s="372"/>
      <c r="R143" s="372"/>
      <c r="S143" s="372"/>
      <c r="T143" s="372"/>
      <c r="U143" s="372"/>
      <c r="V143" s="372"/>
      <c r="W143" s="372"/>
      <c r="X143" s="372"/>
      <c r="Y143" s="372"/>
      <c r="Z143" s="372"/>
      <c r="AA143" s="372"/>
      <c r="AB143" s="372"/>
      <c r="AC143" s="372"/>
      <c r="AD143" s="372"/>
      <c r="AE143" s="372"/>
      <c r="AF143" s="372"/>
      <c r="AG143" s="372"/>
      <c r="AH143" s="372"/>
      <c r="AI143" s="372"/>
      <c r="AJ143" s="372"/>
      <c r="AK143" s="372"/>
      <c r="AL143" s="372"/>
      <c r="AM143" s="372"/>
      <c r="AN143" s="372"/>
      <c r="AO143" s="372"/>
      <c r="AP143" s="372"/>
      <c r="AQ143" s="372"/>
      <c r="AR143" s="372"/>
      <c r="AS143" s="372"/>
      <c r="AT143" s="372"/>
      <c r="AU143" s="372"/>
      <c r="AV143" s="372"/>
      <c r="AW143" s="372"/>
      <c r="AX143" s="372"/>
      <c r="AY143" s="372"/>
      <c r="AZ143" s="372"/>
      <c r="BA143" s="372"/>
      <c r="BB143" s="372"/>
      <c r="BC143" s="372"/>
      <c r="BD143" s="372"/>
      <c r="BE143" s="372"/>
      <c r="BF143" s="372"/>
      <c r="BG143" s="372"/>
      <c r="BH143" s="372"/>
      <c r="BI143" s="372"/>
      <c r="BJ143" s="372"/>
      <c r="BK143" s="372"/>
      <c r="BL143" s="372"/>
      <c r="BM143" s="372"/>
      <c r="BN143" s="372"/>
      <c r="BO143" s="372"/>
      <c r="BP143" s="372"/>
      <c r="BQ143" s="372"/>
      <c r="BR143" s="372"/>
      <c r="BS143" s="372"/>
      <c r="BT143" s="372"/>
      <c r="BU143" s="372"/>
      <c r="BV143" s="372"/>
      <c r="BW143" s="372"/>
      <c r="BX143" s="372"/>
      <c r="BY143" s="372"/>
      <c r="BZ143" s="372"/>
      <c r="CA143" s="372"/>
      <c r="CB143" s="372"/>
      <c r="CC143" s="372"/>
      <c r="CD143" s="372"/>
      <c r="CE143" s="372"/>
      <c r="CF143" s="372"/>
      <c r="CG143" s="372"/>
      <c r="CH143" s="372"/>
      <c r="CI143" s="372"/>
      <c r="CJ143" s="372"/>
      <c r="CK143" s="372"/>
      <c r="CL143" s="372"/>
      <c r="CM143" s="372"/>
      <c r="CN143" s="372"/>
      <c r="CO143" s="372"/>
      <c r="CP143" s="372"/>
      <c r="CQ143" s="372"/>
      <c r="CR143" s="372"/>
      <c r="CS143" s="372"/>
      <c r="CT143" s="372"/>
      <c r="CU143" s="372"/>
      <c r="CV143" s="372"/>
      <c r="CW143" s="372"/>
      <c r="CX143" s="372"/>
      <c r="CY143" s="372"/>
      <c r="CZ143" s="372"/>
      <c r="DA143" s="372"/>
      <c r="DB143" s="372"/>
      <c r="DC143" s="372"/>
      <c r="DD143" s="372"/>
      <c r="DE143" s="372"/>
      <c r="DF143" s="372"/>
      <c r="DG143" s="372"/>
      <c r="DH143" s="372"/>
      <c r="DI143" s="372"/>
      <c r="DJ143" s="372"/>
      <c r="DK143" s="372"/>
      <c r="DL143" s="372"/>
      <c r="DM143" s="372"/>
      <c r="DN143" s="372"/>
      <c r="DO143" s="372"/>
      <c r="DP143" s="372"/>
      <c r="DQ143" s="372"/>
      <c r="DR143" s="372"/>
      <c r="DS143" s="372"/>
      <c r="DT143" s="372"/>
      <c r="DU143" s="372"/>
      <c r="DV143" s="372"/>
      <c r="DW143" s="372"/>
      <c r="DX143" s="372"/>
      <c r="DY143" s="372"/>
      <c r="DZ143" s="372"/>
      <c r="EA143" s="372"/>
      <c r="EB143" s="372"/>
      <c r="EC143" s="372"/>
      <c r="ED143" s="372"/>
      <c r="EE143" s="372"/>
      <c r="EF143" s="372"/>
      <c r="EG143" s="372"/>
      <c r="EH143" s="372"/>
      <c r="EI143" s="372"/>
      <c r="EJ143" s="372"/>
      <c r="EK143" s="372"/>
      <c r="EL143" s="372"/>
      <c r="EM143" s="372"/>
      <c r="EN143" s="372"/>
      <c r="EO143" s="372"/>
      <c r="EP143" s="372"/>
      <c r="EQ143" s="372"/>
      <c r="ER143" s="372"/>
      <c r="ES143" s="372"/>
      <c r="ET143" s="372"/>
      <c r="EU143" s="372"/>
      <c r="EV143" s="372"/>
      <c r="EW143" s="372"/>
      <c r="EX143" s="372"/>
      <c r="EY143" s="372"/>
      <c r="EZ143" s="372"/>
      <c r="FA143" s="372"/>
      <c r="FB143" s="372"/>
      <c r="FC143" s="372"/>
      <c r="FD143" s="372"/>
      <c r="FE143" s="372"/>
      <c r="FF143" s="372"/>
      <c r="FG143" s="372"/>
      <c r="FH143" s="372"/>
      <c r="FI143" s="372"/>
      <c r="FJ143" s="372"/>
      <c r="FK143" s="372"/>
      <c r="FL143" s="372"/>
      <c r="FM143" s="372"/>
      <c r="FN143" s="372"/>
      <c r="FO143" s="372"/>
      <c r="FP143" s="372"/>
      <c r="FQ143" s="372"/>
      <c r="FR143" s="372"/>
      <c r="FS143" s="372"/>
      <c r="FT143" s="372"/>
      <c r="FU143" s="372"/>
      <c r="FV143" s="372"/>
      <c r="FW143" s="372"/>
      <c r="FX143" s="372"/>
      <c r="FY143" s="372"/>
      <c r="FZ143" s="372"/>
      <c r="GA143" s="372"/>
      <c r="GB143" s="372"/>
      <c r="GC143" s="372"/>
      <c r="GD143" s="372"/>
      <c r="GE143" s="372"/>
      <c r="GF143" s="372"/>
      <c r="GG143" s="372"/>
      <c r="GH143" s="372"/>
      <c r="GI143" s="372"/>
      <c r="GJ143" s="372"/>
      <c r="GK143" s="372"/>
      <c r="GL143" s="372"/>
      <c r="GM143" s="372"/>
      <c r="GN143" s="372"/>
      <c r="GO143" s="372"/>
      <c r="GP143" s="372"/>
      <c r="GQ143" s="372"/>
      <c r="GR143" s="372"/>
      <c r="GS143" s="372"/>
      <c r="GT143" s="372"/>
      <c r="GU143" s="372"/>
      <c r="GV143" s="372"/>
      <c r="GW143" s="372"/>
      <c r="GX143" s="372"/>
      <c r="GY143" s="372"/>
      <c r="GZ143" s="372"/>
      <c r="HA143" s="372"/>
      <c r="HB143" s="372"/>
      <c r="HC143" s="372"/>
      <c r="HD143" s="372"/>
      <c r="HE143" s="372"/>
      <c r="HF143" s="372"/>
      <c r="HG143" s="372"/>
      <c r="HH143" s="372"/>
      <c r="HI143" s="372"/>
      <c r="HJ143" s="372"/>
      <c r="HK143" s="372"/>
      <c r="HL143" s="372"/>
      <c r="HM143" s="372"/>
      <c r="HN143" s="372"/>
      <c r="HO143" s="372"/>
      <c r="HP143" s="372"/>
      <c r="HQ143" s="372"/>
      <c r="HR143" s="372"/>
      <c r="HS143" s="372"/>
      <c r="HT143" s="372"/>
      <c r="HU143" s="372"/>
      <c r="HV143" s="372"/>
      <c r="HW143" s="372"/>
      <c r="HX143" s="372"/>
      <c r="HY143" s="372"/>
      <c r="HZ143" s="372"/>
      <c r="IA143" s="372"/>
      <c r="IB143" s="372"/>
      <c r="IC143" s="372"/>
      <c r="ID143" s="372"/>
      <c r="IE143" s="372"/>
      <c r="IF143" s="372"/>
      <c r="IG143" s="372"/>
      <c r="IH143" s="372"/>
      <c r="II143" s="372"/>
      <c r="IJ143" s="372"/>
      <c r="IK143" s="372"/>
      <c r="IL143" s="372"/>
      <c r="IM143" s="372"/>
      <c r="IN143" s="372"/>
      <c r="IO143" s="372"/>
      <c r="IP143" s="372"/>
      <c r="IQ143" s="372"/>
      <c r="IR143" s="372"/>
      <c r="IS143" s="372"/>
      <c r="IT143" s="372"/>
      <c r="IU143" s="372"/>
      <c r="IV143" s="372"/>
    </row>
    <row r="144" spans="1:256" ht="15">
      <c r="A144" s="304"/>
      <c r="B144" s="339"/>
      <c r="C144" s="320">
        <v>0.86</v>
      </c>
      <c r="D144" s="343" t="s">
        <v>658</v>
      </c>
      <c r="E144" s="340" t="s">
        <v>814</v>
      </c>
      <c r="F144" s="304"/>
      <c r="G144" s="304"/>
      <c r="H144" s="304"/>
      <c r="I144" s="318">
        <f>I94</f>
        <v>515</v>
      </c>
      <c r="J144" s="360" t="s">
        <v>594</v>
      </c>
      <c r="K144" s="329">
        <f>ROUND(C144*I144,2)</f>
        <v>442.9</v>
      </c>
      <c r="L144" s="372"/>
      <c r="M144" s="374"/>
      <c r="N144" s="373"/>
      <c r="O144" s="372"/>
      <c r="P144" s="372"/>
      <c r="Q144" s="372"/>
      <c r="R144" s="372"/>
      <c r="S144" s="372"/>
      <c r="T144" s="372"/>
      <c r="U144" s="372"/>
      <c r="V144" s="372"/>
      <c r="W144" s="372"/>
      <c r="X144" s="372"/>
      <c r="Y144" s="372"/>
      <c r="Z144" s="372"/>
      <c r="AA144" s="372"/>
      <c r="AB144" s="372"/>
      <c r="AC144" s="372"/>
      <c r="AD144" s="372"/>
      <c r="AE144" s="372"/>
      <c r="AF144" s="372"/>
      <c r="AG144" s="372"/>
      <c r="AH144" s="372"/>
      <c r="AI144" s="372"/>
      <c r="AJ144" s="372"/>
      <c r="AK144" s="372"/>
      <c r="AL144" s="372"/>
      <c r="AM144" s="372"/>
      <c r="AN144" s="372"/>
      <c r="AO144" s="372"/>
      <c r="AP144" s="372"/>
      <c r="AQ144" s="372"/>
      <c r="AR144" s="372"/>
      <c r="AS144" s="372"/>
      <c r="AT144" s="372"/>
      <c r="AU144" s="372"/>
      <c r="AV144" s="372"/>
      <c r="AW144" s="372"/>
      <c r="AX144" s="372"/>
      <c r="AY144" s="372"/>
      <c r="AZ144" s="372"/>
      <c r="BA144" s="372"/>
      <c r="BB144" s="372"/>
      <c r="BC144" s="372"/>
      <c r="BD144" s="372"/>
      <c r="BE144" s="372"/>
      <c r="BF144" s="372"/>
      <c r="BG144" s="372"/>
      <c r="BH144" s="372"/>
      <c r="BI144" s="372"/>
      <c r="BJ144" s="372"/>
      <c r="BK144" s="372"/>
      <c r="BL144" s="372"/>
      <c r="BM144" s="372"/>
      <c r="BN144" s="372"/>
      <c r="BO144" s="372"/>
      <c r="BP144" s="372"/>
      <c r="BQ144" s="372"/>
      <c r="BR144" s="372"/>
      <c r="BS144" s="372"/>
      <c r="BT144" s="372"/>
      <c r="BU144" s="372"/>
      <c r="BV144" s="372"/>
      <c r="BW144" s="372"/>
      <c r="BX144" s="372"/>
      <c r="BY144" s="372"/>
      <c r="BZ144" s="372"/>
      <c r="CA144" s="372"/>
      <c r="CB144" s="372"/>
      <c r="CC144" s="372"/>
      <c r="CD144" s="372"/>
      <c r="CE144" s="372"/>
      <c r="CF144" s="372"/>
      <c r="CG144" s="372"/>
      <c r="CH144" s="372"/>
      <c r="CI144" s="372"/>
      <c r="CJ144" s="372"/>
      <c r="CK144" s="372"/>
      <c r="CL144" s="372"/>
      <c r="CM144" s="372"/>
      <c r="CN144" s="372"/>
      <c r="CO144" s="372"/>
      <c r="CP144" s="372"/>
      <c r="CQ144" s="372"/>
      <c r="CR144" s="372"/>
      <c r="CS144" s="372"/>
      <c r="CT144" s="372"/>
      <c r="CU144" s="372"/>
      <c r="CV144" s="372"/>
      <c r="CW144" s="372"/>
      <c r="CX144" s="372"/>
      <c r="CY144" s="372"/>
      <c r="CZ144" s="372"/>
      <c r="DA144" s="372"/>
      <c r="DB144" s="372"/>
      <c r="DC144" s="372"/>
      <c r="DD144" s="372"/>
      <c r="DE144" s="372"/>
      <c r="DF144" s="372"/>
      <c r="DG144" s="372"/>
      <c r="DH144" s="372"/>
      <c r="DI144" s="372"/>
      <c r="DJ144" s="372"/>
      <c r="DK144" s="372"/>
      <c r="DL144" s="372"/>
      <c r="DM144" s="372"/>
      <c r="DN144" s="372"/>
      <c r="DO144" s="372"/>
      <c r="DP144" s="372"/>
      <c r="DQ144" s="372"/>
      <c r="DR144" s="372"/>
      <c r="DS144" s="372"/>
      <c r="DT144" s="372"/>
      <c r="DU144" s="372"/>
      <c r="DV144" s="372"/>
      <c r="DW144" s="372"/>
      <c r="DX144" s="372"/>
      <c r="DY144" s="372"/>
      <c r="DZ144" s="372"/>
      <c r="EA144" s="372"/>
      <c r="EB144" s="372"/>
      <c r="EC144" s="372"/>
      <c r="ED144" s="372"/>
      <c r="EE144" s="372"/>
      <c r="EF144" s="372"/>
      <c r="EG144" s="372"/>
      <c r="EH144" s="372"/>
      <c r="EI144" s="372"/>
      <c r="EJ144" s="372"/>
      <c r="EK144" s="372"/>
      <c r="EL144" s="372"/>
      <c r="EM144" s="372"/>
      <c r="EN144" s="372"/>
      <c r="EO144" s="372"/>
      <c r="EP144" s="372"/>
      <c r="EQ144" s="372"/>
      <c r="ER144" s="372"/>
      <c r="ES144" s="372"/>
      <c r="ET144" s="372"/>
      <c r="EU144" s="372"/>
      <c r="EV144" s="372"/>
      <c r="EW144" s="372"/>
      <c r="EX144" s="372"/>
      <c r="EY144" s="372"/>
      <c r="EZ144" s="372"/>
      <c r="FA144" s="372"/>
      <c r="FB144" s="372"/>
      <c r="FC144" s="372"/>
      <c r="FD144" s="372"/>
      <c r="FE144" s="372"/>
      <c r="FF144" s="372"/>
      <c r="FG144" s="372"/>
      <c r="FH144" s="372"/>
      <c r="FI144" s="372"/>
      <c r="FJ144" s="372"/>
      <c r="FK144" s="372"/>
      <c r="FL144" s="372"/>
      <c r="FM144" s="372"/>
      <c r="FN144" s="372"/>
      <c r="FO144" s="372"/>
      <c r="FP144" s="372"/>
      <c r="FQ144" s="372"/>
      <c r="FR144" s="372"/>
      <c r="FS144" s="372"/>
      <c r="FT144" s="372"/>
      <c r="FU144" s="372"/>
      <c r="FV144" s="372"/>
      <c r="FW144" s="372"/>
      <c r="FX144" s="372"/>
      <c r="FY144" s="372"/>
      <c r="FZ144" s="372"/>
      <c r="GA144" s="372"/>
      <c r="GB144" s="372"/>
      <c r="GC144" s="372"/>
      <c r="GD144" s="372"/>
      <c r="GE144" s="372"/>
      <c r="GF144" s="372"/>
      <c r="GG144" s="372"/>
      <c r="GH144" s="372"/>
      <c r="GI144" s="372"/>
      <c r="GJ144" s="372"/>
      <c r="GK144" s="372"/>
      <c r="GL144" s="372"/>
      <c r="GM144" s="372"/>
      <c r="GN144" s="372"/>
      <c r="GO144" s="372"/>
      <c r="GP144" s="372"/>
      <c r="GQ144" s="372"/>
      <c r="GR144" s="372"/>
      <c r="GS144" s="372"/>
      <c r="GT144" s="372"/>
      <c r="GU144" s="372"/>
      <c r="GV144" s="372"/>
      <c r="GW144" s="372"/>
      <c r="GX144" s="372"/>
      <c r="GY144" s="372"/>
      <c r="GZ144" s="372"/>
      <c r="HA144" s="372"/>
      <c r="HB144" s="372"/>
      <c r="HC144" s="372"/>
      <c r="HD144" s="372"/>
      <c r="HE144" s="372"/>
      <c r="HF144" s="372"/>
      <c r="HG144" s="372"/>
      <c r="HH144" s="372"/>
      <c r="HI144" s="372"/>
      <c r="HJ144" s="372"/>
      <c r="HK144" s="372"/>
      <c r="HL144" s="372"/>
      <c r="HM144" s="372"/>
      <c r="HN144" s="372"/>
      <c r="HO144" s="372"/>
      <c r="HP144" s="372"/>
      <c r="HQ144" s="372"/>
      <c r="HR144" s="372"/>
      <c r="HS144" s="372"/>
      <c r="HT144" s="372"/>
      <c r="HU144" s="372"/>
      <c r="HV144" s="372"/>
      <c r="HW144" s="372"/>
      <c r="HX144" s="372"/>
      <c r="HY144" s="372"/>
      <c r="HZ144" s="372"/>
      <c r="IA144" s="372"/>
      <c r="IB144" s="372"/>
      <c r="IC144" s="372"/>
      <c r="ID144" s="372"/>
      <c r="IE144" s="372"/>
      <c r="IF144" s="372"/>
      <c r="IG144" s="372"/>
      <c r="IH144" s="372"/>
      <c r="II144" s="372"/>
      <c r="IJ144" s="372"/>
      <c r="IK144" s="372"/>
      <c r="IL144" s="372"/>
      <c r="IM144" s="372"/>
      <c r="IN144" s="372"/>
      <c r="IO144" s="372"/>
      <c r="IP144" s="372"/>
      <c r="IQ144" s="372"/>
      <c r="IR144" s="372"/>
      <c r="IS144" s="372"/>
      <c r="IT144" s="372"/>
      <c r="IU144" s="372"/>
      <c r="IV144" s="372"/>
    </row>
    <row r="145" spans="1:256" ht="15">
      <c r="A145" s="304"/>
      <c r="B145" s="339"/>
      <c r="C145" s="320">
        <v>1.5</v>
      </c>
      <c r="D145" s="343" t="s">
        <v>658</v>
      </c>
      <c r="E145" s="340" t="s">
        <v>394</v>
      </c>
      <c r="F145" s="304"/>
      <c r="G145" s="304"/>
      <c r="H145" s="304"/>
      <c r="I145" s="318">
        <f>I124</f>
        <v>515</v>
      </c>
      <c r="J145" s="360" t="s">
        <v>594</v>
      </c>
      <c r="K145" s="329">
        <f>ROUND(C145*I145,2)</f>
        <v>772.5</v>
      </c>
      <c r="L145" s="376"/>
      <c r="M145" s="376"/>
      <c r="N145" s="373"/>
      <c r="O145" s="377"/>
      <c r="P145" s="377"/>
      <c r="Q145" s="377"/>
      <c r="R145" s="377"/>
      <c r="S145" s="377"/>
      <c r="T145" s="377"/>
      <c r="U145" s="377"/>
      <c r="V145" s="377"/>
      <c r="W145" s="377"/>
      <c r="X145" s="377"/>
      <c r="Y145" s="377"/>
      <c r="Z145" s="377"/>
      <c r="AA145" s="377"/>
      <c r="AB145" s="377"/>
      <c r="AC145" s="377"/>
      <c r="AD145" s="377"/>
      <c r="AE145" s="377"/>
      <c r="AF145" s="377"/>
      <c r="AG145" s="377"/>
      <c r="AH145" s="377"/>
      <c r="AI145" s="377"/>
      <c r="AJ145" s="377"/>
      <c r="AK145" s="377"/>
      <c r="AL145" s="377"/>
      <c r="AM145" s="377"/>
      <c r="AN145" s="377"/>
      <c r="AO145" s="377"/>
      <c r="AP145" s="377"/>
      <c r="AQ145" s="377"/>
      <c r="AR145" s="377"/>
      <c r="AS145" s="377"/>
      <c r="AT145" s="377"/>
      <c r="AU145" s="377"/>
      <c r="AV145" s="377"/>
      <c r="AW145" s="377"/>
      <c r="AX145" s="377"/>
      <c r="AY145" s="377"/>
      <c r="AZ145" s="377"/>
      <c r="BA145" s="377"/>
      <c r="BB145" s="377"/>
      <c r="BC145" s="377"/>
      <c r="BD145" s="377"/>
      <c r="BE145" s="377"/>
      <c r="BF145" s="377"/>
      <c r="BG145" s="377"/>
      <c r="BH145" s="377"/>
      <c r="BI145" s="377"/>
      <c r="BJ145" s="377"/>
      <c r="BK145" s="377"/>
      <c r="BL145" s="377"/>
      <c r="BM145" s="377"/>
      <c r="BN145" s="377"/>
      <c r="BO145" s="377"/>
      <c r="BP145" s="377"/>
      <c r="BQ145" s="377"/>
      <c r="BR145" s="377"/>
      <c r="BS145" s="377"/>
      <c r="BT145" s="377"/>
      <c r="BU145" s="377"/>
      <c r="BV145" s="377"/>
      <c r="BW145" s="377"/>
      <c r="BX145" s="377"/>
      <c r="BY145" s="377"/>
      <c r="BZ145" s="377"/>
      <c r="CA145" s="377"/>
      <c r="CB145" s="377"/>
      <c r="CC145" s="377"/>
      <c r="CD145" s="377"/>
      <c r="CE145" s="377"/>
      <c r="CF145" s="377"/>
      <c r="CG145" s="377"/>
      <c r="CH145" s="377"/>
      <c r="CI145" s="377"/>
      <c r="CJ145" s="377"/>
      <c r="CK145" s="377"/>
      <c r="CL145" s="377"/>
      <c r="CM145" s="377"/>
      <c r="CN145" s="377"/>
      <c r="CO145" s="377"/>
      <c r="CP145" s="377"/>
      <c r="CQ145" s="377"/>
      <c r="CR145" s="377"/>
      <c r="CS145" s="377"/>
      <c r="CT145" s="377"/>
      <c r="CU145" s="377"/>
      <c r="CV145" s="377"/>
      <c r="CW145" s="377"/>
      <c r="CX145" s="377"/>
      <c r="CY145" s="377"/>
      <c r="CZ145" s="377"/>
      <c r="DA145" s="377"/>
      <c r="DB145" s="377"/>
      <c r="DC145" s="377"/>
      <c r="DD145" s="377"/>
      <c r="DE145" s="377"/>
      <c r="DF145" s="377"/>
      <c r="DG145" s="377"/>
      <c r="DH145" s="377"/>
      <c r="DI145" s="377"/>
      <c r="DJ145" s="377"/>
      <c r="DK145" s="377"/>
      <c r="DL145" s="377"/>
      <c r="DM145" s="377"/>
      <c r="DN145" s="377"/>
      <c r="DO145" s="377"/>
      <c r="DP145" s="377"/>
      <c r="DQ145" s="377"/>
      <c r="DR145" s="377"/>
      <c r="DS145" s="377"/>
      <c r="DT145" s="377"/>
      <c r="DU145" s="377"/>
      <c r="DV145" s="377"/>
      <c r="DW145" s="377"/>
      <c r="DX145" s="377"/>
      <c r="DY145" s="377"/>
      <c r="DZ145" s="377"/>
      <c r="EA145" s="377"/>
      <c r="EB145" s="377"/>
      <c r="EC145" s="377"/>
      <c r="ED145" s="377"/>
      <c r="EE145" s="377"/>
      <c r="EF145" s="377"/>
      <c r="EG145" s="377"/>
      <c r="EH145" s="377"/>
      <c r="EI145" s="377"/>
      <c r="EJ145" s="377"/>
      <c r="EK145" s="377"/>
      <c r="EL145" s="377"/>
      <c r="EM145" s="377"/>
      <c r="EN145" s="377"/>
      <c r="EO145" s="377"/>
      <c r="EP145" s="377"/>
      <c r="EQ145" s="377"/>
      <c r="ER145" s="377"/>
      <c r="ES145" s="377"/>
      <c r="ET145" s="377"/>
      <c r="EU145" s="377"/>
      <c r="EV145" s="377"/>
      <c r="EW145" s="377"/>
      <c r="EX145" s="377"/>
      <c r="EY145" s="377"/>
      <c r="EZ145" s="377"/>
      <c r="FA145" s="377"/>
      <c r="FB145" s="377"/>
      <c r="FC145" s="377"/>
      <c r="FD145" s="377"/>
      <c r="FE145" s="377"/>
      <c r="FF145" s="377"/>
      <c r="FG145" s="377"/>
      <c r="FH145" s="377"/>
      <c r="FI145" s="377"/>
      <c r="FJ145" s="377"/>
      <c r="FK145" s="377"/>
      <c r="FL145" s="377"/>
      <c r="FM145" s="377"/>
      <c r="FN145" s="377"/>
      <c r="FO145" s="377"/>
      <c r="FP145" s="377"/>
      <c r="FQ145" s="377"/>
      <c r="FR145" s="377"/>
      <c r="FS145" s="377"/>
      <c r="FT145" s="377"/>
      <c r="FU145" s="377"/>
      <c r="FV145" s="377"/>
      <c r="FW145" s="377"/>
      <c r="FX145" s="377"/>
      <c r="FY145" s="377"/>
      <c r="FZ145" s="377"/>
      <c r="GA145" s="377"/>
      <c r="GB145" s="377"/>
      <c r="GC145" s="377"/>
      <c r="GD145" s="377"/>
      <c r="GE145" s="377"/>
      <c r="GF145" s="377"/>
      <c r="GG145" s="377"/>
      <c r="GH145" s="377"/>
      <c r="GI145" s="377"/>
      <c r="GJ145" s="377"/>
      <c r="GK145" s="377"/>
      <c r="GL145" s="377"/>
      <c r="GM145" s="377"/>
      <c r="GN145" s="377"/>
      <c r="GO145" s="377"/>
      <c r="GP145" s="377"/>
      <c r="GQ145" s="377"/>
      <c r="GR145" s="377"/>
      <c r="GS145" s="377"/>
      <c r="GT145" s="377"/>
      <c r="GU145" s="377"/>
      <c r="GV145" s="377"/>
      <c r="GW145" s="377"/>
      <c r="GX145" s="377"/>
      <c r="GY145" s="377"/>
      <c r="GZ145" s="377"/>
      <c r="HA145" s="377"/>
      <c r="HB145" s="377"/>
      <c r="HC145" s="377"/>
      <c r="HD145" s="377"/>
      <c r="HE145" s="377"/>
      <c r="HF145" s="377"/>
      <c r="HG145" s="377"/>
      <c r="HH145" s="377"/>
      <c r="HI145" s="377"/>
      <c r="HJ145" s="377"/>
      <c r="HK145" s="377"/>
      <c r="HL145" s="377"/>
      <c r="HM145" s="377"/>
      <c r="HN145" s="377"/>
      <c r="HO145" s="377"/>
      <c r="HP145" s="377"/>
      <c r="HQ145" s="377"/>
      <c r="HR145" s="377"/>
      <c r="HS145" s="377"/>
      <c r="HT145" s="377"/>
      <c r="HU145" s="377"/>
      <c r="HV145" s="377"/>
      <c r="HW145" s="377"/>
      <c r="HX145" s="377"/>
      <c r="HY145" s="377"/>
      <c r="HZ145" s="377"/>
      <c r="IA145" s="377"/>
      <c r="IB145" s="377"/>
      <c r="IC145" s="377"/>
      <c r="ID145" s="377"/>
      <c r="IE145" s="377"/>
      <c r="IF145" s="377"/>
      <c r="IG145" s="377"/>
      <c r="IH145" s="377"/>
      <c r="II145" s="377"/>
      <c r="IJ145" s="377"/>
      <c r="IK145" s="377"/>
      <c r="IL145" s="377"/>
      <c r="IM145" s="377"/>
      <c r="IN145" s="377"/>
      <c r="IO145" s="377"/>
      <c r="IP145" s="377"/>
      <c r="IQ145" s="377"/>
      <c r="IR145" s="377"/>
      <c r="IS145" s="377"/>
      <c r="IT145" s="377"/>
      <c r="IU145" s="377"/>
      <c r="IV145" s="377"/>
    </row>
    <row r="146" spans="1:256" ht="15">
      <c r="A146" s="304"/>
      <c r="B146" s="339"/>
      <c r="C146" s="320">
        <v>20</v>
      </c>
      <c r="D146" s="343" t="s">
        <v>658</v>
      </c>
      <c r="E146" s="340" t="s">
        <v>839</v>
      </c>
      <c r="F146" s="304"/>
      <c r="G146" s="304"/>
      <c r="H146" s="304"/>
      <c r="I146" s="318">
        <f>'C-data'!F22</f>
        <v>490</v>
      </c>
      <c r="J146" s="360" t="s">
        <v>594</v>
      </c>
      <c r="K146" s="329">
        <f>ROUND(C146*I146,2)</f>
        <v>9800</v>
      </c>
      <c r="L146" s="376"/>
      <c r="M146" s="378"/>
      <c r="N146" s="373"/>
      <c r="O146" s="377"/>
      <c r="P146" s="377"/>
      <c r="Q146" s="377"/>
      <c r="R146" s="377"/>
      <c r="S146" s="377"/>
      <c r="T146" s="377"/>
      <c r="U146" s="377"/>
      <c r="V146" s="377"/>
      <c r="W146" s="377"/>
      <c r="X146" s="377"/>
      <c r="Y146" s="377"/>
      <c r="Z146" s="377"/>
      <c r="AA146" s="377"/>
      <c r="AB146" s="377"/>
      <c r="AC146" s="377"/>
      <c r="AD146" s="377"/>
      <c r="AE146" s="377"/>
      <c r="AF146" s="377"/>
      <c r="AG146" s="377"/>
      <c r="AH146" s="377"/>
      <c r="AI146" s="377"/>
      <c r="AJ146" s="377"/>
      <c r="AK146" s="377"/>
      <c r="AL146" s="377"/>
      <c r="AM146" s="377"/>
      <c r="AN146" s="377"/>
      <c r="AO146" s="377"/>
      <c r="AP146" s="377"/>
      <c r="AQ146" s="377"/>
      <c r="AR146" s="377"/>
      <c r="AS146" s="377"/>
      <c r="AT146" s="377"/>
      <c r="AU146" s="377"/>
      <c r="AV146" s="377"/>
      <c r="AW146" s="377"/>
      <c r="AX146" s="377"/>
      <c r="AY146" s="377"/>
      <c r="AZ146" s="377"/>
      <c r="BA146" s="377"/>
      <c r="BB146" s="377"/>
      <c r="BC146" s="377"/>
      <c r="BD146" s="377"/>
      <c r="BE146" s="377"/>
      <c r="BF146" s="377"/>
      <c r="BG146" s="377"/>
      <c r="BH146" s="377"/>
      <c r="BI146" s="377"/>
      <c r="BJ146" s="377"/>
      <c r="BK146" s="377"/>
      <c r="BL146" s="377"/>
      <c r="BM146" s="377"/>
      <c r="BN146" s="377"/>
      <c r="BO146" s="377"/>
      <c r="BP146" s="377"/>
      <c r="BQ146" s="377"/>
      <c r="BR146" s="377"/>
      <c r="BS146" s="377"/>
      <c r="BT146" s="377"/>
      <c r="BU146" s="377"/>
      <c r="BV146" s="377"/>
      <c r="BW146" s="377"/>
      <c r="BX146" s="377"/>
      <c r="BY146" s="377"/>
      <c r="BZ146" s="377"/>
      <c r="CA146" s="377"/>
      <c r="CB146" s="377"/>
      <c r="CC146" s="377"/>
      <c r="CD146" s="377"/>
      <c r="CE146" s="377"/>
      <c r="CF146" s="377"/>
      <c r="CG146" s="377"/>
      <c r="CH146" s="377"/>
      <c r="CI146" s="377"/>
      <c r="CJ146" s="377"/>
      <c r="CK146" s="377"/>
      <c r="CL146" s="377"/>
      <c r="CM146" s="377"/>
      <c r="CN146" s="377"/>
      <c r="CO146" s="377"/>
      <c r="CP146" s="377"/>
      <c r="CQ146" s="377"/>
      <c r="CR146" s="377"/>
      <c r="CS146" s="377"/>
      <c r="CT146" s="377"/>
      <c r="CU146" s="377"/>
      <c r="CV146" s="377"/>
      <c r="CW146" s="377"/>
      <c r="CX146" s="377"/>
      <c r="CY146" s="377"/>
      <c r="CZ146" s="377"/>
      <c r="DA146" s="377"/>
      <c r="DB146" s="377"/>
      <c r="DC146" s="377"/>
      <c r="DD146" s="377"/>
      <c r="DE146" s="377"/>
      <c r="DF146" s="377"/>
      <c r="DG146" s="377"/>
      <c r="DH146" s="377"/>
      <c r="DI146" s="377"/>
      <c r="DJ146" s="377"/>
      <c r="DK146" s="377"/>
      <c r="DL146" s="377"/>
      <c r="DM146" s="377"/>
      <c r="DN146" s="377"/>
      <c r="DO146" s="377"/>
      <c r="DP146" s="377"/>
      <c r="DQ146" s="377"/>
      <c r="DR146" s="377"/>
      <c r="DS146" s="377"/>
      <c r="DT146" s="377"/>
      <c r="DU146" s="377"/>
      <c r="DV146" s="377"/>
      <c r="DW146" s="377"/>
      <c r="DX146" s="377"/>
      <c r="DY146" s="377"/>
      <c r="DZ146" s="377"/>
      <c r="EA146" s="377"/>
      <c r="EB146" s="377"/>
      <c r="EC146" s="377"/>
      <c r="ED146" s="377"/>
      <c r="EE146" s="377"/>
      <c r="EF146" s="377"/>
      <c r="EG146" s="377"/>
      <c r="EH146" s="377"/>
      <c r="EI146" s="377"/>
      <c r="EJ146" s="377"/>
      <c r="EK146" s="377"/>
      <c r="EL146" s="377"/>
      <c r="EM146" s="377"/>
      <c r="EN146" s="377"/>
      <c r="EO146" s="377"/>
      <c r="EP146" s="377"/>
      <c r="EQ146" s="377"/>
      <c r="ER146" s="377"/>
      <c r="ES146" s="377"/>
      <c r="ET146" s="377"/>
      <c r="EU146" s="377"/>
      <c r="EV146" s="377"/>
      <c r="EW146" s="377"/>
      <c r="EX146" s="377"/>
      <c r="EY146" s="377"/>
      <c r="EZ146" s="377"/>
      <c r="FA146" s="377"/>
      <c r="FB146" s="377"/>
      <c r="FC146" s="377"/>
      <c r="FD146" s="377"/>
      <c r="FE146" s="377"/>
      <c r="FF146" s="377"/>
      <c r="FG146" s="377"/>
      <c r="FH146" s="377"/>
      <c r="FI146" s="377"/>
      <c r="FJ146" s="377"/>
      <c r="FK146" s="377"/>
      <c r="FL146" s="377"/>
      <c r="FM146" s="377"/>
      <c r="FN146" s="377"/>
      <c r="FO146" s="377"/>
      <c r="FP146" s="377"/>
      <c r="FQ146" s="377"/>
      <c r="FR146" s="377"/>
      <c r="FS146" s="377"/>
      <c r="FT146" s="377"/>
      <c r="FU146" s="377"/>
      <c r="FV146" s="377"/>
      <c r="FW146" s="377"/>
      <c r="FX146" s="377"/>
      <c r="FY146" s="377"/>
      <c r="FZ146" s="377"/>
      <c r="GA146" s="377"/>
      <c r="GB146" s="377"/>
      <c r="GC146" s="377"/>
      <c r="GD146" s="377"/>
      <c r="GE146" s="377"/>
      <c r="GF146" s="377"/>
      <c r="GG146" s="377"/>
      <c r="GH146" s="377"/>
      <c r="GI146" s="377"/>
      <c r="GJ146" s="377"/>
      <c r="GK146" s="377"/>
      <c r="GL146" s="377"/>
      <c r="GM146" s="377"/>
      <c r="GN146" s="377"/>
      <c r="GO146" s="377"/>
      <c r="GP146" s="377"/>
      <c r="GQ146" s="377"/>
      <c r="GR146" s="377"/>
      <c r="GS146" s="377"/>
      <c r="GT146" s="377"/>
      <c r="GU146" s="377"/>
      <c r="GV146" s="377"/>
      <c r="GW146" s="377"/>
      <c r="GX146" s="377"/>
      <c r="GY146" s="377"/>
      <c r="GZ146" s="377"/>
      <c r="HA146" s="377"/>
      <c r="HB146" s="377"/>
      <c r="HC146" s="377"/>
      <c r="HD146" s="377"/>
      <c r="HE146" s="377"/>
      <c r="HF146" s="377"/>
      <c r="HG146" s="377"/>
      <c r="HH146" s="377"/>
      <c r="HI146" s="377"/>
      <c r="HJ146" s="377"/>
      <c r="HK146" s="377"/>
      <c r="HL146" s="377"/>
      <c r="HM146" s="377"/>
      <c r="HN146" s="377"/>
      <c r="HO146" s="377"/>
      <c r="HP146" s="377"/>
      <c r="HQ146" s="377"/>
      <c r="HR146" s="377"/>
      <c r="HS146" s="377"/>
      <c r="HT146" s="377"/>
      <c r="HU146" s="377"/>
      <c r="HV146" s="377"/>
      <c r="HW146" s="377"/>
      <c r="HX146" s="377"/>
      <c r="HY146" s="377"/>
      <c r="HZ146" s="377"/>
      <c r="IA146" s="377"/>
      <c r="IB146" s="377"/>
      <c r="IC146" s="377"/>
      <c r="ID146" s="377"/>
      <c r="IE146" s="377"/>
      <c r="IF146" s="377"/>
      <c r="IG146" s="377"/>
      <c r="IH146" s="377"/>
      <c r="II146" s="377"/>
      <c r="IJ146" s="377"/>
      <c r="IK146" s="377"/>
      <c r="IL146" s="377"/>
      <c r="IM146" s="377"/>
      <c r="IN146" s="377"/>
      <c r="IO146" s="377"/>
      <c r="IP146" s="377"/>
      <c r="IQ146" s="377"/>
      <c r="IR146" s="377"/>
      <c r="IS146" s="377"/>
      <c r="IT146" s="377"/>
      <c r="IU146" s="377"/>
      <c r="IV146" s="377"/>
    </row>
    <row r="147" spans="1:256" ht="15">
      <c r="A147" s="304"/>
      <c r="B147" s="339"/>
      <c r="C147" s="320"/>
      <c r="D147" s="343"/>
      <c r="E147" s="340" t="s">
        <v>466</v>
      </c>
      <c r="F147" s="304"/>
      <c r="G147" s="304"/>
      <c r="H147" s="304"/>
      <c r="I147" s="329"/>
      <c r="J147" s="329"/>
      <c r="K147" s="323">
        <f>SUM(K144:K146)</f>
        <v>11015.4</v>
      </c>
      <c r="L147" s="301"/>
      <c r="M147" s="301"/>
      <c r="N147" s="301"/>
      <c r="O147" s="301"/>
      <c r="P147" s="301"/>
      <c r="Q147" s="301"/>
      <c r="R147" s="301"/>
      <c r="S147" s="301"/>
      <c r="T147" s="301"/>
      <c r="U147" s="301"/>
      <c r="V147" s="301"/>
      <c r="W147" s="301"/>
      <c r="X147" s="301"/>
      <c r="Y147" s="301"/>
      <c r="Z147" s="301"/>
      <c r="AA147" s="301"/>
      <c r="AB147" s="301"/>
      <c r="AC147" s="301"/>
      <c r="AD147" s="301"/>
      <c r="AE147" s="301"/>
      <c r="AF147" s="301"/>
      <c r="AG147" s="301"/>
      <c r="AH147" s="301"/>
      <c r="AI147" s="301"/>
      <c r="AJ147" s="301"/>
      <c r="AK147" s="301"/>
      <c r="AL147" s="301"/>
      <c r="AM147" s="301"/>
      <c r="AN147" s="301"/>
      <c r="AO147" s="301"/>
      <c r="AP147" s="301"/>
      <c r="AQ147" s="301"/>
      <c r="AR147" s="301"/>
      <c r="AS147" s="301"/>
      <c r="AT147" s="301"/>
      <c r="AU147" s="301"/>
      <c r="AV147" s="301"/>
      <c r="AW147" s="301"/>
      <c r="AX147" s="301"/>
      <c r="AY147" s="301"/>
      <c r="AZ147" s="301"/>
      <c r="BA147" s="301"/>
      <c r="BB147" s="301"/>
      <c r="BC147" s="301"/>
      <c r="BD147" s="301"/>
      <c r="BE147" s="301"/>
      <c r="BF147" s="301"/>
      <c r="BG147" s="301"/>
      <c r="BH147" s="301"/>
      <c r="BI147" s="301"/>
      <c r="BJ147" s="301"/>
      <c r="BK147" s="301"/>
      <c r="BL147" s="301"/>
      <c r="BM147" s="301"/>
      <c r="BN147" s="301"/>
      <c r="BO147" s="301"/>
      <c r="BP147" s="301"/>
      <c r="BQ147" s="301"/>
      <c r="BR147" s="301"/>
      <c r="BS147" s="301"/>
      <c r="BT147" s="301"/>
      <c r="BU147" s="301"/>
      <c r="BV147" s="301"/>
      <c r="BW147" s="301"/>
      <c r="BX147" s="301"/>
      <c r="BY147" s="301"/>
      <c r="BZ147" s="301"/>
      <c r="CA147" s="301"/>
      <c r="CB147" s="301"/>
      <c r="CC147" s="301"/>
      <c r="CD147" s="301"/>
      <c r="CE147" s="301"/>
      <c r="CF147" s="301"/>
      <c r="CG147" s="301"/>
      <c r="CH147" s="301"/>
      <c r="CI147" s="301"/>
      <c r="CJ147" s="301"/>
      <c r="CK147" s="301"/>
      <c r="CL147" s="301"/>
      <c r="CM147" s="301"/>
      <c r="CN147" s="301"/>
      <c r="CO147" s="301"/>
      <c r="CP147" s="301"/>
      <c r="CQ147" s="301"/>
      <c r="CR147" s="301"/>
      <c r="CS147" s="301"/>
      <c r="CT147" s="301"/>
      <c r="CU147" s="301"/>
      <c r="CV147" s="301"/>
      <c r="CW147" s="301"/>
      <c r="CX147" s="301"/>
      <c r="CY147" s="301"/>
      <c r="CZ147" s="301"/>
      <c r="DA147" s="301"/>
      <c r="DB147" s="301"/>
      <c r="DC147" s="301"/>
      <c r="DD147" s="301"/>
      <c r="DE147" s="301"/>
      <c r="DF147" s="301"/>
      <c r="DG147" s="301"/>
      <c r="DH147" s="301"/>
      <c r="DI147" s="301"/>
      <c r="DJ147" s="301"/>
      <c r="DK147" s="301"/>
      <c r="DL147" s="301"/>
      <c r="DM147" s="301"/>
      <c r="DN147" s="301"/>
      <c r="DO147" s="301"/>
      <c r="DP147" s="301"/>
      <c r="DQ147" s="301"/>
      <c r="DR147" s="301"/>
      <c r="DS147" s="301"/>
      <c r="DT147" s="301"/>
      <c r="DU147" s="301"/>
      <c r="DV147" s="301"/>
      <c r="DW147" s="301"/>
      <c r="DX147" s="301"/>
      <c r="DY147" s="301"/>
      <c r="DZ147" s="301"/>
      <c r="EA147" s="301"/>
      <c r="EB147" s="301"/>
      <c r="EC147" s="301"/>
      <c r="ED147" s="301"/>
      <c r="EE147" s="301"/>
      <c r="EF147" s="301"/>
      <c r="EG147" s="301"/>
      <c r="EH147" s="301"/>
      <c r="EI147" s="301"/>
      <c r="EJ147" s="301"/>
      <c r="EK147" s="301"/>
      <c r="EL147" s="301"/>
      <c r="EM147" s="301"/>
      <c r="EN147" s="301"/>
      <c r="EO147" s="301"/>
      <c r="EP147" s="301"/>
      <c r="EQ147" s="301"/>
      <c r="ER147" s="301"/>
      <c r="ES147" s="301"/>
      <c r="ET147" s="301"/>
      <c r="EU147" s="301"/>
      <c r="EV147" s="301"/>
      <c r="EW147" s="301"/>
      <c r="EX147" s="301"/>
      <c r="EY147" s="301"/>
      <c r="EZ147" s="301"/>
      <c r="FA147" s="301"/>
      <c r="FB147" s="301"/>
      <c r="FC147" s="301"/>
      <c r="FD147" s="301"/>
      <c r="FE147" s="301"/>
      <c r="FF147" s="301"/>
      <c r="FG147" s="301"/>
      <c r="FH147" s="301"/>
      <c r="FI147" s="301"/>
      <c r="FJ147" s="301"/>
      <c r="FK147" s="301"/>
      <c r="FL147" s="301"/>
      <c r="FM147" s="301"/>
      <c r="FN147" s="301"/>
      <c r="FO147" s="301"/>
      <c r="FP147" s="301"/>
      <c r="FQ147" s="301"/>
      <c r="FR147" s="301"/>
      <c r="FS147" s="301"/>
      <c r="FT147" s="301"/>
      <c r="FU147" s="301"/>
      <c r="FV147" s="301"/>
      <c r="FW147" s="301"/>
      <c r="FX147" s="301"/>
      <c r="FY147" s="301"/>
      <c r="FZ147" s="301"/>
      <c r="GA147" s="301"/>
      <c r="GB147" s="301"/>
      <c r="GC147" s="301"/>
      <c r="GD147" s="301"/>
      <c r="GE147" s="301"/>
      <c r="GF147" s="301"/>
      <c r="GG147" s="301"/>
      <c r="GH147" s="301"/>
      <c r="GI147" s="301"/>
      <c r="GJ147" s="301"/>
      <c r="GK147" s="301"/>
      <c r="GL147" s="301"/>
      <c r="GM147" s="301"/>
      <c r="GN147" s="301"/>
      <c r="GO147" s="301"/>
      <c r="GP147" s="301"/>
      <c r="GQ147" s="301"/>
      <c r="GR147" s="301"/>
      <c r="GS147" s="301"/>
      <c r="GT147" s="301"/>
      <c r="GU147" s="301"/>
      <c r="GV147" s="301"/>
      <c r="GW147" s="301"/>
      <c r="GX147" s="301"/>
      <c r="GY147" s="301"/>
      <c r="GZ147" s="301"/>
      <c r="HA147" s="301"/>
      <c r="HB147" s="301"/>
      <c r="HC147" s="301"/>
      <c r="HD147" s="301"/>
      <c r="HE147" s="301"/>
      <c r="HF147" s="301"/>
      <c r="HG147" s="301"/>
      <c r="HH147" s="301"/>
      <c r="HI147" s="301"/>
      <c r="HJ147" s="301"/>
      <c r="HK147" s="301"/>
      <c r="HL147" s="301"/>
      <c r="HM147" s="301"/>
      <c r="HN147" s="301"/>
      <c r="HO147" s="301"/>
      <c r="HP147" s="301"/>
      <c r="HQ147" s="301"/>
      <c r="HR147" s="301"/>
      <c r="HS147" s="301"/>
      <c r="HT147" s="301"/>
      <c r="HU147" s="301"/>
      <c r="HV147" s="301"/>
      <c r="HW147" s="301"/>
      <c r="HX147" s="301"/>
      <c r="HY147" s="301"/>
      <c r="HZ147" s="301"/>
      <c r="IA147" s="301"/>
      <c r="IB147" s="301"/>
      <c r="IC147" s="301"/>
      <c r="ID147" s="301"/>
      <c r="IE147" s="301"/>
      <c r="IF147" s="301"/>
      <c r="IG147" s="301"/>
      <c r="IH147" s="301"/>
      <c r="II147" s="301"/>
      <c r="IJ147" s="301"/>
      <c r="IK147" s="301"/>
      <c r="IL147" s="301"/>
      <c r="IM147" s="301"/>
      <c r="IN147" s="301"/>
      <c r="IO147" s="301"/>
      <c r="IP147" s="301"/>
      <c r="IQ147" s="301"/>
      <c r="IR147" s="301"/>
      <c r="IS147" s="301"/>
      <c r="IT147" s="301"/>
      <c r="IU147" s="301"/>
      <c r="IV147" s="301"/>
    </row>
    <row r="148" spans="1:256" ht="15">
      <c r="A148" s="304"/>
      <c r="B148" s="339"/>
      <c r="C148" s="320"/>
      <c r="D148" s="343"/>
      <c r="E148" s="340"/>
      <c r="F148" s="304"/>
      <c r="G148" s="304"/>
      <c r="H148" s="304"/>
      <c r="I148" s="329"/>
      <c r="J148" s="329"/>
      <c r="K148" s="329"/>
      <c r="L148" s="301"/>
      <c r="M148" s="301"/>
      <c r="N148" s="301"/>
      <c r="O148" s="301"/>
      <c r="P148" s="301"/>
      <c r="Q148" s="301"/>
      <c r="R148" s="301"/>
      <c r="S148" s="301"/>
      <c r="T148" s="301"/>
      <c r="U148" s="301"/>
      <c r="V148" s="301"/>
      <c r="W148" s="301"/>
      <c r="X148" s="301"/>
      <c r="Y148" s="301"/>
      <c r="Z148" s="301"/>
      <c r="AA148" s="301"/>
      <c r="AB148" s="301"/>
      <c r="AC148" s="301"/>
      <c r="AD148" s="301"/>
      <c r="AE148" s="301"/>
      <c r="AF148" s="301"/>
      <c r="AG148" s="301"/>
      <c r="AH148" s="301"/>
      <c r="AI148" s="301"/>
      <c r="AJ148" s="301"/>
      <c r="AK148" s="301"/>
      <c r="AL148" s="301"/>
      <c r="AM148" s="301"/>
      <c r="AN148" s="301"/>
      <c r="AO148" s="301"/>
      <c r="AP148" s="301"/>
      <c r="AQ148" s="301"/>
      <c r="AR148" s="301"/>
      <c r="AS148" s="301"/>
      <c r="AT148" s="301"/>
      <c r="AU148" s="301"/>
      <c r="AV148" s="301"/>
      <c r="AW148" s="301"/>
      <c r="AX148" s="301"/>
      <c r="AY148" s="301"/>
      <c r="AZ148" s="301"/>
      <c r="BA148" s="301"/>
      <c r="BB148" s="301"/>
      <c r="BC148" s="301"/>
      <c r="BD148" s="301"/>
      <c r="BE148" s="301"/>
      <c r="BF148" s="301"/>
      <c r="BG148" s="301"/>
      <c r="BH148" s="301"/>
      <c r="BI148" s="301"/>
      <c r="BJ148" s="301"/>
      <c r="BK148" s="301"/>
      <c r="BL148" s="301"/>
      <c r="BM148" s="301"/>
      <c r="BN148" s="301"/>
      <c r="BO148" s="301"/>
      <c r="BP148" s="301"/>
      <c r="BQ148" s="301"/>
      <c r="BR148" s="301"/>
      <c r="BS148" s="301"/>
      <c r="BT148" s="301"/>
      <c r="BU148" s="301"/>
      <c r="BV148" s="301"/>
      <c r="BW148" s="301"/>
      <c r="BX148" s="301"/>
      <c r="BY148" s="301"/>
      <c r="BZ148" s="301"/>
      <c r="CA148" s="301"/>
      <c r="CB148" s="301"/>
      <c r="CC148" s="301"/>
      <c r="CD148" s="301"/>
      <c r="CE148" s="301"/>
      <c r="CF148" s="301"/>
      <c r="CG148" s="301"/>
      <c r="CH148" s="301"/>
      <c r="CI148" s="301"/>
      <c r="CJ148" s="301"/>
      <c r="CK148" s="301"/>
      <c r="CL148" s="301"/>
      <c r="CM148" s="301"/>
      <c r="CN148" s="301"/>
      <c r="CO148" s="301"/>
      <c r="CP148" s="301"/>
      <c r="CQ148" s="301"/>
      <c r="CR148" s="301"/>
      <c r="CS148" s="301"/>
      <c r="CT148" s="301"/>
      <c r="CU148" s="301"/>
      <c r="CV148" s="301"/>
      <c r="CW148" s="301"/>
      <c r="CX148" s="301"/>
      <c r="CY148" s="301"/>
      <c r="CZ148" s="301"/>
      <c r="DA148" s="301"/>
      <c r="DB148" s="301"/>
      <c r="DC148" s="301"/>
      <c r="DD148" s="301"/>
      <c r="DE148" s="301"/>
      <c r="DF148" s="301"/>
      <c r="DG148" s="301"/>
      <c r="DH148" s="301"/>
      <c r="DI148" s="301"/>
      <c r="DJ148" s="301"/>
      <c r="DK148" s="301"/>
      <c r="DL148" s="301"/>
      <c r="DM148" s="301"/>
      <c r="DN148" s="301"/>
      <c r="DO148" s="301"/>
      <c r="DP148" s="301"/>
      <c r="DQ148" s="301"/>
      <c r="DR148" s="301"/>
      <c r="DS148" s="301"/>
      <c r="DT148" s="301"/>
      <c r="DU148" s="301"/>
      <c r="DV148" s="301"/>
      <c r="DW148" s="301"/>
      <c r="DX148" s="301"/>
      <c r="DY148" s="301"/>
      <c r="DZ148" s="301"/>
      <c r="EA148" s="301"/>
      <c r="EB148" s="301"/>
      <c r="EC148" s="301"/>
      <c r="ED148" s="301"/>
      <c r="EE148" s="301"/>
      <c r="EF148" s="301"/>
      <c r="EG148" s="301"/>
      <c r="EH148" s="301"/>
      <c r="EI148" s="301"/>
      <c r="EJ148" s="301"/>
      <c r="EK148" s="301"/>
      <c r="EL148" s="301"/>
      <c r="EM148" s="301"/>
      <c r="EN148" s="301"/>
      <c r="EO148" s="301"/>
      <c r="EP148" s="301"/>
      <c r="EQ148" s="301"/>
      <c r="ER148" s="301"/>
      <c r="ES148" s="301"/>
      <c r="ET148" s="301"/>
      <c r="EU148" s="301"/>
      <c r="EV148" s="301"/>
      <c r="EW148" s="301"/>
      <c r="EX148" s="301"/>
      <c r="EY148" s="301"/>
      <c r="EZ148" s="301"/>
      <c r="FA148" s="301"/>
      <c r="FB148" s="301"/>
      <c r="FC148" s="301"/>
      <c r="FD148" s="301"/>
      <c r="FE148" s="301"/>
      <c r="FF148" s="301"/>
      <c r="FG148" s="301"/>
      <c r="FH148" s="301"/>
      <c r="FI148" s="301"/>
      <c r="FJ148" s="301"/>
      <c r="FK148" s="301"/>
      <c r="FL148" s="301"/>
      <c r="FM148" s="301"/>
      <c r="FN148" s="301"/>
      <c r="FO148" s="301"/>
      <c r="FP148" s="301"/>
      <c r="FQ148" s="301"/>
      <c r="FR148" s="301"/>
      <c r="FS148" s="301"/>
      <c r="FT148" s="301"/>
      <c r="FU148" s="301"/>
      <c r="FV148" s="301"/>
      <c r="FW148" s="301"/>
      <c r="FX148" s="301"/>
      <c r="FY148" s="301"/>
      <c r="FZ148" s="301"/>
      <c r="GA148" s="301"/>
      <c r="GB148" s="301"/>
      <c r="GC148" s="301"/>
      <c r="GD148" s="301"/>
      <c r="GE148" s="301"/>
      <c r="GF148" s="301"/>
      <c r="GG148" s="301"/>
      <c r="GH148" s="301"/>
      <c r="GI148" s="301"/>
      <c r="GJ148" s="301"/>
      <c r="GK148" s="301"/>
      <c r="GL148" s="301"/>
      <c r="GM148" s="301"/>
      <c r="GN148" s="301"/>
      <c r="GO148" s="301"/>
      <c r="GP148" s="301"/>
      <c r="GQ148" s="301"/>
      <c r="GR148" s="301"/>
      <c r="GS148" s="301"/>
      <c r="GT148" s="301"/>
      <c r="GU148" s="301"/>
      <c r="GV148" s="301"/>
      <c r="GW148" s="301"/>
      <c r="GX148" s="301"/>
      <c r="GY148" s="301"/>
      <c r="GZ148" s="301"/>
      <c r="HA148" s="301"/>
      <c r="HB148" s="301"/>
      <c r="HC148" s="301"/>
      <c r="HD148" s="301"/>
      <c r="HE148" s="301"/>
      <c r="HF148" s="301"/>
      <c r="HG148" s="301"/>
      <c r="HH148" s="301"/>
      <c r="HI148" s="301"/>
      <c r="HJ148" s="301"/>
      <c r="HK148" s="301"/>
      <c r="HL148" s="301"/>
      <c r="HM148" s="301"/>
      <c r="HN148" s="301"/>
      <c r="HO148" s="301"/>
      <c r="HP148" s="301"/>
      <c r="HQ148" s="301"/>
      <c r="HR148" s="301"/>
      <c r="HS148" s="301"/>
      <c r="HT148" s="301"/>
      <c r="HU148" s="301"/>
      <c r="HV148" s="301"/>
      <c r="HW148" s="301"/>
      <c r="HX148" s="301"/>
      <c r="HY148" s="301"/>
      <c r="HZ148" s="301"/>
      <c r="IA148" s="301"/>
      <c r="IB148" s="301"/>
      <c r="IC148" s="301"/>
      <c r="ID148" s="301"/>
      <c r="IE148" s="301"/>
      <c r="IF148" s="301"/>
      <c r="IG148" s="301"/>
      <c r="IH148" s="301"/>
      <c r="II148" s="301"/>
      <c r="IJ148" s="301"/>
      <c r="IK148" s="301"/>
      <c r="IL148" s="301"/>
      <c r="IM148" s="301"/>
      <c r="IN148" s="301"/>
      <c r="IO148" s="301"/>
      <c r="IP148" s="301"/>
      <c r="IQ148" s="301"/>
      <c r="IR148" s="301"/>
      <c r="IS148" s="301"/>
      <c r="IT148" s="301"/>
      <c r="IU148" s="301"/>
      <c r="IV148" s="301"/>
    </row>
    <row r="149" spans="1:256" ht="15">
      <c r="A149" s="304"/>
      <c r="B149" s="339"/>
      <c r="C149" s="320"/>
      <c r="D149" s="375" t="s">
        <v>816</v>
      </c>
      <c r="E149" s="342" t="s">
        <v>557</v>
      </c>
      <c r="F149" s="304"/>
      <c r="G149" s="304"/>
      <c r="H149" s="304"/>
      <c r="I149" s="329"/>
      <c r="J149" s="329"/>
      <c r="K149" s="329"/>
      <c r="L149" s="301"/>
      <c r="M149" s="301"/>
      <c r="N149" s="301"/>
      <c r="O149" s="301"/>
      <c r="P149" s="301"/>
      <c r="Q149" s="301"/>
      <c r="R149" s="301"/>
      <c r="S149" s="301"/>
      <c r="T149" s="301"/>
      <c r="U149" s="301"/>
      <c r="V149" s="301"/>
      <c r="W149" s="301"/>
      <c r="X149" s="301"/>
      <c r="Y149" s="301"/>
      <c r="Z149" s="301"/>
      <c r="AA149" s="301"/>
      <c r="AB149" s="301"/>
      <c r="AC149" s="301"/>
      <c r="AD149" s="301"/>
      <c r="AE149" s="301"/>
      <c r="AF149" s="301"/>
      <c r="AG149" s="301"/>
      <c r="AH149" s="301"/>
      <c r="AI149" s="301"/>
      <c r="AJ149" s="301"/>
      <c r="AK149" s="301"/>
      <c r="AL149" s="301"/>
      <c r="AM149" s="301"/>
      <c r="AN149" s="301"/>
      <c r="AO149" s="301"/>
      <c r="AP149" s="301"/>
      <c r="AQ149" s="301"/>
      <c r="AR149" s="301"/>
      <c r="AS149" s="301"/>
      <c r="AT149" s="301"/>
      <c r="AU149" s="301"/>
      <c r="AV149" s="301"/>
      <c r="AW149" s="301"/>
      <c r="AX149" s="301"/>
      <c r="AY149" s="301"/>
      <c r="AZ149" s="301"/>
      <c r="BA149" s="301"/>
      <c r="BB149" s="301"/>
      <c r="BC149" s="301"/>
      <c r="BD149" s="301"/>
      <c r="BE149" s="301"/>
      <c r="BF149" s="301"/>
      <c r="BG149" s="301"/>
      <c r="BH149" s="301"/>
      <c r="BI149" s="301"/>
      <c r="BJ149" s="301"/>
      <c r="BK149" s="301"/>
      <c r="BL149" s="301"/>
      <c r="BM149" s="301"/>
      <c r="BN149" s="301"/>
      <c r="BO149" s="301"/>
      <c r="BP149" s="301"/>
      <c r="BQ149" s="301"/>
      <c r="BR149" s="301"/>
      <c r="BS149" s="301"/>
      <c r="BT149" s="301"/>
      <c r="BU149" s="301"/>
      <c r="BV149" s="301"/>
      <c r="BW149" s="301"/>
      <c r="BX149" s="301"/>
      <c r="BY149" s="301"/>
      <c r="BZ149" s="301"/>
      <c r="CA149" s="301"/>
      <c r="CB149" s="301"/>
      <c r="CC149" s="301"/>
      <c r="CD149" s="301"/>
      <c r="CE149" s="301"/>
      <c r="CF149" s="301"/>
      <c r="CG149" s="301"/>
      <c r="CH149" s="301"/>
      <c r="CI149" s="301"/>
      <c r="CJ149" s="301"/>
      <c r="CK149" s="301"/>
      <c r="CL149" s="301"/>
      <c r="CM149" s="301"/>
      <c r="CN149" s="301"/>
      <c r="CO149" s="301"/>
      <c r="CP149" s="301"/>
      <c r="CQ149" s="301"/>
      <c r="CR149" s="301"/>
      <c r="CS149" s="301"/>
      <c r="CT149" s="301"/>
      <c r="CU149" s="301"/>
      <c r="CV149" s="301"/>
      <c r="CW149" s="301"/>
      <c r="CX149" s="301"/>
      <c r="CY149" s="301"/>
      <c r="CZ149" s="301"/>
      <c r="DA149" s="301"/>
      <c r="DB149" s="301"/>
      <c r="DC149" s="301"/>
      <c r="DD149" s="301"/>
      <c r="DE149" s="301"/>
      <c r="DF149" s="301"/>
      <c r="DG149" s="301"/>
      <c r="DH149" s="301"/>
      <c r="DI149" s="301"/>
      <c r="DJ149" s="301"/>
      <c r="DK149" s="301"/>
      <c r="DL149" s="301"/>
      <c r="DM149" s="301"/>
      <c r="DN149" s="301"/>
      <c r="DO149" s="301"/>
      <c r="DP149" s="301"/>
      <c r="DQ149" s="301"/>
      <c r="DR149" s="301"/>
      <c r="DS149" s="301"/>
      <c r="DT149" s="301"/>
      <c r="DU149" s="301"/>
      <c r="DV149" s="301"/>
      <c r="DW149" s="301"/>
      <c r="DX149" s="301"/>
      <c r="DY149" s="301"/>
      <c r="DZ149" s="301"/>
      <c r="EA149" s="301"/>
      <c r="EB149" s="301"/>
      <c r="EC149" s="301"/>
      <c r="ED149" s="301"/>
      <c r="EE149" s="301"/>
      <c r="EF149" s="301"/>
      <c r="EG149" s="301"/>
      <c r="EH149" s="301"/>
      <c r="EI149" s="301"/>
      <c r="EJ149" s="301"/>
      <c r="EK149" s="301"/>
      <c r="EL149" s="301"/>
      <c r="EM149" s="301"/>
      <c r="EN149" s="301"/>
      <c r="EO149" s="301"/>
      <c r="EP149" s="301"/>
      <c r="EQ149" s="301"/>
      <c r="ER149" s="301"/>
      <c r="ES149" s="301"/>
      <c r="ET149" s="301"/>
      <c r="EU149" s="301"/>
      <c r="EV149" s="301"/>
      <c r="EW149" s="301"/>
      <c r="EX149" s="301"/>
      <c r="EY149" s="301"/>
      <c r="EZ149" s="301"/>
      <c r="FA149" s="301"/>
      <c r="FB149" s="301"/>
      <c r="FC149" s="301"/>
      <c r="FD149" s="301"/>
      <c r="FE149" s="301"/>
      <c r="FF149" s="301"/>
      <c r="FG149" s="301"/>
      <c r="FH149" s="301"/>
      <c r="FI149" s="301"/>
      <c r="FJ149" s="301"/>
      <c r="FK149" s="301"/>
      <c r="FL149" s="301"/>
      <c r="FM149" s="301"/>
      <c r="FN149" s="301"/>
      <c r="FO149" s="301"/>
      <c r="FP149" s="301"/>
      <c r="FQ149" s="301"/>
      <c r="FR149" s="301"/>
      <c r="FS149" s="301"/>
      <c r="FT149" s="301"/>
      <c r="FU149" s="301"/>
      <c r="FV149" s="301"/>
      <c r="FW149" s="301"/>
      <c r="FX149" s="301"/>
      <c r="FY149" s="301"/>
      <c r="FZ149" s="301"/>
      <c r="GA149" s="301"/>
      <c r="GB149" s="301"/>
      <c r="GC149" s="301"/>
      <c r="GD149" s="301"/>
      <c r="GE149" s="301"/>
      <c r="GF149" s="301"/>
      <c r="GG149" s="301"/>
      <c r="GH149" s="301"/>
      <c r="GI149" s="301"/>
      <c r="GJ149" s="301"/>
      <c r="GK149" s="301"/>
      <c r="GL149" s="301"/>
      <c r="GM149" s="301"/>
      <c r="GN149" s="301"/>
      <c r="GO149" s="301"/>
      <c r="GP149" s="301"/>
      <c r="GQ149" s="301"/>
      <c r="GR149" s="301"/>
      <c r="GS149" s="301"/>
      <c r="GT149" s="301"/>
      <c r="GU149" s="301"/>
      <c r="GV149" s="301"/>
      <c r="GW149" s="301"/>
      <c r="GX149" s="301"/>
      <c r="GY149" s="301"/>
      <c r="GZ149" s="301"/>
      <c r="HA149" s="301"/>
      <c r="HB149" s="301"/>
      <c r="HC149" s="301"/>
      <c r="HD149" s="301"/>
      <c r="HE149" s="301"/>
      <c r="HF149" s="301"/>
      <c r="HG149" s="301"/>
      <c r="HH149" s="301"/>
      <c r="HI149" s="301"/>
      <c r="HJ149" s="301"/>
      <c r="HK149" s="301"/>
      <c r="HL149" s="301"/>
      <c r="HM149" s="301"/>
      <c r="HN149" s="301"/>
      <c r="HO149" s="301"/>
      <c r="HP149" s="301"/>
      <c r="HQ149" s="301"/>
      <c r="HR149" s="301"/>
      <c r="HS149" s="301"/>
      <c r="HT149" s="301"/>
      <c r="HU149" s="301"/>
      <c r="HV149" s="301"/>
      <c r="HW149" s="301"/>
      <c r="HX149" s="301"/>
      <c r="HY149" s="301"/>
      <c r="HZ149" s="301"/>
      <c r="IA149" s="301"/>
      <c r="IB149" s="301"/>
      <c r="IC149" s="301"/>
      <c r="ID149" s="301"/>
      <c r="IE149" s="301"/>
      <c r="IF149" s="301"/>
      <c r="IG149" s="301"/>
      <c r="IH149" s="301"/>
      <c r="II149" s="301"/>
      <c r="IJ149" s="301"/>
      <c r="IK149" s="301"/>
      <c r="IL149" s="301"/>
      <c r="IM149" s="301"/>
      <c r="IN149" s="301"/>
      <c r="IO149" s="301"/>
      <c r="IP149" s="301"/>
      <c r="IQ149" s="301"/>
      <c r="IR149" s="301"/>
      <c r="IS149" s="301"/>
      <c r="IT149" s="301"/>
      <c r="IU149" s="301"/>
      <c r="IV149" s="301"/>
    </row>
    <row r="150" spans="1:256" ht="15">
      <c r="A150" s="304"/>
      <c r="B150" s="339"/>
      <c r="C150" s="320">
        <v>8.1</v>
      </c>
      <c r="D150" s="343" t="s">
        <v>644</v>
      </c>
      <c r="E150" s="340" t="s">
        <v>866</v>
      </c>
      <c r="F150" s="304"/>
      <c r="G150" s="304"/>
      <c r="H150" s="304"/>
      <c r="I150" s="329">
        <f>LEAD!P16</f>
        <v>1703.9199999999998</v>
      </c>
      <c r="J150" s="329" t="s">
        <v>644</v>
      </c>
      <c r="K150" s="329">
        <f>ROUND(C150*I150,2)</f>
        <v>13801.75</v>
      </c>
      <c r="L150" s="301"/>
      <c r="M150" s="301"/>
      <c r="N150" s="301"/>
      <c r="O150" s="301"/>
      <c r="P150" s="301"/>
      <c r="Q150" s="301"/>
      <c r="R150" s="301"/>
      <c r="S150" s="301"/>
      <c r="T150" s="301"/>
      <c r="U150" s="301"/>
      <c r="V150" s="301"/>
      <c r="W150" s="301"/>
      <c r="X150" s="301"/>
      <c r="Y150" s="301"/>
      <c r="Z150" s="301"/>
      <c r="AA150" s="301"/>
      <c r="AB150" s="301"/>
      <c r="AC150" s="301"/>
      <c r="AD150" s="301"/>
      <c r="AE150" s="301"/>
      <c r="AF150" s="301"/>
      <c r="AG150" s="301"/>
      <c r="AH150" s="301"/>
      <c r="AI150" s="301"/>
      <c r="AJ150" s="301"/>
      <c r="AK150" s="301"/>
      <c r="AL150" s="301"/>
      <c r="AM150" s="301"/>
      <c r="AN150" s="301"/>
      <c r="AO150" s="301"/>
      <c r="AP150" s="301"/>
      <c r="AQ150" s="301"/>
      <c r="AR150" s="301"/>
      <c r="AS150" s="301"/>
      <c r="AT150" s="301"/>
      <c r="AU150" s="301"/>
      <c r="AV150" s="301"/>
      <c r="AW150" s="301"/>
      <c r="AX150" s="301"/>
      <c r="AY150" s="301"/>
      <c r="AZ150" s="301"/>
      <c r="BA150" s="301"/>
      <c r="BB150" s="301"/>
      <c r="BC150" s="301"/>
      <c r="BD150" s="301"/>
      <c r="BE150" s="301"/>
      <c r="BF150" s="301"/>
      <c r="BG150" s="301"/>
      <c r="BH150" s="301"/>
      <c r="BI150" s="301"/>
      <c r="BJ150" s="301"/>
      <c r="BK150" s="301"/>
      <c r="BL150" s="301"/>
      <c r="BM150" s="301"/>
      <c r="BN150" s="301"/>
      <c r="BO150" s="301"/>
      <c r="BP150" s="301"/>
      <c r="BQ150" s="301"/>
      <c r="BR150" s="301"/>
      <c r="BS150" s="301"/>
      <c r="BT150" s="301"/>
      <c r="BU150" s="301"/>
      <c r="BV150" s="301"/>
      <c r="BW150" s="301"/>
      <c r="BX150" s="301"/>
      <c r="BY150" s="301"/>
      <c r="BZ150" s="301"/>
      <c r="CA150" s="301"/>
      <c r="CB150" s="301"/>
      <c r="CC150" s="301"/>
      <c r="CD150" s="301"/>
      <c r="CE150" s="301"/>
      <c r="CF150" s="301"/>
      <c r="CG150" s="301"/>
      <c r="CH150" s="301"/>
      <c r="CI150" s="301"/>
      <c r="CJ150" s="301"/>
      <c r="CK150" s="301"/>
      <c r="CL150" s="301"/>
      <c r="CM150" s="301"/>
      <c r="CN150" s="301"/>
      <c r="CO150" s="301"/>
      <c r="CP150" s="301"/>
      <c r="CQ150" s="301"/>
      <c r="CR150" s="301"/>
      <c r="CS150" s="301"/>
      <c r="CT150" s="301"/>
      <c r="CU150" s="301"/>
      <c r="CV150" s="301"/>
      <c r="CW150" s="301"/>
      <c r="CX150" s="301"/>
      <c r="CY150" s="301"/>
      <c r="CZ150" s="301"/>
      <c r="DA150" s="301"/>
      <c r="DB150" s="301"/>
      <c r="DC150" s="301"/>
      <c r="DD150" s="301"/>
      <c r="DE150" s="301"/>
      <c r="DF150" s="301"/>
      <c r="DG150" s="301"/>
      <c r="DH150" s="301"/>
      <c r="DI150" s="301"/>
      <c r="DJ150" s="301"/>
      <c r="DK150" s="301"/>
      <c r="DL150" s="301"/>
      <c r="DM150" s="301"/>
      <c r="DN150" s="301"/>
      <c r="DO150" s="301"/>
      <c r="DP150" s="301"/>
      <c r="DQ150" s="301"/>
      <c r="DR150" s="301"/>
      <c r="DS150" s="301"/>
      <c r="DT150" s="301"/>
      <c r="DU150" s="301"/>
      <c r="DV150" s="301"/>
      <c r="DW150" s="301"/>
      <c r="DX150" s="301"/>
      <c r="DY150" s="301"/>
      <c r="DZ150" s="301"/>
      <c r="EA150" s="301"/>
      <c r="EB150" s="301"/>
      <c r="EC150" s="301"/>
      <c r="ED150" s="301"/>
      <c r="EE150" s="301"/>
      <c r="EF150" s="301"/>
      <c r="EG150" s="301"/>
      <c r="EH150" s="301"/>
      <c r="EI150" s="301"/>
      <c r="EJ150" s="301"/>
      <c r="EK150" s="301"/>
      <c r="EL150" s="301"/>
      <c r="EM150" s="301"/>
      <c r="EN150" s="301"/>
      <c r="EO150" s="301"/>
      <c r="EP150" s="301"/>
      <c r="EQ150" s="301"/>
      <c r="ER150" s="301"/>
      <c r="ES150" s="301"/>
      <c r="ET150" s="301"/>
      <c r="EU150" s="301"/>
      <c r="EV150" s="301"/>
      <c r="EW150" s="301"/>
      <c r="EX150" s="301"/>
      <c r="EY150" s="301"/>
      <c r="EZ150" s="301"/>
      <c r="FA150" s="301"/>
      <c r="FB150" s="301"/>
      <c r="FC150" s="301"/>
      <c r="FD150" s="301"/>
      <c r="FE150" s="301"/>
      <c r="FF150" s="301"/>
      <c r="FG150" s="301"/>
      <c r="FH150" s="301"/>
      <c r="FI150" s="301"/>
      <c r="FJ150" s="301"/>
      <c r="FK150" s="301"/>
      <c r="FL150" s="301"/>
      <c r="FM150" s="301"/>
      <c r="FN150" s="301"/>
      <c r="FO150" s="301"/>
      <c r="FP150" s="301"/>
      <c r="FQ150" s="301"/>
      <c r="FR150" s="301"/>
      <c r="FS150" s="301"/>
      <c r="FT150" s="301"/>
      <c r="FU150" s="301"/>
      <c r="FV150" s="301"/>
      <c r="FW150" s="301"/>
      <c r="FX150" s="301"/>
      <c r="FY150" s="301"/>
      <c r="FZ150" s="301"/>
      <c r="GA150" s="301"/>
      <c r="GB150" s="301"/>
      <c r="GC150" s="301"/>
      <c r="GD150" s="301"/>
      <c r="GE150" s="301"/>
      <c r="GF150" s="301"/>
      <c r="GG150" s="301"/>
      <c r="GH150" s="301"/>
      <c r="GI150" s="301"/>
      <c r="GJ150" s="301"/>
      <c r="GK150" s="301"/>
      <c r="GL150" s="301"/>
      <c r="GM150" s="301"/>
      <c r="GN150" s="301"/>
      <c r="GO150" s="301"/>
      <c r="GP150" s="301"/>
      <c r="GQ150" s="301"/>
      <c r="GR150" s="301"/>
      <c r="GS150" s="301"/>
      <c r="GT150" s="301"/>
      <c r="GU150" s="301"/>
      <c r="GV150" s="301"/>
      <c r="GW150" s="301"/>
      <c r="GX150" s="301"/>
      <c r="GY150" s="301"/>
      <c r="GZ150" s="301"/>
      <c r="HA150" s="301"/>
      <c r="HB150" s="301"/>
      <c r="HC150" s="301"/>
      <c r="HD150" s="301"/>
      <c r="HE150" s="301"/>
      <c r="HF150" s="301"/>
      <c r="HG150" s="301"/>
      <c r="HH150" s="301"/>
      <c r="HI150" s="301"/>
      <c r="HJ150" s="301"/>
      <c r="HK150" s="301"/>
      <c r="HL150" s="301"/>
      <c r="HM150" s="301"/>
      <c r="HN150" s="301"/>
      <c r="HO150" s="301"/>
      <c r="HP150" s="301"/>
      <c r="HQ150" s="301"/>
      <c r="HR150" s="301"/>
      <c r="HS150" s="301"/>
      <c r="HT150" s="301"/>
      <c r="HU150" s="301"/>
      <c r="HV150" s="301"/>
      <c r="HW150" s="301"/>
      <c r="HX150" s="301"/>
      <c r="HY150" s="301"/>
      <c r="HZ150" s="301"/>
      <c r="IA150" s="301"/>
      <c r="IB150" s="301"/>
      <c r="IC150" s="301"/>
      <c r="ID150" s="301"/>
      <c r="IE150" s="301"/>
      <c r="IF150" s="301"/>
      <c r="IG150" s="301"/>
      <c r="IH150" s="301"/>
      <c r="II150" s="301"/>
      <c r="IJ150" s="301"/>
      <c r="IK150" s="301"/>
      <c r="IL150" s="301"/>
      <c r="IM150" s="301"/>
      <c r="IN150" s="301"/>
      <c r="IO150" s="301"/>
      <c r="IP150" s="301"/>
      <c r="IQ150" s="301"/>
      <c r="IR150" s="301"/>
      <c r="IS150" s="301"/>
      <c r="IT150" s="301"/>
      <c r="IU150" s="301"/>
      <c r="IV150" s="301"/>
    </row>
    <row r="151" spans="1:256" ht="15">
      <c r="A151" s="304"/>
      <c r="B151" s="339"/>
      <c r="C151" s="320">
        <v>5.4</v>
      </c>
      <c r="D151" s="343" t="s">
        <v>644</v>
      </c>
      <c r="E151" s="340" t="s">
        <v>867</v>
      </c>
      <c r="F151" s="304"/>
      <c r="G151" s="304"/>
      <c r="H151" s="304"/>
      <c r="I151" s="329">
        <f>LEAD!P18</f>
        <v>1437.6699999999998</v>
      </c>
      <c r="J151" s="329" t="s">
        <v>644</v>
      </c>
      <c r="K151" s="329">
        <f>ROUND(C151*I151,2)</f>
        <v>7763.42</v>
      </c>
      <c r="L151" s="301"/>
      <c r="M151" s="301"/>
      <c r="N151" s="301"/>
      <c r="O151" s="301"/>
      <c r="P151" s="301"/>
      <c r="Q151" s="301"/>
      <c r="R151" s="301"/>
      <c r="S151" s="301"/>
      <c r="T151" s="301"/>
      <c r="U151" s="301"/>
      <c r="V151" s="301"/>
      <c r="W151" s="301"/>
      <c r="X151" s="301"/>
      <c r="Y151" s="301"/>
      <c r="Z151" s="301"/>
      <c r="AA151" s="301"/>
      <c r="AB151" s="301"/>
      <c r="AC151" s="301"/>
      <c r="AD151" s="301"/>
      <c r="AE151" s="301"/>
      <c r="AF151" s="301"/>
      <c r="AG151" s="301"/>
      <c r="AH151" s="301"/>
      <c r="AI151" s="301"/>
      <c r="AJ151" s="301"/>
      <c r="AK151" s="301"/>
      <c r="AL151" s="301"/>
      <c r="AM151" s="301"/>
      <c r="AN151" s="301"/>
      <c r="AO151" s="301"/>
      <c r="AP151" s="301"/>
      <c r="AQ151" s="301"/>
      <c r="AR151" s="301"/>
      <c r="AS151" s="301"/>
      <c r="AT151" s="301"/>
      <c r="AU151" s="301"/>
      <c r="AV151" s="301"/>
      <c r="AW151" s="301"/>
      <c r="AX151" s="301"/>
      <c r="AY151" s="301"/>
      <c r="AZ151" s="301"/>
      <c r="BA151" s="301"/>
      <c r="BB151" s="301"/>
      <c r="BC151" s="301"/>
      <c r="BD151" s="301"/>
      <c r="BE151" s="301"/>
      <c r="BF151" s="301"/>
      <c r="BG151" s="301"/>
      <c r="BH151" s="301"/>
      <c r="BI151" s="301"/>
      <c r="BJ151" s="301"/>
      <c r="BK151" s="301"/>
      <c r="BL151" s="301"/>
      <c r="BM151" s="301"/>
      <c r="BN151" s="301"/>
      <c r="BO151" s="301"/>
      <c r="BP151" s="301"/>
      <c r="BQ151" s="301"/>
      <c r="BR151" s="301"/>
      <c r="BS151" s="301"/>
      <c r="BT151" s="301"/>
      <c r="BU151" s="301"/>
      <c r="BV151" s="301"/>
      <c r="BW151" s="301"/>
      <c r="BX151" s="301"/>
      <c r="BY151" s="301"/>
      <c r="BZ151" s="301"/>
      <c r="CA151" s="301"/>
      <c r="CB151" s="301"/>
      <c r="CC151" s="301"/>
      <c r="CD151" s="301"/>
      <c r="CE151" s="301"/>
      <c r="CF151" s="301"/>
      <c r="CG151" s="301"/>
      <c r="CH151" s="301"/>
      <c r="CI151" s="301"/>
      <c r="CJ151" s="301"/>
      <c r="CK151" s="301"/>
      <c r="CL151" s="301"/>
      <c r="CM151" s="301"/>
      <c r="CN151" s="301"/>
      <c r="CO151" s="301"/>
      <c r="CP151" s="301"/>
      <c r="CQ151" s="301"/>
      <c r="CR151" s="301"/>
      <c r="CS151" s="301"/>
      <c r="CT151" s="301"/>
      <c r="CU151" s="301"/>
      <c r="CV151" s="301"/>
      <c r="CW151" s="301"/>
      <c r="CX151" s="301"/>
      <c r="CY151" s="301"/>
      <c r="CZ151" s="301"/>
      <c r="DA151" s="301"/>
      <c r="DB151" s="301"/>
      <c r="DC151" s="301"/>
      <c r="DD151" s="301"/>
      <c r="DE151" s="301"/>
      <c r="DF151" s="301"/>
      <c r="DG151" s="301"/>
      <c r="DH151" s="301"/>
      <c r="DI151" s="301"/>
      <c r="DJ151" s="301"/>
      <c r="DK151" s="301"/>
      <c r="DL151" s="301"/>
      <c r="DM151" s="301"/>
      <c r="DN151" s="301"/>
      <c r="DO151" s="301"/>
      <c r="DP151" s="301"/>
      <c r="DQ151" s="301"/>
      <c r="DR151" s="301"/>
      <c r="DS151" s="301"/>
      <c r="DT151" s="301"/>
      <c r="DU151" s="301"/>
      <c r="DV151" s="301"/>
      <c r="DW151" s="301"/>
      <c r="DX151" s="301"/>
      <c r="DY151" s="301"/>
      <c r="DZ151" s="301"/>
      <c r="EA151" s="301"/>
      <c r="EB151" s="301"/>
      <c r="EC151" s="301"/>
      <c r="ED151" s="301"/>
      <c r="EE151" s="301"/>
      <c r="EF151" s="301"/>
      <c r="EG151" s="301"/>
      <c r="EH151" s="301"/>
      <c r="EI151" s="301"/>
      <c r="EJ151" s="301"/>
      <c r="EK151" s="301"/>
      <c r="EL151" s="301"/>
      <c r="EM151" s="301"/>
      <c r="EN151" s="301"/>
      <c r="EO151" s="301"/>
      <c r="EP151" s="301"/>
      <c r="EQ151" s="301"/>
      <c r="ER151" s="301"/>
      <c r="ES151" s="301"/>
      <c r="ET151" s="301"/>
      <c r="EU151" s="301"/>
      <c r="EV151" s="301"/>
      <c r="EW151" s="301"/>
      <c r="EX151" s="301"/>
      <c r="EY151" s="301"/>
      <c r="EZ151" s="301"/>
      <c r="FA151" s="301"/>
      <c r="FB151" s="301"/>
      <c r="FC151" s="301"/>
      <c r="FD151" s="301"/>
      <c r="FE151" s="301"/>
      <c r="FF151" s="301"/>
      <c r="FG151" s="301"/>
      <c r="FH151" s="301"/>
      <c r="FI151" s="301"/>
      <c r="FJ151" s="301"/>
      <c r="FK151" s="301"/>
      <c r="FL151" s="301"/>
      <c r="FM151" s="301"/>
      <c r="FN151" s="301"/>
      <c r="FO151" s="301"/>
      <c r="FP151" s="301"/>
      <c r="FQ151" s="301"/>
      <c r="FR151" s="301"/>
      <c r="FS151" s="301"/>
      <c r="FT151" s="301"/>
      <c r="FU151" s="301"/>
      <c r="FV151" s="301"/>
      <c r="FW151" s="301"/>
      <c r="FX151" s="301"/>
      <c r="FY151" s="301"/>
      <c r="FZ151" s="301"/>
      <c r="GA151" s="301"/>
      <c r="GB151" s="301"/>
      <c r="GC151" s="301"/>
      <c r="GD151" s="301"/>
      <c r="GE151" s="301"/>
      <c r="GF151" s="301"/>
      <c r="GG151" s="301"/>
      <c r="GH151" s="301"/>
      <c r="GI151" s="301"/>
      <c r="GJ151" s="301"/>
      <c r="GK151" s="301"/>
      <c r="GL151" s="301"/>
      <c r="GM151" s="301"/>
      <c r="GN151" s="301"/>
      <c r="GO151" s="301"/>
      <c r="GP151" s="301"/>
      <c r="GQ151" s="301"/>
      <c r="GR151" s="301"/>
      <c r="GS151" s="301"/>
      <c r="GT151" s="301"/>
      <c r="GU151" s="301"/>
      <c r="GV151" s="301"/>
      <c r="GW151" s="301"/>
      <c r="GX151" s="301"/>
      <c r="GY151" s="301"/>
      <c r="GZ151" s="301"/>
      <c r="HA151" s="301"/>
      <c r="HB151" s="301"/>
      <c r="HC151" s="301"/>
      <c r="HD151" s="301"/>
      <c r="HE151" s="301"/>
      <c r="HF151" s="301"/>
      <c r="HG151" s="301"/>
      <c r="HH151" s="301"/>
      <c r="HI151" s="301"/>
      <c r="HJ151" s="301"/>
      <c r="HK151" s="301"/>
      <c r="HL151" s="301"/>
      <c r="HM151" s="301"/>
      <c r="HN151" s="301"/>
      <c r="HO151" s="301"/>
      <c r="HP151" s="301"/>
      <c r="HQ151" s="301"/>
      <c r="HR151" s="301"/>
      <c r="HS151" s="301"/>
      <c r="HT151" s="301"/>
      <c r="HU151" s="301"/>
      <c r="HV151" s="301"/>
      <c r="HW151" s="301"/>
      <c r="HX151" s="301"/>
      <c r="HY151" s="301"/>
      <c r="HZ151" s="301"/>
      <c r="IA151" s="301"/>
      <c r="IB151" s="301"/>
      <c r="IC151" s="301"/>
      <c r="ID151" s="301"/>
      <c r="IE151" s="301"/>
      <c r="IF151" s="301"/>
      <c r="IG151" s="301"/>
      <c r="IH151" s="301"/>
      <c r="II151" s="301"/>
      <c r="IJ151" s="301"/>
      <c r="IK151" s="301"/>
      <c r="IL151" s="301"/>
      <c r="IM151" s="301"/>
      <c r="IN151" s="301"/>
      <c r="IO151" s="301"/>
      <c r="IP151" s="301"/>
      <c r="IQ151" s="301"/>
      <c r="IR151" s="301"/>
      <c r="IS151" s="301"/>
      <c r="IT151" s="301"/>
      <c r="IU151" s="301"/>
      <c r="IV151" s="301"/>
    </row>
    <row r="152" spans="1:256" ht="15">
      <c r="A152" s="304"/>
      <c r="B152" s="339"/>
      <c r="C152" s="320">
        <v>6.75</v>
      </c>
      <c r="D152" s="343" t="s">
        <v>644</v>
      </c>
      <c r="E152" s="340" t="s">
        <v>841</v>
      </c>
      <c r="F152" s="304"/>
      <c r="G152" s="304"/>
      <c r="H152" s="304"/>
      <c r="I152" s="329">
        <f>LEAD!P7</f>
        <v>437.11999999999983</v>
      </c>
      <c r="J152" s="329" t="s">
        <v>644</v>
      </c>
      <c r="K152" s="329">
        <f>ROUND(C152*I152,2)</f>
        <v>2950.56</v>
      </c>
      <c r="L152" s="301"/>
      <c r="M152" s="301"/>
      <c r="N152" s="301"/>
      <c r="O152" s="301"/>
      <c r="P152" s="301"/>
      <c r="Q152" s="301"/>
      <c r="R152" s="301"/>
      <c r="S152" s="301"/>
      <c r="T152" s="301"/>
      <c r="U152" s="301"/>
      <c r="V152" s="301"/>
      <c r="W152" s="301"/>
      <c r="X152" s="301"/>
      <c r="Y152" s="301"/>
      <c r="Z152" s="301"/>
      <c r="AA152" s="301"/>
      <c r="AB152" s="301"/>
      <c r="AC152" s="301"/>
      <c r="AD152" s="301"/>
      <c r="AE152" s="301"/>
      <c r="AF152" s="301"/>
      <c r="AG152" s="301"/>
      <c r="AH152" s="301"/>
      <c r="AI152" s="301"/>
      <c r="AJ152" s="301"/>
      <c r="AK152" s="301"/>
      <c r="AL152" s="301"/>
      <c r="AM152" s="301"/>
      <c r="AN152" s="301"/>
      <c r="AO152" s="301"/>
      <c r="AP152" s="301"/>
      <c r="AQ152" s="301"/>
      <c r="AR152" s="301"/>
      <c r="AS152" s="301"/>
      <c r="AT152" s="301"/>
      <c r="AU152" s="301"/>
      <c r="AV152" s="301"/>
      <c r="AW152" s="301"/>
      <c r="AX152" s="301"/>
      <c r="AY152" s="301"/>
      <c r="AZ152" s="301"/>
      <c r="BA152" s="301"/>
      <c r="BB152" s="301"/>
      <c r="BC152" s="301"/>
      <c r="BD152" s="301"/>
      <c r="BE152" s="301"/>
      <c r="BF152" s="301"/>
      <c r="BG152" s="301"/>
      <c r="BH152" s="301"/>
      <c r="BI152" s="301"/>
      <c r="BJ152" s="301"/>
      <c r="BK152" s="301"/>
      <c r="BL152" s="301"/>
      <c r="BM152" s="301"/>
      <c r="BN152" s="301"/>
      <c r="BO152" s="301"/>
      <c r="BP152" s="301"/>
      <c r="BQ152" s="301"/>
      <c r="BR152" s="301"/>
      <c r="BS152" s="301"/>
      <c r="BT152" s="301"/>
      <c r="BU152" s="301"/>
      <c r="BV152" s="301"/>
      <c r="BW152" s="301"/>
      <c r="BX152" s="301"/>
      <c r="BY152" s="301"/>
      <c r="BZ152" s="301"/>
      <c r="CA152" s="301"/>
      <c r="CB152" s="301"/>
      <c r="CC152" s="301"/>
      <c r="CD152" s="301"/>
      <c r="CE152" s="301"/>
      <c r="CF152" s="301"/>
      <c r="CG152" s="301"/>
      <c r="CH152" s="301"/>
      <c r="CI152" s="301"/>
      <c r="CJ152" s="301"/>
      <c r="CK152" s="301"/>
      <c r="CL152" s="301"/>
      <c r="CM152" s="301"/>
      <c r="CN152" s="301"/>
      <c r="CO152" s="301"/>
      <c r="CP152" s="301"/>
      <c r="CQ152" s="301"/>
      <c r="CR152" s="301"/>
      <c r="CS152" s="301"/>
      <c r="CT152" s="301"/>
      <c r="CU152" s="301"/>
      <c r="CV152" s="301"/>
      <c r="CW152" s="301"/>
      <c r="CX152" s="301"/>
      <c r="CY152" s="301"/>
      <c r="CZ152" s="301"/>
      <c r="DA152" s="301"/>
      <c r="DB152" s="301"/>
      <c r="DC152" s="301"/>
      <c r="DD152" s="301"/>
      <c r="DE152" s="301"/>
      <c r="DF152" s="301"/>
      <c r="DG152" s="301"/>
      <c r="DH152" s="301"/>
      <c r="DI152" s="301"/>
      <c r="DJ152" s="301"/>
      <c r="DK152" s="301"/>
      <c r="DL152" s="301"/>
      <c r="DM152" s="301"/>
      <c r="DN152" s="301"/>
      <c r="DO152" s="301"/>
      <c r="DP152" s="301"/>
      <c r="DQ152" s="301"/>
      <c r="DR152" s="301"/>
      <c r="DS152" s="301"/>
      <c r="DT152" s="301"/>
      <c r="DU152" s="301"/>
      <c r="DV152" s="301"/>
      <c r="DW152" s="301"/>
      <c r="DX152" s="301"/>
      <c r="DY152" s="301"/>
      <c r="DZ152" s="301"/>
      <c r="EA152" s="301"/>
      <c r="EB152" s="301"/>
      <c r="EC152" s="301"/>
      <c r="ED152" s="301"/>
      <c r="EE152" s="301"/>
      <c r="EF152" s="301"/>
      <c r="EG152" s="301"/>
      <c r="EH152" s="301"/>
      <c r="EI152" s="301"/>
      <c r="EJ152" s="301"/>
      <c r="EK152" s="301"/>
      <c r="EL152" s="301"/>
      <c r="EM152" s="301"/>
      <c r="EN152" s="301"/>
      <c r="EO152" s="301"/>
      <c r="EP152" s="301"/>
      <c r="EQ152" s="301"/>
      <c r="ER152" s="301"/>
      <c r="ES152" s="301"/>
      <c r="ET152" s="301"/>
      <c r="EU152" s="301"/>
      <c r="EV152" s="301"/>
      <c r="EW152" s="301"/>
      <c r="EX152" s="301"/>
      <c r="EY152" s="301"/>
      <c r="EZ152" s="301"/>
      <c r="FA152" s="301"/>
      <c r="FB152" s="301"/>
      <c r="FC152" s="301"/>
      <c r="FD152" s="301"/>
      <c r="FE152" s="301"/>
      <c r="FF152" s="301"/>
      <c r="FG152" s="301"/>
      <c r="FH152" s="301"/>
      <c r="FI152" s="301"/>
      <c r="FJ152" s="301"/>
      <c r="FK152" s="301"/>
      <c r="FL152" s="301"/>
      <c r="FM152" s="301"/>
      <c r="FN152" s="301"/>
      <c r="FO152" s="301"/>
      <c r="FP152" s="301"/>
      <c r="FQ152" s="301"/>
      <c r="FR152" s="301"/>
      <c r="FS152" s="301"/>
      <c r="FT152" s="301"/>
      <c r="FU152" s="301"/>
      <c r="FV152" s="301"/>
      <c r="FW152" s="301"/>
      <c r="FX152" s="301"/>
      <c r="FY152" s="301"/>
      <c r="FZ152" s="301"/>
      <c r="GA152" s="301"/>
      <c r="GB152" s="301"/>
      <c r="GC152" s="301"/>
      <c r="GD152" s="301"/>
      <c r="GE152" s="301"/>
      <c r="GF152" s="301"/>
      <c r="GG152" s="301"/>
      <c r="GH152" s="301"/>
      <c r="GI152" s="301"/>
      <c r="GJ152" s="301"/>
      <c r="GK152" s="301"/>
      <c r="GL152" s="301"/>
      <c r="GM152" s="301"/>
      <c r="GN152" s="301"/>
      <c r="GO152" s="301"/>
      <c r="GP152" s="301"/>
      <c r="GQ152" s="301"/>
      <c r="GR152" s="301"/>
      <c r="GS152" s="301"/>
      <c r="GT152" s="301"/>
      <c r="GU152" s="301"/>
      <c r="GV152" s="301"/>
      <c r="GW152" s="301"/>
      <c r="GX152" s="301"/>
      <c r="GY152" s="301"/>
      <c r="GZ152" s="301"/>
      <c r="HA152" s="301"/>
      <c r="HB152" s="301"/>
      <c r="HC152" s="301"/>
      <c r="HD152" s="301"/>
      <c r="HE152" s="301"/>
      <c r="HF152" s="301"/>
      <c r="HG152" s="301"/>
      <c r="HH152" s="301"/>
      <c r="HI152" s="301"/>
      <c r="HJ152" s="301"/>
      <c r="HK152" s="301"/>
      <c r="HL152" s="301"/>
      <c r="HM152" s="301"/>
      <c r="HN152" s="301"/>
      <c r="HO152" s="301"/>
      <c r="HP152" s="301"/>
      <c r="HQ152" s="301"/>
      <c r="HR152" s="301"/>
      <c r="HS152" s="301"/>
      <c r="HT152" s="301"/>
      <c r="HU152" s="301"/>
      <c r="HV152" s="301"/>
      <c r="HW152" s="301"/>
      <c r="HX152" s="301"/>
      <c r="HY152" s="301"/>
      <c r="HZ152" s="301"/>
      <c r="IA152" s="301"/>
      <c r="IB152" s="301"/>
      <c r="IC152" s="301"/>
      <c r="ID152" s="301"/>
      <c r="IE152" s="301"/>
      <c r="IF152" s="301"/>
      <c r="IG152" s="301"/>
      <c r="IH152" s="301"/>
      <c r="II152" s="301"/>
      <c r="IJ152" s="301"/>
      <c r="IK152" s="301"/>
      <c r="IL152" s="301"/>
      <c r="IM152" s="301"/>
      <c r="IN152" s="301"/>
      <c r="IO152" s="301"/>
      <c r="IP152" s="301"/>
      <c r="IQ152" s="301"/>
      <c r="IR152" s="301"/>
      <c r="IS152" s="301"/>
      <c r="IT152" s="301"/>
      <c r="IU152" s="301"/>
      <c r="IV152" s="301"/>
    </row>
    <row r="153" spans="1:256" ht="15">
      <c r="A153" s="304"/>
      <c r="B153" s="339"/>
      <c r="C153" s="320">
        <v>5.7</v>
      </c>
      <c r="D153" s="343" t="s">
        <v>50</v>
      </c>
      <c r="E153" s="340" t="s">
        <v>842</v>
      </c>
      <c r="F153" s="304"/>
      <c r="G153" s="304"/>
      <c r="H153" s="304"/>
      <c r="I153" s="329">
        <f>I77</f>
        <v>7168</v>
      </c>
      <c r="J153" s="329" t="s">
        <v>50</v>
      </c>
      <c r="K153" s="329">
        <f>ROUND(C153*I153,2)</f>
        <v>40857.599999999999</v>
      </c>
      <c r="L153" s="301"/>
      <c r="M153" s="301"/>
      <c r="N153" s="301"/>
      <c r="O153" s="301"/>
      <c r="P153" s="301"/>
      <c r="Q153" s="301"/>
      <c r="R153" s="301"/>
      <c r="S153" s="301"/>
      <c r="T153" s="301"/>
      <c r="U153" s="301"/>
      <c r="V153" s="301"/>
      <c r="W153" s="301"/>
      <c r="X153" s="301"/>
      <c r="Y153" s="301"/>
      <c r="Z153" s="301"/>
      <c r="AA153" s="301"/>
      <c r="AB153" s="301"/>
      <c r="AC153" s="301"/>
      <c r="AD153" s="301"/>
      <c r="AE153" s="301"/>
      <c r="AF153" s="301"/>
      <c r="AG153" s="301"/>
      <c r="AH153" s="301"/>
      <c r="AI153" s="301"/>
      <c r="AJ153" s="301"/>
      <c r="AK153" s="301"/>
      <c r="AL153" s="301"/>
      <c r="AM153" s="301"/>
      <c r="AN153" s="301"/>
      <c r="AO153" s="301"/>
      <c r="AP153" s="301"/>
      <c r="AQ153" s="301"/>
      <c r="AR153" s="301"/>
      <c r="AS153" s="301"/>
      <c r="AT153" s="301"/>
      <c r="AU153" s="301"/>
      <c r="AV153" s="301"/>
      <c r="AW153" s="301"/>
      <c r="AX153" s="301"/>
      <c r="AY153" s="301"/>
      <c r="AZ153" s="301"/>
      <c r="BA153" s="301"/>
      <c r="BB153" s="301"/>
      <c r="BC153" s="301"/>
      <c r="BD153" s="301"/>
      <c r="BE153" s="301"/>
      <c r="BF153" s="301"/>
      <c r="BG153" s="301"/>
      <c r="BH153" s="301"/>
      <c r="BI153" s="301"/>
      <c r="BJ153" s="301"/>
      <c r="BK153" s="301"/>
      <c r="BL153" s="301"/>
      <c r="BM153" s="301"/>
      <c r="BN153" s="301"/>
      <c r="BO153" s="301"/>
      <c r="BP153" s="301"/>
      <c r="BQ153" s="301"/>
      <c r="BR153" s="301"/>
      <c r="BS153" s="301"/>
      <c r="BT153" s="301"/>
      <c r="BU153" s="301"/>
      <c r="BV153" s="301"/>
      <c r="BW153" s="301"/>
      <c r="BX153" s="301"/>
      <c r="BY153" s="301"/>
      <c r="BZ153" s="301"/>
      <c r="CA153" s="301"/>
      <c r="CB153" s="301"/>
      <c r="CC153" s="301"/>
      <c r="CD153" s="301"/>
      <c r="CE153" s="301"/>
      <c r="CF153" s="301"/>
      <c r="CG153" s="301"/>
      <c r="CH153" s="301"/>
      <c r="CI153" s="301"/>
      <c r="CJ153" s="301"/>
      <c r="CK153" s="301"/>
      <c r="CL153" s="301"/>
      <c r="CM153" s="301"/>
      <c r="CN153" s="301"/>
      <c r="CO153" s="301"/>
      <c r="CP153" s="301"/>
      <c r="CQ153" s="301"/>
      <c r="CR153" s="301"/>
      <c r="CS153" s="301"/>
      <c r="CT153" s="301"/>
      <c r="CU153" s="301"/>
      <c r="CV153" s="301"/>
      <c r="CW153" s="301"/>
      <c r="CX153" s="301"/>
      <c r="CY153" s="301"/>
      <c r="CZ153" s="301"/>
      <c r="DA153" s="301"/>
      <c r="DB153" s="301"/>
      <c r="DC153" s="301"/>
      <c r="DD153" s="301"/>
      <c r="DE153" s="301"/>
      <c r="DF153" s="301"/>
      <c r="DG153" s="301"/>
      <c r="DH153" s="301"/>
      <c r="DI153" s="301"/>
      <c r="DJ153" s="301"/>
      <c r="DK153" s="301"/>
      <c r="DL153" s="301"/>
      <c r="DM153" s="301"/>
      <c r="DN153" s="301"/>
      <c r="DO153" s="301"/>
      <c r="DP153" s="301"/>
      <c r="DQ153" s="301"/>
      <c r="DR153" s="301"/>
      <c r="DS153" s="301"/>
      <c r="DT153" s="301"/>
      <c r="DU153" s="301"/>
      <c r="DV153" s="301"/>
      <c r="DW153" s="301"/>
      <c r="DX153" s="301"/>
      <c r="DY153" s="301"/>
      <c r="DZ153" s="301"/>
      <c r="EA153" s="301"/>
      <c r="EB153" s="301"/>
      <c r="EC153" s="301"/>
      <c r="ED153" s="301"/>
      <c r="EE153" s="301"/>
      <c r="EF153" s="301"/>
      <c r="EG153" s="301"/>
      <c r="EH153" s="301"/>
      <c r="EI153" s="301"/>
      <c r="EJ153" s="301"/>
      <c r="EK153" s="301"/>
      <c r="EL153" s="301"/>
      <c r="EM153" s="301"/>
      <c r="EN153" s="301"/>
      <c r="EO153" s="301"/>
      <c r="EP153" s="301"/>
      <c r="EQ153" s="301"/>
      <c r="ER153" s="301"/>
      <c r="ES153" s="301"/>
      <c r="ET153" s="301"/>
      <c r="EU153" s="301"/>
      <c r="EV153" s="301"/>
      <c r="EW153" s="301"/>
      <c r="EX153" s="301"/>
      <c r="EY153" s="301"/>
      <c r="EZ153" s="301"/>
      <c r="FA153" s="301"/>
      <c r="FB153" s="301"/>
      <c r="FC153" s="301"/>
      <c r="FD153" s="301"/>
      <c r="FE153" s="301"/>
      <c r="FF153" s="301"/>
      <c r="FG153" s="301"/>
      <c r="FH153" s="301"/>
      <c r="FI153" s="301"/>
      <c r="FJ153" s="301"/>
      <c r="FK153" s="301"/>
      <c r="FL153" s="301"/>
      <c r="FM153" s="301"/>
      <c r="FN153" s="301"/>
      <c r="FO153" s="301"/>
      <c r="FP153" s="301"/>
      <c r="FQ153" s="301"/>
      <c r="FR153" s="301"/>
      <c r="FS153" s="301"/>
      <c r="FT153" s="301"/>
      <c r="FU153" s="301"/>
      <c r="FV153" s="301"/>
      <c r="FW153" s="301"/>
      <c r="FX153" s="301"/>
      <c r="FY153" s="301"/>
      <c r="FZ153" s="301"/>
      <c r="GA153" s="301"/>
      <c r="GB153" s="301"/>
      <c r="GC153" s="301"/>
      <c r="GD153" s="301"/>
      <c r="GE153" s="301"/>
      <c r="GF153" s="301"/>
      <c r="GG153" s="301"/>
      <c r="GH153" s="301"/>
      <c r="GI153" s="301"/>
      <c r="GJ153" s="301"/>
      <c r="GK153" s="301"/>
      <c r="GL153" s="301"/>
      <c r="GM153" s="301"/>
      <c r="GN153" s="301"/>
      <c r="GO153" s="301"/>
      <c r="GP153" s="301"/>
      <c r="GQ153" s="301"/>
      <c r="GR153" s="301"/>
      <c r="GS153" s="301"/>
      <c r="GT153" s="301"/>
      <c r="GU153" s="301"/>
      <c r="GV153" s="301"/>
      <c r="GW153" s="301"/>
      <c r="GX153" s="301"/>
      <c r="GY153" s="301"/>
      <c r="GZ153" s="301"/>
      <c r="HA153" s="301"/>
      <c r="HB153" s="301"/>
      <c r="HC153" s="301"/>
      <c r="HD153" s="301"/>
      <c r="HE153" s="301"/>
      <c r="HF153" s="301"/>
      <c r="HG153" s="301"/>
      <c r="HH153" s="301"/>
      <c r="HI153" s="301"/>
      <c r="HJ153" s="301"/>
      <c r="HK153" s="301"/>
      <c r="HL153" s="301"/>
      <c r="HM153" s="301"/>
      <c r="HN153" s="301"/>
      <c r="HO153" s="301"/>
      <c r="HP153" s="301"/>
      <c r="HQ153" s="301"/>
      <c r="HR153" s="301"/>
      <c r="HS153" s="301"/>
      <c r="HT153" s="301"/>
      <c r="HU153" s="301"/>
      <c r="HV153" s="301"/>
      <c r="HW153" s="301"/>
      <c r="HX153" s="301"/>
      <c r="HY153" s="301"/>
      <c r="HZ153" s="301"/>
      <c r="IA153" s="301"/>
      <c r="IB153" s="301"/>
      <c r="IC153" s="301"/>
      <c r="ID153" s="301"/>
      <c r="IE153" s="301"/>
      <c r="IF153" s="301"/>
      <c r="IG153" s="301"/>
      <c r="IH153" s="301"/>
      <c r="II153" s="301"/>
      <c r="IJ153" s="301"/>
      <c r="IK153" s="301"/>
      <c r="IL153" s="301"/>
      <c r="IM153" s="301"/>
      <c r="IN153" s="301"/>
      <c r="IO153" s="301"/>
      <c r="IP153" s="301"/>
      <c r="IQ153" s="301"/>
      <c r="IR153" s="301"/>
      <c r="IS153" s="301"/>
      <c r="IT153" s="301"/>
      <c r="IU153" s="301"/>
      <c r="IV153" s="301"/>
    </row>
    <row r="154" spans="1:256" ht="15">
      <c r="A154" s="304"/>
      <c r="B154" s="339"/>
      <c r="C154" s="320"/>
      <c r="D154" s="343"/>
      <c r="E154" s="340" t="s">
        <v>466</v>
      </c>
      <c r="F154" s="304"/>
      <c r="G154" s="304"/>
      <c r="H154" s="304"/>
      <c r="I154" s="329"/>
      <c r="J154" s="329"/>
      <c r="K154" s="323">
        <f>SUM(K150:K153)</f>
        <v>65373.33</v>
      </c>
      <c r="L154" s="301"/>
      <c r="M154" s="301"/>
      <c r="N154" s="301"/>
      <c r="O154" s="301"/>
      <c r="P154" s="301"/>
      <c r="Q154" s="301"/>
      <c r="R154" s="301"/>
      <c r="S154" s="301"/>
      <c r="T154" s="301"/>
      <c r="U154" s="301"/>
      <c r="V154" s="301"/>
      <c r="W154" s="301"/>
      <c r="X154" s="301"/>
      <c r="Y154" s="301"/>
      <c r="Z154" s="301"/>
      <c r="AA154" s="301"/>
      <c r="AB154" s="301"/>
      <c r="AC154" s="301"/>
      <c r="AD154" s="301"/>
      <c r="AE154" s="301"/>
      <c r="AF154" s="301"/>
      <c r="AG154" s="301"/>
      <c r="AH154" s="301"/>
      <c r="AI154" s="301"/>
      <c r="AJ154" s="301"/>
      <c r="AK154" s="301"/>
      <c r="AL154" s="301"/>
      <c r="AM154" s="301"/>
      <c r="AN154" s="301"/>
      <c r="AO154" s="301"/>
      <c r="AP154" s="301"/>
      <c r="AQ154" s="301"/>
      <c r="AR154" s="301"/>
      <c r="AS154" s="301"/>
      <c r="AT154" s="301"/>
      <c r="AU154" s="301"/>
      <c r="AV154" s="301"/>
      <c r="AW154" s="301"/>
      <c r="AX154" s="301"/>
      <c r="AY154" s="301"/>
      <c r="AZ154" s="301"/>
      <c r="BA154" s="301"/>
      <c r="BB154" s="301"/>
      <c r="BC154" s="301"/>
      <c r="BD154" s="301"/>
      <c r="BE154" s="301"/>
      <c r="BF154" s="301"/>
      <c r="BG154" s="301"/>
      <c r="BH154" s="301"/>
      <c r="BI154" s="301"/>
      <c r="BJ154" s="301"/>
      <c r="BK154" s="301"/>
      <c r="BL154" s="301"/>
      <c r="BM154" s="301"/>
      <c r="BN154" s="301"/>
      <c r="BO154" s="301"/>
      <c r="BP154" s="301"/>
      <c r="BQ154" s="301"/>
      <c r="BR154" s="301"/>
      <c r="BS154" s="301"/>
      <c r="BT154" s="301"/>
      <c r="BU154" s="301"/>
      <c r="BV154" s="301"/>
      <c r="BW154" s="301"/>
      <c r="BX154" s="301"/>
      <c r="BY154" s="301"/>
      <c r="BZ154" s="301"/>
      <c r="CA154" s="301"/>
      <c r="CB154" s="301"/>
      <c r="CC154" s="301"/>
      <c r="CD154" s="301"/>
      <c r="CE154" s="301"/>
      <c r="CF154" s="301"/>
      <c r="CG154" s="301"/>
      <c r="CH154" s="301"/>
      <c r="CI154" s="301"/>
      <c r="CJ154" s="301"/>
      <c r="CK154" s="301"/>
      <c r="CL154" s="301"/>
      <c r="CM154" s="301"/>
      <c r="CN154" s="301"/>
      <c r="CO154" s="301"/>
      <c r="CP154" s="301"/>
      <c r="CQ154" s="301"/>
      <c r="CR154" s="301"/>
      <c r="CS154" s="301"/>
      <c r="CT154" s="301"/>
      <c r="CU154" s="301"/>
      <c r="CV154" s="301"/>
      <c r="CW154" s="301"/>
      <c r="CX154" s="301"/>
      <c r="CY154" s="301"/>
      <c r="CZ154" s="301"/>
      <c r="DA154" s="301"/>
      <c r="DB154" s="301"/>
      <c r="DC154" s="301"/>
      <c r="DD154" s="301"/>
      <c r="DE154" s="301"/>
      <c r="DF154" s="301"/>
      <c r="DG154" s="301"/>
      <c r="DH154" s="301"/>
      <c r="DI154" s="301"/>
      <c r="DJ154" s="301"/>
      <c r="DK154" s="301"/>
      <c r="DL154" s="301"/>
      <c r="DM154" s="301"/>
      <c r="DN154" s="301"/>
      <c r="DO154" s="301"/>
      <c r="DP154" s="301"/>
      <c r="DQ154" s="301"/>
      <c r="DR154" s="301"/>
      <c r="DS154" s="301"/>
      <c r="DT154" s="301"/>
      <c r="DU154" s="301"/>
      <c r="DV154" s="301"/>
      <c r="DW154" s="301"/>
      <c r="DX154" s="301"/>
      <c r="DY154" s="301"/>
      <c r="DZ154" s="301"/>
      <c r="EA154" s="301"/>
      <c r="EB154" s="301"/>
      <c r="EC154" s="301"/>
      <c r="ED154" s="301"/>
      <c r="EE154" s="301"/>
      <c r="EF154" s="301"/>
      <c r="EG154" s="301"/>
      <c r="EH154" s="301"/>
      <c r="EI154" s="301"/>
      <c r="EJ154" s="301"/>
      <c r="EK154" s="301"/>
      <c r="EL154" s="301"/>
      <c r="EM154" s="301"/>
      <c r="EN154" s="301"/>
      <c r="EO154" s="301"/>
      <c r="EP154" s="301"/>
      <c r="EQ154" s="301"/>
      <c r="ER154" s="301"/>
      <c r="ES154" s="301"/>
      <c r="ET154" s="301"/>
      <c r="EU154" s="301"/>
      <c r="EV154" s="301"/>
      <c r="EW154" s="301"/>
      <c r="EX154" s="301"/>
      <c r="EY154" s="301"/>
      <c r="EZ154" s="301"/>
      <c r="FA154" s="301"/>
      <c r="FB154" s="301"/>
      <c r="FC154" s="301"/>
      <c r="FD154" s="301"/>
      <c r="FE154" s="301"/>
      <c r="FF154" s="301"/>
      <c r="FG154" s="301"/>
      <c r="FH154" s="301"/>
      <c r="FI154" s="301"/>
      <c r="FJ154" s="301"/>
      <c r="FK154" s="301"/>
      <c r="FL154" s="301"/>
      <c r="FM154" s="301"/>
      <c r="FN154" s="301"/>
      <c r="FO154" s="301"/>
      <c r="FP154" s="301"/>
      <c r="FQ154" s="301"/>
      <c r="FR154" s="301"/>
      <c r="FS154" s="301"/>
      <c r="FT154" s="301"/>
      <c r="FU154" s="301"/>
      <c r="FV154" s="301"/>
      <c r="FW154" s="301"/>
      <c r="FX154" s="301"/>
      <c r="FY154" s="301"/>
      <c r="FZ154" s="301"/>
      <c r="GA154" s="301"/>
      <c r="GB154" s="301"/>
      <c r="GC154" s="301"/>
      <c r="GD154" s="301"/>
      <c r="GE154" s="301"/>
      <c r="GF154" s="301"/>
      <c r="GG154" s="301"/>
      <c r="GH154" s="301"/>
      <c r="GI154" s="301"/>
      <c r="GJ154" s="301"/>
      <c r="GK154" s="301"/>
      <c r="GL154" s="301"/>
      <c r="GM154" s="301"/>
      <c r="GN154" s="301"/>
      <c r="GO154" s="301"/>
      <c r="GP154" s="301"/>
      <c r="GQ154" s="301"/>
      <c r="GR154" s="301"/>
      <c r="GS154" s="301"/>
      <c r="GT154" s="301"/>
      <c r="GU154" s="301"/>
      <c r="GV154" s="301"/>
      <c r="GW154" s="301"/>
      <c r="GX154" s="301"/>
      <c r="GY154" s="301"/>
      <c r="GZ154" s="301"/>
      <c r="HA154" s="301"/>
      <c r="HB154" s="301"/>
      <c r="HC154" s="301"/>
      <c r="HD154" s="301"/>
      <c r="HE154" s="301"/>
      <c r="HF154" s="301"/>
      <c r="HG154" s="301"/>
      <c r="HH154" s="301"/>
      <c r="HI154" s="301"/>
      <c r="HJ154" s="301"/>
      <c r="HK154" s="301"/>
      <c r="HL154" s="301"/>
      <c r="HM154" s="301"/>
      <c r="HN154" s="301"/>
      <c r="HO154" s="301"/>
      <c r="HP154" s="301"/>
      <c r="HQ154" s="301"/>
      <c r="HR154" s="301"/>
      <c r="HS154" s="301"/>
      <c r="HT154" s="301"/>
      <c r="HU154" s="301"/>
      <c r="HV154" s="301"/>
      <c r="HW154" s="301"/>
      <c r="HX154" s="301"/>
      <c r="HY154" s="301"/>
      <c r="HZ154" s="301"/>
      <c r="IA154" s="301"/>
      <c r="IB154" s="301"/>
      <c r="IC154" s="301"/>
      <c r="ID154" s="301"/>
      <c r="IE154" s="301"/>
      <c r="IF154" s="301"/>
      <c r="IG154" s="301"/>
      <c r="IH154" s="301"/>
      <c r="II154" s="301"/>
      <c r="IJ154" s="301"/>
      <c r="IK154" s="301"/>
      <c r="IL154" s="301"/>
      <c r="IM154" s="301"/>
      <c r="IN154" s="301"/>
      <c r="IO154" s="301"/>
      <c r="IP154" s="301"/>
      <c r="IQ154" s="301"/>
      <c r="IR154" s="301"/>
      <c r="IS154" s="301"/>
      <c r="IT154" s="301"/>
      <c r="IU154" s="301"/>
      <c r="IV154" s="301"/>
    </row>
    <row r="155" spans="1:256" ht="15">
      <c r="A155" s="304"/>
      <c r="B155" s="339"/>
      <c r="C155" s="320"/>
      <c r="D155" s="375" t="s">
        <v>843</v>
      </c>
      <c r="E155" s="342" t="s">
        <v>424</v>
      </c>
      <c r="F155" s="304"/>
      <c r="G155" s="304"/>
      <c r="H155" s="304"/>
      <c r="I155" s="329"/>
      <c r="J155" s="329"/>
      <c r="K155" s="329"/>
      <c r="L155" s="301"/>
      <c r="M155" s="301"/>
      <c r="N155" s="301"/>
      <c r="O155" s="301"/>
      <c r="P155" s="301"/>
      <c r="Q155" s="301"/>
      <c r="R155" s="301"/>
      <c r="S155" s="301"/>
      <c r="T155" s="301"/>
      <c r="U155" s="301"/>
      <c r="V155" s="301"/>
      <c r="W155" s="301"/>
      <c r="X155" s="301"/>
      <c r="Y155" s="301"/>
      <c r="Z155" s="301"/>
      <c r="AA155" s="301"/>
      <c r="AB155" s="301"/>
      <c r="AC155" s="301"/>
      <c r="AD155" s="301"/>
      <c r="AE155" s="301"/>
      <c r="AF155" s="301"/>
      <c r="AG155" s="301"/>
      <c r="AH155" s="301"/>
      <c r="AI155" s="301"/>
      <c r="AJ155" s="301"/>
      <c r="AK155" s="301"/>
      <c r="AL155" s="301"/>
      <c r="AM155" s="301"/>
      <c r="AN155" s="301"/>
      <c r="AO155" s="301"/>
      <c r="AP155" s="301"/>
      <c r="AQ155" s="301"/>
      <c r="AR155" s="301"/>
      <c r="AS155" s="301"/>
      <c r="AT155" s="301"/>
      <c r="AU155" s="301"/>
      <c r="AV155" s="301"/>
      <c r="AW155" s="301"/>
      <c r="AX155" s="301"/>
      <c r="AY155" s="301"/>
      <c r="AZ155" s="301"/>
      <c r="BA155" s="301"/>
      <c r="BB155" s="301"/>
      <c r="BC155" s="301"/>
      <c r="BD155" s="301"/>
      <c r="BE155" s="301"/>
      <c r="BF155" s="301"/>
      <c r="BG155" s="301"/>
      <c r="BH155" s="301"/>
      <c r="BI155" s="301"/>
      <c r="BJ155" s="301"/>
      <c r="BK155" s="301"/>
      <c r="BL155" s="301"/>
      <c r="BM155" s="301"/>
      <c r="BN155" s="301"/>
      <c r="BO155" s="301"/>
      <c r="BP155" s="301"/>
      <c r="BQ155" s="301"/>
      <c r="BR155" s="301"/>
      <c r="BS155" s="301"/>
      <c r="BT155" s="301"/>
      <c r="BU155" s="301"/>
      <c r="BV155" s="301"/>
      <c r="BW155" s="301"/>
      <c r="BX155" s="301"/>
      <c r="BY155" s="301"/>
      <c r="BZ155" s="301"/>
      <c r="CA155" s="301"/>
      <c r="CB155" s="301"/>
      <c r="CC155" s="301"/>
      <c r="CD155" s="301"/>
      <c r="CE155" s="301"/>
      <c r="CF155" s="301"/>
      <c r="CG155" s="301"/>
      <c r="CH155" s="301"/>
      <c r="CI155" s="301"/>
      <c r="CJ155" s="301"/>
      <c r="CK155" s="301"/>
      <c r="CL155" s="301"/>
      <c r="CM155" s="301"/>
      <c r="CN155" s="301"/>
      <c r="CO155" s="301"/>
      <c r="CP155" s="301"/>
      <c r="CQ155" s="301"/>
      <c r="CR155" s="301"/>
      <c r="CS155" s="301"/>
      <c r="CT155" s="301"/>
      <c r="CU155" s="301"/>
      <c r="CV155" s="301"/>
      <c r="CW155" s="301"/>
      <c r="CX155" s="301"/>
      <c r="CY155" s="301"/>
      <c r="CZ155" s="301"/>
      <c r="DA155" s="301"/>
      <c r="DB155" s="301"/>
      <c r="DC155" s="301"/>
      <c r="DD155" s="301"/>
      <c r="DE155" s="301"/>
      <c r="DF155" s="301"/>
      <c r="DG155" s="301"/>
      <c r="DH155" s="301"/>
      <c r="DI155" s="301"/>
      <c r="DJ155" s="301"/>
      <c r="DK155" s="301"/>
      <c r="DL155" s="301"/>
      <c r="DM155" s="301"/>
      <c r="DN155" s="301"/>
      <c r="DO155" s="301"/>
      <c r="DP155" s="301"/>
      <c r="DQ155" s="301"/>
      <c r="DR155" s="301"/>
      <c r="DS155" s="301"/>
      <c r="DT155" s="301"/>
      <c r="DU155" s="301"/>
      <c r="DV155" s="301"/>
      <c r="DW155" s="301"/>
      <c r="DX155" s="301"/>
      <c r="DY155" s="301"/>
      <c r="DZ155" s="301"/>
      <c r="EA155" s="301"/>
      <c r="EB155" s="301"/>
      <c r="EC155" s="301"/>
      <c r="ED155" s="301"/>
      <c r="EE155" s="301"/>
      <c r="EF155" s="301"/>
      <c r="EG155" s="301"/>
      <c r="EH155" s="301"/>
      <c r="EI155" s="301"/>
      <c r="EJ155" s="301"/>
      <c r="EK155" s="301"/>
      <c r="EL155" s="301"/>
      <c r="EM155" s="301"/>
      <c r="EN155" s="301"/>
      <c r="EO155" s="301"/>
      <c r="EP155" s="301"/>
      <c r="EQ155" s="301"/>
      <c r="ER155" s="301"/>
      <c r="ES155" s="301"/>
      <c r="ET155" s="301"/>
      <c r="EU155" s="301"/>
      <c r="EV155" s="301"/>
      <c r="EW155" s="301"/>
      <c r="EX155" s="301"/>
      <c r="EY155" s="301"/>
      <c r="EZ155" s="301"/>
      <c r="FA155" s="301"/>
      <c r="FB155" s="301"/>
      <c r="FC155" s="301"/>
      <c r="FD155" s="301"/>
      <c r="FE155" s="301"/>
      <c r="FF155" s="301"/>
      <c r="FG155" s="301"/>
      <c r="FH155" s="301"/>
      <c r="FI155" s="301"/>
      <c r="FJ155" s="301"/>
      <c r="FK155" s="301"/>
      <c r="FL155" s="301"/>
      <c r="FM155" s="301"/>
      <c r="FN155" s="301"/>
      <c r="FO155" s="301"/>
      <c r="FP155" s="301"/>
      <c r="FQ155" s="301"/>
      <c r="FR155" s="301"/>
      <c r="FS155" s="301"/>
      <c r="FT155" s="301"/>
      <c r="FU155" s="301"/>
      <c r="FV155" s="301"/>
      <c r="FW155" s="301"/>
      <c r="FX155" s="301"/>
      <c r="FY155" s="301"/>
      <c r="FZ155" s="301"/>
      <c r="GA155" s="301"/>
      <c r="GB155" s="301"/>
      <c r="GC155" s="301"/>
      <c r="GD155" s="301"/>
      <c r="GE155" s="301"/>
      <c r="GF155" s="301"/>
      <c r="GG155" s="301"/>
      <c r="GH155" s="301"/>
      <c r="GI155" s="301"/>
      <c r="GJ155" s="301"/>
      <c r="GK155" s="301"/>
      <c r="GL155" s="301"/>
      <c r="GM155" s="301"/>
      <c r="GN155" s="301"/>
      <c r="GO155" s="301"/>
      <c r="GP155" s="301"/>
      <c r="GQ155" s="301"/>
      <c r="GR155" s="301"/>
      <c r="GS155" s="301"/>
      <c r="GT155" s="301"/>
      <c r="GU155" s="301"/>
      <c r="GV155" s="301"/>
      <c r="GW155" s="301"/>
      <c r="GX155" s="301"/>
      <c r="GY155" s="301"/>
      <c r="GZ155" s="301"/>
      <c r="HA155" s="301"/>
      <c r="HB155" s="301"/>
      <c r="HC155" s="301"/>
      <c r="HD155" s="301"/>
      <c r="HE155" s="301"/>
      <c r="HF155" s="301"/>
      <c r="HG155" s="301"/>
      <c r="HH155" s="301"/>
      <c r="HI155" s="301"/>
      <c r="HJ155" s="301"/>
      <c r="HK155" s="301"/>
      <c r="HL155" s="301"/>
      <c r="HM155" s="301"/>
      <c r="HN155" s="301"/>
      <c r="HO155" s="301"/>
      <c r="HP155" s="301"/>
      <c r="HQ155" s="301"/>
      <c r="HR155" s="301"/>
      <c r="HS155" s="301"/>
      <c r="HT155" s="301"/>
      <c r="HU155" s="301"/>
      <c r="HV155" s="301"/>
      <c r="HW155" s="301"/>
      <c r="HX155" s="301"/>
      <c r="HY155" s="301"/>
      <c r="HZ155" s="301"/>
      <c r="IA155" s="301"/>
      <c r="IB155" s="301"/>
      <c r="IC155" s="301"/>
      <c r="ID155" s="301"/>
      <c r="IE155" s="301"/>
      <c r="IF155" s="301"/>
      <c r="IG155" s="301"/>
      <c r="IH155" s="301"/>
      <c r="II155" s="301"/>
      <c r="IJ155" s="301"/>
      <c r="IK155" s="301"/>
      <c r="IL155" s="301"/>
      <c r="IM155" s="301"/>
      <c r="IN155" s="301"/>
      <c r="IO155" s="301"/>
      <c r="IP155" s="301"/>
      <c r="IQ155" s="301"/>
      <c r="IR155" s="301"/>
      <c r="IS155" s="301"/>
      <c r="IT155" s="301"/>
      <c r="IU155" s="301"/>
      <c r="IV155" s="301"/>
    </row>
    <row r="156" spans="1:256" ht="15">
      <c r="A156" s="304"/>
      <c r="B156" s="339"/>
      <c r="C156" s="320">
        <v>6</v>
      </c>
      <c r="D156" s="343" t="s">
        <v>818</v>
      </c>
      <c r="E156" s="340" t="s">
        <v>844</v>
      </c>
      <c r="F156" s="304"/>
      <c r="G156" s="304"/>
      <c r="H156" s="304"/>
      <c r="I156" s="329">
        <f>'C-data'!H208</f>
        <v>465.5</v>
      </c>
      <c r="J156" s="329" t="s">
        <v>818</v>
      </c>
      <c r="K156" s="329">
        <f>ROUND(C156*I156,2)</f>
        <v>2793</v>
      </c>
      <c r="L156" s="301"/>
      <c r="M156" s="301"/>
      <c r="N156" s="301"/>
      <c r="O156" s="301"/>
      <c r="P156" s="301"/>
      <c r="Q156" s="301"/>
      <c r="R156" s="301"/>
      <c r="S156" s="301"/>
      <c r="T156" s="301"/>
      <c r="U156" s="301"/>
      <c r="V156" s="301"/>
      <c r="W156" s="301"/>
      <c r="X156" s="301"/>
      <c r="Y156" s="301"/>
      <c r="Z156" s="301"/>
      <c r="AA156" s="301"/>
      <c r="AB156" s="301"/>
      <c r="AC156" s="301"/>
      <c r="AD156" s="301"/>
      <c r="AE156" s="301"/>
      <c r="AF156" s="301"/>
      <c r="AG156" s="301"/>
      <c r="AH156" s="301"/>
      <c r="AI156" s="301"/>
      <c r="AJ156" s="301"/>
      <c r="AK156" s="301"/>
      <c r="AL156" s="301"/>
      <c r="AM156" s="301"/>
      <c r="AN156" s="301"/>
      <c r="AO156" s="301"/>
      <c r="AP156" s="301"/>
      <c r="AQ156" s="301"/>
      <c r="AR156" s="301"/>
      <c r="AS156" s="301"/>
      <c r="AT156" s="301"/>
      <c r="AU156" s="301"/>
      <c r="AV156" s="301"/>
      <c r="AW156" s="301"/>
      <c r="AX156" s="301"/>
      <c r="AY156" s="301"/>
      <c r="AZ156" s="301"/>
      <c r="BA156" s="301"/>
      <c r="BB156" s="301"/>
      <c r="BC156" s="301"/>
      <c r="BD156" s="301"/>
      <c r="BE156" s="301"/>
      <c r="BF156" s="301"/>
      <c r="BG156" s="301"/>
      <c r="BH156" s="301"/>
      <c r="BI156" s="301"/>
      <c r="BJ156" s="301"/>
      <c r="BK156" s="301"/>
      <c r="BL156" s="301"/>
      <c r="BM156" s="301"/>
      <c r="BN156" s="301"/>
      <c r="BO156" s="301"/>
      <c r="BP156" s="301"/>
      <c r="BQ156" s="301"/>
      <c r="BR156" s="301"/>
      <c r="BS156" s="301"/>
      <c r="BT156" s="301"/>
      <c r="BU156" s="301"/>
      <c r="BV156" s="301"/>
      <c r="BW156" s="301"/>
      <c r="BX156" s="301"/>
      <c r="BY156" s="301"/>
      <c r="BZ156" s="301"/>
      <c r="CA156" s="301"/>
      <c r="CB156" s="301"/>
      <c r="CC156" s="301"/>
      <c r="CD156" s="301"/>
      <c r="CE156" s="301"/>
      <c r="CF156" s="301"/>
      <c r="CG156" s="301"/>
      <c r="CH156" s="301"/>
      <c r="CI156" s="301"/>
      <c r="CJ156" s="301"/>
      <c r="CK156" s="301"/>
      <c r="CL156" s="301"/>
      <c r="CM156" s="301"/>
      <c r="CN156" s="301"/>
      <c r="CO156" s="301"/>
      <c r="CP156" s="301"/>
      <c r="CQ156" s="301"/>
      <c r="CR156" s="301"/>
      <c r="CS156" s="301"/>
      <c r="CT156" s="301"/>
      <c r="CU156" s="301"/>
      <c r="CV156" s="301"/>
      <c r="CW156" s="301"/>
      <c r="CX156" s="301"/>
      <c r="CY156" s="301"/>
      <c r="CZ156" s="301"/>
      <c r="DA156" s="301"/>
      <c r="DB156" s="301"/>
      <c r="DC156" s="301"/>
      <c r="DD156" s="301"/>
      <c r="DE156" s="301"/>
      <c r="DF156" s="301"/>
      <c r="DG156" s="301"/>
      <c r="DH156" s="301"/>
      <c r="DI156" s="301"/>
      <c r="DJ156" s="301"/>
      <c r="DK156" s="301"/>
      <c r="DL156" s="301"/>
      <c r="DM156" s="301"/>
      <c r="DN156" s="301"/>
      <c r="DO156" s="301"/>
      <c r="DP156" s="301"/>
      <c r="DQ156" s="301"/>
      <c r="DR156" s="301"/>
      <c r="DS156" s="301"/>
      <c r="DT156" s="301"/>
      <c r="DU156" s="301"/>
      <c r="DV156" s="301"/>
      <c r="DW156" s="301"/>
      <c r="DX156" s="301"/>
      <c r="DY156" s="301"/>
      <c r="DZ156" s="301"/>
      <c r="EA156" s="301"/>
      <c r="EB156" s="301"/>
      <c r="EC156" s="301"/>
      <c r="ED156" s="301"/>
      <c r="EE156" s="301"/>
      <c r="EF156" s="301"/>
      <c r="EG156" s="301"/>
      <c r="EH156" s="301"/>
      <c r="EI156" s="301"/>
      <c r="EJ156" s="301"/>
      <c r="EK156" s="301"/>
      <c r="EL156" s="301"/>
      <c r="EM156" s="301"/>
      <c r="EN156" s="301"/>
      <c r="EO156" s="301"/>
      <c r="EP156" s="301"/>
      <c r="EQ156" s="301"/>
      <c r="ER156" s="301"/>
      <c r="ES156" s="301"/>
      <c r="ET156" s="301"/>
      <c r="EU156" s="301"/>
      <c r="EV156" s="301"/>
      <c r="EW156" s="301"/>
      <c r="EX156" s="301"/>
      <c r="EY156" s="301"/>
      <c r="EZ156" s="301"/>
      <c r="FA156" s="301"/>
      <c r="FB156" s="301"/>
      <c r="FC156" s="301"/>
      <c r="FD156" s="301"/>
      <c r="FE156" s="301"/>
      <c r="FF156" s="301"/>
      <c r="FG156" s="301"/>
      <c r="FH156" s="301"/>
      <c r="FI156" s="301"/>
      <c r="FJ156" s="301"/>
      <c r="FK156" s="301"/>
      <c r="FL156" s="301"/>
      <c r="FM156" s="301"/>
      <c r="FN156" s="301"/>
      <c r="FO156" s="301"/>
      <c r="FP156" s="301"/>
      <c r="FQ156" s="301"/>
      <c r="FR156" s="301"/>
      <c r="FS156" s="301"/>
      <c r="FT156" s="301"/>
      <c r="FU156" s="301"/>
      <c r="FV156" s="301"/>
      <c r="FW156" s="301"/>
      <c r="FX156" s="301"/>
      <c r="FY156" s="301"/>
      <c r="FZ156" s="301"/>
      <c r="GA156" s="301"/>
      <c r="GB156" s="301"/>
      <c r="GC156" s="301"/>
      <c r="GD156" s="301"/>
      <c r="GE156" s="301"/>
      <c r="GF156" s="301"/>
      <c r="GG156" s="301"/>
      <c r="GH156" s="301"/>
      <c r="GI156" s="301"/>
      <c r="GJ156" s="301"/>
      <c r="GK156" s="301"/>
      <c r="GL156" s="301"/>
      <c r="GM156" s="301"/>
      <c r="GN156" s="301"/>
      <c r="GO156" s="301"/>
      <c r="GP156" s="301"/>
      <c r="GQ156" s="301"/>
      <c r="GR156" s="301"/>
      <c r="GS156" s="301"/>
      <c r="GT156" s="301"/>
      <c r="GU156" s="301"/>
      <c r="GV156" s="301"/>
      <c r="GW156" s="301"/>
      <c r="GX156" s="301"/>
      <c r="GY156" s="301"/>
      <c r="GZ156" s="301"/>
      <c r="HA156" s="301"/>
      <c r="HB156" s="301"/>
      <c r="HC156" s="301"/>
      <c r="HD156" s="301"/>
      <c r="HE156" s="301"/>
      <c r="HF156" s="301"/>
      <c r="HG156" s="301"/>
      <c r="HH156" s="301"/>
      <c r="HI156" s="301"/>
      <c r="HJ156" s="301"/>
      <c r="HK156" s="301"/>
      <c r="HL156" s="301"/>
      <c r="HM156" s="301"/>
      <c r="HN156" s="301"/>
      <c r="HO156" s="301"/>
      <c r="HP156" s="301"/>
      <c r="HQ156" s="301"/>
      <c r="HR156" s="301"/>
      <c r="HS156" s="301"/>
      <c r="HT156" s="301"/>
      <c r="HU156" s="301"/>
      <c r="HV156" s="301"/>
      <c r="HW156" s="301"/>
      <c r="HX156" s="301"/>
      <c r="HY156" s="301"/>
      <c r="HZ156" s="301"/>
      <c r="IA156" s="301"/>
      <c r="IB156" s="301"/>
      <c r="IC156" s="301"/>
      <c r="ID156" s="301"/>
      <c r="IE156" s="301"/>
      <c r="IF156" s="301"/>
      <c r="IG156" s="301"/>
      <c r="IH156" s="301"/>
      <c r="II156" s="301"/>
      <c r="IJ156" s="301"/>
      <c r="IK156" s="301"/>
      <c r="IL156" s="301"/>
      <c r="IM156" s="301"/>
      <c r="IN156" s="301"/>
      <c r="IO156" s="301"/>
      <c r="IP156" s="301"/>
      <c r="IQ156" s="301"/>
      <c r="IR156" s="301"/>
      <c r="IS156" s="301"/>
      <c r="IT156" s="301"/>
      <c r="IU156" s="301"/>
      <c r="IV156" s="301"/>
    </row>
    <row r="157" spans="1:256" ht="15" hidden="1">
      <c r="A157" s="304"/>
      <c r="B157" s="339"/>
      <c r="C157" s="320">
        <v>0</v>
      </c>
      <c r="D157" s="343" t="s">
        <v>818</v>
      </c>
      <c r="E157" s="340" t="s">
        <v>1258</v>
      </c>
      <c r="F157" s="304"/>
      <c r="G157" s="304"/>
      <c r="H157" s="304"/>
      <c r="I157" s="329">
        <f>I107</f>
        <v>620</v>
      </c>
      <c r="J157" s="329" t="s">
        <v>818</v>
      </c>
      <c r="K157" s="329">
        <f>ROUND(C157*I157,2)</f>
        <v>0</v>
      </c>
      <c r="L157" s="301"/>
      <c r="M157" s="301"/>
      <c r="N157" s="301"/>
      <c r="O157" s="301"/>
      <c r="P157" s="301"/>
      <c r="Q157" s="301"/>
      <c r="R157" s="301"/>
      <c r="S157" s="301"/>
      <c r="T157" s="301"/>
      <c r="U157" s="301"/>
      <c r="V157" s="301"/>
      <c r="W157" s="301"/>
      <c r="X157" s="301"/>
      <c r="Y157" s="301"/>
      <c r="Z157" s="301"/>
      <c r="AA157" s="301"/>
      <c r="AB157" s="301"/>
      <c r="AC157" s="301"/>
      <c r="AD157" s="301"/>
      <c r="AE157" s="301"/>
      <c r="AF157" s="301"/>
      <c r="AG157" s="301"/>
      <c r="AH157" s="301"/>
      <c r="AI157" s="301"/>
      <c r="AJ157" s="301"/>
      <c r="AK157" s="301"/>
      <c r="AL157" s="301"/>
      <c r="AM157" s="301"/>
      <c r="AN157" s="301"/>
      <c r="AO157" s="301"/>
      <c r="AP157" s="301"/>
      <c r="AQ157" s="301"/>
      <c r="AR157" s="301"/>
      <c r="AS157" s="301"/>
      <c r="AT157" s="301"/>
      <c r="AU157" s="301"/>
      <c r="AV157" s="301"/>
      <c r="AW157" s="301"/>
      <c r="AX157" s="301"/>
      <c r="AY157" s="301"/>
      <c r="AZ157" s="301"/>
      <c r="BA157" s="301"/>
      <c r="BB157" s="301"/>
      <c r="BC157" s="301"/>
      <c r="BD157" s="301"/>
      <c r="BE157" s="301"/>
      <c r="BF157" s="301"/>
      <c r="BG157" s="301"/>
      <c r="BH157" s="301"/>
      <c r="BI157" s="301"/>
      <c r="BJ157" s="301"/>
      <c r="BK157" s="301"/>
      <c r="BL157" s="301"/>
      <c r="BM157" s="301"/>
      <c r="BN157" s="301"/>
      <c r="BO157" s="301"/>
      <c r="BP157" s="301"/>
      <c r="BQ157" s="301"/>
      <c r="BR157" s="301"/>
      <c r="BS157" s="301"/>
      <c r="BT157" s="301"/>
      <c r="BU157" s="301"/>
      <c r="BV157" s="301"/>
      <c r="BW157" s="301"/>
      <c r="BX157" s="301"/>
      <c r="BY157" s="301"/>
      <c r="BZ157" s="301"/>
      <c r="CA157" s="301"/>
      <c r="CB157" s="301"/>
      <c r="CC157" s="301"/>
      <c r="CD157" s="301"/>
      <c r="CE157" s="301"/>
      <c r="CF157" s="301"/>
      <c r="CG157" s="301"/>
      <c r="CH157" s="301"/>
      <c r="CI157" s="301"/>
      <c r="CJ157" s="301"/>
      <c r="CK157" s="301"/>
      <c r="CL157" s="301"/>
      <c r="CM157" s="301"/>
      <c r="CN157" s="301"/>
      <c r="CO157" s="301"/>
      <c r="CP157" s="301"/>
      <c r="CQ157" s="301"/>
      <c r="CR157" s="301"/>
      <c r="CS157" s="301"/>
      <c r="CT157" s="301"/>
      <c r="CU157" s="301"/>
      <c r="CV157" s="301"/>
      <c r="CW157" s="301"/>
      <c r="CX157" s="301"/>
      <c r="CY157" s="301"/>
      <c r="CZ157" s="301"/>
      <c r="DA157" s="301"/>
      <c r="DB157" s="301"/>
      <c r="DC157" s="301"/>
      <c r="DD157" s="301"/>
      <c r="DE157" s="301"/>
      <c r="DF157" s="301"/>
      <c r="DG157" s="301"/>
      <c r="DH157" s="301"/>
      <c r="DI157" s="301"/>
      <c r="DJ157" s="301"/>
      <c r="DK157" s="301"/>
      <c r="DL157" s="301"/>
      <c r="DM157" s="301"/>
      <c r="DN157" s="301"/>
      <c r="DO157" s="301"/>
      <c r="DP157" s="301"/>
      <c r="DQ157" s="301"/>
      <c r="DR157" s="301"/>
      <c r="DS157" s="301"/>
      <c r="DT157" s="301"/>
      <c r="DU157" s="301"/>
      <c r="DV157" s="301"/>
      <c r="DW157" s="301"/>
      <c r="DX157" s="301"/>
      <c r="DY157" s="301"/>
      <c r="DZ157" s="301"/>
      <c r="EA157" s="301"/>
      <c r="EB157" s="301"/>
      <c r="EC157" s="301"/>
      <c r="ED157" s="301"/>
      <c r="EE157" s="301"/>
      <c r="EF157" s="301"/>
      <c r="EG157" s="301"/>
      <c r="EH157" s="301"/>
      <c r="EI157" s="301"/>
      <c r="EJ157" s="301"/>
      <c r="EK157" s="301"/>
      <c r="EL157" s="301"/>
      <c r="EM157" s="301"/>
      <c r="EN157" s="301"/>
      <c r="EO157" s="301"/>
      <c r="EP157" s="301"/>
      <c r="EQ157" s="301"/>
      <c r="ER157" s="301"/>
      <c r="ES157" s="301"/>
      <c r="ET157" s="301"/>
      <c r="EU157" s="301"/>
      <c r="EV157" s="301"/>
      <c r="EW157" s="301"/>
      <c r="EX157" s="301"/>
      <c r="EY157" s="301"/>
      <c r="EZ157" s="301"/>
      <c r="FA157" s="301"/>
      <c r="FB157" s="301"/>
      <c r="FC157" s="301"/>
      <c r="FD157" s="301"/>
      <c r="FE157" s="301"/>
      <c r="FF157" s="301"/>
      <c r="FG157" s="301"/>
      <c r="FH157" s="301"/>
      <c r="FI157" s="301"/>
      <c r="FJ157" s="301"/>
      <c r="FK157" s="301"/>
      <c r="FL157" s="301"/>
      <c r="FM157" s="301"/>
      <c r="FN157" s="301"/>
      <c r="FO157" s="301"/>
      <c r="FP157" s="301"/>
      <c r="FQ157" s="301"/>
      <c r="FR157" s="301"/>
      <c r="FS157" s="301"/>
      <c r="FT157" s="301"/>
      <c r="FU157" s="301"/>
      <c r="FV157" s="301"/>
      <c r="FW157" s="301"/>
      <c r="FX157" s="301"/>
      <c r="FY157" s="301"/>
      <c r="FZ157" s="301"/>
      <c r="GA157" s="301"/>
      <c r="GB157" s="301"/>
      <c r="GC157" s="301"/>
      <c r="GD157" s="301"/>
      <c r="GE157" s="301"/>
      <c r="GF157" s="301"/>
      <c r="GG157" s="301"/>
      <c r="GH157" s="301"/>
      <c r="GI157" s="301"/>
      <c r="GJ157" s="301"/>
      <c r="GK157" s="301"/>
      <c r="GL157" s="301"/>
      <c r="GM157" s="301"/>
      <c r="GN157" s="301"/>
      <c r="GO157" s="301"/>
      <c r="GP157" s="301"/>
      <c r="GQ157" s="301"/>
      <c r="GR157" s="301"/>
      <c r="GS157" s="301"/>
      <c r="GT157" s="301"/>
      <c r="GU157" s="301"/>
      <c r="GV157" s="301"/>
      <c r="GW157" s="301"/>
      <c r="GX157" s="301"/>
      <c r="GY157" s="301"/>
      <c r="GZ157" s="301"/>
      <c r="HA157" s="301"/>
      <c r="HB157" s="301"/>
      <c r="HC157" s="301"/>
      <c r="HD157" s="301"/>
      <c r="HE157" s="301"/>
      <c r="HF157" s="301"/>
      <c r="HG157" s="301"/>
      <c r="HH157" s="301"/>
      <c r="HI157" s="301"/>
      <c r="HJ157" s="301"/>
      <c r="HK157" s="301"/>
      <c r="HL157" s="301"/>
      <c r="HM157" s="301"/>
      <c r="HN157" s="301"/>
      <c r="HO157" s="301"/>
      <c r="HP157" s="301"/>
      <c r="HQ157" s="301"/>
      <c r="HR157" s="301"/>
      <c r="HS157" s="301"/>
      <c r="HT157" s="301"/>
      <c r="HU157" s="301"/>
      <c r="HV157" s="301"/>
      <c r="HW157" s="301"/>
      <c r="HX157" s="301"/>
      <c r="HY157" s="301"/>
      <c r="HZ157" s="301"/>
      <c r="IA157" s="301"/>
      <c r="IB157" s="301"/>
      <c r="IC157" s="301"/>
      <c r="ID157" s="301"/>
      <c r="IE157" s="301"/>
      <c r="IF157" s="301"/>
      <c r="IG157" s="301"/>
      <c r="IH157" s="301"/>
      <c r="II157" s="301"/>
      <c r="IJ157" s="301"/>
      <c r="IK157" s="301"/>
      <c r="IL157" s="301"/>
      <c r="IM157" s="301"/>
      <c r="IN157" s="301"/>
      <c r="IO157" s="301"/>
      <c r="IP157" s="301"/>
      <c r="IQ157" s="301"/>
      <c r="IR157" s="301"/>
      <c r="IS157" s="301"/>
      <c r="IT157" s="301"/>
      <c r="IU157" s="301"/>
      <c r="IV157" s="301"/>
    </row>
    <row r="158" spans="1:256" ht="15">
      <c r="A158" s="304"/>
      <c r="B158" s="339"/>
      <c r="C158" s="320"/>
      <c r="D158" s="343"/>
      <c r="E158" s="340" t="s">
        <v>466</v>
      </c>
      <c r="F158" s="304"/>
      <c r="G158" s="304"/>
      <c r="H158" s="304"/>
      <c r="I158" s="329"/>
      <c r="J158" s="329"/>
      <c r="K158" s="323">
        <f>SUM(K156:K157)</f>
        <v>2793</v>
      </c>
      <c r="L158" s="301"/>
      <c r="M158" s="301"/>
      <c r="N158" s="301"/>
      <c r="O158" s="301"/>
      <c r="P158" s="301"/>
      <c r="Q158" s="301"/>
      <c r="R158" s="301"/>
      <c r="S158" s="301"/>
      <c r="T158" s="301"/>
      <c r="U158" s="301"/>
      <c r="V158" s="301"/>
      <c r="W158" s="301"/>
      <c r="X158" s="301"/>
      <c r="Y158" s="301"/>
      <c r="Z158" s="301"/>
      <c r="AA158" s="301"/>
      <c r="AB158" s="301"/>
      <c r="AC158" s="301"/>
      <c r="AD158" s="301"/>
      <c r="AE158" s="301"/>
      <c r="AF158" s="301"/>
      <c r="AG158" s="301"/>
      <c r="AH158" s="301"/>
      <c r="AI158" s="301"/>
      <c r="AJ158" s="301"/>
      <c r="AK158" s="301"/>
      <c r="AL158" s="301"/>
      <c r="AM158" s="301"/>
      <c r="AN158" s="301"/>
      <c r="AO158" s="301"/>
      <c r="AP158" s="301"/>
      <c r="AQ158" s="301"/>
      <c r="AR158" s="301"/>
      <c r="AS158" s="301"/>
      <c r="AT158" s="301"/>
      <c r="AU158" s="301"/>
      <c r="AV158" s="301"/>
      <c r="AW158" s="301"/>
      <c r="AX158" s="301"/>
      <c r="AY158" s="301"/>
      <c r="AZ158" s="301"/>
      <c r="BA158" s="301"/>
      <c r="BB158" s="301"/>
      <c r="BC158" s="301"/>
      <c r="BD158" s="301"/>
      <c r="BE158" s="301"/>
      <c r="BF158" s="301"/>
      <c r="BG158" s="301"/>
      <c r="BH158" s="301"/>
      <c r="BI158" s="301"/>
      <c r="BJ158" s="301"/>
      <c r="BK158" s="301"/>
      <c r="BL158" s="301"/>
      <c r="BM158" s="301"/>
      <c r="BN158" s="301"/>
      <c r="BO158" s="301"/>
      <c r="BP158" s="301"/>
      <c r="BQ158" s="301"/>
      <c r="BR158" s="301"/>
      <c r="BS158" s="301"/>
      <c r="BT158" s="301"/>
      <c r="BU158" s="301"/>
      <c r="BV158" s="301"/>
      <c r="BW158" s="301"/>
      <c r="BX158" s="301"/>
      <c r="BY158" s="301"/>
      <c r="BZ158" s="301"/>
      <c r="CA158" s="301"/>
      <c r="CB158" s="301"/>
      <c r="CC158" s="301"/>
      <c r="CD158" s="301"/>
      <c r="CE158" s="301"/>
      <c r="CF158" s="301"/>
      <c r="CG158" s="301"/>
      <c r="CH158" s="301"/>
      <c r="CI158" s="301"/>
      <c r="CJ158" s="301"/>
      <c r="CK158" s="301"/>
      <c r="CL158" s="301"/>
      <c r="CM158" s="301"/>
      <c r="CN158" s="301"/>
      <c r="CO158" s="301"/>
      <c r="CP158" s="301"/>
      <c r="CQ158" s="301"/>
      <c r="CR158" s="301"/>
      <c r="CS158" s="301"/>
      <c r="CT158" s="301"/>
      <c r="CU158" s="301"/>
      <c r="CV158" s="301"/>
      <c r="CW158" s="301"/>
      <c r="CX158" s="301"/>
      <c r="CY158" s="301"/>
      <c r="CZ158" s="301"/>
      <c r="DA158" s="301"/>
      <c r="DB158" s="301"/>
      <c r="DC158" s="301"/>
      <c r="DD158" s="301"/>
      <c r="DE158" s="301"/>
      <c r="DF158" s="301"/>
      <c r="DG158" s="301"/>
      <c r="DH158" s="301"/>
      <c r="DI158" s="301"/>
      <c r="DJ158" s="301"/>
      <c r="DK158" s="301"/>
      <c r="DL158" s="301"/>
      <c r="DM158" s="301"/>
      <c r="DN158" s="301"/>
      <c r="DO158" s="301"/>
      <c r="DP158" s="301"/>
      <c r="DQ158" s="301"/>
      <c r="DR158" s="301"/>
      <c r="DS158" s="301"/>
      <c r="DT158" s="301"/>
      <c r="DU158" s="301"/>
      <c r="DV158" s="301"/>
      <c r="DW158" s="301"/>
      <c r="DX158" s="301"/>
      <c r="DY158" s="301"/>
      <c r="DZ158" s="301"/>
      <c r="EA158" s="301"/>
      <c r="EB158" s="301"/>
      <c r="EC158" s="301"/>
      <c r="ED158" s="301"/>
      <c r="EE158" s="301"/>
      <c r="EF158" s="301"/>
      <c r="EG158" s="301"/>
      <c r="EH158" s="301"/>
      <c r="EI158" s="301"/>
      <c r="EJ158" s="301"/>
      <c r="EK158" s="301"/>
      <c r="EL158" s="301"/>
      <c r="EM158" s="301"/>
      <c r="EN158" s="301"/>
      <c r="EO158" s="301"/>
      <c r="EP158" s="301"/>
      <c r="EQ158" s="301"/>
      <c r="ER158" s="301"/>
      <c r="ES158" s="301"/>
      <c r="ET158" s="301"/>
      <c r="EU158" s="301"/>
      <c r="EV158" s="301"/>
      <c r="EW158" s="301"/>
      <c r="EX158" s="301"/>
      <c r="EY158" s="301"/>
      <c r="EZ158" s="301"/>
      <c r="FA158" s="301"/>
      <c r="FB158" s="301"/>
      <c r="FC158" s="301"/>
      <c r="FD158" s="301"/>
      <c r="FE158" s="301"/>
      <c r="FF158" s="301"/>
      <c r="FG158" s="301"/>
      <c r="FH158" s="301"/>
      <c r="FI158" s="301"/>
      <c r="FJ158" s="301"/>
      <c r="FK158" s="301"/>
      <c r="FL158" s="301"/>
      <c r="FM158" s="301"/>
      <c r="FN158" s="301"/>
      <c r="FO158" s="301"/>
      <c r="FP158" s="301"/>
      <c r="FQ158" s="301"/>
      <c r="FR158" s="301"/>
      <c r="FS158" s="301"/>
      <c r="FT158" s="301"/>
      <c r="FU158" s="301"/>
      <c r="FV158" s="301"/>
      <c r="FW158" s="301"/>
      <c r="FX158" s="301"/>
      <c r="FY158" s="301"/>
      <c r="FZ158" s="301"/>
      <c r="GA158" s="301"/>
      <c r="GB158" s="301"/>
      <c r="GC158" s="301"/>
      <c r="GD158" s="301"/>
      <c r="GE158" s="301"/>
      <c r="GF158" s="301"/>
      <c r="GG158" s="301"/>
      <c r="GH158" s="301"/>
      <c r="GI158" s="301"/>
      <c r="GJ158" s="301"/>
      <c r="GK158" s="301"/>
      <c r="GL158" s="301"/>
      <c r="GM158" s="301"/>
      <c r="GN158" s="301"/>
      <c r="GO158" s="301"/>
      <c r="GP158" s="301"/>
      <c r="GQ158" s="301"/>
      <c r="GR158" s="301"/>
      <c r="GS158" s="301"/>
      <c r="GT158" s="301"/>
      <c r="GU158" s="301"/>
      <c r="GV158" s="301"/>
      <c r="GW158" s="301"/>
      <c r="GX158" s="301"/>
      <c r="GY158" s="301"/>
      <c r="GZ158" s="301"/>
      <c r="HA158" s="301"/>
      <c r="HB158" s="301"/>
      <c r="HC158" s="301"/>
      <c r="HD158" s="301"/>
      <c r="HE158" s="301"/>
      <c r="HF158" s="301"/>
      <c r="HG158" s="301"/>
      <c r="HH158" s="301"/>
      <c r="HI158" s="301"/>
      <c r="HJ158" s="301"/>
      <c r="HK158" s="301"/>
      <c r="HL158" s="301"/>
      <c r="HM158" s="301"/>
      <c r="HN158" s="301"/>
      <c r="HO158" s="301"/>
      <c r="HP158" s="301"/>
      <c r="HQ158" s="301"/>
      <c r="HR158" s="301"/>
      <c r="HS158" s="301"/>
      <c r="HT158" s="301"/>
      <c r="HU158" s="301"/>
      <c r="HV158" s="301"/>
      <c r="HW158" s="301"/>
      <c r="HX158" s="301"/>
      <c r="HY158" s="301"/>
      <c r="HZ158" s="301"/>
      <c r="IA158" s="301"/>
      <c r="IB158" s="301"/>
      <c r="IC158" s="301"/>
      <c r="ID158" s="301"/>
      <c r="IE158" s="301"/>
      <c r="IF158" s="301"/>
      <c r="IG158" s="301"/>
      <c r="IH158" s="301"/>
      <c r="II158" s="301"/>
      <c r="IJ158" s="301"/>
      <c r="IK158" s="301"/>
      <c r="IL158" s="301"/>
      <c r="IM158" s="301"/>
      <c r="IN158" s="301"/>
      <c r="IO158" s="301"/>
      <c r="IP158" s="301"/>
      <c r="IQ158" s="301"/>
      <c r="IR158" s="301"/>
      <c r="IS158" s="301"/>
      <c r="IT158" s="301"/>
      <c r="IU158" s="301"/>
      <c r="IV158" s="301"/>
    </row>
    <row r="159" spans="1:256" ht="15">
      <c r="A159" s="304"/>
      <c r="B159" s="302"/>
      <c r="C159" s="384">
        <v>13.615</v>
      </c>
      <c r="D159" s="315" t="s">
        <v>846</v>
      </c>
      <c r="E159" s="354" t="s">
        <v>1259</v>
      </c>
      <c r="F159" s="304"/>
      <c r="G159" s="317"/>
      <c r="H159" s="317"/>
      <c r="I159" s="317"/>
      <c r="J159" s="317"/>
      <c r="K159" s="329">
        <f>ROUND((K147+K154+K158)*C159/100,2)</f>
        <v>10780.59</v>
      </c>
      <c r="L159" s="301"/>
      <c r="M159" s="301"/>
      <c r="N159" s="301"/>
      <c r="O159" s="301"/>
      <c r="P159" s="301"/>
      <c r="Q159" s="301"/>
      <c r="R159" s="301"/>
      <c r="S159" s="301"/>
      <c r="T159" s="301"/>
      <c r="U159" s="301"/>
      <c r="V159" s="301"/>
      <c r="W159" s="301"/>
      <c r="X159" s="301"/>
      <c r="Y159" s="301"/>
      <c r="Z159" s="301"/>
      <c r="AA159" s="301"/>
      <c r="AB159" s="301"/>
      <c r="AC159" s="301"/>
      <c r="AD159" s="301"/>
      <c r="AE159" s="301"/>
      <c r="AF159" s="301"/>
      <c r="AG159" s="301"/>
      <c r="AH159" s="301"/>
      <c r="AI159" s="301"/>
      <c r="AJ159" s="301"/>
      <c r="AK159" s="301"/>
      <c r="AL159" s="301"/>
      <c r="AM159" s="301"/>
      <c r="AN159" s="301"/>
      <c r="AO159" s="301"/>
      <c r="AP159" s="301"/>
      <c r="AQ159" s="301"/>
      <c r="AR159" s="301"/>
      <c r="AS159" s="301"/>
      <c r="AT159" s="301"/>
      <c r="AU159" s="301"/>
      <c r="AV159" s="301"/>
      <c r="AW159" s="301"/>
      <c r="AX159" s="301"/>
      <c r="AY159" s="301"/>
      <c r="AZ159" s="301"/>
      <c r="BA159" s="301"/>
      <c r="BB159" s="301"/>
      <c r="BC159" s="301"/>
      <c r="BD159" s="301"/>
      <c r="BE159" s="301"/>
      <c r="BF159" s="301"/>
      <c r="BG159" s="301"/>
      <c r="BH159" s="301"/>
      <c r="BI159" s="301"/>
      <c r="BJ159" s="301"/>
      <c r="BK159" s="301"/>
      <c r="BL159" s="301"/>
      <c r="BM159" s="301"/>
      <c r="BN159" s="301"/>
      <c r="BO159" s="301"/>
      <c r="BP159" s="301"/>
      <c r="BQ159" s="301"/>
      <c r="BR159" s="301"/>
      <c r="BS159" s="301"/>
      <c r="BT159" s="301"/>
      <c r="BU159" s="301"/>
      <c r="BV159" s="301"/>
      <c r="BW159" s="301"/>
      <c r="BX159" s="301"/>
      <c r="BY159" s="301"/>
      <c r="BZ159" s="301"/>
      <c r="CA159" s="301"/>
      <c r="CB159" s="301"/>
      <c r="CC159" s="301"/>
      <c r="CD159" s="301"/>
      <c r="CE159" s="301"/>
      <c r="CF159" s="301"/>
      <c r="CG159" s="301"/>
      <c r="CH159" s="301"/>
      <c r="CI159" s="301"/>
      <c r="CJ159" s="301"/>
      <c r="CK159" s="301"/>
      <c r="CL159" s="301"/>
      <c r="CM159" s="301"/>
      <c r="CN159" s="301"/>
      <c r="CO159" s="301"/>
      <c r="CP159" s="301"/>
      <c r="CQ159" s="301"/>
      <c r="CR159" s="301"/>
      <c r="CS159" s="301"/>
      <c r="CT159" s="301"/>
      <c r="CU159" s="301"/>
      <c r="CV159" s="301"/>
      <c r="CW159" s="301"/>
      <c r="CX159" s="301"/>
      <c r="CY159" s="301"/>
      <c r="CZ159" s="301"/>
      <c r="DA159" s="301"/>
      <c r="DB159" s="301"/>
      <c r="DC159" s="301"/>
      <c r="DD159" s="301"/>
      <c r="DE159" s="301"/>
      <c r="DF159" s="301"/>
      <c r="DG159" s="301"/>
      <c r="DH159" s="301"/>
      <c r="DI159" s="301"/>
      <c r="DJ159" s="301"/>
      <c r="DK159" s="301"/>
      <c r="DL159" s="301"/>
      <c r="DM159" s="301"/>
      <c r="DN159" s="301"/>
      <c r="DO159" s="301"/>
      <c r="DP159" s="301"/>
      <c r="DQ159" s="301"/>
      <c r="DR159" s="301"/>
      <c r="DS159" s="301"/>
      <c r="DT159" s="301"/>
      <c r="DU159" s="301"/>
      <c r="DV159" s="301"/>
      <c r="DW159" s="301"/>
      <c r="DX159" s="301"/>
      <c r="DY159" s="301"/>
      <c r="DZ159" s="301"/>
      <c r="EA159" s="301"/>
      <c r="EB159" s="301"/>
      <c r="EC159" s="301"/>
      <c r="ED159" s="301"/>
      <c r="EE159" s="301"/>
      <c r="EF159" s="301"/>
      <c r="EG159" s="301"/>
      <c r="EH159" s="301"/>
      <c r="EI159" s="301"/>
      <c r="EJ159" s="301"/>
      <c r="EK159" s="301"/>
      <c r="EL159" s="301"/>
      <c r="EM159" s="301"/>
      <c r="EN159" s="301"/>
      <c r="EO159" s="301"/>
      <c r="EP159" s="301"/>
      <c r="EQ159" s="301"/>
      <c r="ER159" s="301"/>
      <c r="ES159" s="301"/>
      <c r="ET159" s="301"/>
      <c r="EU159" s="301"/>
      <c r="EV159" s="301"/>
      <c r="EW159" s="301"/>
      <c r="EX159" s="301"/>
      <c r="EY159" s="301"/>
      <c r="EZ159" s="301"/>
      <c r="FA159" s="301"/>
      <c r="FB159" s="301"/>
      <c r="FC159" s="301"/>
      <c r="FD159" s="301"/>
      <c r="FE159" s="301"/>
      <c r="FF159" s="301"/>
      <c r="FG159" s="301"/>
      <c r="FH159" s="301"/>
      <c r="FI159" s="301"/>
      <c r="FJ159" s="301"/>
      <c r="FK159" s="301"/>
      <c r="FL159" s="301"/>
      <c r="FM159" s="301"/>
      <c r="FN159" s="301"/>
      <c r="FO159" s="301"/>
      <c r="FP159" s="301"/>
      <c r="FQ159" s="301"/>
      <c r="FR159" s="301"/>
      <c r="FS159" s="301"/>
      <c r="FT159" s="301"/>
      <c r="FU159" s="301"/>
      <c r="FV159" s="301"/>
      <c r="FW159" s="301"/>
      <c r="FX159" s="301"/>
      <c r="FY159" s="301"/>
      <c r="FZ159" s="301"/>
      <c r="GA159" s="301"/>
      <c r="GB159" s="301"/>
      <c r="GC159" s="301"/>
      <c r="GD159" s="301"/>
      <c r="GE159" s="301"/>
      <c r="GF159" s="301"/>
      <c r="GG159" s="301"/>
      <c r="GH159" s="301"/>
      <c r="GI159" s="301"/>
      <c r="GJ159" s="301"/>
      <c r="GK159" s="301"/>
      <c r="GL159" s="301"/>
      <c r="GM159" s="301"/>
      <c r="GN159" s="301"/>
      <c r="GO159" s="301"/>
      <c r="GP159" s="301"/>
      <c r="GQ159" s="301"/>
      <c r="GR159" s="301"/>
      <c r="GS159" s="301"/>
      <c r="GT159" s="301"/>
      <c r="GU159" s="301"/>
      <c r="GV159" s="301"/>
      <c r="GW159" s="301"/>
      <c r="GX159" s="301"/>
      <c r="GY159" s="301"/>
      <c r="GZ159" s="301"/>
      <c r="HA159" s="301"/>
      <c r="HB159" s="301"/>
      <c r="HC159" s="301"/>
      <c r="HD159" s="301"/>
      <c r="HE159" s="301"/>
      <c r="HF159" s="301"/>
      <c r="HG159" s="301"/>
      <c r="HH159" s="301"/>
      <c r="HI159" s="301"/>
      <c r="HJ159" s="301"/>
      <c r="HK159" s="301"/>
      <c r="HL159" s="301"/>
      <c r="HM159" s="301"/>
      <c r="HN159" s="301"/>
      <c r="HO159" s="301"/>
      <c r="HP159" s="301"/>
      <c r="HQ159" s="301"/>
      <c r="HR159" s="301"/>
      <c r="HS159" s="301"/>
      <c r="HT159" s="301"/>
      <c r="HU159" s="301"/>
      <c r="HV159" s="301"/>
      <c r="HW159" s="301"/>
      <c r="HX159" s="301"/>
      <c r="HY159" s="301"/>
      <c r="HZ159" s="301"/>
      <c r="IA159" s="301"/>
      <c r="IB159" s="301"/>
      <c r="IC159" s="301"/>
      <c r="ID159" s="301"/>
      <c r="IE159" s="301"/>
      <c r="IF159" s="301"/>
      <c r="IG159" s="301"/>
      <c r="IH159" s="301"/>
      <c r="II159" s="301"/>
      <c r="IJ159" s="301"/>
      <c r="IK159" s="301"/>
      <c r="IL159" s="301"/>
      <c r="IM159" s="301"/>
      <c r="IN159" s="301"/>
      <c r="IO159" s="301"/>
      <c r="IP159" s="301"/>
      <c r="IQ159" s="301"/>
      <c r="IR159" s="301"/>
      <c r="IS159" s="301"/>
      <c r="IT159" s="301"/>
      <c r="IU159" s="301"/>
      <c r="IV159" s="301"/>
    </row>
    <row r="160" spans="1:256" ht="15">
      <c r="A160" s="304"/>
      <c r="B160" s="339"/>
      <c r="C160" s="320"/>
      <c r="D160" s="343"/>
      <c r="E160" s="340" t="s">
        <v>868</v>
      </c>
      <c r="F160" s="304"/>
      <c r="G160" s="304"/>
      <c r="H160" s="304"/>
      <c r="I160" s="329"/>
      <c r="J160" s="329"/>
      <c r="K160" s="379">
        <f>K147+K154+K158+K159</f>
        <v>89962.319999999992</v>
      </c>
      <c r="L160" s="301"/>
      <c r="M160" s="301"/>
      <c r="N160" s="301"/>
      <c r="O160" s="301"/>
      <c r="P160" s="301"/>
      <c r="Q160" s="301"/>
      <c r="R160" s="301"/>
      <c r="S160" s="301"/>
      <c r="T160" s="301"/>
      <c r="U160" s="301"/>
      <c r="V160" s="301"/>
      <c r="W160" s="301"/>
      <c r="X160" s="301"/>
      <c r="Y160" s="301"/>
      <c r="Z160" s="301"/>
      <c r="AA160" s="301"/>
      <c r="AB160" s="301"/>
      <c r="AC160" s="301"/>
      <c r="AD160" s="301"/>
      <c r="AE160" s="301"/>
      <c r="AF160" s="301"/>
      <c r="AG160" s="301"/>
      <c r="AH160" s="301"/>
      <c r="AI160" s="301"/>
      <c r="AJ160" s="301"/>
      <c r="AK160" s="301"/>
      <c r="AL160" s="301"/>
      <c r="AM160" s="301"/>
      <c r="AN160" s="301"/>
      <c r="AO160" s="301"/>
      <c r="AP160" s="301"/>
      <c r="AQ160" s="301"/>
      <c r="AR160" s="301"/>
      <c r="AS160" s="301"/>
      <c r="AT160" s="301"/>
      <c r="AU160" s="301"/>
      <c r="AV160" s="301"/>
      <c r="AW160" s="301"/>
      <c r="AX160" s="301"/>
      <c r="AY160" s="301"/>
      <c r="AZ160" s="301"/>
      <c r="BA160" s="301"/>
      <c r="BB160" s="301"/>
      <c r="BC160" s="301"/>
      <c r="BD160" s="301"/>
      <c r="BE160" s="301"/>
      <c r="BF160" s="301"/>
      <c r="BG160" s="301"/>
      <c r="BH160" s="301"/>
      <c r="BI160" s="301"/>
      <c r="BJ160" s="301"/>
      <c r="BK160" s="301"/>
      <c r="BL160" s="301"/>
      <c r="BM160" s="301"/>
      <c r="BN160" s="301"/>
      <c r="BO160" s="301"/>
      <c r="BP160" s="301"/>
      <c r="BQ160" s="301"/>
      <c r="BR160" s="301"/>
      <c r="BS160" s="301"/>
      <c r="BT160" s="301"/>
      <c r="BU160" s="301"/>
      <c r="BV160" s="301"/>
      <c r="BW160" s="301"/>
      <c r="BX160" s="301"/>
      <c r="BY160" s="301"/>
      <c r="BZ160" s="301"/>
      <c r="CA160" s="301"/>
      <c r="CB160" s="301"/>
      <c r="CC160" s="301"/>
      <c r="CD160" s="301"/>
      <c r="CE160" s="301"/>
      <c r="CF160" s="301"/>
      <c r="CG160" s="301"/>
      <c r="CH160" s="301"/>
      <c r="CI160" s="301"/>
      <c r="CJ160" s="301"/>
      <c r="CK160" s="301"/>
      <c r="CL160" s="301"/>
      <c r="CM160" s="301"/>
      <c r="CN160" s="301"/>
      <c r="CO160" s="301"/>
      <c r="CP160" s="301"/>
      <c r="CQ160" s="301"/>
      <c r="CR160" s="301"/>
      <c r="CS160" s="301"/>
      <c r="CT160" s="301"/>
      <c r="CU160" s="301"/>
      <c r="CV160" s="301"/>
      <c r="CW160" s="301"/>
      <c r="CX160" s="301"/>
      <c r="CY160" s="301"/>
      <c r="CZ160" s="301"/>
      <c r="DA160" s="301"/>
      <c r="DB160" s="301"/>
      <c r="DC160" s="301"/>
      <c r="DD160" s="301"/>
      <c r="DE160" s="301"/>
      <c r="DF160" s="301"/>
      <c r="DG160" s="301"/>
      <c r="DH160" s="301"/>
      <c r="DI160" s="301"/>
      <c r="DJ160" s="301"/>
      <c r="DK160" s="301"/>
      <c r="DL160" s="301"/>
      <c r="DM160" s="301"/>
      <c r="DN160" s="301"/>
      <c r="DO160" s="301"/>
      <c r="DP160" s="301"/>
      <c r="DQ160" s="301"/>
      <c r="DR160" s="301"/>
      <c r="DS160" s="301"/>
      <c r="DT160" s="301"/>
      <c r="DU160" s="301"/>
      <c r="DV160" s="301"/>
      <c r="DW160" s="301"/>
      <c r="DX160" s="301"/>
      <c r="DY160" s="301"/>
      <c r="DZ160" s="301"/>
      <c r="EA160" s="301"/>
      <c r="EB160" s="301"/>
      <c r="EC160" s="301"/>
      <c r="ED160" s="301"/>
      <c r="EE160" s="301"/>
      <c r="EF160" s="301"/>
      <c r="EG160" s="301"/>
      <c r="EH160" s="301"/>
      <c r="EI160" s="301"/>
      <c r="EJ160" s="301"/>
      <c r="EK160" s="301"/>
      <c r="EL160" s="301"/>
      <c r="EM160" s="301"/>
      <c r="EN160" s="301"/>
      <c r="EO160" s="301"/>
      <c r="EP160" s="301"/>
      <c r="EQ160" s="301"/>
      <c r="ER160" s="301"/>
      <c r="ES160" s="301"/>
      <c r="ET160" s="301"/>
      <c r="EU160" s="301"/>
      <c r="EV160" s="301"/>
      <c r="EW160" s="301"/>
      <c r="EX160" s="301"/>
      <c r="EY160" s="301"/>
      <c r="EZ160" s="301"/>
      <c r="FA160" s="301"/>
      <c r="FB160" s="301"/>
      <c r="FC160" s="301"/>
      <c r="FD160" s="301"/>
      <c r="FE160" s="301"/>
      <c r="FF160" s="301"/>
      <c r="FG160" s="301"/>
      <c r="FH160" s="301"/>
      <c r="FI160" s="301"/>
      <c r="FJ160" s="301"/>
      <c r="FK160" s="301"/>
      <c r="FL160" s="301"/>
      <c r="FM160" s="301"/>
      <c r="FN160" s="301"/>
      <c r="FO160" s="301"/>
      <c r="FP160" s="301"/>
      <c r="FQ160" s="301"/>
      <c r="FR160" s="301"/>
      <c r="FS160" s="301"/>
      <c r="FT160" s="301"/>
      <c r="FU160" s="301"/>
      <c r="FV160" s="301"/>
      <c r="FW160" s="301"/>
      <c r="FX160" s="301"/>
      <c r="FY160" s="301"/>
      <c r="FZ160" s="301"/>
      <c r="GA160" s="301"/>
      <c r="GB160" s="301"/>
      <c r="GC160" s="301"/>
      <c r="GD160" s="301"/>
      <c r="GE160" s="301"/>
      <c r="GF160" s="301"/>
      <c r="GG160" s="301"/>
      <c r="GH160" s="301"/>
      <c r="GI160" s="301"/>
      <c r="GJ160" s="301"/>
      <c r="GK160" s="301"/>
      <c r="GL160" s="301"/>
      <c r="GM160" s="301"/>
      <c r="GN160" s="301"/>
      <c r="GO160" s="301"/>
      <c r="GP160" s="301"/>
      <c r="GQ160" s="301"/>
      <c r="GR160" s="301"/>
      <c r="GS160" s="301"/>
      <c r="GT160" s="301"/>
      <c r="GU160" s="301"/>
      <c r="GV160" s="301"/>
      <c r="GW160" s="301"/>
      <c r="GX160" s="301"/>
      <c r="GY160" s="301"/>
      <c r="GZ160" s="301"/>
      <c r="HA160" s="301"/>
      <c r="HB160" s="301"/>
      <c r="HC160" s="301"/>
      <c r="HD160" s="301"/>
      <c r="HE160" s="301"/>
      <c r="HF160" s="301"/>
      <c r="HG160" s="301"/>
      <c r="HH160" s="301"/>
      <c r="HI160" s="301"/>
      <c r="HJ160" s="301"/>
      <c r="HK160" s="301"/>
      <c r="HL160" s="301"/>
      <c r="HM160" s="301"/>
      <c r="HN160" s="301"/>
      <c r="HO160" s="301"/>
      <c r="HP160" s="301"/>
      <c r="HQ160" s="301"/>
      <c r="HR160" s="301"/>
      <c r="HS160" s="301"/>
      <c r="HT160" s="301"/>
      <c r="HU160" s="301"/>
      <c r="HV160" s="301"/>
      <c r="HW160" s="301"/>
      <c r="HX160" s="301"/>
      <c r="HY160" s="301"/>
      <c r="HZ160" s="301"/>
      <c r="IA160" s="301"/>
      <c r="IB160" s="301"/>
      <c r="IC160" s="301"/>
      <c r="ID160" s="301"/>
      <c r="IE160" s="301"/>
      <c r="IF160" s="301"/>
      <c r="IG160" s="301"/>
      <c r="IH160" s="301"/>
      <c r="II160" s="301"/>
      <c r="IJ160" s="301"/>
      <c r="IK160" s="301"/>
      <c r="IL160" s="301"/>
      <c r="IM160" s="301"/>
      <c r="IN160" s="301"/>
      <c r="IO160" s="301"/>
      <c r="IP160" s="301"/>
      <c r="IQ160" s="301"/>
      <c r="IR160" s="301"/>
      <c r="IS160" s="301"/>
      <c r="IT160" s="301"/>
      <c r="IU160" s="301"/>
      <c r="IV160" s="301"/>
    </row>
    <row r="161" spans="1:256" ht="15">
      <c r="A161" s="304"/>
      <c r="B161" s="339"/>
      <c r="C161" s="320"/>
      <c r="D161" s="343"/>
      <c r="E161" s="340" t="s">
        <v>869</v>
      </c>
      <c r="F161" s="304"/>
      <c r="G161" s="304"/>
      <c r="H161" s="304"/>
      <c r="I161" s="329"/>
      <c r="J161" s="329"/>
      <c r="K161" s="379">
        <f>K160/15</f>
        <v>5997.4879999999994</v>
      </c>
      <c r="L161" s="301"/>
      <c r="M161" s="301"/>
      <c r="N161" s="301"/>
      <c r="O161" s="301"/>
      <c r="P161" s="301"/>
      <c r="Q161" s="301"/>
      <c r="R161" s="301"/>
      <c r="S161" s="301"/>
      <c r="T161" s="301"/>
      <c r="U161" s="301"/>
      <c r="V161" s="301"/>
      <c r="W161" s="301"/>
      <c r="X161" s="301"/>
      <c r="Y161" s="301"/>
      <c r="Z161" s="301"/>
      <c r="AA161" s="301"/>
      <c r="AB161" s="301"/>
      <c r="AC161" s="301"/>
      <c r="AD161" s="301"/>
      <c r="AE161" s="301"/>
      <c r="AF161" s="301"/>
      <c r="AG161" s="301"/>
      <c r="AH161" s="301"/>
      <c r="AI161" s="301"/>
      <c r="AJ161" s="301"/>
      <c r="AK161" s="301"/>
      <c r="AL161" s="301"/>
      <c r="AM161" s="301"/>
      <c r="AN161" s="301"/>
      <c r="AO161" s="301"/>
      <c r="AP161" s="301"/>
      <c r="AQ161" s="301"/>
      <c r="AR161" s="301"/>
      <c r="AS161" s="301"/>
      <c r="AT161" s="301"/>
      <c r="AU161" s="301"/>
      <c r="AV161" s="301"/>
      <c r="AW161" s="301"/>
      <c r="AX161" s="301"/>
      <c r="AY161" s="301"/>
      <c r="AZ161" s="301"/>
      <c r="BA161" s="301"/>
      <c r="BB161" s="301"/>
      <c r="BC161" s="301"/>
      <c r="BD161" s="301"/>
      <c r="BE161" s="301"/>
      <c r="BF161" s="301"/>
      <c r="BG161" s="301"/>
      <c r="BH161" s="301"/>
      <c r="BI161" s="301"/>
      <c r="BJ161" s="301"/>
      <c r="BK161" s="301"/>
      <c r="BL161" s="301"/>
      <c r="BM161" s="301"/>
      <c r="BN161" s="301"/>
      <c r="BO161" s="301"/>
      <c r="BP161" s="301"/>
      <c r="BQ161" s="301"/>
      <c r="BR161" s="301"/>
      <c r="BS161" s="301"/>
      <c r="BT161" s="301"/>
      <c r="BU161" s="301"/>
      <c r="BV161" s="301"/>
      <c r="BW161" s="301"/>
      <c r="BX161" s="301"/>
      <c r="BY161" s="301"/>
      <c r="BZ161" s="301"/>
      <c r="CA161" s="301"/>
      <c r="CB161" s="301"/>
      <c r="CC161" s="301"/>
      <c r="CD161" s="301"/>
      <c r="CE161" s="301"/>
      <c r="CF161" s="301"/>
      <c r="CG161" s="301"/>
      <c r="CH161" s="301"/>
      <c r="CI161" s="301"/>
      <c r="CJ161" s="301"/>
      <c r="CK161" s="301"/>
      <c r="CL161" s="301"/>
      <c r="CM161" s="301"/>
      <c r="CN161" s="301"/>
      <c r="CO161" s="301"/>
      <c r="CP161" s="301"/>
      <c r="CQ161" s="301"/>
      <c r="CR161" s="301"/>
      <c r="CS161" s="301"/>
      <c r="CT161" s="301"/>
      <c r="CU161" s="301"/>
      <c r="CV161" s="301"/>
      <c r="CW161" s="301"/>
      <c r="CX161" s="301"/>
      <c r="CY161" s="301"/>
      <c r="CZ161" s="301"/>
      <c r="DA161" s="301"/>
      <c r="DB161" s="301"/>
      <c r="DC161" s="301"/>
      <c r="DD161" s="301"/>
      <c r="DE161" s="301"/>
      <c r="DF161" s="301"/>
      <c r="DG161" s="301"/>
      <c r="DH161" s="301"/>
      <c r="DI161" s="301"/>
      <c r="DJ161" s="301"/>
      <c r="DK161" s="301"/>
      <c r="DL161" s="301"/>
      <c r="DM161" s="301"/>
      <c r="DN161" s="301"/>
      <c r="DO161" s="301"/>
      <c r="DP161" s="301"/>
      <c r="DQ161" s="301"/>
      <c r="DR161" s="301"/>
      <c r="DS161" s="301"/>
      <c r="DT161" s="301"/>
      <c r="DU161" s="301"/>
      <c r="DV161" s="301"/>
      <c r="DW161" s="301"/>
      <c r="DX161" s="301"/>
      <c r="DY161" s="301"/>
      <c r="DZ161" s="301"/>
      <c r="EA161" s="301"/>
      <c r="EB161" s="301"/>
      <c r="EC161" s="301"/>
      <c r="ED161" s="301"/>
      <c r="EE161" s="301"/>
      <c r="EF161" s="301"/>
      <c r="EG161" s="301"/>
      <c r="EH161" s="301"/>
      <c r="EI161" s="301"/>
      <c r="EJ161" s="301"/>
      <c r="EK161" s="301"/>
      <c r="EL161" s="301"/>
      <c r="EM161" s="301"/>
      <c r="EN161" s="301"/>
      <c r="EO161" s="301"/>
      <c r="EP161" s="301"/>
      <c r="EQ161" s="301"/>
      <c r="ER161" s="301"/>
      <c r="ES161" s="301"/>
      <c r="ET161" s="301"/>
      <c r="EU161" s="301"/>
      <c r="EV161" s="301"/>
      <c r="EW161" s="301"/>
      <c r="EX161" s="301"/>
      <c r="EY161" s="301"/>
      <c r="EZ161" s="301"/>
      <c r="FA161" s="301"/>
      <c r="FB161" s="301"/>
      <c r="FC161" s="301"/>
      <c r="FD161" s="301"/>
      <c r="FE161" s="301"/>
      <c r="FF161" s="301"/>
      <c r="FG161" s="301"/>
      <c r="FH161" s="301"/>
      <c r="FI161" s="301"/>
      <c r="FJ161" s="301"/>
      <c r="FK161" s="301"/>
      <c r="FL161" s="301"/>
      <c r="FM161" s="301"/>
      <c r="FN161" s="301"/>
      <c r="FO161" s="301"/>
      <c r="FP161" s="301"/>
      <c r="FQ161" s="301"/>
      <c r="FR161" s="301"/>
      <c r="FS161" s="301"/>
      <c r="FT161" s="301"/>
      <c r="FU161" s="301"/>
      <c r="FV161" s="301"/>
      <c r="FW161" s="301"/>
      <c r="FX161" s="301"/>
      <c r="FY161" s="301"/>
      <c r="FZ161" s="301"/>
      <c r="GA161" s="301"/>
      <c r="GB161" s="301"/>
      <c r="GC161" s="301"/>
      <c r="GD161" s="301"/>
      <c r="GE161" s="301"/>
      <c r="GF161" s="301"/>
      <c r="GG161" s="301"/>
      <c r="GH161" s="301"/>
      <c r="GI161" s="301"/>
      <c r="GJ161" s="301"/>
      <c r="GK161" s="301"/>
      <c r="GL161" s="301"/>
      <c r="GM161" s="301"/>
      <c r="GN161" s="301"/>
      <c r="GO161" s="301"/>
      <c r="GP161" s="301"/>
      <c r="GQ161" s="301"/>
      <c r="GR161" s="301"/>
      <c r="GS161" s="301"/>
      <c r="GT161" s="301"/>
      <c r="GU161" s="301"/>
      <c r="GV161" s="301"/>
      <c r="GW161" s="301"/>
      <c r="GX161" s="301"/>
      <c r="GY161" s="301"/>
      <c r="GZ161" s="301"/>
      <c r="HA161" s="301"/>
      <c r="HB161" s="301"/>
      <c r="HC161" s="301"/>
      <c r="HD161" s="301"/>
      <c r="HE161" s="301"/>
      <c r="HF161" s="301"/>
      <c r="HG161" s="301"/>
      <c r="HH161" s="301"/>
      <c r="HI161" s="301"/>
      <c r="HJ161" s="301"/>
      <c r="HK161" s="301"/>
      <c r="HL161" s="301"/>
      <c r="HM161" s="301"/>
      <c r="HN161" s="301"/>
      <c r="HO161" s="301"/>
      <c r="HP161" s="301"/>
      <c r="HQ161" s="301"/>
      <c r="HR161" s="301"/>
      <c r="HS161" s="301"/>
      <c r="HT161" s="301"/>
      <c r="HU161" s="301"/>
      <c r="HV161" s="301"/>
      <c r="HW161" s="301"/>
      <c r="HX161" s="301"/>
      <c r="HY161" s="301"/>
      <c r="HZ161" s="301"/>
      <c r="IA161" s="301"/>
      <c r="IB161" s="301"/>
      <c r="IC161" s="301"/>
      <c r="ID161" s="301"/>
      <c r="IE161" s="301"/>
      <c r="IF161" s="301"/>
      <c r="IG161" s="301"/>
      <c r="IH161" s="301"/>
      <c r="II161" s="301"/>
      <c r="IJ161" s="301"/>
      <c r="IK161" s="301"/>
      <c r="IL161" s="301"/>
      <c r="IM161" s="301"/>
      <c r="IN161" s="301"/>
      <c r="IO161" s="301"/>
      <c r="IP161" s="301"/>
      <c r="IQ161" s="301"/>
      <c r="IR161" s="301"/>
      <c r="IS161" s="301"/>
      <c r="IT161" s="301"/>
      <c r="IU161" s="301"/>
      <c r="IV161" s="301"/>
    </row>
    <row r="162" spans="1:256" ht="15">
      <c r="A162" s="304"/>
      <c r="B162" s="339"/>
      <c r="C162" s="360"/>
      <c r="D162" s="343"/>
      <c r="E162" s="340" t="s">
        <v>849</v>
      </c>
      <c r="F162" s="304"/>
      <c r="G162" s="304"/>
      <c r="H162" s="304"/>
      <c r="I162" s="329"/>
      <c r="J162" s="329"/>
      <c r="K162" s="334">
        <f>ROUND(K161,0)</f>
        <v>5997</v>
      </c>
      <c r="L162" s="301"/>
      <c r="M162" s="301"/>
      <c r="N162" s="301"/>
      <c r="O162" s="301"/>
      <c r="P162" s="301"/>
      <c r="Q162" s="301"/>
      <c r="R162" s="301"/>
      <c r="S162" s="301"/>
      <c r="T162" s="301"/>
      <c r="U162" s="301"/>
      <c r="V162" s="301"/>
      <c r="W162" s="301"/>
      <c r="X162" s="301"/>
      <c r="Y162" s="301"/>
      <c r="Z162" s="301"/>
      <c r="AA162" s="301"/>
      <c r="AB162" s="301"/>
      <c r="AC162" s="301"/>
      <c r="AD162" s="301"/>
      <c r="AE162" s="301"/>
      <c r="AF162" s="301"/>
      <c r="AG162" s="301"/>
      <c r="AH162" s="301"/>
      <c r="AI162" s="301"/>
      <c r="AJ162" s="301"/>
      <c r="AK162" s="301"/>
      <c r="AL162" s="301"/>
      <c r="AM162" s="301"/>
      <c r="AN162" s="301"/>
      <c r="AO162" s="301"/>
      <c r="AP162" s="301"/>
      <c r="AQ162" s="301"/>
      <c r="AR162" s="301"/>
      <c r="AS162" s="301"/>
      <c r="AT162" s="301"/>
      <c r="AU162" s="301"/>
      <c r="AV162" s="301"/>
      <c r="AW162" s="301"/>
      <c r="AX162" s="301"/>
      <c r="AY162" s="301"/>
      <c r="AZ162" s="301"/>
      <c r="BA162" s="301"/>
      <c r="BB162" s="301"/>
      <c r="BC162" s="301"/>
      <c r="BD162" s="301"/>
      <c r="BE162" s="301"/>
      <c r="BF162" s="301"/>
      <c r="BG162" s="301"/>
      <c r="BH162" s="301"/>
      <c r="BI162" s="301"/>
      <c r="BJ162" s="301"/>
      <c r="BK162" s="301"/>
      <c r="BL162" s="301"/>
      <c r="BM162" s="301"/>
      <c r="BN162" s="301"/>
      <c r="BO162" s="301"/>
      <c r="BP162" s="301"/>
      <c r="BQ162" s="301"/>
      <c r="BR162" s="301"/>
      <c r="BS162" s="301"/>
      <c r="BT162" s="301"/>
      <c r="BU162" s="301"/>
      <c r="BV162" s="301"/>
      <c r="BW162" s="301"/>
      <c r="BX162" s="301"/>
      <c r="BY162" s="301"/>
      <c r="BZ162" s="301"/>
      <c r="CA162" s="301"/>
      <c r="CB162" s="301"/>
      <c r="CC162" s="301"/>
      <c r="CD162" s="301"/>
      <c r="CE162" s="301"/>
      <c r="CF162" s="301"/>
      <c r="CG162" s="301"/>
      <c r="CH162" s="301"/>
      <c r="CI162" s="301"/>
      <c r="CJ162" s="301"/>
      <c r="CK162" s="301"/>
      <c r="CL162" s="301"/>
      <c r="CM162" s="301"/>
      <c r="CN162" s="301"/>
      <c r="CO162" s="301"/>
      <c r="CP162" s="301"/>
      <c r="CQ162" s="301"/>
      <c r="CR162" s="301"/>
      <c r="CS162" s="301"/>
      <c r="CT162" s="301"/>
      <c r="CU162" s="301"/>
      <c r="CV162" s="301"/>
      <c r="CW162" s="301"/>
      <c r="CX162" s="301"/>
      <c r="CY162" s="301"/>
      <c r="CZ162" s="301"/>
      <c r="DA162" s="301"/>
      <c r="DB162" s="301"/>
      <c r="DC162" s="301"/>
      <c r="DD162" s="301"/>
      <c r="DE162" s="301"/>
      <c r="DF162" s="301"/>
      <c r="DG162" s="301"/>
      <c r="DH162" s="301"/>
      <c r="DI162" s="301"/>
      <c r="DJ162" s="301"/>
      <c r="DK162" s="301"/>
      <c r="DL162" s="301"/>
      <c r="DM162" s="301"/>
      <c r="DN162" s="301"/>
      <c r="DO162" s="301"/>
      <c r="DP162" s="301"/>
      <c r="DQ162" s="301"/>
      <c r="DR162" s="301"/>
      <c r="DS162" s="301"/>
      <c r="DT162" s="301"/>
      <c r="DU162" s="301"/>
      <c r="DV162" s="301"/>
      <c r="DW162" s="301"/>
      <c r="DX162" s="301"/>
      <c r="DY162" s="301"/>
      <c r="DZ162" s="301"/>
      <c r="EA162" s="301"/>
      <c r="EB162" s="301"/>
      <c r="EC162" s="301"/>
      <c r="ED162" s="301"/>
      <c r="EE162" s="301"/>
      <c r="EF162" s="301"/>
      <c r="EG162" s="301"/>
      <c r="EH162" s="301"/>
      <c r="EI162" s="301"/>
      <c r="EJ162" s="301"/>
      <c r="EK162" s="301"/>
      <c r="EL162" s="301"/>
      <c r="EM162" s="301"/>
      <c r="EN162" s="301"/>
      <c r="EO162" s="301"/>
      <c r="EP162" s="301"/>
      <c r="EQ162" s="301"/>
      <c r="ER162" s="301"/>
      <c r="ES162" s="301"/>
      <c r="ET162" s="301"/>
      <c r="EU162" s="301"/>
      <c r="EV162" s="301"/>
      <c r="EW162" s="301"/>
      <c r="EX162" s="301"/>
      <c r="EY162" s="301"/>
      <c r="EZ162" s="301"/>
      <c r="FA162" s="301"/>
      <c r="FB162" s="301"/>
      <c r="FC162" s="301"/>
      <c r="FD162" s="301"/>
      <c r="FE162" s="301"/>
      <c r="FF162" s="301"/>
      <c r="FG162" s="301"/>
      <c r="FH162" s="301"/>
      <c r="FI162" s="301"/>
      <c r="FJ162" s="301"/>
      <c r="FK162" s="301"/>
      <c r="FL162" s="301"/>
      <c r="FM162" s="301"/>
      <c r="FN162" s="301"/>
      <c r="FO162" s="301"/>
      <c r="FP162" s="301"/>
      <c r="FQ162" s="301"/>
      <c r="FR162" s="301"/>
      <c r="FS162" s="301"/>
      <c r="FT162" s="301"/>
      <c r="FU162" s="301"/>
      <c r="FV162" s="301"/>
      <c r="FW162" s="301"/>
      <c r="FX162" s="301"/>
      <c r="FY162" s="301"/>
      <c r="FZ162" s="301"/>
      <c r="GA162" s="301"/>
      <c r="GB162" s="301"/>
      <c r="GC162" s="301"/>
      <c r="GD162" s="301"/>
      <c r="GE162" s="301"/>
      <c r="GF162" s="301"/>
      <c r="GG162" s="301"/>
      <c r="GH162" s="301"/>
      <c r="GI162" s="301"/>
      <c r="GJ162" s="301"/>
      <c r="GK162" s="301"/>
      <c r="GL162" s="301"/>
      <c r="GM162" s="301"/>
      <c r="GN162" s="301"/>
      <c r="GO162" s="301"/>
      <c r="GP162" s="301"/>
      <c r="GQ162" s="301"/>
      <c r="GR162" s="301"/>
      <c r="GS162" s="301"/>
      <c r="GT162" s="301"/>
      <c r="GU162" s="301"/>
      <c r="GV162" s="301"/>
      <c r="GW162" s="301"/>
      <c r="GX162" s="301"/>
      <c r="GY162" s="301"/>
      <c r="GZ162" s="301"/>
      <c r="HA162" s="301"/>
      <c r="HB162" s="301"/>
      <c r="HC162" s="301"/>
      <c r="HD162" s="301"/>
      <c r="HE162" s="301"/>
      <c r="HF162" s="301"/>
      <c r="HG162" s="301"/>
      <c r="HH162" s="301"/>
      <c r="HI162" s="301"/>
      <c r="HJ162" s="301"/>
      <c r="HK162" s="301"/>
      <c r="HL162" s="301"/>
      <c r="HM162" s="301"/>
      <c r="HN162" s="301"/>
      <c r="HO162" s="301"/>
      <c r="HP162" s="301"/>
      <c r="HQ162" s="301"/>
      <c r="HR162" s="301"/>
      <c r="HS162" s="301"/>
      <c r="HT162" s="301"/>
      <c r="HU162" s="301"/>
      <c r="HV162" s="301"/>
      <c r="HW162" s="301"/>
      <c r="HX162" s="301"/>
      <c r="HY162" s="301"/>
      <c r="HZ162" s="301"/>
      <c r="IA162" s="301"/>
      <c r="IB162" s="301"/>
      <c r="IC162" s="301"/>
      <c r="ID162" s="301"/>
      <c r="IE162" s="301"/>
      <c r="IF162" s="301"/>
      <c r="IG162" s="301"/>
      <c r="IH162" s="301"/>
      <c r="II162" s="301"/>
      <c r="IJ162" s="301"/>
      <c r="IK162" s="301"/>
      <c r="IL162" s="301"/>
      <c r="IM162" s="301"/>
      <c r="IN162" s="301"/>
      <c r="IO162" s="301"/>
      <c r="IP162" s="301"/>
      <c r="IQ162" s="301"/>
      <c r="IR162" s="301"/>
      <c r="IS162" s="301"/>
      <c r="IT162" s="301"/>
      <c r="IU162" s="301"/>
      <c r="IV162" s="301"/>
    </row>
    <row r="163" spans="1:256" ht="15">
      <c r="A163" s="304"/>
      <c r="B163" s="339"/>
      <c r="C163" s="360"/>
      <c r="D163" s="343"/>
      <c r="E163" s="340"/>
      <c r="F163" s="304"/>
      <c r="G163" s="304"/>
      <c r="H163" s="304"/>
      <c r="I163" s="329"/>
      <c r="J163" s="329"/>
      <c r="K163" s="333" t="s">
        <v>367</v>
      </c>
      <c r="L163" s="301"/>
      <c r="M163" s="301"/>
      <c r="N163" s="301"/>
      <c r="O163" s="301"/>
      <c r="P163" s="301"/>
      <c r="Q163" s="301"/>
      <c r="R163" s="301"/>
      <c r="S163" s="301"/>
      <c r="T163" s="301"/>
      <c r="U163" s="301"/>
      <c r="V163" s="301"/>
      <c r="W163" s="301"/>
      <c r="X163" s="301"/>
      <c r="Y163" s="301"/>
      <c r="Z163" s="301"/>
      <c r="AA163" s="301"/>
      <c r="AB163" s="301"/>
      <c r="AC163" s="301"/>
      <c r="AD163" s="301"/>
      <c r="AE163" s="301"/>
      <c r="AF163" s="301"/>
      <c r="AG163" s="301"/>
      <c r="AH163" s="301"/>
      <c r="AI163" s="301"/>
      <c r="AJ163" s="301"/>
      <c r="AK163" s="301"/>
      <c r="AL163" s="301"/>
      <c r="AM163" s="301"/>
      <c r="AN163" s="301"/>
      <c r="AO163" s="301"/>
      <c r="AP163" s="301"/>
      <c r="AQ163" s="301"/>
      <c r="AR163" s="301"/>
      <c r="AS163" s="301"/>
      <c r="AT163" s="301"/>
      <c r="AU163" s="301"/>
      <c r="AV163" s="301"/>
      <c r="AW163" s="301"/>
      <c r="AX163" s="301"/>
      <c r="AY163" s="301"/>
      <c r="AZ163" s="301"/>
      <c r="BA163" s="301"/>
      <c r="BB163" s="301"/>
      <c r="BC163" s="301"/>
      <c r="BD163" s="301"/>
      <c r="BE163" s="301"/>
      <c r="BF163" s="301"/>
      <c r="BG163" s="301"/>
      <c r="BH163" s="301"/>
      <c r="BI163" s="301"/>
      <c r="BJ163" s="301"/>
      <c r="BK163" s="301"/>
      <c r="BL163" s="301"/>
      <c r="BM163" s="301"/>
      <c r="BN163" s="301"/>
      <c r="BO163" s="301"/>
      <c r="BP163" s="301"/>
      <c r="BQ163" s="301"/>
      <c r="BR163" s="301"/>
      <c r="BS163" s="301"/>
      <c r="BT163" s="301"/>
      <c r="BU163" s="301"/>
      <c r="BV163" s="301"/>
      <c r="BW163" s="301"/>
      <c r="BX163" s="301"/>
      <c r="BY163" s="301"/>
      <c r="BZ163" s="301"/>
      <c r="CA163" s="301"/>
      <c r="CB163" s="301"/>
      <c r="CC163" s="301"/>
      <c r="CD163" s="301"/>
      <c r="CE163" s="301"/>
      <c r="CF163" s="301"/>
      <c r="CG163" s="301"/>
      <c r="CH163" s="301"/>
      <c r="CI163" s="301"/>
      <c r="CJ163" s="301"/>
      <c r="CK163" s="301"/>
      <c r="CL163" s="301"/>
      <c r="CM163" s="301"/>
      <c r="CN163" s="301"/>
      <c r="CO163" s="301"/>
      <c r="CP163" s="301"/>
      <c r="CQ163" s="301"/>
      <c r="CR163" s="301"/>
      <c r="CS163" s="301"/>
      <c r="CT163" s="301"/>
      <c r="CU163" s="301"/>
      <c r="CV163" s="301"/>
      <c r="CW163" s="301"/>
      <c r="CX163" s="301"/>
      <c r="CY163" s="301"/>
      <c r="CZ163" s="301"/>
      <c r="DA163" s="301"/>
      <c r="DB163" s="301"/>
      <c r="DC163" s="301"/>
      <c r="DD163" s="301"/>
      <c r="DE163" s="301"/>
      <c r="DF163" s="301"/>
      <c r="DG163" s="301"/>
      <c r="DH163" s="301"/>
      <c r="DI163" s="301"/>
      <c r="DJ163" s="301"/>
      <c r="DK163" s="301"/>
      <c r="DL163" s="301"/>
      <c r="DM163" s="301"/>
      <c r="DN163" s="301"/>
      <c r="DO163" s="301"/>
      <c r="DP163" s="301"/>
      <c r="DQ163" s="301"/>
      <c r="DR163" s="301"/>
      <c r="DS163" s="301"/>
      <c r="DT163" s="301"/>
      <c r="DU163" s="301"/>
      <c r="DV163" s="301"/>
      <c r="DW163" s="301"/>
      <c r="DX163" s="301"/>
      <c r="DY163" s="301"/>
      <c r="DZ163" s="301"/>
      <c r="EA163" s="301"/>
      <c r="EB163" s="301"/>
      <c r="EC163" s="301"/>
      <c r="ED163" s="301"/>
      <c r="EE163" s="301"/>
      <c r="EF163" s="301"/>
      <c r="EG163" s="301"/>
      <c r="EH163" s="301"/>
      <c r="EI163" s="301"/>
      <c r="EJ163" s="301"/>
      <c r="EK163" s="301"/>
      <c r="EL163" s="301"/>
      <c r="EM163" s="301"/>
      <c r="EN163" s="301"/>
      <c r="EO163" s="301"/>
      <c r="EP163" s="301"/>
      <c r="EQ163" s="301"/>
      <c r="ER163" s="301"/>
      <c r="ES163" s="301"/>
      <c r="ET163" s="301"/>
      <c r="EU163" s="301"/>
      <c r="EV163" s="301"/>
      <c r="EW163" s="301"/>
      <c r="EX163" s="301"/>
      <c r="EY163" s="301"/>
      <c r="EZ163" s="301"/>
      <c r="FA163" s="301"/>
      <c r="FB163" s="301"/>
      <c r="FC163" s="301"/>
      <c r="FD163" s="301"/>
      <c r="FE163" s="301"/>
      <c r="FF163" s="301"/>
      <c r="FG163" s="301"/>
      <c r="FH163" s="301"/>
      <c r="FI163" s="301"/>
      <c r="FJ163" s="301"/>
      <c r="FK163" s="301"/>
      <c r="FL163" s="301"/>
      <c r="FM163" s="301"/>
      <c r="FN163" s="301"/>
      <c r="FO163" s="301"/>
      <c r="FP163" s="301"/>
      <c r="FQ163" s="301"/>
      <c r="FR163" s="301"/>
      <c r="FS163" s="301"/>
      <c r="FT163" s="301"/>
      <c r="FU163" s="301"/>
      <c r="FV163" s="301"/>
      <c r="FW163" s="301"/>
      <c r="FX163" s="301"/>
      <c r="FY163" s="301"/>
      <c r="FZ163" s="301"/>
      <c r="GA163" s="301"/>
      <c r="GB163" s="301"/>
      <c r="GC163" s="301"/>
      <c r="GD163" s="301"/>
      <c r="GE163" s="301"/>
      <c r="GF163" s="301"/>
      <c r="GG163" s="301"/>
      <c r="GH163" s="301"/>
      <c r="GI163" s="301"/>
      <c r="GJ163" s="301"/>
      <c r="GK163" s="301"/>
      <c r="GL163" s="301"/>
      <c r="GM163" s="301"/>
      <c r="GN163" s="301"/>
      <c r="GO163" s="301"/>
      <c r="GP163" s="301"/>
      <c r="GQ163" s="301"/>
      <c r="GR163" s="301"/>
      <c r="GS163" s="301"/>
      <c r="GT163" s="301"/>
      <c r="GU163" s="301"/>
      <c r="GV163" s="301"/>
      <c r="GW163" s="301"/>
      <c r="GX163" s="301"/>
      <c r="GY163" s="301"/>
      <c r="GZ163" s="301"/>
      <c r="HA163" s="301"/>
      <c r="HB163" s="301"/>
      <c r="HC163" s="301"/>
      <c r="HD163" s="301"/>
      <c r="HE163" s="301"/>
      <c r="HF163" s="301"/>
      <c r="HG163" s="301"/>
      <c r="HH163" s="301"/>
      <c r="HI163" s="301"/>
      <c r="HJ163" s="301"/>
      <c r="HK163" s="301"/>
      <c r="HL163" s="301"/>
      <c r="HM163" s="301"/>
      <c r="HN163" s="301"/>
      <c r="HO163" s="301"/>
      <c r="HP163" s="301"/>
      <c r="HQ163" s="301"/>
      <c r="HR163" s="301"/>
      <c r="HS163" s="301"/>
      <c r="HT163" s="301"/>
      <c r="HU163" s="301"/>
      <c r="HV163" s="301"/>
      <c r="HW163" s="301"/>
      <c r="HX163" s="301"/>
      <c r="HY163" s="301"/>
      <c r="HZ163" s="301"/>
      <c r="IA163" s="301"/>
      <c r="IB163" s="301"/>
      <c r="IC163" s="301"/>
      <c r="ID163" s="301"/>
      <c r="IE163" s="301"/>
      <c r="IF163" s="301"/>
      <c r="IG163" s="301"/>
      <c r="IH163" s="301"/>
      <c r="II163" s="301"/>
      <c r="IJ163" s="301"/>
      <c r="IK163" s="301"/>
      <c r="IL163" s="301"/>
      <c r="IM163" s="301"/>
      <c r="IN163" s="301"/>
      <c r="IO163" s="301"/>
      <c r="IP163" s="301"/>
      <c r="IQ163" s="301"/>
      <c r="IR163" s="301"/>
      <c r="IS163" s="301"/>
      <c r="IT163" s="301"/>
      <c r="IU163" s="301"/>
      <c r="IV163" s="301"/>
    </row>
    <row r="733" spans="2:9" ht="15.3">
      <c r="B733" s="380"/>
      <c r="C733" s="380"/>
      <c r="D733" s="380"/>
      <c r="E733" s="380"/>
      <c r="F733" s="380"/>
      <c r="G733" s="380"/>
      <c r="H733" s="380"/>
      <c r="I733" s="380"/>
    </row>
    <row r="736" spans="2:9">
      <c r="F736" s="381"/>
    </row>
  </sheetData>
  <mergeCells count="24">
    <mergeCell ref="C35:K40"/>
    <mergeCell ref="C2:K2"/>
    <mergeCell ref="E4:K6"/>
    <mergeCell ref="C7:D7"/>
    <mergeCell ref="E7:H7"/>
    <mergeCell ref="C8:K13"/>
    <mergeCell ref="C14:D14"/>
    <mergeCell ref="C15:F15"/>
    <mergeCell ref="G15:I15"/>
    <mergeCell ref="E21:H21"/>
    <mergeCell ref="E22:H22"/>
    <mergeCell ref="E33:F33"/>
    <mergeCell ref="C140:K140"/>
    <mergeCell ref="C41:D41"/>
    <mergeCell ref="C42:F42"/>
    <mergeCell ref="E48:H48"/>
    <mergeCell ref="E50:H50"/>
    <mergeCell ref="E51:H51"/>
    <mergeCell ref="E52:H52"/>
    <mergeCell ref="E64:F64"/>
    <mergeCell ref="C66:K66"/>
    <mergeCell ref="C90:K90"/>
    <mergeCell ref="C119:K119"/>
    <mergeCell ref="E132:H132"/>
  </mergeCells>
  <printOptions horizontalCentered="1" gridLines="1"/>
  <pageMargins left="0.6" right="0.6" top="0.75" bottom="0.75" header="0.5" footer="0.5"/>
  <pageSetup paperSize="9" scale="95" orientation="portrait" r:id="rId1"/>
  <headerFooter alignWithMargins="0">
    <oddHeader>&amp;A</oddHeader>
    <oddFooter>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7">
    <tabColor rgb="FF00B0F0"/>
  </sheetPr>
  <dimension ref="A1:AD606"/>
  <sheetViews>
    <sheetView view="pageBreakPreview" topLeftCell="A469" zoomScaleSheetLayoutView="100" workbookViewId="0">
      <selection activeCell="G588" sqref="G588"/>
    </sheetView>
  </sheetViews>
  <sheetFormatPr defaultColWidth="9.15625" defaultRowHeight="15.3"/>
  <cols>
    <col min="1" max="1" width="3.41796875" style="496" customWidth="1"/>
    <col min="2" max="2" width="3.26171875" style="496" customWidth="1"/>
    <col min="3" max="3" width="38.83984375" style="415" customWidth="1"/>
    <col min="4" max="4" width="13.68359375" style="415" customWidth="1"/>
    <col min="5" max="5" width="8.83984375" style="415" customWidth="1"/>
    <col min="6" max="6" width="8.83984375" style="392" customWidth="1"/>
    <col min="7" max="7" width="9.68359375" style="497" customWidth="1"/>
    <col min="8" max="8" width="6.578125" style="392" customWidth="1"/>
    <col min="9" max="9" width="5.68359375" style="498" customWidth="1"/>
    <col min="10" max="10" width="10.578125" style="499" customWidth="1"/>
    <col min="11" max="11" width="9.26171875" style="392" customWidth="1"/>
    <col min="12" max="20" width="9.15625" style="393"/>
    <col min="21" max="21" width="9.26171875" style="393" bestFit="1" customWidth="1"/>
    <col min="22" max="23" width="9.15625" style="393"/>
    <col min="24" max="24" width="9.26171875" style="393" bestFit="1" customWidth="1"/>
    <col min="25" max="25" width="9.15625" style="393"/>
    <col min="26" max="27" width="9.26171875" style="393" bestFit="1" customWidth="1"/>
    <col min="28" max="28" width="9.15625" style="393"/>
    <col min="29" max="29" width="9.26171875" style="393" bestFit="1" customWidth="1"/>
    <col min="30" max="30" width="12.26171875" style="393" bestFit="1" customWidth="1"/>
    <col min="31" max="16384" width="9.15625" style="393"/>
  </cols>
  <sheetData>
    <row r="1" spans="1:11" ht="59.25" customHeight="1">
      <c r="A1" s="1567" t="str">
        <f>+LEAD!A2:Q2</f>
        <v>Construction of Kitchen shed at ZPHS  Bijwar(V) of Utkoor(M)</v>
      </c>
      <c r="B1" s="1567"/>
      <c r="C1" s="1567"/>
      <c r="D1" s="1567"/>
      <c r="E1" s="1567"/>
      <c r="F1" s="1567"/>
      <c r="G1" s="1567"/>
      <c r="H1" s="1567"/>
      <c r="I1" s="1567"/>
      <c r="J1" s="1567"/>
    </row>
    <row r="2" spans="1:11" ht="27" customHeight="1">
      <c r="A2" s="1562" t="s">
        <v>1356</v>
      </c>
      <c r="B2" s="1562"/>
      <c r="C2" s="1562"/>
      <c r="D2" s="1562"/>
      <c r="E2" s="1562"/>
      <c r="F2" s="1562"/>
      <c r="G2" s="1562"/>
      <c r="H2" s="1562"/>
      <c r="I2" s="1562"/>
      <c r="J2" s="1562"/>
      <c r="K2" s="394"/>
    </row>
    <row r="3" spans="1:11">
      <c r="A3" s="395"/>
      <c r="B3" s="395"/>
      <c r="C3" s="396" t="s">
        <v>115</v>
      </c>
      <c r="D3" s="397">
        <f>'C-data'!E5</f>
        <v>0</v>
      </c>
      <c r="E3" s="395"/>
      <c r="F3" s="395"/>
      <c r="G3" s="395"/>
      <c r="H3" s="395"/>
      <c r="I3" s="395"/>
      <c r="J3" s="395"/>
      <c r="K3" s="394"/>
    </row>
    <row r="4" spans="1:11">
      <c r="A4" s="395"/>
      <c r="B4" s="395"/>
      <c r="C4" s="396" t="s">
        <v>1081</v>
      </c>
      <c r="D4" s="398">
        <f>LEAD!L50</f>
        <v>0</v>
      </c>
      <c r="E4" s="395"/>
      <c r="F4" s="395"/>
      <c r="G4" s="395"/>
      <c r="H4" s="395"/>
      <c r="I4" s="395"/>
      <c r="J4" s="395"/>
      <c r="K4" s="394"/>
    </row>
    <row r="5" spans="1:11" s="402" customFormat="1" ht="30">
      <c r="A5" s="399" t="s">
        <v>149</v>
      </c>
      <c r="B5" s="399"/>
      <c r="C5" s="399" t="s">
        <v>116</v>
      </c>
      <c r="D5" s="399" t="s">
        <v>117</v>
      </c>
      <c r="E5" s="399" t="s">
        <v>534</v>
      </c>
      <c r="F5" s="399" t="s">
        <v>118</v>
      </c>
      <c r="G5" s="399" t="s">
        <v>119</v>
      </c>
      <c r="H5" s="399" t="s">
        <v>120</v>
      </c>
      <c r="I5" s="400" t="s">
        <v>118</v>
      </c>
      <c r="J5" s="400" t="s">
        <v>360</v>
      </c>
      <c r="K5" s="401"/>
    </row>
    <row r="6" spans="1:11" ht="73.5" customHeight="1">
      <c r="A6" s="403">
        <v>1</v>
      </c>
      <c r="B6" s="404"/>
      <c r="C6" s="1563" t="s">
        <v>1358</v>
      </c>
      <c r="D6" s="1564"/>
      <c r="E6" s="1564"/>
      <c r="F6" s="1564"/>
      <c r="G6" s="1564"/>
      <c r="H6" s="1564"/>
      <c r="I6" s="1564"/>
      <c r="J6" s="1565"/>
      <c r="K6" s="394"/>
    </row>
    <row r="7" spans="1:11" ht="20.25" customHeight="1">
      <c r="A7" s="405"/>
      <c r="B7" s="404" t="s">
        <v>437</v>
      </c>
      <c r="C7" s="406" t="s">
        <v>121</v>
      </c>
      <c r="D7" s="407" t="s">
        <v>902</v>
      </c>
      <c r="E7" s="408">
        <v>1</v>
      </c>
      <c r="F7" s="409" t="s">
        <v>222</v>
      </c>
      <c r="G7" s="410">
        <v>475</v>
      </c>
      <c r="H7" s="408">
        <v>1</v>
      </c>
      <c r="I7" s="408" t="str">
        <f>F7</f>
        <v>Rmt</v>
      </c>
      <c r="J7" s="408">
        <f>ROUND(E7*G7/H7,2)</f>
        <v>475</v>
      </c>
      <c r="K7" s="394"/>
    </row>
    <row r="8" spans="1:11" ht="20.25" customHeight="1">
      <c r="A8" s="405"/>
      <c r="B8" s="404"/>
      <c r="C8" s="411" t="s">
        <v>122</v>
      </c>
      <c r="D8" s="412" t="s">
        <v>976</v>
      </c>
      <c r="E8" s="397">
        <f>$D$3</f>
        <v>0</v>
      </c>
      <c r="F8" s="409"/>
      <c r="G8" s="410">
        <v>277</v>
      </c>
      <c r="H8" s="408">
        <v>1</v>
      </c>
      <c r="I8" s="408">
        <f>F8</f>
        <v>0</v>
      </c>
      <c r="J8" s="408">
        <f>ROUND(E8*G8/H8,2)</f>
        <v>0</v>
      </c>
      <c r="K8" s="394"/>
    </row>
    <row r="9" spans="1:11" ht="20.25" customHeight="1">
      <c r="A9" s="405"/>
      <c r="B9" s="404"/>
      <c r="C9" s="406"/>
      <c r="D9" s="408"/>
      <c r="E9" s="408"/>
      <c r="F9" s="409"/>
      <c r="G9" s="413"/>
      <c r="H9" s="408"/>
      <c r="I9" s="408"/>
      <c r="J9" s="408">
        <f>SUM(J7:J8)</f>
        <v>475</v>
      </c>
      <c r="K9" s="394"/>
    </row>
    <row r="10" spans="1:11" ht="20.25" customHeight="1">
      <c r="A10" s="405"/>
      <c r="B10" s="404"/>
      <c r="C10" s="414" t="s">
        <v>123</v>
      </c>
      <c r="E10" s="416">
        <f>$D$4</f>
        <v>0</v>
      </c>
      <c r="F10" s="409"/>
      <c r="G10" s="413"/>
      <c r="H10" s="408"/>
      <c r="I10" s="408"/>
      <c r="J10" s="408">
        <f>ROUND(J9*E10,2)</f>
        <v>0</v>
      </c>
      <c r="K10" s="394"/>
    </row>
    <row r="11" spans="1:11" ht="20.25" customHeight="1">
      <c r="A11" s="405"/>
      <c r="B11" s="403"/>
      <c r="C11" s="406" t="s">
        <v>124</v>
      </c>
      <c r="D11" s="417"/>
      <c r="E11" s="418"/>
      <c r="F11" s="419"/>
      <c r="G11" s="420"/>
      <c r="H11" s="418"/>
      <c r="I11" s="418"/>
      <c r="J11" s="418">
        <f>CEILING(J10+J9,0.05)</f>
        <v>475</v>
      </c>
      <c r="K11" s="394"/>
    </row>
    <row r="12" spans="1:11" ht="20.25" customHeight="1">
      <c r="A12" s="405"/>
      <c r="B12" s="403"/>
      <c r="C12" s="411"/>
      <c r="D12" s="421"/>
      <c r="E12" s="408"/>
      <c r="F12" s="422"/>
      <c r="G12" s="423"/>
      <c r="H12" s="408"/>
      <c r="I12" s="408"/>
      <c r="J12" s="408"/>
      <c r="K12" s="394"/>
    </row>
    <row r="13" spans="1:11" ht="20.25" customHeight="1">
      <c r="A13" s="405"/>
      <c r="B13" s="404" t="s">
        <v>111</v>
      </c>
      <c r="C13" s="406" t="s">
        <v>127</v>
      </c>
      <c r="D13" s="407" t="s">
        <v>903</v>
      </c>
      <c r="E13" s="408">
        <v>1</v>
      </c>
      <c r="F13" s="409" t="s">
        <v>222</v>
      </c>
      <c r="G13" s="410">
        <v>795</v>
      </c>
      <c r="H13" s="408">
        <v>1</v>
      </c>
      <c r="I13" s="408" t="str">
        <f>F13</f>
        <v>Rmt</v>
      </c>
      <c r="J13" s="408">
        <f>ROUND(E13*G13/H13,2)</f>
        <v>795</v>
      </c>
      <c r="K13" s="394"/>
    </row>
    <row r="14" spans="1:11" ht="20.25" customHeight="1">
      <c r="A14" s="405"/>
      <c r="B14" s="404"/>
      <c r="C14" s="411" t="s">
        <v>122</v>
      </c>
      <c r="D14" s="408" t="s">
        <v>977</v>
      </c>
      <c r="E14" s="397">
        <f>$D$3</f>
        <v>0</v>
      </c>
      <c r="F14" s="409"/>
      <c r="G14" s="410">
        <f>G8</f>
        <v>277</v>
      </c>
      <c r="H14" s="408">
        <v>1</v>
      </c>
      <c r="I14" s="408">
        <f>F14</f>
        <v>0</v>
      </c>
      <c r="J14" s="408">
        <f>ROUND(E14*G14/H14,2)</f>
        <v>0</v>
      </c>
      <c r="K14" s="394"/>
    </row>
    <row r="15" spans="1:11" ht="20.25" customHeight="1">
      <c r="A15" s="405"/>
      <c r="B15" s="404"/>
      <c r="C15" s="406"/>
      <c r="D15" s="408"/>
      <c r="E15" s="408"/>
      <c r="F15" s="409"/>
      <c r="G15" s="410"/>
      <c r="H15" s="408"/>
      <c r="I15" s="408"/>
      <c r="J15" s="408">
        <f>SUM(J13:J14)</f>
        <v>795</v>
      </c>
      <c r="K15" s="394"/>
    </row>
    <row r="16" spans="1:11" ht="20.25" customHeight="1">
      <c r="A16" s="405"/>
      <c r="B16" s="404"/>
      <c r="C16" s="414" t="s">
        <v>123</v>
      </c>
      <c r="E16" s="416">
        <f>$D$4</f>
        <v>0</v>
      </c>
      <c r="F16" s="409"/>
      <c r="G16" s="410"/>
      <c r="H16" s="408"/>
      <c r="I16" s="408"/>
      <c r="J16" s="408">
        <f>ROUND(J15*E16,2)</f>
        <v>0</v>
      </c>
      <c r="K16" s="394"/>
    </row>
    <row r="17" spans="1:11" ht="20.25" customHeight="1">
      <c r="A17" s="405"/>
      <c r="B17" s="403"/>
      <c r="C17" s="406" t="s">
        <v>124</v>
      </c>
      <c r="D17" s="417"/>
      <c r="E17" s="418"/>
      <c r="F17" s="419"/>
      <c r="G17" s="424"/>
      <c r="H17" s="418"/>
      <c r="I17" s="418"/>
      <c r="J17" s="418">
        <f>CEILING(J16+J15,0.05)</f>
        <v>795</v>
      </c>
      <c r="K17" s="394"/>
    </row>
    <row r="18" spans="1:11" ht="20.25" customHeight="1">
      <c r="A18" s="405"/>
      <c r="B18" s="403"/>
      <c r="C18" s="406"/>
      <c r="D18" s="417"/>
      <c r="E18" s="418"/>
      <c r="F18" s="419"/>
      <c r="G18" s="424"/>
      <c r="H18" s="418"/>
      <c r="I18" s="418"/>
      <c r="J18" s="418"/>
      <c r="K18" s="394"/>
    </row>
    <row r="19" spans="1:11" ht="20.25" hidden="1" customHeight="1">
      <c r="A19" s="405"/>
      <c r="B19" s="404" t="s">
        <v>549</v>
      </c>
      <c r="C19" s="406" t="s">
        <v>126</v>
      </c>
      <c r="D19" s="407" t="s">
        <v>962</v>
      </c>
      <c r="E19" s="408">
        <v>1</v>
      </c>
      <c r="F19" s="409" t="s">
        <v>222</v>
      </c>
      <c r="G19" s="410">
        <v>500</v>
      </c>
      <c r="H19" s="408">
        <v>1</v>
      </c>
      <c r="I19" s="408" t="str">
        <f>F19</f>
        <v>Rmt</v>
      </c>
      <c r="J19" s="408">
        <f>ROUND(E19*G19/H19,2)</f>
        <v>500</v>
      </c>
      <c r="K19" s="394"/>
    </row>
    <row r="20" spans="1:11" ht="20.25" hidden="1" customHeight="1">
      <c r="A20" s="405"/>
      <c r="B20" s="403"/>
      <c r="C20" s="411" t="s">
        <v>122</v>
      </c>
      <c r="D20" s="408" t="s">
        <v>977</v>
      </c>
      <c r="E20" s="397">
        <f>$D$3</f>
        <v>0</v>
      </c>
      <c r="F20" s="409"/>
      <c r="G20" s="410">
        <v>344</v>
      </c>
      <c r="H20" s="408">
        <v>1</v>
      </c>
      <c r="I20" s="408">
        <f>F20</f>
        <v>0</v>
      </c>
      <c r="J20" s="408">
        <f>ROUND(E20*G20/H20,2)</f>
        <v>0</v>
      </c>
      <c r="K20" s="394"/>
    </row>
    <row r="21" spans="1:11" ht="20.25" hidden="1" customHeight="1">
      <c r="A21" s="405"/>
      <c r="B21" s="403"/>
      <c r="C21" s="406"/>
      <c r="D21" s="408"/>
      <c r="E21" s="408"/>
      <c r="F21" s="409"/>
      <c r="G21" s="410"/>
      <c r="H21" s="408"/>
      <c r="I21" s="408"/>
      <c r="J21" s="408">
        <f>SUM(J19:J20)</f>
        <v>500</v>
      </c>
      <c r="K21" s="394"/>
    </row>
    <row r="22" spans="1:11" ht="20.25" hidden="1" customHeight="1">
      <c r="A22" s="405"/>
      <c r="B22" s="403"/>
      <c r="C22" s="414" t="s">
        <v>123</v>
      </c>
      <c r="E22" s="416">
        <f>$D$4</f>
        <v>0</v>
      </c>
      <c r="F22" s="409"/>
      <c r="G22" s="410"/>
      <c r="H22" s="408"/>
      <c r="I22" s="408"/>
      <c r="J22" s="408">
        <f>ROUND(J21*E22,2)</f>
        <v>0</v>
      </c>
      <c r="K22" s="394"/>
    </row>
    <row r="23" spans="1:11" ht="20.25" hidden="1" customHeight="1">
      <c r="A23" s="405"/>
      <c r="B23" s="403"/>
      <c r="C23" s="406" t="s">
        <v>124</v>
      </c>
      <c r="D23" s="417"/>
      <c r="E23" s="418"/>
      <c r="F23" s="419"/>
      <c r="G23" s="424"/>
      <c r="H23" s="418"/>
      <c r="I23" s="418"/>
      <c r="J23" s="418">
        <f>CEILING(J22+J21,0.05)</f>
        <v>500</v>
      </c>
      <c r="K23" s="394"/>
    </row>
    <row r="24" spans="1:11" ht="20.25" hidden="1" customHeight="1">
      <c r="A24" s="405"/>
      <c r="B24" s="403"/>
      <c r="C24" s="406"/>
      <c r="D24" s="417"/>
      <c r="E24" s="418"/>
      <c r="F24" s="419"/>
      <c r="G24" s="424"/>
      <c r="H24" s="418"/>
      <c r="I24" s="418"/>
      <c r="J24" s="418"/>
      <c r="K24" s="394"/>
    </row>
    <row r="25" spans="1:11" ht="20.25" hidden="1" customHeight="1">
      <c r="A25" s="405"/>
      <c r="B25" s="404" t="s">
        <v>551</v>
      </c>
      <c r="C25" s="406" t="s">
        <v>125</v>
      </c>
      <c r="D25" s="407" t="s">
        <v>963</v>
      </c>
      <c r="E25" s="408">
        <v>1</v>
      </c>
      <c r="F25" s="409" t="s">
        <v>222</v>
      </c>
      <c r="G25" s="410">
        <v>722</v>
      </c>
      <c r="H25" s="408">
        <v>1</v>
      </c>
      <c r="I25" s="408" t="str">
        <f>F25</f>
        <v>Rmt</v>
      </c>
      <c r="J25" s="408">
        <f>ROUND(E25*G25/H25,2)</f>
        <v>722</v>
      </c>
      <c r="K25" s="394"/>
    </row>
    <row r="26" spans="1:11" ht="20.25" hidden="1" customHeight="1">
      <c r="A26" s="405"/>
      <c r="B26" s="403"/>
      <c r="C26" s="411" t="s">
        <v>122</v>
      </c>
      <c r="D26" s="408" t="s">
        <v>976</v>
      </c>
      <c r="E26" s="397">
        <f>$D$3</f>
        <v>0</v>
      </c>
      <c r="F26" s="409"/>
      <c r="G26" s="410">
        <v>344</v>
      </c>
      <c r="H26" s="408">
        <v>1</v>
      </c>
      <c r="I26" s="408">
        <f>F26</f>
        <v>0</v>
      </c>
      <c r="J26" s="408">
        <f>ROUND(E26*G26/H26,2)</f>
        <v>0</v>
      </c>
      <c r="K26" s="394"/>
    </row>
    <row r="27" spans="1:11" ht="20.25" hidden="1" customHeight="1">
      <c r="A27" s="405"/>
      <c r="B27" s="403"/>
      <c r="C27" s="406"/>
      <c r="D27" s="408"/>
      <c r="E27" s="408"/>
      <c r="F27" s="409"/>
      <c r="G27" s="413"/>
      <c r="H27" s="408"/>
      <c r="I27" s="408"/>
      <c r="J27" s="408">
        <f>SUM(J25:J26)</f>
        <v>722</v>
      </c>
      <c r="K27" s="394"/>
    </row>
    <row r="28" spans="1:11" ht="20.25" hidden="1" customHeight="1">
      <c r="A28" s="405"/>
      <c r="B28" s="403"/>
      <c r="C28" s="414" t="s">
        <v>123</v>
      </c>
      <c r="E28" s="416">
        <f>$D$4</f>
        <v>0</v>
      </c>
      <c r="F28" s="409"/>
      <c r="G28" s="413"/>
      <c r="H28" s="408"/>
      <c r="I28" s="408"/>
      <c r="J28" s="408">
        <f>ROUND(J27*E28,2)</f>
        <v>0</v>
      </c>
      <c r="K28" s="394"/>
    </row>
    <row r="29" spans="1:11" ht="20.25" hidden="1" customHeight="1">
      <c r="A29" s="405"/>
      <c r="B29" s="403"/>
      <c r="C29" s="406" t="s">
        <v>124</v>
      </c>
      <c r="D29" s="417"/>
      <c r="E29" s="418"/>
      <c r="F29" s="419"/>
      <c r="G29" s="420"/>
      <c r="H29" s="418"/>
      <c r="I29" s="418"/>
      <c r="J29" s="418">
        <f>CEILING(J28+J27,0.05)</f>
        <v>722</v>
      </c>
      <c r="K29" s="394"/>
    </row>
    <row r="30" spans="1:11" hidden="1">
      <c r="A30" s="405"/>
      <c r="B30" s="403"/>
      <c r="C30" s="406"/>
      <c r="D30" s="417"/>
      <c r="E30" s="418"/>
      <c r="F30" s="419"/>
      <c r="G30" s="420"/>
      <c r="H30" s="418"/>
      <c r="I30" s="418"/>
      <c r="J30" s="418"/>
      <c r="K30" s="394"/>
    </row>
    <row r="31" spans="1:11" ht="141" customHeight="1">
      <c r="A31" s="403">
        <f>A6+1</f>
        <v>2</v>
      </c>
      <c r="B31" s="403"/>
      <c r="C31" s="1563" t="s">
        <v>1359</v>
      </c>
      <c r="D31" s="1564"/>
      <c r="E31" s="1564"/>
      <c r="F31" s="1564"/>
      <c r="G31" s="1564"/>
      <c r="H31" s="1564"/>
      <c r="I31" s="1564"/>
      <c r="J31" s="1565"/>
      <c r="K31" s="394"/>
    </row>
    <row r="32" spans="1:11" ht="18.75" customHeight="1">
      <c r="A32" s="403"/>
      <c r="B32" s="403"/>
      <c r="C32" s="411" t="s">
        <v>128</v>
      </c>
      <c r="D32" s="407" t="s">
        <v>966</v>
      </c>
      <c r="E32" s="408">
        <v>1</v>
      </c>
      <c r="F32" s="409" t="s">
        <v>327</v>
      </c>
      <c r="G32" s="413">
        <v>7835</v>
      </c>
      <c r="H32" s="408">
        <v>1</v>
      </c>
      <c r="I32" s="408" t="str">
        <f>F32</f>
        <v>Nos</v>
      </c>
      <c r="J32" s="408">
        <f>ROUND(E32*G32/H32,2)</f>
        <v>7835</v>
      </c>
      <c r="K32" s="394"/>
    </row>
    <row r="33" spans="1:11" ht="18.75" customHeight="1">
      <c r="A33" s="403"/>
      <c r="B33" s="403"/>
      <c r="C33" s="411" t="s">
        <v>122</v>
      </c>
      <c r="D33" s="408"/>
      <c r="E33" s="397">
        <f>$D$3</f>
        <v>0</v>
      </c>
      <c r="F33" s="409" t="s">
        <v>327</v>
      </c>
      <c r="G33" s="413"/>
      <c r="H33" s="408">
        <v>1</v>
      </c>
      <c r="I33" s="408" t="str">
        <f>F33</f>
        <v>Nos</v>
      </c>
      <c r="J33" s="408">
        <f>ROUND(E33*G33/H33,2)</f>
        <v>0</v>
      </c>
      <c r="K33" s="394"/>
    </row>
    <row r="34" spans="1:11" ht="18.75" customHeight="1">
      <c r="A34" s="403"/>
      <c r="B34" s="403"/>
      <c r="C34" s="406"/>
      <c r="D34" s="408"/>
      <c r="E34" s="408"/>
      <c r="F34" s="409"/>
      <c r="G34" s="413"/>
      <c r="H34" s="408"/>
      <c r="I34" s="408"/>
      <c r="J34" s="408">
        <f>SUM(J32:J33)</f>
        <v>7835</v>
      </c>
      <c r="K34" s="394"/>
    </row>
    <row r="35" spans="1:11" ht="18.75" customHeight="1">
      <c r="A35" s="403"/>
      <c r="B35" s="403"/>
      <c r="C35" s="414" t="s">
        <v>123</v>
      </c>
      <c r="E35" s="416">
        <f>$D$4</f>
        <v>0</v>
      </c>
      <c r="F35" s="409"/>
      <c r="G35" s="413"/>
      <c r="H35" s="408"/>
      <c r="I35" s="408"/>
      <c r="J35" s="408">
        <f>ROUND(J34*E35,2)</f>
        <v>0</v>
      </c>
      <c r="K35" s="394"/>
    </row>
    <row r="36" spans="1:11" ht="18.75" customHeight="1">
      <c r="A36" s="403"/>
      <c r="B36" s="403"/>
      <c r="C36" s="406" t="s">
        <v>129</v>
      </c>
      <c r="D36" s="417"/>
      <c r="E36" s="418"/>
      <c r="F36" s="419"/>
      <c r="G36" s="420"/>
      <c r="H36" s="418"/>
      <c r="I36" s="418"/>
      <c r="J36" s="418">
        <f>CEILING(J35+J34,0.05)</f>
        <v>7835</v>
      </c>
      <c r="K36" s="394"/>
    </row>
    <row r="37" spans="1:11" ht="142.5" hidden="1" customHeight="1">
      <c r="A37" s="403">
        <f>A31+1</f>
        <v>3</v>
      </c>
      <c r="B37" s="403"/>
      <c r="C37" s="1563" t="s">
        <v>1360</v>
      </c>
      <c r="D37" s="1564"/>
      <c r="E37" s="1564"/>
      <c r="F37" s="1564"/>
      <c r="G37" s="1564"/>
      <c r="H37" s="1564"/>
      <c r="I37" s="1564"/>
      <c r="J37" s="1565"/>
      <c r="K37" s="394"/>
    </row>
    <row r="38" spans="1:11" hidden="1">
      <c r="A38" s="403"/>
      <c r="B38" s="403"/>
      <c r="C38" s="411" t="s">
        <v>128</v>
      </c>
      <c r="D38" s="407" t="s">
        <v>1029</v>
      </c>
      <c r="E38" s="408">
        <v>1</v>
      </c>
      <c r="F38" s="409" t="s">
        <v>327</v>
      </c>
      <c r="G38" s="413">
        <v>11865</v>
      </c>
      <c r="H38" s="408">
        <v>1</v>
      </c>
      <c r="I38" s="408" t="str">
        <f>F38</f>
        <v>Nos</v>
      </c>
      <c r="J38" s="408">
        <f>ROUND(E38*G38/H38,2)</f>
        <v>11865</v>
      </c>
      <c r="K38" s="394"/>
    </row>
    <row r="39" spans="1:11" hidden="1">
      <c r="A39" s="403"/>
      <c r="B39" s="403"/>
      <c r="C39" s="411" t="s">
        <v>122</v>
      </c>
      <c r="D39" s="408"/>
      <c r="E39" s="397">
        <f>$D$3</f>
        <v>0</v>
      </c>
      <c r="F39" s="409" t="s">
        <v>327</v>
      </c>
      <c r="G39" s="413"/>
      <c r="H39" s="408">
        <v>1</v>
      </c>
      <c r="I39" s="408" t="str">
        <f>F39</f>
        <v>Nos</v>
      </c>
      <c r="J39" s="408">
        <f>ROUND(E39*G39/H39,2)</f>
        <v>0</v>
      </c>
      <c r="K39" s="394"/>
    </row>
    <row r="40" spans="1:11" hidden="1">
      <c r="A40" s="403"/>
      <c r="B40" s="403"/>
      <c r="C40" s="406"/>
      <c r="D40" s="408"/>
      <c r="E40" s="408"/>
      <c r="F40" s="409"/>
      <c r="G40" s="413"/>
      <c r="H40" s="408"/>
      <c r="I40" s="408"/>
      <c r="J40" s="408">
        <f>SUM(J38:J39)</f>
        <v>11865</v>
      </c>
      <c r="K40" s="394"/>
    </row>
    <row r="41" spans="1:11" hidden="1">
      <c r="A41" s="403"/>
      <c r="B41" s="403"/>
      <c r="C41" s="414" t="s">
        <v>123</v>
      </c>
      <c r="E41" s="425">
        <f>$D$4</f>
        <v>0</v>
      </c>
      <c r="F41" s="409"/>
      <c r="G41" s="413"/>
      <c r="H41" s="408"/>
      <c r="I41" s="408"/>
      <c r="J41" s="408">
        <f>ROUND(J40*E41,2)</f>
        <v>0</v>
      </c>
      <c r="K41" s="394"/>
    </row>
    <row r="42" spans="1:11" hidden="1">
      <c r="A42" s="403"/>
      <c r="B42" s="403"/>
      <c r="C42" s="406" t="s">
        <v>129</v>
      </c>
      <c r="D42" s="417"/>
      <c r="E42" s="418"/>
      <c r="F42" s="419"/>
      <c r="G42" s="420"/>
      <c r="H42" s="418"/>
      <c r="I42" s="418"/>
      <c r="J42" s="418">
        <f>CEILING(J41+J40,0.05)</f>
        <v>11865</v>
      </c>
      <c r="K42" s="394"/>
    </row>
    <row r="43" spans="1:11" hidden="1">
      <c r="A43" s="403"/>
      <c r="B43" s="403"/>
      <c r="C43" s="406"/>
      <c r="D43" s="417"/>
      <c r="E43" s="418"/>
      <c r="F43" s="419"/>
      <c r="G43" s="420"/>
      <c r="H43" s="418"/>
      <c r="I43" s="418"/>
      <c r="J43" s="418"/>
      <c r="K43" s="394"/>
    </row>
    <row r="44" spans="1:11" ht="147" hidden="1" customHeight="1">
      <c r="A44" s="403">
        <v>4</v>
      </c>
      <c r="B44" s="403"/>
      <c r="C44" s="1563" t="s">
        <v>1361</v>
      </c>
      <c r="D44" s="1564"/>
      <c r="E44" s="1564"/>
      <c r="F44" s="1564"/>
      <c r="G44" s="1564"/>
      <c r="H44" s="1564"/>
      <c r="I44" s="1564"/>
      <c r="J44" s="1565"/>
      <c r="K44" s="394"/>
    </row>
    <row r="45" spans="1:11" hidden="1">
      <c r="A45" s="403"/>
      <c r="B45" s="403"/>
      <c r="C45" s="411" t="s">
        <v>128</v>
      </c>
      <c r="D45" s="407" t="s">
        <v>965</v>
      </c>
      <c r="E45" s="408">
        <v>1</v>
      </c>
      <c r="F45" s="409" t="s">
        <v>327</v>
      </c>
      <c r="G45" s="413">
        <v>11912</v>
      </c>
      <c r="H45" s="408">
        <v>1</v>
      </c>
      <c r="I45" s="408" t="str">
        <f>F45</f>
        <v>Nos</v>
      </c>
      <c r="J45" s="408">
        <f>ROUND(E45*G45/H45,2)</f>
        <v>11912</v>
      </c>
      <c r="K45" s="394"/>
    </row>
    <row r="46" spans="1:11" hidden="1">
      <c r="A46" s="403"/>
      <c r="B46" s="403"/>
      <c r="C46" s="411" t="s">
        <v>122</v>
      </c>
      <c r="D46" s="408" t="s">
        <v>1033</v>
      </c>
      <c r="E46" s="397">
        <f>$D$3</f>
        <v>0</v>
      </c>
      <c r="F46" s="409" t="s">
        <v>327</v>
      </c>
      <c r="G46" s="413">
        <f>G39</f>
        <v>0</v>
      </c>
      <c r="H46" s="408">
        <v>1</v>
      </c>
      <c r="I46" s="408" t="str">
        <f>F46</f>
        <v>Nos</v>
      </c>
      <c r="J46" s="408">
        <f>ROUND(E46*G46/H46,2)</f>
        <v>0</v>
      </c>
      <c r="K46" s="394"/>
    </row>
    <row r="47" spans="1:11" hidden="1">
      <c r="A47" s="403"/>
      <c r="B47" s="403"/>
      <c r="C47" s="406"/>
      <c r="D47" s="408"/>
      <c r="E47" s="408"/>
      <c r="F47" s="409"/>
      <c r="G47" s="413"/>
      <c r="H47" s="408"/>
      <c r="I47" s="408"/>
      <c r="J47" s="408">
        <f>SUM(J45:J46)</f>
        <v>11912</v>
      </c>
      <c r="K47" s="394"/>
    </row>
    <row r="48" spans="1:11" hidden="1">
      <c r="A48" s="403"/>
      <c r="B48" s="403"/>
      <c r="C48" s="414" t="s">
        <v>123</v>
      </c>
      <c r="E48" s="416">
        <f>$D$4</f>
        <v>0</v>
      </c>
      <c r="F48" s="409"/>
      <c r="G48" s="413"/>
      <c r="H48" s="408"/>
      <c r="I48" s="408"/>
      <c r="J48" s="408">
        <f>ROUND(J47*E48,2)</f>
        <v>0</v>
      </c>
      <c r="K48" s="394"/>
    </row>
    <row r="49" spans="1:11" hidden="1">
      <c r="A49" s="403"/>
      <c r="B49" s="403"/>
      <c r="C49" s="406" t="s">
        <v>129</v>
      </c>
      <c r="D49" s="417"/>
      <c r="E49" s="418"/>
      <c r="F49" s="419"/>
      <c r="G49" s="420"/>
      <c r="H49" s="418"/>
      <c r="I49" s="418"/>
      <c r="J49" s="418">
        <f>CEILING(J48+J47,0.05)</f>
        <v>11912</v>
      </c>
      <c r="K49" s="394"/>
    </row>
    <row r="50" spans="1:11" ht="15" hidden="1" customHeight="1">
      <c r="A50" s="403"/>
      <c r="B50" s="403"/>
      <c r="C50" s="406"/>
      <c r="D50" s="417"/>
      <c r="E50" s="418"/>
      <c r="F50" s="419"/>
      <c r="G50" s="420"/>
      <c r="H50" s="418"/>
      <c r="I50" s="418"/>
      <c r="J50" s="418"/>
      <c r="K50" s="394"/>
    </row>
    <row r="51" spans="1:11" ht="147.75" hidden="1" customHeight="1">
      <c r="A51" s="403">
        <v>5</v>
      </c>
      <c r="B51" s="403"/>
      <c r="C51" s="1563" t="s">
        <v>1362</v>
      </c>
      <c r="D51" s="1564"/>
      <c r="E51" s="1564"/>
      <c r="F51" s="1564"/>
      <c r="G51" s="1564"/>
      <c r="H51" s="1564"/>
      <c r="I51" s="1564"/>
      <c r="J51" s="1565"/>
      <c r="K51" s="394"/>
    </row>
    <row r="52" spans="1:11" hidden="1">
      <c r="A52" s="403"/>
      <c r="B52" s="403"/>
      <c r="C52" s="411" t="s">
        <v>128</v>
      </c>
      <c r="D52" s="407" t="s">
        <v>964</v>
      </c>
      <c r="E52" s="408">
        <v>1</v>
      </c>
      <c r="F52" s="409" t="s">
        <v>327</v>
      </c>
      <c r="G52" s="413">
        <v>7475</v>
      </c>
      <c r="H52" s="408">
        <v>1</v>
      </c>
      <c r="I52" s="408" t="str">
        <f>F52</f>
        <v>Nos</v>
      </c>
      <c r="J52" s="408">
        <f>ROUND(E52*G52/H52,2)</f>
        <v>7475</v>
      </c>
      <c r="K52" s="394"/>
    </row>
    <row r="53" spans="1:11" hidden="1">
      <c r="A53" s="403"/>
      <c r="B53" s="403"/>
      <c r="C53" s="411" t="s">
        <v>122</v>
      </c>
      <c r="D53" s="408"/>
      <c r="E53" s="397">
        <f>$D$3</f>
        <v>0</v>
      </c>
      <c r="F53" s="409" t="s">
        <v>327</v>
      </c>
      <c r="G53" s="413">
        <f>G46</f>
        <v>0</v>
      </c>
      <c r="H53" s="408">
        <v>1</v>
      </c>
      <c r="I53" s="408" t="str">
        <f>F53</f>
        <v>Nos</v>
      </c>
      <c r="J53" s="408">
        <f>ROUND(E53*G53/H53,2)</f>
        <v>0</v>
      </c>
      <c r="K53" s="394"/>
    </row>
    <row r="54" spans="1:11" hidden="1">
      <c r="A54" s="403"/>
      <c r="B54" s="403"/>
      <c r="C54" s="406"/>
      <c r="D54" s="408"/>
      <c r="E54" s="408"/>
      <c r="F54" s="409"/>
      <c r="G54" s="413"/>
      <c r="H54" s="408"/>
      <c r="I54" s="408"/>
      <c r="J54" s="408">
        <f>SUM(J52:J53)</f>
        <v>7475</v>
      </c>
      <c r="K54" s="394"/>
    </row>
    <row r="55" spans="1:11" hidden="1">
      <c r="A55" s="403"/>
      <c r="B55" s="403"/>
      <c r="C55" s="414" t="s">
        <v>123</v>
      </c>
      <c r="E55" s="425">
        <f>$D$4</f>
        <v>0</v>
      </c>
      <c r="F55" s="409"/>
      <c r="G55" s="413"/>
      <c r="H55" s="408"/>
      <c r="I55" s="408"/>
      <c r="J55" s="408">
        <f>ROUND(J54*E55,2)</f>
        <v>0</v>
      </c>
      <c r="K55" s="394"/>
    </row>
    <row r="56" spans="1:11" ht="18" hidden="1" customHeight="1">
      <c r="A56" s="403"/>
      <c r="B56" s="403"/>
      <c r="C56" s="406" t="s">
        <v>129</v>
      </c>
      <c r="D56" s="417"/>
      <c r="E56" s="418"/>
      <c r="F56" s="419"/>
      <c r="G56" s="420"/>
      <c r="H56" s="418"/>
      <c r="I56" s="418"/>
      <c r="J56" s="418">
        <f>CEILING(J55+J54,0.05)</f>
        <v>7475</v>
      </c>
      <c r="K56" s="394"/>
    </row>
    <row r="57" spans="1:11" ht="129" hidden="1" customHeight="1">
      <c r="A57" s="403"/>
      <c r="B57" s="403"/>
      <c r="C57" s="1551" t="s">
        <v>1363</v>
      </c>
      <c r="D57" s="1552"/>
      <c r="E57" s="1552"/>
      <c r="F57" s="1552"/>
      <c r="G57" s="1552"/>
      <c r="H57" s="1552"/>
      <c r="I57" s="1552"/>
      <c r="J57" s="1553"/>
      <c r="K57" s="394"/>
    </row>
    <row r="58" spans="1:11" ht="18" hidden="1" customHeight="1">
      <c r="A58" s="405"/>
      <c r="B58" s="403"/>
      <c r="C58" s="411" t="s">
        <v>128</v>
      </c>
      <c r="D58" s="407" t="s">
        <v>965</v>
      </c>
      <c r="E58" s="408">
        <v>1</v>
      </c>
      <c r="F58" s="409" t="s">
        <v>327</v>
      </c>
      <c r="G58" s="413">
        <v>11752</v>
      </c>
      <c r="H58" s="408">
        <v>1</v>
      </c>
      <c r="I58" s="408" t="str">
        <f>F58</f>
        <v>Nos</v>
      </c>
      <c r="J58" s="408">
        <f>ROUND(E58*G58/H58,2)</f>
        <v>11752</v>
      </c>
      <c r="K58" s="394"/>
    </row>
    <row r="59" spans="1:11" ht="18" hidden="1" customHeight="1">
      <c r="A59" s="405"/>
      <c r="B59" s="403"/>
      <c r="C59" s="411" t="s">
        <v>122</v>
      </c>
      <c r="D59" s="408"/>
      <c r="E59" s="397">
        <f>$D$3</f>
        <v>0</v>
      </c>
      <c r="F59" s="409" t="s">
        <v>327</v>
      </c>
      <c r="G59" s="413">
        <f>G53</f>
        <v>0</v>
      </c>
      <c r="H59" s="408">
        <v>1</v>
      </c>
      <c r="I59" s="408" t="str">
        <f>F59</f>
        <v>Nos</v>
      </c>
      <c r="J59" s="408">
        <f>ROUND(E59*G59/H59,2)</f>
        <v>0</v>
      </c>
      <c r="K59" s="394"/>
    </row>
    <row r="60" spans="1:11" ht="18" hidden="1" customHeight="1">
      <c r="A60" s="405"/>
      <c r="B60" s="403"/>
      <c r="C60" s="406"/>
      <c r="D60" s="408"/>
      <c r="E60" s="408"/>
      <c r="F60" s="409"/>
      <c r="G60" s="413"/>
      <c r="H60" s="408"/>
      <c r="I60" s="408"/>
      <c r="J60" s="408">
        <f>SUM(J58:J59)</f>
        <v>11752</v>
      </c>
      <c r="K60" s="394"/>
    </row>
    <row r="61" spans="1:11" ht="18" hidden="1" customHeight="1">
      <c r="A61" s="405"/>
      <c r="B61" s="403"/>
      <c r="C61" s="414" t="s">
        <v>123</v>
      </c>
      <c r="E61" s="416">
        <f>$D$4</f>
        <v>0</v>
      </c>
      <c r="F61" s="409"/>
      <c r="G61" s="413"/>
      <c r="H61" s="408"/>
      <c r="I61" s="408"/>
      <c r="J61" s="408">
        <f>ROUND(J60*E61,2)</f>
        <v>0</v>
      </c>
      <c r="K61" s="394"/>
    </row>
    <row r="62" spans="1:11" ht="18" hidden="1" customHeight="1">
      <c r="A62" s="405"/>
      <c r="B62" s="403"/>
      <c r="C62" s="406" t="s">
        <v>129</v>
      </c>
      <c r="D62" s="417"/>
      <c r="E62" s="418"/>
      <c r="F62" s="419"/>
      <c r="G62" s="420"/>
      <c r="H62" s="418"/>
      <c r="I62" s="418"/>
      <c r="J62" s="418">
        <f>CEILING(J61+J60,0.05)</f>
        <v>11752</v>
      </c>
      <c r="K62" s="394"/>
    </row>
    <row r="63" spans="1:11" ht="80.25" customHeight="1">
      <c r="A63" s="403">
        <v>3</v>
      </c>
      <c r="B63" s="403"/>
      <c r="C63" s="1563" t="s">
        <v>1364</v>
      </c>
      <c r="D63" s="1564"/>
      <c r="E63" s="1564"/>
      <c r="F63" s="1564"/>
      <c r="G63" s="1564"/>
      <c r="H63" s="1564"/>
      <c r="I63" s="1564"/>
      <c r="J63" s="1565"/>
      <c r="K63" s="394"/>
    </row>
    <row r="64" spans="1:11">
      <c r="A64" s="403"/>
      <c r="B64" s="403"/>
      <c r="C64" s="411" t="s">
        <v>130</v>
      </c>
      <c r="D64" s="407" t="s">
        <v>904</v>
      </c>
      <c r="E64" s="408">
        <v>1</v>
      </c>
      <c r="F64" s="409" t="s">
        <v>327</v>
      </c>
      <c r="G64" s="413">
        <v>693</v>
      </c>
      <c r="H64" s="408">
        <v>1</v>
      </c>
      <c r="I64" s="408" t="str">
        <f>F64</f>
        <v>Nos</v>
      </c>
      <c r="J64" s="408">
        <f>ROUND(E64*G64/H64,2)</f>
        <v>693</v>
      </c>
      <c r="K64" s="394"/>
    </row>
    <row r="65" spans="1:11">
      <c r="A65" s="403"/>
      <c r="B65" s="403"/>
      <c r="C65" s="411" t="s">
        <v>122</v>
      </c>
      <c r="D65" s="426" t="s">
        <v>930</v>
      </c>
      <c r="E65" s="397">
        <f>$D$3</f>
        <v>0</v>
      </c>
      <c r="F65" s="409"/>
      <c r="G65" s="413"/>
      <c r="H65" s="408">
        <v>1</v>
      </c>
      <c r="I65" s="408">
        <f>F65</f>
        <v>0</v>
      </c>
      <c r="J65" s="408">
        <f>ROUND(E65*G65/H65,2)</f>
        <v>0</v>
      </c>
      <c r="K65" s="394"/>
    </row>
    <row r="66" spans="1:11">
      <c r="A66" s="403"/>
      <c r="B66" s="403"/>
      <c r="C66" s="406"/>
      <c r="D66" s="408"/>
      <c r="E66" s="408"/>
      <c r="F66" s="409"/>
      <c r="G66" s="413"/>
      <c r="H66" s="408"/>
      <c r="I66" s="408"/>
      <c r="J66" s="408">
        <f>SUM(J64:J65)</f>
        <v>693</v>
      </c>
      <c r="K66" s="394"/>
    </row>
    <row r="67" spans="1:11">
      <c r="A67" s="403"/>
      <c r="B67" s="403"/>
      <c r="C67" s="414" t="s">
        <v>123</v>
      </c>
      <c r="E67" s="416">
        <f>$D$4</f>
        <v>0</v>
      </c>
      <c r="F67" s="409"/>
      <c r="G67" s="413"/>
      <c r="H67" s="408"/>
      <c r="I67" s="408"/>
      <c r="J67" s="408">
        <f>ROUND(J66*E67,2)</f>
        <v>0</v>
      </c>
      <c r="K67" s="394"/>
    </row>
    <row r="68" spans="1:11">
      <c r="A68" s="403"/>
      <c r="B68" s="403"/>
      <c r="C68" s="406" t="s">
        <v>129</v>
      </c>
      <c r="D68" s="417"/>
      <c r="E68" s="418"/>
      <c r="F68" s="419"/>
      <c r="G68" s="420"/>
      <c r="H68" s="418"/>
      <c r="I68" s="418"/>
      <c r="J68" s="418">
        <f>CEILING(J67+J66,0.05)</f>
        <v>693</v>
      </c>
      <c r="K68" s="394"/>
    </row>
    <row r="69" spans="1:11">
      <c r="A69" s="403"/>
      <c r="B69" s="403"/>
      <c r="C69" s="406"/>
      <c r="D69" s="417"/>
      <c r="E69" s="418"/>
      <c r="F69" s="419"/>
      <c r="G69" s="420"/>
      <c r="H69" s="418"/>
      <c r="I69" s="418"/>
      <c r="J69" s="418"/>
      <c r="K69" s="394"/>
    </row>
    <row r="70" spans="1:11" ht="108" customHeight="1">
      <c r="A70" s="403">
        <v>4</v>
      </c>
      <c r="B70" s="403"/>
      <c r="C70" s="1563" t="s">
        <v>1365</v>
      </c>
      <c r="D70" s="1564"/>
      <c r="E70" s="1564"/>
      <c r="F70" s="1564"/>
      <c r="G70" s="1564"/>
      <c r="H70" s="1564"/>
      <c r="I70" s="1564"/>
      <c r="J70" s="1565"/>
      <c r="K70" s="394"/>
    </row>
    <row r="71" spans="1:11">
      <c r="A71" s="403"/>
      <c r="B71" s="403" t="s">
        <v>646</v>
      </c>
      <c r="C71" s="411" t="s">
        <v>130</v>
      </c>
      <c r="D71" s="407" t="s">
        <v>1030</v>
      </c>
      <c r="E71" s="408">
        <v>1</v>
      </c>
      <c r="F71" s="409" t="s">
        <v>327</v>
      </c>
      <c r="G71" s="413">
        <v>2136</v>
      </c>
      <c r="H71" s="408">
        <v>1</v>
      </c>
      <c r="I71" s="408" t="str">
        <f>F71</f>
        <v>Nos</v>
      </c>
      <c r="J71" s="408">
        <f>ROUND(E71*G71/H71,2)</f>
        <v>2136</v>
      </c>
      <c r="K71" s="394"/>
    </row>
    <row r="72" spans="1:11" ht="30.6">
      <c r="A72" s="403"/>
      <c r="B72" s="403"/>
      <c r="C72" s="411" t="s">
        <v>122</v>
      </c>
      <c r="D72" s="427" t="s">
        <v>1083</v>
      </c>
      <c r="E72" s="428">
        <f>$D$3</f>
        <v>0</v>
      </c>
      <c r="F72" s="429"/>
      <c r="G72" s="430">
        <v>448</v>
      </c>
      <c r="H72" s="408">
        <v>1</v>
      </c>
      <c r="I72" s="408">
        <f>F72</f>
        <v>0</v>
      </c>
      <c r="J72" s="408">
        <f>ROUND(E72*G72/H72,2)</f>
        <v>0</v>
      </c>
      <c r="K72" s="394"/>
    </row>
    <row r="73" spans="1:11">
      <c r="A73" s="403"/>
      <c r="B73" s="403"/>
      <c r="C73" s="406"/>
      <c r="D73" s="408"/>
      <c r="E73" s="408"/>
      <c r="F73" s="409"/>
      <c r="G73" s="413"/>
      <c r="H73" s="408"/>
      <c r="I73" s="408"/>
      <c r="J73" s="408">
        <f>SUM(J71:J72)</f>
        <v>2136</v>
      </c>
      <c r="K73" s="394"/>
    </row>
    <row r="74" spans="1:11">
      <c r="A74" s="403"/>
      <c r="B74" s="403"/>
      <c r="C74" s="414" t="s">
        <v>123</v>
      </c>
      <c r="E74" s="416">
        <f>$D$4</f>
        <v>0</v>
      </c>
      <c r="F74" s="409"/>
      <c r="G74" s="413"/>
      <c r="H74" s="408"/>
      <c r="I74" s="408"/>
      <c r="J74" s="408">
        <f>ROUND(J73*E74,2)</f>
        <v>0</v>
      </c>
      <c r="K74" s="394"/>
    </row>
    <row r="75" spans="1:11">
      <c r="A75" s="403"/>
      <c r="B75" s="403"/>
      <c r="C75" s="406" t="s">
        <v>129</v>
      </c>
      <c r="D75" s="417"/>
      <c r="E75" s="418"/>
      <c r="F75" s="419"/>
      <c r="G75" s="420"/>
      <c r="H75" s="418"/>
      <c r="I75" s="418"/>
      <c r="J75" s="418">
        <f>CEILING(J74+J73,0.05)</f>
        <v>2136</v>
      </c>
      <c r="K75" s="394"/>
    </row>
    <row r="76" spans="1:11" ht="30.6">
      <c r="A76" s="403"/>
      <c r="B76" s="403" t="s">
        <v>112</v>
      </c>
      <c r="C76" s="431" t="s">
        <v>1084</v>
      </c>
      <c r="D76" s="407" t="s">
        <v>1031</v>
      </c>
      <c r="E76" s="408">
        <v>1</v>
      </c>
      <c r="F76" s="409" t="s">
        <v>327</v>
      </c>
      <c r="G76" s="410">
        <v>114</v>
      </c>
      <c r="H76" s="408">
        <v>1</v>
      </c>
      <c r="I76" s="408" t="str">
        <f>F76</f>
        <v>Nos</v>
      </c>
      <c r="J76" s="408">
        <f>E76*G76/H76</f>
        <v>114</v>
      </c>
      <c r="K76" s="394"/>
    </row>
    <row r="77" spans="1:11">
      <c r="A77" s="403"/>
      <c r="B77" s="403"/>
      <c r="C77" s="411" t="s">
        <v>122</v>
      </c>
      <c r="D77" s="408"/>
      <c r="E77" s="397">
        <f>$D$3</f>
        <v>0</v>
      </c>
      <c r="F77" s="409"/>
      <c r="G77" s="410">
        <v>0</v>
      </c>
      <c r="H77" s="408">
        <v>1</v>
      </c>
      <c r="I77" s="408">
        <f>F77</f>
        <v>0</v>
      </c>
      <c r="J77" s="408">
        <f>ROUND(E77*G77/H77,2)</f>
        <v>0</v>
      </c>
      <c r="K77" s="394"/>
    </row>
    <row r="78" spans="1:11">
      <c r="A78" s="403"/>
      <c r="B78" s="403"/>
      <c r="C78" s="406"/>
      <c r="D78" s="408"/>
      <c r="E78" s="408"/>
      <c r="F78" s="409"/>
      <c r="G78" s="410"/>
      <c r="H78" s="408"/>
      <c r="I78" s="408"/>
      <c r="J78" s="408">
        <f>SUM(J76:J77)</f>
        <v>114</v>
      </c>
      <c r="K78" s="394"/>
    </row>
    <row r="79" spans="1:11">
      <c r="A79" s="403"/>
      <c r="B79" s="403"/>
      <c r="C79" s="414" t="s">
        <v>123</v>
      </c>
      <c r="E79" s="416">
        <f>$D$4</f>
        <v>0</v>
      </c>
      <c r="F79" s="409"/>
      <c r="G79" s="410"/>
      <c r="H79" s="408"/>
      <c r="I79" s="408"/>
      <c r="J79" s="408">
        <f>ROUND(J78*E79,2)</f>
        <v>0</v>
      </c>
      <c r="K79" s="394"/>
    </row>
    <row r="80" spans="1:11">
      <c r="A80" s="403"/>
      <c r="B80" s="403"/>
      <c r="C80" s="406" t="s">
        <v>129</v>
      </c>
      <c r="D80" s="417"/>
      <c r="E80" s="418"/>
      <c r="F80" s="419"/>
      <c r="G80" s="424"/>
      <c r="H80" s="418"/>
      <c r="I80" s="418"/>
      <c r="J80" s="418">
        <f>CEILING(J79+J78,0.05)</f>
        <v>114</v>
      </c>
      <c r="K80" s="394"/>
    </row>
    <row r="81" spans="1:11" ht="45.9">
      <c r="A81" s="403"/>
      <c r="B81" s="403" t="s">
        <v>572</v>
      </c>
      <c r="C81" s="411" t="s">
        <v>1085</v>
      </c>
      <c r="D81" s="427" t="s">
        <v>1087</v>
      </c>
      <c r="E81" s="432">
        <v>1</v>
      </c>
      <c r="F81" s="429" t="s">
        <v>327</v>
      </c>
      <c r="G81" s="433">
        <v>619</v>
      </c>
      <c r="H81" s="408">
        <v>1</v>
      </c>
      <c r="I81" s="408" t="str">
        <f>F81</f>
        <v>Nos</v>
      </c>
      <c r="J81" s="408">
        <f>E81*G81/H81</f>
        <v>619</v>
      </c>
      <c r="K81" s="394"/>
    </row>
    <row r="82" spans="1:11">
      <c r="A82" s="403"/>
      <c r="B82" s="403"/>
      <c r="C82" s="411" t="s">
        <v>122</v>
      </c>
      <c r="D82" s="427"/>
      <c r="E82" s="428">
        <f>$D$3</f>
        <v>0</v>
      </c>
      <c r="F82" s="429"/>
      <c r="G82" s="433">
        <v>0</v>
      </c>
      <c r="H82" s="408">
        <v>1</v>
      </c>
      <c r="I82" s="408">
        <f>F82</f>
        <v>0</v>
      </c>
      <c r="J82" s="408">
        <f>ROUND(E82*G82/H82,2)</f>
        <v>0</v>
      </c>
      <c r="K82" s="394"/>
    </row>
    <row r="83" spans="1:11">
      <c r="A83" s="403"/>
      <c r="B83" s="403"/>
      <c r="C83" s="406"/>
      <c r="D83" s="408"/>
      <c r="E83" s="408"/>
      <c r="F83" s="409"/>
      <c r="G83" s="410"/>
      <c r="H83" s="408"/>
      <c r="I83" s="408"/>
      <c r="J83" s="408">
        <f>SUM(J81:J82)</f>
        <v>619</v>
      </c>
      <c r="K83" s="394"/>
    </row>
    <row r="84" spans="1:11">
      <c r="A84" s="403"/>
      <c r="B84" s="403"/>
      <c r="C84" s="414" t="s">
        <v>123</v>
      </c>
      <c r="E84" s="416">
        <f>$D$4</f>
        <v>0</v>
      </c>
      <c r="F84" s="409"/>
      <c r="G84" s="410"/>
      <c r="H84" s="408"/>
      <c r="I84" s="408"/>
      <c r="J84" s="408">
        <f>ROUND(J83*E84,2)</f>
        <v>0</v>
      </c>
      <c r="K84" s="394"/>
    </row>
    <row r="85" spans="1:11">
      <c r="A85" s="403"/>
      <c r="B85" s="403"/>
      <c r="C85" s="406" t="s">
        <v>129</v>
      </c>
      <c r="D85" s="417"/>
      <c r="E85" s="418"/>
      <c r="F85" s="419"/>
      <c r="G85" s="424"/>
      <c r="H85" s="418"/>
      <c r="I85" s="418"/>
      <c r="J85" s="418">
        <f>CEILING(J84+J83,0.05)</f>
        <v>619</v>
      </c>
      <c r="K85" s="394"/>
    </row>
    <row r="86" spans="1:11" ht="45.9">
      <c r="A86" s="403"/>
      <c r="B86" s="403" t="s">
        <v>664</v>
      </c>
      <c r="C86" s="434" t="s">
        <v>1347</v>
      </c>
      <c r="D86" s="435" t="s">
        <v>1348</v>
      </c>
      <c r="E86" s="408">
        <v>1</v>
      </c>
      <c r="F86" s="409" t="s">
        <v>327</v>
      </c>
      <c r="G86" s="410">
        <v>260</v>
      </c>
      <c r="H86" s="408">
        <v>1</v>
      </c>
      <c r="I86" s="408" t="str">
        <f>F86</f>
        <v>Nos</v>
      </c>
      <c r="J86" s="408">
        <f>E86*G86/H86</f>
        <v>260</v>
      </c>
      <c r="K86" s="394"/>
    </row>
    <row r="87" spans="1:11">
      <c r="A87" s="403"/>
      <c r="B87" s="403"/>
      <c r="C87" s="411" t="s">
        <v>122</v>
      </c>
      <c r="D87" s="427"/>
      <c r="E87" s="397">
        <f>$D$3</f>
        <v>0</v>
      </c>
      <c r="F87" s="409"/>
      <c r="G87" s="410">
        <f>0*30</f>
        <v>0</v>
      </c>
      <c r="H87" s="408">
        <v>1</v>
      </c>
      <c r="I87" s="408">
        <f>F87</f>
        <v>0</v>
      </c>
      <c r="J87" s="408">
        <f>ROUND(E87*G87/H87,2)</f>
        <v>0</v>
      </c>
      <c r="K87" s="394"/>
    </row>
    <row r="88" spans="1:11">
      <c r="A88" s="403"/>
      <c r="B88" s="403"/>
      <c r="C88" s="406"/>
      <c r="D88" s="408"/>
      <c r="E88" s="408"/>
      <c r="F88" s="409"/>
      <c r="G88" s="410"/>
      <c r="H88" s="408"/>
      <c r="I88" s="408"/>
      <c r="J88" s="408">
        <f>SUM(J86:J87)</f>
        <v>260</v>
      </c>
      <c r="K88" s="394"/>
    </row>
    <row r="89" spans="1:11">
      <c r="A89" s="403"/>
      <c r="B89" s="403"/>
      <c r="C89" s="414" t="s">
        <v>123</v>
      </c>
      <c r="E89" s="416">
        <f>$D$4</f>
        <v>0</v>
      </c>
      <c r="F89" s="409"/>
      <c r="G89" s="410"/>
      <c r="H89" s="408"/>
      <c r="I89" s="408"/>
      <c r="J89" s="408">
        <f>ROUND(J88*E89,2)</f>
        <v>0</v>
      </c>
      <c r="K89" s="394"/>
    </row>
    <row r="90" spans="1:11">
      <c r="A90" s="403"/>
      <c r="B90" s="403"/>
      <c r="C90" s="406" t="s">
        <v>129</v>
      </c>
      <c r="D90" s="417"/>
      <c r="E90" s="418"/>
      <c r="F90" s="419"/>
      <c r="G90" s="424"/>
      <c r="H90" s="418"/>
      <c r="I90" s="418"/>
      <c r="J90" s="418">
        <f>CEILING(J89+J88,0.05)</f>
        <v>260</v>
      </c>
      <c r="K90" s="394"/>
    </row>
    <row r="91" spans="1:11" ht="45.9">
      <c r="A91" s="403"/>
      <c r="B91" s="403" t="s">
        <v>220</v>
      </c>
      <c r="C91" s="411" t="s">
        <v>221</v>
      </c>
      <c r="D91" s="426" t="s">
        <v>905</v>
      </c>
      <c r="E91" s="408">
        <v>1</v>
      </c>
      <c r="F91" s="409" t="s">
        <v>327</v>
      </c>
      <c r="G91" s="410">
        <v>29</v>
      </c>
      <c r="H91" s="408">
        <v>1</v>
      </c>
      <c r="I91" s="408" t="str">
        <f>F91</f>
        <v>Nos</v>
      </c>
      <c r="J91" s="408">
        <f>E91*G91/H91</f>
        <v>29</v>
      </c>
      <c r="K91" s="394"/>
    </row>
    <row r="92" spans="1:11">
      <c r="A92" s="403"/>
      <c r="B92" s="403"/>
      <c r="C92" s="411" t="s">
        <v>122</v>
      </c>
      <c r="D92" s="408"/>
      <c r="E92" s="397">
        <f>$D$3</f>
        <v>0</v>
      </c>
      <c r="F92" s="409"/>
      <c r="G92" s="410">
        <v>0</v>
      </c>
      <c r="H92" s="408">
        <v>1</v>
      </c>
      <c r="I92" s="408">
        <f>F92</f>
        <v>0</v>
      </c>
      <c r="J92" s="408">
        <f>ROUND(E92*G92/H92,2)</f>
        <v>0</v>
      </c>
      <c r="K92" s="394"/>
    </row>
    <row r="93" spans="1:11">
      <c r="A93" s="403"/>
      <c r="B93" s="403"/>
      <c r="C93" s="406"/>
      <c r="D93" s="408"/>
      <c r="E93" s="408"/>
      <c r="F93" s="409"/>
      <c r="G93" s="413"/>
      <c r="H93" s="408"/>
      <c r="I93" s="408"/>
      <c r="J93" s="408">
        <f>SUM(J91:J92)</f>
        <v>29</v>
      </c>
      <c r="K93" s="394"/>
    </row>
    <row r="94" spans="1:11">
      <c r="A94" s="403"/>
      <c r="B94" s="403"/>
      <c r="C94" s="414" t="s">
        <v>123</v>
      </c>
      <c r="E94" s="416">
        <f>$D$4</f>
        <v>0</v>
      </c>
      <c r="F94" s="436"/>
      <c r="G94" s="413"/>
      <c r="H94" s="408"/>
      <c r="I94" s="408"/>
      <c r="J94" s="408">
        <f>ROUND(J93*E94,2)</f>
        <v>0</v>
      </c>
      <c r="K94" s="394"/>
    </row>
    <row r="95" spans="1:11">
      <c r="A95" s="403"/>
      <c r="B95" s="403"/>
      <c r="C95" s="406" t="s">
        <v>129</v>
      </c>
      <c r="D95" s="417"/>
      <c r="E95" s="418"/>
      <c r="F95" s="419"/>
      <c r="G95" s="420"/>
      <c r="H95" s="418"/>
      <c r="I95" s="418"/>
      <c r="J95" s="418">
        <f>CEILING(J94+J93,0.05)</f>
        <v>29</v>
      </c>
      <c r="K95" s="394"/>
    </row>
    <row r="96" spans="1:11">
      <c r="A96" s="403"/>
      <c r="B96" s="403"/>
      <c r="C96" s="437" t="s">
        <v>1086</v>
      </c>
      <c r="D96" s="421"/>
      <c r="E96" s="408"/>
      <c r="F96" s="422"/>
      <c r="G96" s="423"/>
      <c r="H96" s="408"/>
      <c r="I96" s="418" t="s">
        <v>290</v>
      </c>
      <c r="J96" s="418">
        <f>J75+J80+J85+J90+J95</f>
        <v>3158</v>
      </c>
      <c r="K96" s="394"/>
    </row>
    <row r="97" spans="1:11">
      <c r="A97" s="403"/>
      <c r="B97" s="403"/>
      <c r="C97" s="437"/>
      <c r="D97" s="421"/>
      <c r="E97" s="408"/>
      <c r="F97" s="422"/>
      <c r="G97" s="423"/>
      <c r="H97" s="408"/>
      <c r="I97" s="408"/>
      <c r="J97" s="421"/>
      <c r="K97" s="394"/>
    </row>
    <row r="98" spans="1:11" ht="45.75" customHeight="1">
      <c r="A98" s="403">
        <f>A70+1</f>
        <v>5</v>
      </c>
      <c r="B98" s="403"/>
      <c r="C98" s="1563" t="s">
        <v>1352</v>
      </c>
      <c r="D98" s="1564"/>
      <c r="E98" s="1564"/>
      <c r="F98" s="1564"/>
      <c r="G98" s="1564"/>
      <c r="H98" s="1564"/>
      <c r="I98" s="1564"/>
      <c r="J98" s="1565"/>
      <c r="K98" s="394"/>
    </row>
    <row r="99" spans="1:11" ht="42.75" customHeight="1">
      <c r="A99" s="403"/>
      <c r="B99" s="403"/>
      <c r="C99" s="411" t="s">
        <v>130</v>
      </c>
      <c r="D99" s="426" t="s">
        <v>1353</v>
      </c>
      <c r="E99" s="408">
        <v>1</v>
      </c>
      <c r="F99" s="409" t="s">
        <v>327</v>
      </c>
      <c r="G99" s="413">
        <v>577</v>
      </c>
      <c r="H99" s="408">
        <v>1</v>
      </c>
      <c r="I99" s="408" t="str">
        <f>F99</f>
        <v>Nos</v>
      </c>
      <c r="J99" s="408">
        <f>ROUND(E99*G99/H99,2)</f>
        <v>577</v>
      </c>
      <c r="K99" s="394"/>
    </row>
    <row r="100" spans="1:11" ht="30.6">
      <c r="A100" s="403"/>
      <c r="B100" s="403"/>
      <c r="C100" s="411" t="s">
        <v>122</v>
      </c>
      <c r="D100" s="435" t="s">
        <v>1354</v>
      </c>
      <c r="E100" s="428">
        <f>$D$3</f>
        <v>0</v>
      </c>
      <c r="F100" s="429"/>
      <c r="G100" s="430">
        <v>108</v>
      </c>
      <c r="H100" s="408">
        <v>1</v>
      </c>
      <c r="I100" s="408">
        <f>F100</f>
        <v>0</v>
      </c>
      <c r="J100" s="408">
        <f>ROUND(E100*G100/H100,2)</f>
        <v>0</v>
      </c>
      <c r="K100" s="394"/>
    </row>
    <row r="101" spans="1:11">
      <c r="A101" s="403"/>
      <c r="B101" s="403"/>
      <c r="C101" s="406"/>
      <c r="D101" s="408"/>
      <c r="E101" s="408"/>
      <c r="F101" s="409"/>
      <c r="G101" s="413"/>
      <c r="H101" s="408"/>
      <c r="I101" s="408"/>
      <c r="J101" s="408">
        <f>SUM(J99:J100)</f>
        <v>577</v>
      </c>
      <c r="K101" s="394"/>
    </row>
    <row r="102" spans="1:11">
      <c r="A102" s="403"/>
      <c r="B102" s="403"/>
      <c r="C102" s="414" t="s">
        <v>123</v>
      </c>
      <c r="E102" s="416">
        <f>$D$4</f>
        <v>0</v>
      </c>
      <c r="F102" s="409"/>
      <c r="G102" s="413"/>
      <c r="H102" s="408"/>
      <c r="I102" s="408"/>
      <c r="J102" s="408">
        <f>ROUND(J101*E102,2)</f>
        <v>0</v>
      </c>
      <c r="K102" s="394"/>
    </row>
    <row r="103" spans="1:11">
      <c r="A103" s="403"/>
      <c r="B103" s="403"/>
      <c r="C103" s="406" t="s">
        <v>129</v>
      </c>
      <c r="D103" s="417"/>
      <c r="E103" s="418"/>
      <c r="F103" s="419"/>
      <c r="G103" s="420"/>
      <c r="H103" s="418"/>
      <c r="I103" s="418"/>
      <c r="J103" s="418">
        <f>CEILING(J102+J101,0.05)</f>
        <v>577</v>
      </c>
      <c r="K103" s="394"/>
    </row>
    <row r="104" spans="1:11" ht="47.25" customHeight="1">
      <c r="A104" s="403">
        <f>A98+1</f>
        <v>6</v>
      </c>
      <c r="B104" s="403"/>
      <c r="C104" s="1563" t="s">
        <v>1366</v>
      </c>
      <c r="D104" s="1564"/>
      <c r="E104" s="1564"/>
      <c r="F104" s="1564"/>
      <c r="G104" s="1564"/>
      <c r="H104" s="1564"/>
      <c r="I104" s="1564"/>
      <c r="J104" s="1565"/>
      <c r="K104" s="394"/>
    </row>
    <row r="105" spans="1:11">
      <c r="A105" s="403"/>
      <c r="B105" s="403"/>
      <c r="C105" s="411" t="s">
        <v>130</v>
      </c>
      <c r="D105" s="426" t="s">
        <v>907</v>
      </c>
      <c r="E105" s="408">
        <v>1</v>
      </c>
      <c r="F105" s="409" t="s">
        <v>327</v>
      </c>
      <c r="G105" s="413">
        <v>522</v>
      </c>
      <c r="H105" s="408">
        <v>1</v>
      </c>
      <c r="I105" s="408" t="str">
        <f>F105</f>
        <v>Nos</v>
      </c>
      <c r="J105" s="408">
        <f>ROUND(E105*G105/H105,2)</f>
        <v>522</v>
      </c>
      <c r="K105" s="394"/>
    </row>
    <row r="106" spans="1:11">
      <c r="A106" s="403"/>
      <c r="B106" s="403"/>
      <c r="C106" s="411" t="s">
        <v>122</v>
      </c>
      <c r="D106" s="408"/>
      <c r="E106" s="397">
        <f>$D$3</f>
        <v>0</v>
      </c>
      <c r="F106" s="409"/>
      <c r="G106" s="413">
        <v>0</v>
      </c>
      <c r="H106" s="408">
        <v>1</v>
      </c>
      <c r="I106" s="408">
        <f>F106</f>
        <v>0</v>
      </c>
      <c r="J106" s="408">
        <f>ROUND(E106*G106/H106,2)</f>
        <v>0</v>
      </c>
      <c r="K106" s="394"/>
    </row>
    <row r="107" spans="1:11">
      <c r="A107" s="403"/>
      <c r="B107" s="403"/>
      <c r="C107" s="406"/>
      <c r="D107" s="408"/>
      <c r="E107" s="408"/>
      <c r="F107" s="409"/>
      <c r="G107" s="413"/>
      <c r="H107" s="408"/>
      <c r="I107" s="408"/>
      <c r="J107" s="408">
        <f>SUM(J105:J106)</f>
        <v>522</v>
      </c>
      <c r="K107" s="394"/>
    </row>
    <row r="108" spans="1:11">
      <c r="A108" s="403"/>
      <c r="B108" s="403"/>
      <c r="C108" s="414" t="s">
        <v>123</v>
      </c>
      <c r="E108" s="416">
        <f>$D$4</f>
        <v>0</v>
      </c>
      <c r="F108" s="409"/>
      <c r="G108" s="413"/>
      <c r="H108" s="408"/>
      <c r="I108" s="408"/>
      <c r="J108" s="408">
        <f>ROUND(J107*E108,2)</f>
        <v>0</v>
      </c>
      <c r="K108" s="394"/>
    </row>
    <row r="109" spans="1:11">
      <c r="A109" s="403"/>
      <c r="B109" s="403"/>
      <c r="C109" s="406" t="s">
        <v>129</v>
      </c>
      <c r="D109" s="417"/>
      <c r="E109" s="418"/>
      <c r="F109" s="419"/>
      <c r="G109" s="420"/>
      <c r="H109" s="418"/>
      <c r="I109" s="418"/>
      <c r="J109" s="418">
        <f>CEILING(J108+J107,0.05)</f>
        <v>522</v>
      </c>
      <c r="K109" s="394"/>
    </row>
    <row r="110" spans="1:11">
      <c r="A110" s="403"/>
      <c r="B110" s="403"/>
      <c r="C110" s="406"/>
      <c r="D110" s="417"/>
      <c r="E110" s="418"/>
      <c r="F110" s="419"/>
      <c r="G110" s="420"/>
      <c r="H110" s="418"/>
      <c r="I110" s="418"/>
      <c r="J110" s="418"/>
      <c r="K110" s="394"/>
    </row>
    <row r="111" spans="1:11" ht="51.75" customHeight="1">
      <c r="A111" s="403">
        <f>A104+1</f>
        <v>7</v>
      </c>
      <c r="B111" s="403"/>
      <c r="C111" s="1563" t="s">
        <v>1367</v>
      </c>
      <c r="D111" s="1564"/>
      <c r="E111" s="1564"/>
      <c r="F111" s="1564"/>
      <c r="G111" s="1564"/>
      <c r="H111" s="1564"/>
      <c r="I111" s="1564"/>
      <c r="J111" s="1565"/>
      <c r="K111" s="394"/>
    </row>
    <row r="112" spans="1:11">
      <c r="A112" s="403"/>
      <c r="B112" s="403"/>
      <c r="C112" s="411" t="s">
        <v>130</v>
      </c>
      <c r="D112" s="426" t="s">
        <v>906</v>
      </c>
      <c r="E112" s="408">
        <v>1</v>
      </c>
      <c r="F112" s="409" t="s">
        <v>327</v>
      </c>
      <c r="G112" s="413">
        <v>168</v>
      </c>
      <c r="H112" s="408">
        <v>1</v>
      </c>
      <c r="I112" s="408" t="str">
        <f>F112</f>
        <v>Nos</v>
      </c>
      <c r="J112" s="408">
        <f>ROUND(E112*G112/H112,2)</f>
        <v>168</v>
      </c>
      <c r="K112" s="394"/>
    </row>
    <row r="113" spans="1:11">
      <c r="A113" s="403"/>
      <c r="B113" s="403"/>
      <c r="C113" s="411" t="s">
        <v>122</v>
      </c>
      <c r="D113" s="408"/>
      <c r="E113" s="397">
        <f>$D$3</f>
        <v>0</v>
      </c>
      <c r="F113" s="409"/>
      <c r="G113" s="413">
        <v>0</v>
      </c>
      <c r="H113" s="408">
        <v>1</v>
      </c>
      <c r="I113" s="408">
        <f>F113</f>
        <v>0</v>
      </c>
      <c r="J113" s="408">
        <f>ROUND(E113*G113/H113,2)</f>
        <v>0</v>
      </c>
      <c r="K113" s="394"/>
    </row>
    <row r="114" spans="1:11">
      <c r="A114" s="403"/>
      <c r="B114" s="403"/>
      <c r="C114" s="406"/>
      <c r="D114" s="408"/>
      <c r="E114" s="408"/>
      <c r="F114" s="409"/>
      <c r="G114" s="413"/>
      <c r="H114" s="408"/>
      <c r="I114" s="408"/>
      <c r="J114" s="408">
        <f>SUM(J112:J113)</f>
        <v>168</v>
      </c>
      <c r="K114" s="394"/>
    </row>
    <row r="115" spans="1:11">
      <c r="A115" s="403"/>
      <c r="B115" s="403"/>
      <c r="C115" s="414" t="s">
        <v>123</v>
      </c>
      <c r="E115" s="416">
        <f>$D$4</f>
        <v>0</v>
      </c>
      <c r="F115" s="409"/>
      <c r="G115" s="413"/>
      <c r="H115" s="408"/>
      <c r="I115" s="408"/>
      <c r="J115" s="408">
        <f>ROUND(J114*E115,2)</f>
        <v>0</v>
      </c>
      <c r="K115" s="394"/>
    </row>
    <row r="116" spans="1:11">
      <c r="A116" s="403"/>
      <c r="B116" s="403"/>
      <c r="C116" s="406" t="s">
        <v>129</v>
      </c>
      <c r="D116" s="417"/>
      <c r="E116" s="418"/>
      <c r="F116" s="419"/>
      <c r="G116" s="420"/>
      <c r="H116" s="418"/>
      <c r="I116" s="418"/>
      <c r="J116" s="418">
        <f>CEILING(J115+J114,0.05)</f>
        <v>168</v>
      </c>
      <c r="K116" s="394"/>
    </row>
    <row r="117" spans="1:11" ht="46.5" customHeight="1">
      <c r="A117" s="403">
        <f>A111+1</f>
        <v>8</v>
      </c>
      <c r="B117" s="403"/>
      <c r="C117" s="1551" t="s">
        <v>1089</v>
      </c>
      <c r="D117" s="1552"/>
      <c r="E117" s="1552"/>
      <c r="F117" s="1552"/>
      <c r="G117" s="1552"/>
      <c r="H117" s="1552"/>
      <c r="I117" s="1552"/>
      <c r="J117" s="1553"/>
      <c r="K117" s="394"/>
    </row>
    <row r="118" spans="1:11">
      <c r="A118" s="405"/>
      <c r="B118" s="405"/>
      <c r="C118" s="437" t="s">
        <v>199</v>
      </c>
      <c r="D118" s="421"/>
      <c r="E118" s="408"/>
      <c r="F118" s="422"/>
      <c r="G118" s="423"/>
      <c r="H118" s="408"/>
      <c r="I118" s="408"/>
      <c r="J118" s="421"/>
      <c r="K118" s="394"/>
    </row>
    <row r="119" spans="1:11">
      <c r="A119" s="405"/>
      <c r="B119" s="405"/>
      <c r="C119" s="411" t="s">
        <v>130</v>
      </c>
      <c r="D119" s="427" t="s">
        <v>908</v>
      </c>
      <c r="E119" s="432">
        <v>1</v>
      </c>
      <c r="F119" s="429" t="s">
        <v>327</v>
      </c>
      <c r="G119" s="430">
        <v>250</v>
      </c>
      <c r="H119" s="408">
        <v>1</v>
      </c>
      <c r="I119" s="408" t="str">
        <f>F119</f>
        <v>Nos</v>
      </c>
      <c r="J119" s="408">
        <f>ROUND(E119*G119/H119,2)</f>
        <v>250</v>
      </c>
      <c r="K119" s="394"/>
    </row>
    <row r="120" spans="1:11" ht="30.6">
      <c r="A120" s="405"/>
      <c r="B120" s="405"/>
      <c r="C120" s="411" t="s">
        <v>122</v>
      </c>
      <c r="D120" s="427" t="s">
        <v>1088</v>
      </c>
      <c r="E120" s="428">
        <f>$D$3</f>
        <v>0</v>
      </c>
      <c r="F120" s="429"/>
      <c r="G120" s="430">
        <v>55</v>
      </c>
      <c r="H120" s="408">
        <v>1</v>
      </c>
      <c r="I120" s="408">
        <f>F120</f>
        <v>0</v>
      </c>
      <c r="J120" s="408">
        <f>ROUND(E120*G120/H120,2)</f>
        <v>0</v>
      </c>
      <c r="K120" s="394"/>
    </row>
    <row r="121" spans="1:11">
      <c r="A121" s="405"/>
      <c r="B121" s="405"/>
      <c r="C121" s="406"/>
      <c r="D121" s="408"/>
      <c r="E121" s="408"/>
      <c r="F121" s="409"/>
      <c r="G121" s="413"/>
      <c r="H121" s="408"/>
      <c r="I121" s="408"/>
      <c r="J121" s="408">
        <f>SUM(J119:J120)</f>
        <v>250</v>
      </c>
      <c r="K121" s="394"/>
    </row>
    <row r="122" spans="1:11">
      <c r="A122" s="405"/>
      <c r="B122" s="405"/>
      <c r="C122" s="414" t="s">
        <v>123</v>
      </c>
      <c r="E122" s="425">
        <f>$D$4</f>
        <v>0</v>
      </c>
      <c r="F122" s="409"/>
      <c r="G122" s="413"/>
      <c r="H122" s="408"/>
      <c r="I122" s="408"/>
      <c r="J122" s="408">
        <f>ROUND(J121*E122,2)</f>
        <v>0</v>
      </c>
      <c r="K122" s="394"/>
    </row>
    <row r="123" spans="1:11">
      <c r="A123" s="405"/>
      <c r="B123" s="405"/>
      <c r="C123" s="406" t="s">
        <v>129</v>
      </c>
      <c r="D123" s="417"/>
      <c r="E123" s="418"/>
      <c r="F123" s="419"/>
      <c r="G123" s="420"/>
      <c r="H123" s="418"/>
      <c r="I123" s="418"/>
      <c r="J123" s="418">
        <f>CEILING(J122+J121,0.05)</f>
        <v>250</v>
      </c>
      <c r="K123" s="394"/>
    </row>
    <row r="124" spans="1:11">
      <c r="A124" s="405"/>
      <c r="B124" s="405"/>
      <c r="C124" s="406"/>
      <c r="D124" s="417"/>
      <c r="E124" s="418"/>
      <c r="F124" s="419"/>
      <c r="G124" s="420"/>
      <c r="H124" s="418"/>
      <c r="I124" s="418"/>
      <c r="J124" s="418"/>
      <c r="K124" s="394"/>
    </row>
    <row r="125" spans="1:11" ht="66" customHeight="1">
      <c r="A125" s="405">
        <v>9</v>
      </c>
      <c r="B125" s="405"/>
      <c r="C125" s="1566" t="s">
        <v>1173</v>
      </c>
      <c r="D125" s="1566"/>
      <c r="E125" s="1566"/>
      <c r="F125" s="1566"/>
      <c r="G125" s="1566"/>
      <c r="H125" s="1566"/>
      <c r="I125" s="1566"/>
      <c r="J125" s="1566"/>
      <c r="K125" s="394"/>
    </row>
    <row r="126" spans="1:11">
      <c r="A126" s="405"/>
      <c r="B126" s="405"/>
      <c r="C126" s="437" t="s">
        <v>1174</v>
      </c>
      <c r="D126" s="421"/>
      <c r="E126" s="408"/>
      <c r="F126" s="422"/>
      <c r="G126" s="423"/>
      <c r="H126" s="408"/>
      <c r="I126" s="408"/>
      <c r="J126" s="421"/>
      <c r="K126" s="394"/>
    </row>
    <row r="127" spans="1:11">
      <c r="A127" s="405"/>
      <c r="B127" s="405"/>
      <c r="C127" s="411" t="s">
        <v>130</v>
      </c>
      <c r="D127" s="426" t="s">
        <v>1355</v>
      </c>
      <c r="E127" s="408">
        <v>1</v>
      </c>
      <c r="F127" s="409" t="s">
        <v>327</v>
      </c>
      <c r="G127" s="413">
        <v>865</v>
      </c>
      <c r="H127" s="408">
        <v>1</v>
      </c>
      <c r="I127" s="408" t="str">
        <f>F127</f>
        <v>Nos</v>
      </c>
      <c r="J127" s="408">
        <f>ROUND(E127*G127/H127,2)</f>
        <v>865</v>
      </c>
      <c r="K127" s="394"/>
    </row>
    <row r="128" spans="1:11" ht="30.6">
      <c r="A128" s="405"/>
      <c r="B128" s="405"/>
      <c r="C128" s="411" t="s">
        <v>122</v>
      </c>
      <c r="D128" s="435" t="s">
        <v>1354</v>
      </c>
      <c r="E128" s="397">
        <f>$D$3</f>
        <v>0</v>
      </c>
      <c r="F128" s="409"/>
      <c r="G128" s="413">
        <v>108</v>
      </c>
      <c r="H128" s="408">
        <v>1</v>
      </c>
      <c r="I128" s="408">
        <f>F128</f>
        <v>0</v>
      </c>
      <c r="J128" s="408">
        <f>ROUND(E128*G128/H128,2)</f>
        <v>0</v>
      </c>
      <c r="K128" s="394"/>
    </row>
    <row r="129" spans="1:11">
      <c r="A129" s="405"/>
      <c r="B129" s="405"/>
      <c r="C129" s="406"/>
      <c r="D129" s="408"/>
      <c r="E129" s="408"/>
      <c r="F129" s="409"/>
      <c r="G129" s="413"/>
      <c r="H129" s="408"/>
      <c r="I129" s="408"/>
      <c r="J129" s="408">
        <f>SUM(J127:J128)</f>
        <v>865</v>
      </c>
      <c r="K129" s="394"/>
    </row>
    <row r="130" spans="1:11">
      <c r="A130" s="405"/>
      <c r="B130" s="405"/>
      <c r="C130" s="414" t="s">
        <v>123</v>
      </c>
      <c r="E130" s="425">
        <f>$D$4</f>
        <v>0</v>
      </c>
      <c r="F130" s="409"/>
      <c r="G130" s="413"/>
      <c r="H130" s="408"/>
      <c r="I130" s="408"/>
      <c r="J130" s="408">
        <f>ROUND(J129*E130,2)</f>
        <v>0</v>
      </c>
      <c r="K130" s="394"/>
    </row>
    <row r="131" spans="1:11">
      <c r="A131" s="405"/>
      <c r="B131" s="405"/>
      <c r="C131" s="406" t="s">
        <v>129</v>
      </c>
      <c r="D131" s="417"/>
      <c r="E131" s="418"/>
      <c r="F131" s="419"/>
      <c r="G131" s="420"/>
      <c r="H131" s="418"/>
      <c r="I131" s="418"/>
      <c r="J131" s="418">
        <f>CEILING(J130+J129,0.05)</f>
        <v>865</v>
      </c>
      <c r="K131" s="394"/>
    </row>
    <row r="132" spans="1:11">
      <c r="A132" s="405"/>
      <c r="B132" s="405"/>
      <c r="C132" s="406"/>
      <c r="D132" s="417"/>
      <c r="E132" s="418"/>
      <c r="F132" s="419"/>
      <c r="G132" s="420"/>
      <c r="H132" s="418"/>
      <c r="I132" s="418"/>
      <c r="J132" s="418"/>
      <c r="K132" s="394"/>
    </row>
    <row r="133" spans="1:11" ht="45.75" customHeight="1">
      <c r="A133" s="403">
        <v>10</v>
      </c>
      <c r="B133" s="403"/>
      <c r="C133" s="1563" t="s">
        <v>1368</v>
      </c>
      <c r="D133" s="1564"/>
      <c r="E133" s="1564"/>
      <c r="F133" s="1564"/>
      <c r="G133" s="1564"/>
      <c r="H133" s="1564"/>
      <c r="I133" s="1564"/>
      <c r="J133" s="1565"/>
      <c r="K133" s="394"/>
    </row>
    <row r="134" spans="1:11">
      <c r="A134" s="405"/>
      <c r="B134" s="405"/>
      <c r="C134" s="411" t="s">
        <v>130</v>
      </c>
      <c r="D134" s="426" t="s">
        <v>909</v>
      </c>
      <c r="E134" s="408">
        <v>1</v>
      </c>
      <c r="F134" s="409" t="s">
        <v>327</v>
      </c>
      <c r="G134" s="413">
        <v>275</v>
      </c>
      <c r="H134" s="408">
        <v>1</v>
      </c>
      <c r="I134" s="408" t="str">
        <f>F134</f>
        <v>Nos</v>
      </c>
      <c r="J134" s="408">
        <f>ROUND(E134*G134/H134,2)</f>
        <v>275</v>
      </c>
      <c r="K134" s="394"/>
    </row>
    <row r="135" spans="1:11" ht="30.6">
      <c r="A135" s="405"/>
      <c r="B135" s="405"/>
      <c r="C135" s="411" t="s">
        <v>122</v>
      </c>
      <c r="D135" s="426" t="s">
        <v>1088</v>
      </c>
      <c r="E135" s="397">
        <f>$D$3</f>
        <v>0</v>
      </c>
      <c r="F135" s="409"/>
      <c r="G135" s="413">
        <v>0</v>
      </c>
      <c r="H135" s="408">
        <v>1</v>
      </c>
      <c r="I135" s="408">
        <f>F135</f>
        <v>0</v>
      </c>
      <c r="J135" s="408">
        <f>ROUND(E135*G135/H135,2)</f>
        <v>0</v>
      </c>
      <c r="K135" s="394"/>
    </row>
    <row r="136" spans="1:11">
      <c r="A136" s="405"/>
      <c r="B136" s="405"/>
      <c r="C136" s="406"/>
      <c r="D136" s="408"/>
      <c r="E136" s="408"/>
      <c r="F136" s="409"/>
      <c r="G136" s="413"/>
      <c r="H136" s="408"/>
      <c r="I136" s="408"/>
      <c r="J136" s="408">
        <f>SUM(J134:J135)</f>
        <v>275</v>
      </c>
      <c r="K136" s="394"/>
    </row>
    <row r="137" spans="1:11">
      <c r="A137" s="405"/>
      <c r="B137" s="405"/>
      <c r="C137" s="414" t="s">
        <v>123</v>
      </c>
      <c r="E137" s="425">
        <f>$D$4</f>
        <v>0</v>
      </c>
      <c r="F137" s="409"/>
      <c r="G137" s="413"/>
      <c r="H137" s="408"/>
      <c r="I137" s="408"/>
      <c r="J137" s="408">
        <f>ROUND(J136*E137,2)</f>
        <v>0</v>
      </c>
      <c r="K137" s="394"/>
    </row>
    <row r="138" spans="1:11">
      <c r="A138" s="405"/>
      <c r="B138" s="405"/>
      <c r="C138" s="406" t="s">
        <v>129</v>
      </c>
      <c r="D138" s="417"/>
      <c r="E138" s="418"/>
      <c r="F138" s="419"/>
      <c r="G138" s="420"/>
      <c r="H138" s="418"/>
      <c r="I138" s="418"/>
      <c r="J138" s="418">
        <f>CEILING(J137+J136,0.05)</f>
        <v>275</v>
      </c>
      <c r="K138" s="394"/>
    </row>
    <row r="139" spans="1:11">
      <c r="A139" s="405"/>
      <c r="B139" s="405"/>
      <c r="C139" s="406"/>
      <c r="D139" s="417"/>
      <c r="E139" s="418"/>
      <c r="F139" s="419"/>
      <c r="G139" s="420"/>
      <c r="H139" s="418"/>
      <c r="I139" s="418"/>
      <c r="J139" s="418"/>
      <c r="K139" s="394"/>
    </row>
    <row r="140" spans="1:11" ht="72.75" customHeight="1">
      <c r="A140" s="403">
        <v>11</v>
      </c>
      <c r="B140" s="403"/>
      <c r="C140" s="1563" t="s">
        <v>1369</v>
      </c>
      <c r="D140" s="1564"/>
      <c r="E140" s="1564"/>
      <c r="F140" s="1564"/>
      <c r="G140" s="1564"/>
      <c r="H140" s="1564"/>
      <c r="I140" s="1564"/>
      <c r="J140" s="1565"/>
      <c r="K140" s="394"/>
    </row>
    <row r="141" spans="1:11" ht="18" customHeight="1">
      <c r="A141" s="405"/>
      <c r="B141" s="405" t="s">
        <v>200</v>
      </c>
      <c r="C141" s="438" t="s">
        <v>1098</v>
      </c>
      <c r="D141" s="408"/>
      <c r="E141" s="439"/>
      <c r="F141" s="439"/>
      <c r="G141" s="423"/>
      <c r="H141" s="439"/>
      <c r="I141" s="408"/>
      <c r="J141" s="421"/>
      <c r="K141" s="394"/>
    </row>
    <row r="142" spans="1:11">
      <c r="A142" s="405"/>
      <c r="B142" s="405"/>
      <c r="C142" s="411" t="s">
        <v>130</v>
      </c>
      <c r="D142" s="426" t="s">
        <v>1099</v>
      </c>
      <c r="E142" s="408">
        <v>1</v>
      </c>
      <c r="F142" s="439" t="s">
        <v>468</v>
      </c>
      <c r="G142" s="413">
        <v>278</v>
      </c>
      <c r="H142" s="408">
        <v>3</v>
      </c>
      <c r="I142" s="408" t="s">
        <v>400</v>
      </c>
      <c r="J142" s="408">
        <f>ROUND(E142*G142/H142,2)</f>
        <v>92.67</v>
      </c>
      <c r="K142" s="394"/>
    </row>
    <row r="143" spans="1:11">
      <c r="A143" s="405"/>
      <c r="B143" s="405"/>
      <c r="C143" s="411" t="s">
        <v>122</v>
      </c>
      <c r="D143" s="426" t="s">
        <v>910</v>
      </c>
      <c r="E143" s="397">
        <f>$D$3</f>
        <v>0</v>
      </c>
      <c r="F143" s="409"/>
      <c r="G143" s="413">
        <v>83</v>
      </c>
      <c r="H143" s="408">
        <v>1</v>
      </c>
      <c r="I143" s="408">
        <f>F143</f>
        <v>0</v>
      </c>
      <c r="J143" s="408">
        <f>ROUND(E143*G143/H143,2)</f>
        <v>0</v>
      </c>
      <c r="K143" s="394"/>
    </row>
    <row r="144" spans="1:11">
      <c r="A144" s="405"/>
      <c r="B144" s="405"/>
      <c r="C144" s="406"/>
      <c r="D144" s="408"/>
      <c r="E144" s="408"/>
      <c r="F144" s="409"/>
      <c r="G144" s="413"/>
      <c r="H144" s="408"/>
      <c r="I144" s="408"/>
      <c r="J144" s="408">
        <f>SUM(J142:J143)</f>
        <v>92.67</v>
      </c>
      <c r="K144" s="394"/>
    </row>
    <row r="145" spans="1:12">
      <c r="A145" s="405"/>
      <c r="B145" s="405"/>
      <c r="C145" s="414" t="s">
        <v>123</v>
      </c>
      <c r="E145" s="416">
        <f>$D$4</f>
        <v>0</v>
      </c>
      <c r="F145" s="409"/>
      <c r="G145" s="413"/>
      <c r="H145" s="408"/>
      <c r="I145" s="408"/>
      <c r="J145" s="408">
        <f>ROUND(J144*E145,2)</f>
        <v>0</v>
      </c>
      <c r="K145" s="394"/>
    </row>
    <row r="146" spans="1:12" ht="16.5" customHeight="1">
      <c r="A146" s="405"/>
      <c r="B146" s="405"/>
      <c r="C146" s="406" t="s">
        <v>573</v>
      </c>
      <c r="D146" s="417"/>
      <c r="E146" s="418"/>
      <c r="F146" s="419"/>
      <c r="G146" s="420"/>
      <c r="H146" s="418"/>
      <c r="I146" s="418"/>
      <c r="J146" s="418">
        <f>CEILING(J145+J144,0.05)</f>
        <v>92.7</v>
      </c>
      <c r="K146" s="394"/>
    </row>
    <row r="147" spans="1:12" ht="18" customHeight="1">
      <c r="A147" s="405"/>
      <c r="B147" s="405" t="s">
        <v>200</v>
      </c>
      <c r="C147" s="438" t="s">
        <v>201</v>
      </c>
      <c r="D147" s="408"/>
      <c r="E147" s="439"/>
      <c r="F147" s="439"/>
      <c r="G147" s="423"/>
      <c r="H147" s="439"/>
      <c r="I147" s="408"/>
      <c r="J147" s="421"/>
      <c r="K147" s="394"/>
    </row>
    <row r="148" spans="1:12">
      <c r="A148" s="405"/>
      <c r="B148" s="405"/>
      <c r="C148" s="411" t="s">
        <v>130</v>
      </c>
      <c r="D148" s="426" t="s">
        <v>912</v>
      </c>
      <c r="E148" s="408">
        <v>1</v>
      </c>
      <c r="F148" s="439" t="s">
        <v>468</v>
      </c>
      <c r="G148" s="413">
        <v>442</v>
      </c>
      <c r="H148" s="408">
        <v>3</v>
      </c>
      <c r="I148" s="408" t="s">
        <v>400</v>
      </c>
      <c r="J148" s="408">
        <f>ROUND(E148*G148/H148,2)</f>
        <v>147.33000000000001</v>
      </c>
      <c r="K148" s="394"/>
    </row>
    <row r="149" spans="1:12">
      <c r="A149" s="405"/>
      <c r="B149" s="405"/>
      <c r="C149" s="411" t="s">
        <v>122</v>
      </c>
      <c r="D149" s="426" t="s">
        <v>910</v>
      </c>
      <c r="E149" s="397">
        <f>$D$3</f>
        <v>0</v>
      </c>
      <c r="F149" s="409"/>
      <c r="G149" s="413">
        <f>G143</f>
        <v>83</v>
      </c>
      <c r="H149" s="408">
        <v>1</v>
      </c>
      <c r="I149" s="408">
        <f>F149</f>
        <v>0</v>
      </c>
      <c r="J149" s="408">
        <f>ROUND(E149*G149/H149,2)</f>
        <v>0</v>
      </c>
      <c r="K149" s="394"/>
    </row>
    <row r="150" spans="1:12">
      <c r="A150" s="405"/>
      <c r="B150" s="405"/>
      <c r="C150" s="406"/>
      <c r="D150" s="408"/>
      <c r="E150" s="408"/>
      <c r="F150" s="409"/>
      <c r="G150" s="413"/>
      <c r="H150" s="408"/>
      <c r="I150" s="408"/>
      <c r="J150" s="408">
        <f>SUM(J148:J149)</f>
        <v>147.33000000000001</v>
      </c>
      <c r="K150" s="394"/>
    </row>
    <row r="151" spans="1:12">
      <c r="A151" s="405"/>
      <c r="B151" s="405"/>
      <c r="C151" s="414" t="s">
        <v>123</v>
      </c>
      <c r="E151" s="416">
        <f>$D$4</f>
        <v>0</v>
      </c>
      <c r="F151" s="409"/>
      <c r="G151" s="413"/>
      <c r="H151" s="408"/>
      <c r="I151" s="408"/>
      <c r="J151" s="408">
        <f>ROUND(J150*E151,2)</f>
        <v>0</v>
      </c>
      <c r="K151" s="394"/>
    </row>
    <row r="152" spans="1:12" ht="16.5" customHeight="1">
      <c r="A152" s="405"/>
      <c r="B152" s="405"/>
      <c r="C152" s="406" t="s">
        <v>573</v>
      </c>
      <c r="D152" s="417"/>
      <c r="E152" s="418"/>
      <c r="F152" s="419"/>
      <c r="G152" s="420"/>
      <c r="H152" s="418"/>
      <c r="I152" s="418"/>
      <c r="J152" s="418">
        <f>CEILING(J151+J150,0.05)</f>
        <v>147.35</v>
      </c>
      <c r="K152" s="394"/>
    </row>
    <row r="153" spans="1:12">
      <c r="A153" s="405"/>
      <c r="B153" s="405" t="s">
        <v>29</v>
      </c>
      <c r="C153" s="438" t="s">
        <v>253</v>
      </c>
      <c r="D153" s="408"/>
      <c r="E153" s="439"/>
      <c r="F153" s="409"/>
      <c r="G153" s="423"/>
      <c r="H153" s="439"/>
      <c r="I153" s="408"/>
      <c r="J153" s="421"/>
      <c r="K153" s="394"/>
      <c r="L153" s="440"/>
    </row>
    <row r="154" spans="1:12">
      <c r="A154" s="405"/>
      <c r="B154" s="405"/>
      <c r="C154" s="411" t="s">
        <v>130</v>
      </c>
      <c r="D154" s="426" t="s">
        <v>911</v>
      </c>
      <c r="E154" s="408">
        <v>1</v>
      </c>
      <c r="F154" s="439" t="s">
        <v>468</v>
      </c>
      <c r="G154" s="413">
        <v>527</v>
      </c>
      <c r="H154" s="408">
        <v>3</v>
      </c>
      <c r="I154" s="408" t="s">
        <v>400</v>
      </c>
      <c r="J154" s="408">
        <f>ROUND(E154*G154/H154,2)</f>
        <v>175.67</v>
      </c>
      <c r="K154" s="394"/>
    </row>
    <row r="155" spans="1:12">
      <c r="A155" s="405"/>
      <c r="B155" s="405"/>
      <c r="C155" s="411" t="s">
        <v>122</v>
      </c>
      <c r="D155" s="426" t="s">
        <v>910</v>
      </c>
      <c r="E155" s="397">
        <f>$D$3</f>
        <v>0</v>
      </c>
      <c r="F155" s="439" t="s">
        <v>468</v>
      </c>
      <c r="G155" s="413">
        <f>G149</f>
        <v>83</v>
      </c>
      <c r="H155" s="408">
        <v>1</v>
      </c>
      <c r="I155" s="408" t="str">
        <f>F155</f>
        <v>RM</v>
      </c>
      <c r="J155" s="408">
        <f>ROUND(E155*G155/H155,2)</f>
        <v>0</v>
      </c>
      <c r="K155" s="394"/>
    </row>
    <row r="156" spans="1:12">
      <c r="A156" s="405"/>
      <c r="B156" s="405"/>
      <c r="C156" s="406"/>
      <c r="D156" s="408"/>
      <c r="E156" s="408"/>
      <c r="F156" s="409"/>
      <c r="G156" s="413"/>
      <c r="H156" s="408"/>
      <c r="I156" s="408"/>
      <c r="J156" s="408">
        <f>SUM(J154:J155)</f>
        <v>175.67</v>
      </c>
      <c r="K156" s="394"/>
    </row>
    <row r="157" spans="1:12">
      <c r="A157" s="405"/>
      <c r="B157" s="405"/>
      <c r="C157" s="414" t="s">
        <v>123</v>
      </c>
      <c r="E157" s="416">
        <f>$D$4</f>
        <v>0</v>
      </c>
      <c r="F157" s="409"/>
      <c r="G157" s="413"/>
      <c r="H157" s="408"/>
      <c r="I157" s="408"/>
      <c r="J157" s="408">
        <f>ROUND(J156*E157,2)</f>
        <v>0</v>
      </c>
      <c r="K157" s="394"/>
    </row>
    <row r="158" spans="1:12">
      <c r="A158" s="405"/>
      <c r="B158" s="405"/>
      <c r="C158" s="406" t="s">
        <v>573</v>
      </c>
      <c r="D158" s="417"/>
      <c r="E158" s="418"/>
      <c r="F158" s="419"/>
      <c r="G158" s="420"/>
      <c r="H158" s="418"/>
      <c r="I158" s="418"/>
      <c r="J158" s="418">
        <f>CEILING(J157+J156,0.05)</f>
        <v>175.70000000000002</v>
      </c>
      <c r="K158" s="394"/>
    </row>
    <row r="159" spans="1:12" ht="15" hidden="1" customHeight="1">
      <c r="A159" s="405"/>
      <c r="B159" s="405" t="s">
        <v>29</v>
      </c>
      <c r="C159" s="438" t="s">
        <v>1004</v>
      </c>
      <c r="D159" s="408"/>
      <c r="E159" s="439"/>
      <c r="F159" s="409"/>
      <c r="G159" s="423"/>
      <c r="H159" s="439"/>
      <c r="I159" s="408"/>
      <c r="J159" s="421"/>
      <c r="K159" s="394"/>
    </row>
    <row r="160" spans="1:12" hidden="1">
      <c r="A160" s="405"/>
      <c r="B160" s="405"/>
      <c r="C160" s="411" t="s">
        <v>130</v>
      </c>
      <c r="D160" s="426" t="s">
        <v>1003</v>
      </c>
      <c r="E160" s="408">
        <v>1</v>
      </c>
      <c r="F160" s="439" t="s">
        <v>468</v>
      </c>
      <c r="G160" s="413">
        <v>1140</v>
      </c>
      <c r="H160" s="408">
        <v>3</v>
      </c>
      <c r="I160" s="408" t="s">
        <v>400</v>
      </c>
      <c r="J160" s="408">
        <f>ROUND(E160*G160/H160,2)</f>
        <v>380</v>
      </c>
      <c r="K160" s="394"/>
    </row>
    <row r="161" spans="1:11" hidden="1">
      <c r="A161" s="405"/>
      <c r="B161" s="405"/>
      <c r="C161" s="411" t="s">
        <v>122</v>
      </c>
      <c r="D161" s="426" t="s">
        <v>910</v>
      </c>
      <c r="E161" s="397">
        <f>$D$3</f>
        <v>0</v>
      </c>
      <c r="F161" s="439" t="s">
        <v>468</v>
      </c>
      <c r="G161" s="413">
        <f>G155</f>
        <v>83</v>
      </c>
      <c r="H161" s="408">
        <v>1</v>
      </c>
      <c r="I161" s="408" t="str">
        <f>F161</f>
        <v>RM</v>
      </c>
      <c r="J161" s="408">
        <f>ROUND(E161*G161/H161,2)</f>
        <v>0</v>
      </c>
      <c r="K161" s="394"/>
    </row>
    <row r="162" spans="1:11" hidden="1">
      <c r="A162" s="405"/>
      <c r="B162" s="405"/>
      <c r="C162" s="406"/>
      <c r="D162" s="408"/>
      <c r="E162" s="408"/>
      <c r="F162" s="409"/>
      <c r="G162" s="413"/>
      <c r="H162" s="408"/>
      <c r="I162" s="408"/>
      <c r="J162" s="408">
        <f>SUM(J160:J161)</f>
        <v>380</v>
      </c>
      <c r="K162" s="394"/>
    </row>
    <row r="163" spans="1:11" hidden="1">
      <c r="A163" s="405"/>
      <c r="B163" s="405"/>
      <c r="C163" s="414" t="s">
        <v>123</v>
      </c>
      <c r="E163" s="416">
        <f>$D$4</f>
        <v>0</v>
      </c>
      <c r="F163" s="409"/>
      <c r="G163" s="413"/>
      <c r="H163" s="408"/>
      <c r="I163" s="408"/>
      <c r="J163" s="408">
        <f>ROUND(J162*E163,2)</f>
        <v>0</v>
      </c>
      <c r="K163" s="394"/>
    </row>
    <row r="164" spans="1:11" hidden="1">
      <c r="A164" s="405"/>
      <c r="B164" s="405"/>
      <c r="C164" s="406" t="s">
        <v>573</v>
      </c>
      <c r="D164" s="417"/>
      <c r="E164" s="418"/>
      <c r="F164" s="419"/>
      <c r="G164" s="420"/>
      <c r="H164" s="418"/>
      <c r="I164" s="418"/>
      <c r="J164" s="418">
        <f>CEILING(J163+J162,0.05)</f>
        <v>380</v>
      </c>
      <c r="K164" s="394"/>
    </row>
    <row r="165" spans="1:11" ht="88.5" hidden="1" customHeight="1">
      <c r="A165" s="403">
        <f>A140+1</f>
        <v>12</v>
      </c>
      <c r="B165" s="403"/>
      <c r="C165" s="1551" t="s">
        <v>1370</v>
      </c>
      <c r="D165" s="1552"/>
      <c r="E165" s="1552"/>
      <c r="F165" s="1552"/>
      <c r="G165" s="1552"/>
      <c r="H165" s="1552"/>
      <c r="I165" s="1552"/>
      <c r="J165" s="1553"/>
      <c r="K165" s="394"/>
    </row>
    <row r="166" spans="1:11" hidden="1">
      <c r="A166" s="405"/>
      <c r="B166" s="405" t="s">
        <v>469</v>
      </c>
      <c r="C166" s="441" t="s">
        <v>254</v>
      </c>
      <c r="D166" s="408"/>
      <c r="E166" s="408"/>
      <c r="F166" s="409"/>
      <c r="G166" s="423"/>
      <c r="H166" s="408"/>
      <c r="I166" s="408"/>
      <c r="J166" s="421"/>
      <c r="K166" s="394"/>
    </row>
    <row r="167" spans="1:11" hidden="1">
      <c r="A167" s="405"/>
      <c r="B167" s="405"/>
      <c r="C167" s="411" t="s">
        <v>130</v>
      </c>
      <c r="D167" s="426" t="s">
        <v>913</v>
      </c>
      <c r="E167" s="408">
        <v>1</v>
      </c>
      <c r="F167" s="439" t="s">
        <v>222</v>
      </c>
      <c r="G167" s="413">
        <v>193</v>
      </c>
      <c r="H167" s="408">
        <v>1</v>
      </c>
      <c r="I167" s="408" t="str">
        <f>F167</f>
        <v>Rmt</v>
      </c>
      <c r="J167" s="408">
        <f>ROUND(E167*G167/H167,2)</f>
        <v>193</v>
      </c>
      <c r="K167" s="394"/>
    </row>
    <row r="168" spans="1:11" hidden="1">
      <c r="A168" s="405"/>
      <c r="B168" s="405"/>
      <c r="C168" s="411" t="s">
        <v>122</v>
      </c>
      <c r="D168" s="408" t="s">
        <v>255</v>
      </c>
      <c r="E168" s="397">
        <f>$D$3</f>
        <v>0</v>
      </c>
      <c r="F168" s="439" t="s">
        <v>222</v>
      </c>
      <c r="G168" s="413">
        <v>41</v>
      </c>
      <c r="H168" s="408">
        <v>1</v>
      </c>
      <c r="I168" s="408"/>
      <c r="J168" s="408">
        <f>ROUND(E168*G168/H168,2)</f>
        <v>0</v>
      </c>
      <c r="K168" s="394"/>
    </row>
    <row r="169" spans="1:11" hidden="1">
      <c r="A169" s="405"/>
      <c r="B169" s="405"/>
      <c r="C169" s="406"/>
      <c r="D169" s="408"/>
      <c r="E169" s="408"/>
      <c r="F169" s="409"/>
      <c r="G169" s="413"/>
      <c r="H169" s="408"/>
      <c r="I169" s="408"/>
      <c r="J169" s="408">
        <f>SUM(J167:J168)</f>
        <v>193</v>
      </c>
      <c r="K169" s="394"/>
    </row>
    <row r="170" spans="1:11" hidden="1">
      <c r="A170" s="405"/>
      <c r="B170" s="405"/>
      <c r="C170" s="414" t="s">
        <v>123</v>
      </c>
      <c r="E170" s="416">
        <f>$D$4</f>
        <v>0</v>
      </c>
      <c r="F170" s="409"/>
      <c r="G170" s="413"/>
      <c r="H170" s="408"/>
      <c r="I170" s="408"/>
      <c r="J170" s="408">
        <f>ROUND(J169*E170,2)</f>
        <v>0</v>
      </c>
      <c r="K170" s="394"/>
    </row>
    <row r="171" spans="1:11" hidden="1">
      <c r="A171" s="405"/>
      <c r="B171" s="405"/>
      <c r="C171" s="406" t="s">
        <v>573</v>
      </c>
      <c r="D171" s="417"/>
      <c r="E171" s="418"/>
      <c r="F171" s="419"/>
      <c r="G171" s="420"/>
      <c r="H171" s="418"/>
      <c r="I171" s="418"/>
      <c r="J171" s="418">
        <f>CEILING(J170+J169,0.05)</f>
        <v>193</v>
      </c>
      <c r="K171" s="394"/>
    </row>
    <row r="172" spans="1:11" hidden="1">
      <c r="A172" s="405"/>
      <c r="B172" s="405"/>
      <c r="C172" s="406"/>
      <c r="D172" s="417"/>
      <c r="E172" s="418"/>
      <c r="F172" s="419"/>
      <c r="G172" s="420"/>
      <c r="H172" s="418"/>
      <c r="I172" s="418"/>
      <c r="J172" s="418"/>
      <c r="K172" s="394"/>
    </row>
    <row r="173" spans="1:11" hidden="1">
      <c r="A173" s="405"/>
      <c r="B173" s="405" t="s">
        <v>1</v>
      </c>
      <c r="C173" s="441" t="s">
        <v>256</v>
      </c>
      <c r="D173" s="408"/>
      <c r="E173" s="408"/>
      <c r="F173" s="409"/>
      <c r="G173" s="423"/>
      <c r="H173" s="408"/>
      <c r="I173" s="408"/>
      <c r="J173" s="421"/>
      <c r="K173" s="394"/>
    </row>
    <row r="174" spans="1:11" hidden="1">
      <c r="A174" s="405"/>
      <c r="B174" s="405"/>
      <c r="C174" s="411" t="s">
        <v>130</v>
      </c>
      <c r="D174" s="426" t="s">
        <v>914</v>
      </c>
      <c r="E174" s="408">
        <v>1</v>
      </c>
      <c r="F174" s="439" t="s">
        <v>222</v>
      </c>
      <c r="G174" s="413">
        <v>214</v>
      </c>
      <c r="H174" s="408">
        <v>1</v>
      </c>
      <c r="I174" s="408" t="str">
        <f>F174</f>
        <v>Rmt</v>
      </c>
      <c r="J174" s="408">
        <f>ROUND(E174*G174/H174,2)</f>
        <v>214</v>
      </c>
      <c r="K174" s="394"/>
    </row>
    <row r="175" spans="1:11" hidden="1">
      <c r="A175" s="405"/>
      <c r="B175" s="405"/>
      <c r="C175" s="411" t="s">
        <v>122</v>
      </c>
      <c r="D175" s="408" t="s">
        <v>257</v>
      </c>
      <c r="E175" s="397">
        <f>$D$3</f>
        <v>0</v>
      </c>
      <c r="F175" s="439" t="s">
        <v>222</v>
      </c>
      <c r="G175" s="413">
        <v>41</v>
      </c>
      <c r="H175" s="408">
        <v>1</v>
      </c>
      <c r="I175" s="408" t="str">
        <f>F175</f>
        <v>Rmt</v>
      </c>
      <c r="J175" s="408">
        <f>ROUND(E175*G175/H175,2)</f>
        <v>0</v>
      </c>
      <c r="K175" s="394"/>
    </row>
    <row r="176" spans="1:11" hidden="1">
      <c r="A176" s="405"/>
      <c r="B176" s="405"/>
      <c r="C176" s="406"/>
      <c r="D176" s="408"/>
      <c r="E176" s="408"/>
      <c r="F176" s="409"/>
      <c r="G176" s="413"/>
      <c r="H176" s="408"/>
      <c r="I176" s="408"/>
      <c r="J176" s="408">
        <f>SUM(J174:J175)</f>
        <v>214</v>
      </c>
      <c r="K176" s="394"/>
    </row>
    <row r="177" spans="1:11" hidden="1">
      <c r="A177" s="405"/>
      <c r="B177" s="405"/>
      <c r="C177" s="414" t="s">
        <v>123</v>
      </c>
      <c r="E177" s="416">
        <f>$D$4</f>
        <v>0</v>
      </c>
      <c r="F177" s="409"/>
      <c r="G177" s="413"/>
      <c r="H177" s="408"/>
      <c r="I177" s="408"/>
      <c r="J177" s="408">
        <f>ROUND(J176*E177,2)</f>
        <v>0</v>
      </c>
      <c r="K177" s="394"/>
    </row>
    <row r="178" spans="1:11" hidden="1">
      <c r="A178" s="405"/>
      <c r="B178" s="405"/>
      <c r="C178" s="406" t="s">
        <v>573</v>
      </c>
      <c r="D178" s="417"/>
      <c r="E178" s="418"/>
      <c r="F178" s="419"/>
      <c r="G178" s="420"/>
      <c r="H178" s="418"/>
      <c r="I178" s="418"/>
      <c r="J178" s="418">
        <f>CEILING(J177+J176,0.05)</f>
        <v>214</v>
      </c>
      <c r="K178" s="394"/>
    </row>
    <row r="179" spans="1:11" hidden="1">
      <c r="A179" s="405"/>
      <c r="B179" s="405"/>
      <c r="C179" s="406"/>
      <c r="D179" s="417"/>
      <c r="E179" s="418"/>
      <c r="F179" s="419"/>
      <c r="G179" s="420"/>
      <c r="H179" s="418"/>
      <c r="I179" s="418"/>
      <c r="J179" s="418"/>
      <c r="K179" s="394"/>
    </row>
    <row r="180" spans="1:11" hidden="1">
      <c r="A180" s="405"/>
      <c r="B180" s="405" t="s">
        <v>363</v>
      </c>
      <c r="C180" s="441" t="s">
        <v>258</v>
      </c>
      <c r="D180" s="408"/>
      <c r="E180" s="408"/>
      <c r="F180" s="409"/>
      <c r="G180" s="423"/>
      <c r="H180" s="408"/>
      <c r="I180" s="408"/>
      <c r="J180" s="421"/>
      <c r="K180" s="394"/>
    </row>
    <row r="181" spans="1:11" hidden="1">
      <c r="A181" s="405"/>
      <c r="B181" s="405"/>
      <c r="C181" s="411" t="s">
        <v>130</v>
      </c>
      <c r="D181" s="426" t="s">
        <v>915</v>
      </c>
      <c r="E181" s="408">
        <v>1</v>
      </c>
      <c r="F181" s="439" t="s">
        <v>222</v>
      </c>
      <c r="G181" s="413">
        <v>281</v>
      </c>
      <c r="H181" s="408">
        <v>1</v>
      </c>
      <c r="I181" s="408" t="s">
        <v>400</v>
      </c>
      <c r="J181" s="408">
        <f>ROUND(E181*G181/H181,2)</f>
        <v>281</v>
      </c>
      <c r="K181" s="394"/>
    </row>
    <row r="182" spans="1:11" hidden="1">
      <c r="A182" s="405"/>
      <c r="B182" s="405"/>
      <c r="C182" s="411" t="s">
        <v>122</v>
      </c>
      <c r="D182" s="408" t="s">
        <v>259</v>
      </c>
      <c r="E182" s="397">
        <f>$D$3</f>
        <v>0</v>
      </c>
      <c r="F182" s="439" t="s">
        <v>222</v>
      </c>
      <c r="G182" s="413">
        <v>41</v>
      </c>
      <c r="H182" s="408">
        <v>1</v>
      </c>
      <c r="I182" s="408" t="str">
        <f>F182</f>
        <v>Rmt</v>
      </c>
      <c r="J182" s="408">
        <f>ROUND(E182*G182/H182,2)</f>
        <v>0</v>
      </c>
      <c r="K182" s="394"/>
    </row>
    <row r="183" spans="1:11" hidden="1">
      <c r="A183" s="405"/>
      <c r="B183" s="405"/>
      <c r="C183" s="406"/>
      <c r="D183" s="408"/>
      <c r="E183" s="408"/>
      <c r="F183" s="409"/>
      <c r="G183" s="413"/>
      <c r="H183" s="408"/>
      <c r="I183" s="408"/>
      <c r="J183" s="408">
        <f>SUM(J181:J182)</f>
        <v>281</v>
      </c>
      <c r="K183" s="394"/>
    </row>
    <row r="184" spans="1:11" hidden="1">
      <c r="A184" s="405"/>
      <c r="B184" s="405"/>
      <c r="C184" s="414" t="s">
        <v>123</v>
      </c>
      <c r="E184" s="416">
        <f>$D$4</f>
        <v>0</v>
      </c>
      <c r="F184" s="409"/>
      <c r="G184" s="413"/>
      <c r="H184" s="408"/>
      <c r="I184" s="408"/>
      <c r="J184" s="408">
        <f>ROUND(J183*E184,2)</f>
        <v>0</v>
      </c>
      <c r="K184" s="394"/>
    </row>
    <row r="185" spans="1:11" hidden="1">
      <c r="A185" s="405"/>
      <c r="B185" s="405"/>
      <c r="C185" s="406" t="s">
        <v>573</v>
      </c>
      <c r="D185" s="417"/>
      <c r="E185" s="418"/>
      <c r="F185" s="419"/>
      <c r="G185" s="420"/>
      <c r="H185" s="418"/>
      <c r="I185" s="418"/>
      <c r="J185" s="418">
        <f>CEILING(J184+J183,0.05)</f>
        <v>281</v>
      </c>
      <c r="K185" s="394"/>
    </row>
    <row r="186" spans="1:11" hidden="1">
      <c r="A186" s="405"/>
      <c r="B186" s="405"/>
      <c r="C186" s="441"/>
      <c r="D186" s="408"/>
      <c r="E186" s="408"/>
      <c r="F186" s="409"/>
      <c r="G186" s="423"/>
      <c r="H186" s="408"/>
      <c r="I186" s="408"/>
      <c r="J186" s="421"/>
      <c r="K186" s="394"/>
    </row>
    <row r="187" spans="1:11" hidden="1">
      <c r="A187" s="405"/>
      <c r="B187" s="405"/>
      <c r="C187" s="438"/>
      <c r="D187" s="421"/>
      <c r="E187" s="439"/>
      <c r="F187" s="422"/>
      <c r="G187" s="423"/>
      <c r="H187" s="439"/>
      <c r="I187" s="408"/>
      <c r="J187" s="408"/>
      <c r="K187" s="394"/>
    </row>
    <row r="188" spans="1:11" hidden="1">
      <c r="A188" s="405"/>
      <c r="B188" s="405" t="s">
        <v>664</v>
      </c>
      <c r="C188" s="441" t="s">
        <v>260</v>
      </c>
      <c r="D188" s="408"/>
      <c r="E188" s="408"/>
      <c r="F188" s="409"/>
      <c r="G188" s="423"/>
      <c r="H188" s="408"/>
      <c r="I188" s="408"/>
      <c r="J188" s="421"/>
      <c r="K188" s="394"/>
    </row>
    <row r="189" spans="1:11" hidden="1">
      <c r="A189" s="405"/>
      <c r="B189" s="405"/>
      <c r="C189" s="411" t="s">
        <v>130</v>
      </c>
      <c r="D189" s="426" t="s">
        <v>916</v>
      </c>
      <c r="E189" s="408">
        <v>1</v>
      </c>
      <c r="F189" s="439" t="s">
        <v>222</v>
      </c>
      <c r="G189" s="413">
        <v>441</v>
      </c>
      <c r="H189" s="408">
        <v>1</v>
      </c>
      <c r="I189" s="408" t="s">
        <v>400</v>
      </c>
      <c r="J189" s="408">
        <f>ROUND(E189*G189/H189,2)</f>
        <v>441</v>
      </c>
      <c r="K189" s="394"/>
    </row>
    <row r="190" spans="1:11" hidden="1">
      <c r="A190" s="405"/>
      <c r="B190" s="405"/>
      <c r="C190" s="411" t="s">
        <v>122</v>
      </c>
      <c r="D190" s="408" t="s">
        <v>261</v>
      </c>
      <c r="E190" s="397">
        <f>$D$3</f>
        <v>0</v>
      </c>
      <c r="F190" s="439" t="s">
        <v>222</v>
      </c>
      <c r="G190" s="413">
        <v>44</v>
      </c>
      <c r="H190" s="408">
        <v>1</v>
      </c>
      <c r="I190" s="408" t="str">
        <f>F190</f>
        <v>Rmt</v>
      </c>
      <c r="J190" s="408">
        <f>ROUND(E190*G190/H190,2)</f>
        <v>0</v>
      </c>
      <c r="K190" s="394"/>
    </row>
    <row r="191" spans="1:11" hidden="1">
      <c r="A191" s="405"/>
      <c r="B191" s="405"/>
      <c r="C191" s="406"/>
      <c r="D191" s="408"/>
      <c r="E191" s="408"/>
      <c r="F191" s="409"/>
      <c r="G191" s="413"/>
      <c r="H191" s="408"/>
      <c r="I191" s="408"/>
      <c r="J191" s="408">
        <f>SUM(J189:J190)</f>
        <v>441</v>
      </c>
      <c r="K191" s="394"/>
    </row>
    <row r="192" spans="1:11" hidden="1">
      <c r="A192" s="405"/>
      <c r="B192" s="405"/>
      <c r="C192" s="414" t="s">
        <v>123</v>
      </c>
      <c r="E192" s="416">
        <f>$D$4</f>
        <v>0</v>
      </c>
      <c r="F192" s="409"/>
      <c r="G192" s="413"/>
      <c r="H192" s="408"/>
      <c r="I192" s="408"/>
      <c r="J192" s="408">
        <f>ROUND(J191*E192,2)</f>
        <v>0</v>
      </c>
      <c r="K192" s="394"/>
    </row>
    <row r="193" spans="1:11" hidden="1">
      <c r="A193" s="405"/>
      <c r="B193" s="405"/>
      <c r="C193" s="406" t="s">
        <v>573</v>
      </c>
      <c r="D193" s="417"/>
      <c r="E193" s="418"/>
      <c r="F193" s="419"/>
      <c r="G193" s="420"/>
      <c r="H193" s="418"/>
      <c r="I193" s="418"/>
      <c r="J193" s="418">
        <f>CEILING(J192+J191,0.05)</f>
        <v>441</v>
      </c>
      <c r="K193" s="394"/>
    </row>
    <row r="194" spans="1:11" hidden="1">
      <c r="A194" s="405"/>
      <c r="B194" s="405"/>
      <c r="C194" s="406"/>
      <c r="D194" s="417"/>
      <c r="E194" s="418"/>
      <c r="F194" s="419"/>
      <c r="G194" s="420"/>
      <c r="H194" s="418"/>
      <c r="I194" s="418"/>
      <c r="J194" s="418"/>
      <c r="K194" s="394"/>
    </row>
    <row r="195" spans="1:11" hidden="1">
      <c r="A195" s="405"/>
      <c r="B195" s="405" t="s">
        <v>220</v>
      </c>
      <c r="C195" s="441" t="s">
        <v>262</v>
      </c>
      <c r="D195" s="408"/>
      <c r="E195" s="408"/>
      <c r="F195" s="409"/>
      <c r="G195" s="423"/>
      <c r="H195" s="408"/>
      <c r="I195" s="408"/>
      <c r="J195" s="421"/>
      <c r="K195" s="394"/>
    </row>
    <row r="196" spans="1:11" hidden="1">
      <c r="A196" s="405"/>
      <c r="B196" s="405"/>
      <c r="C196" s="411" t="s">
        <v>130</v>
      </c>
      <c r="D196" s="426" t="s">
        <v>917</v>
      </c>
      <c r="E196" s="408">
        <v>1</v>
      </c>
      <c r="F196" s="439" t="s">
        <v>222</v>
      </c>
      <c r="G196" s="413">
        <v>475</v>
      </c>
      <c r="H196" s="408">
        <v>1</v>
      </c>
      <c r="I196" s="408" t="s">
        <v>400</v>
      </c>
      <c r="J196" s="408">
        <f>ROUND(E196*G196/H196,2)</f>
        <v>475</v>
      </c>
      <c r="K196" s="394"/>
    </row>
    <row r="197" spans="1:11" hidden="1">
      <c r="A197" s="405"/>
      <c r="B197" s="405"/>
      <c r="C197" s="411" t="s">
        <v>122</v>
      </c>
      <c r="D197" s="408" t="s">
        <v>263</v>
      </c>
      <c r="E197" s="397">
        <f>$D$3</f>
        <v>0</v>
      </c>
      <c r="F197" s="439" t="s">
        <v>222</v>
      </c>
      <c r="G197" s="413">
        <v>67</v>
      </c>
      <c r="H197" s="408">
        <v>1</v>
      </c>
      <c r="I197" s="408" t="str">
        <f>F197</f>
        <v>Rmt</v>
      </c>
      <c r="J197" s="408">
        <f>ROUND(E197*G197/H197,2)</f>
        <v>0</v>
      </c>
      <c r="K197" s="394"/>
    </row>
    <row r="198" spans="1:11" hidden="1">
      <c r="A198" s="405"/>
      <c r="B198" s="405"/>
      <c r="C198" s="406"/>
      <c r="D198" s="408"/>
      <c r="E198" s="408"/>
      <c r="F198" s="409"/>
      <c r="G198" s="413"/>
      <c r="H198" s="408"/>
      <c r="I198" s="408"/>
      <c r="J198" s="408">
        <f>SUM(J196:J197)</f>
        <v>475</v>
      </c>
      <c r="K198" s="394"/>
    </row>
    <row r="199" spans="1:11" hidden="1">
      <c r="A199" s="405"/>
      <c r="B199" s="405"/>
      <c r="C199" s="414" t="s">
        <v>123</v>
      </c>
      <c r="E199" s="416">
        <f>$D$4</f>
        <v>0</v>
      </c>
      <c r="F199" s="409"/>
      <c r="G199" s="413"/>
      <c r="H199" s="408"/>
      <c r="I199" s="408"/>
      <c r="J199" s="408">
        <f>ROUND(J198*E199,2)</f>
        <v>0</v>
      </c>
      <c r="K199" s="394"/>
    </row>
    <row r="200" spans="1:11" hidden="1">
      <c r="A200" s="405"/>
      <c r="B200" s="405"/>
      <c r="C200" s="406" t="s">
        <v>573</v>
      </c>
      <c r="D200" s="417"/>
      <c r="E200" s="418"/>
      <c r="F200" s="419"/>
      <c r="G200" s="420"/>
      <c r="H200" s="418"/>
      <c r="I200" s="418"/>
      <c r="J200" s="418">
        <f>CEILING(J199+J198,0.05)</f>
        <v>475</v>
      </c>
      <c r="K200" s="394"/>
    </row>
    <row r="201" spans="1:11" hidden="1">
      <c r="A201" s="405"/>
      <c r="B201" s="405"/>
      <c r="C201" s="406"/>
      <c r="D201" s="417"/>
      <c r="E201" s="418"/>
      <c r="F201" s="419"/>
      <c r="G201" s="420"/>
      <c r="H201" s="418"/>
      <c r="I201" s="418"/>
      <c r="J201" s="418"/>
      <c r="K201" s="394"/>
    </row>
    <row r="202" spans="1:11" ht="17.25" hidden="1" customHeight="1">
      <c r="A202" s="405"/>
      <c r="B202" s="405" t="s">
        <v>264</v>
      </c>
      <c r="C202" s="441" t="s">
        <v>265</v>
      </c>
      <c r="D202" s="408"/>
      <c r="E202" s="408"/>
      <c r="F202" s="409"/>
      <c r="G202" s="423"/>
      <c r="H202" s="408"/>
      <c r="I202" s="408"/>
      <c r="J202" s="421"/>
      <c r="K202" s="394"/>
    </row>
    <row r="203" spans="1:11" ht="21" hidden="1" customHeight="1">
      <c r="A203" s="405"/>
      <c r="B203" s="405"/>
      <c r="C203" s="411" t="s">
        <v>130</v>
      </c>
      <c r="D203" s="426" t="s">
        <v>918</v>
      </c>
      <c r="E203" s="408">
        <v>1</v>
      </c>
      <c r="F203" s="439" t="s">
        <v>222</v>
      </c>
      <c r="G203" s="413">
        <v>842</v>
      </c>
      <c r="H203" s="408">
        <v>1</v>
      </c>
      <c r="I203" s="408" t="s">
        <v>400</v>
      </c>
      <c r="J203" s="408">
        <f>ROUND(E203*G203/H203,2)</f>
        <v>842</v>
      </c>
      <c r="K203" s="394"/>
    </row>
    <row r="204" spans="1:11" hidden="1">
      <c r="A204" s="405"/>
      <c r="B204" s="405"/>
      <c r="C204" s="411" t="s">
        <v>122</v>
      </c>
      <c r="D204" s="408" t="s">
        <v>263</v>
      </c>
      <c r="E204" s="397">
        <f>$D$3</f>
        <v>0</v>
      </c>
      <c r="F204" s="439" t="s">
        <v>222</v>
      </c>
      <c r="G204" s="413">
        <v>67</v>
      </c>
      <c r="H204" s="408">
        <v>1</v>
      </c>
      <c r="I204" s="408" t="str">
        <f>F204</f>
        <v>Rmt</v>
      </c>
      <c r="J204" s="408">
        <f>ROUND(E204*G204/H204,2)</f>
        <v>0</v>
      </c>
      <c r="K204" s="394"/>
    </row>
    <row r="205" spans="1:11" hidden="1">
      <c r="A205" s="405"/>
      <c r="B205" s="405"/>
      <c r="C205" s="406"/>
      <c r="D205" s="408"/>
      <c r="E205" s="408"/>
      <c r="F205" s="409"/>
      <c r="G205" s="413"/>
      <c r="H205" s="408"/>
      <c r="I205" s="408"/>
      <c r="J205" s="408">
        <f>SUM(J203:J204)</f>
        <v>842</v>
      </c>
      <c r="K205" s="394"/>
    </row>
    <row r="206" spans="1:11" hidden="1">
      <c r="A206" s="405"/>
      <c r="B206" s="405"/>
      <c r="C206" s="414" t="s">
        <v>123</v>
      </c>
      <c r="E206" s="416">
        <f>$D$4</f>
        <v>0</v>
      </c>
      <c r="F206" s="409"/>
      <c r="G206" s="413"/>
      <c r="H206" s="408"/>
      <c r="I206" s="408"/>
      <c r="J206" s="408">
        <f>ROUND(J205*E206,2)</f>
        <v>0</v>
      </c>
      <c r="K206" s="394"/>
    </row>
    <row r="207" spans="1:11" hidden="1">
      <c r="A207" s="405"/>
      <c r="B207" s="405"/>
      <c r="C207" s="406" t="s">
        <v>573</v>
      </c>
      <c r="D207" s="417"/>
      <c r="E207" s="418"/>
      <c r="F207" s="419"/>
      <c r="G207" s="420"/>
      <c r="H207" s="418"/>
      <c r="I207" s="418"/>
      <c r="J207" s="418">
        <f>CEILING(J206+J205,0.05)</f>
        <v>842</v>
      </c>
      <c r="K207" s="394"/>
    </row>
    <row r="208" spans="1:11" hidden="1">
      <c r="A208" s="405"/>
      <c r="B208" s="405"/>
      <c r="C208" s="406"/>
      <c r="D208" s="417"/>
      <c r="E208" s="418"/>
      <c r="F208" s="419"/>
      <c r="G208" s="420"/>
      <c r="H208" s="418"/>
      <c r="I208" s="418"/>
      <c r="J208" s="418"/>
      <c r="K208" s="394"/>
    </row>
    <row r="209" spans="1:11" ht="31.5" hidden="1" customHeight="1">
      <c r="A209" s="403">
        <f>A165+1</f>
        <v>13</v>
      </c>
      <c r="B209" s="403"/>
      <c r="C209" s="1560" t="s">
        <v>1095</v>
      </c>
      <c r="D209" s="1560"/>
      <c r="E209" s="1560"/>
      <c r="F209" s="1560"/>
      <c r="G209" s="1560"/>
      <c r="H209" s="1560"/>
      <c r="I209" s="1560"/>
      <c r="J209" s="1560"/>
      <c r="K209" s="394"/>
    </row>
    <row r="210" spans="1:11" hidden="1">
      <c r="A210" s="403"/>
      <c r="B210" s="403"/>
      <c r="C210" s="437" t="s">
        <v>266</v>
      </c>
      <c r="D210" s="421"/>
      <c r="E210" s="439"/>
      <c r="F210" s="422"/>
      <c r="G210" s="423"/>
      <c r="H210" s="439"/>
      <c r="I210" s="408"/>
      <c r="J210" s="408"/>
      <c r="K210" s="394"/>
    </row>
    <row r="211" spans="1:11" hidden="1">
      <c r="A211" s="403"/>
      <c r="B211" s="403"/>
      <c r="C211" s="411" t="s">
        <v>130</v>
      </c>
      <c r="D211" s="426" t="s">
        <v>919</v>
      </c>
      <c r="E211" s="408">
        <v>1</v>
      </c>
      <c r="F211" s="409" t="s">
        <v>327</v>
      </c>
      <c r="G211" s="413">
        <v>577</v>
      </c>
      <c r="H211" s="408">
        <v>1</v>
      </c>
      <c r="I211" s="408" t="str">
        <f>F211</f>
        <v>Nos</v>
      </c>
      <c r="J211" s="408">
        <f>ROUND(E211*G211/H211,2)</f>
        <v>577</v>
      </c>
      <c r="K211" s="394"/>
    </row>
    <row r="212" spans="1:11" hidden="1">
      <c r="A212" s="403"/>
      <c r="B212" s="403"/>
      <c r="C212" s="411" t="s">
        <v>122</v>
      </c>
      <c r="D212" s="408" t="s">
        <v>1096</v>
      </c>
      <c r="E212" s="397">
        <f>$D$3</f>
        <v>0</v>
      </c>
      <c r="F212" s="409"/>
      <c r="G212" s="413">
        <v>62</v>
      </c>
      <c r="H212" s="408">
        <v>1</v>
      </c>
      <c r="I212" s="408">
        <f>F212</f>
        <v>0</v>
      </c>
      <c r="J212" s="408">
        <f>ROUND(E212*G212/H212,2)</f>
        <v>0</v>
      </c>
      <c r="K212" s="394"/>
    </row>
    <row r="213" spans="1:11" hidden="1">
      <c r="A213" s="403"/>
      <c r="B213" s="403"/>
      <c r="C213" s="406"/>
      <c r="D213" s="408"/>
      <c r="E213" s="408"/>
      <c r="F213" s="409"/>
      <c r="G213" s="413"/>
      <c r="H213" s="408"/>
      <c r="I213" s="408"/>
      <c r="J213" s="408">
        <f>SUM(J211:J212)</f>
        <v>577</v>
      </c>
      <c r="K213" s="394"/>
    </row>
    <row r="214" spans="1:11" hidden="1">
      <c r="A214" s="403"/>
      <c r="B214" s="403"/>
      <c r="C214" s="414" t="s">
        <v>123</v>
      </c>
      <c r="E214" s="425">
        <f>$D$4</f>
        <v>0</v>
      </c>
      <c r="F214" s="409"/>
      <c r="G214" s="413"/>
      <c r="H214" s="408"/>
      <c r="I214" s="408"/>
      <c r="J214" s="408">
        <f>ROUND(J213*E214,2)</f>
        <v>0</v>
      </c>
      <c r="K214" s="394"/>
    </row>
    <row r="215" spans="1:11" hidden="1">
      <c r="A215" s="403"/>
      <c r="B215" s="403"/>
      <c r="C215" s="406" t="s">
        <v>169</v>
      </c>
      <c r="D215" s="417"/>
      <c r="E215" s="418"/>
      <c r="F215" s="419"/>
      <c r="G215" s="420"/>
      <c r="H215" s="418"/>
      <c r="I215" s="418"/>
      <c r="J215" s="418">
        <f>CEILING(J214+J213,0.05)</f>
        <v>577</v>
      </c>
      <c r="K215" s="394"/>
    </row>
    <row r="216" spans="1:11" hidden="1">
      <c r="A216" s="403"/>
      <c r="B216" s="403"/>
      <c r="C216" s="406"/>
      <c r="D216" s="417"/>
      <c r="E216" s="418"/>
      <c r="F216" s="419"/>
      <c r="G216" s="420"/>
      <c r="H216" s="418"/>
      <c r="I216" s="418"/>
      <c r="J216" s="418"/>
      <c r="K216" s="394"/>
    </row>
    <row r="217" spans="1:11" hidden="1">
      <c r="A217" s="403"/>
      <c r="B217" s="405" t="s">
        <v>469</v>
      </c>
      <c r="C217" s="437" t="s">
        <v>256</v>
      </c>
      <c r="D217" s="421"/>
      <c r="E217" s="408"/>
      <c r="F217" s="422"/>
      <c r="G217" s="423"/>
      <c r="H217" s="408"/>
      <c r="I217" s="408"/>
      <c r="J217" s="421"/>
      <c r="K217" s="394"/>
    </row>
    <row r="218" spans="1:11" hidden="1">
      <c r="A218" s="403"/>
      <c r="B218" s="405"/>
      <c r="C218" s="411" t="s">
        <v>130</v>
      </c>
      <c r="D218" s="426" t="s">
        <v>920</v>
      </c>
      <c r="E218" s="408">
        <v>1</v>
      </c>
      <c r="F218" s="409" t="s">
        <v>327</v>
      </c>
      <c r="G218" s="413">
        <v>891</v>
      </c>
      <c r="H218" s="408">
        <v>1</v>
      </c>
      <c r="I218" s="408" t="str">
        <f>F218</f>
        <v>Nos</v>
      </c>
      <c r="J218" s="408">
        <f>ROUND(E218*G218/H218,2)</f>
        <v>891</v>
      </c>
      <c r="K218" s="394"/>
    </row>
    <row r="219" spans="1:11" hidden="1">
      <c r="A219" s="403"/>
      <c r="B219" s="405"/>
      <c r="C219" s="411" t="s">
        <v>122</v>
      </c>
      <c r="D219" s="408" t="s">
        <v>1096</v>
      </c>
      <c r="E219" s="397">
        <f>$D$3</f>
        <v>0</v>
      </c>
      <c r="F219" s="409"/>
      <c r="G219" s="413">
        <v>96</v>
      </c>
      <c r="H219" s="408">
        <v>1</v>
      </c>
      <c r="I219" s="408">
        <f>F219</f>
        <v>0</v>
      </c>
      <c r="J219" s="408">
        <f>ROUND(E219*G219/H219,2)</f>
        <v>0</v>
      </c>
      <c r="K219" s="394"/>
    </row>
    <row r="220" spans="1:11" hidden="1">
      <c r="A220" s="403"/>
      <c r="B220" s="405"/>
      <c r="C220" s="406"/>
      <c r="D220" s="408"/>
      <c r="E220" s="408"/>
      <c r="F220" s="409"/>
      <c r="G220" s="413"/>
      <c r="H220" s="408"/>
      <c r="I220" s="408"/>
      <c r="J220" s="408">
        <f>SUM(J218:J219)</f>
        <v>891</v>
      </c>
      <c r="K220" s="394"/>
    </row>
    <row r="221" spans="1:11" hidden="1">
      <c r="A221" s="403"/>
      <c r="B221" s="405"/>
      <c r="C221" s="414" t="s">
        <v>123</v>
      </c>
      <c r="E221" s="425">
        <f>$D$4</f>
        <v>0</v>
      </c>
      <c r="F221" s="409"/>
      <c r="G221" s="413"/>
      <c r="H221" s="408"/>
      <c r="I221" s="408"/>
      <c r="J221" s="408">
        <f>ROUND(J220*E221,2)</f>
        <v>0</v>
      </c>
      <c r="K221" s="394"/>
    </row>
    <row r="222" spans="1:11" hidden="1">
      <c r="A222" s="403"/>
      <c r="B222" s="403"/>
      <c r="C222" s="406" t="s">
        <v>169</v>
      </c>
      <c r="D222" s="417"/>
      <c r="E222" s="418"/>
      <c r="F222" s="419"/>
      <c r="G222" s="420"/>
      <c r="H222" s="418"/>
      <c r="I222" s="418"/>
      <c r="J222" s="418">
        <f>CEILING(J221+J220,0.05)</f>
        <v>891</v>
      </c>
      <c r="K222" s="394"/>
    </row>
    <row r="223" spans="1:11" hidden="1">
      <c r="A223" s="403"/>
      <c r="B223" s="403"/>
      <c r="C223" s="406"/>
      <c r="D223" s="417"/>
      <c r="E223" s="418"/>
      <c r="F223" s="419"/>
      <c r="G223" s="420"/>
      <c r="H223" s="418"/>
      <c r="I223" s="418"/>
      <c r="J223" s="418"/>
      <c r="K223" s="394"/>
    </row>
    <row r="224" spans="1:11" hidden="1">
      <c r="A224" s="405"/>
      <c r="B224" s="405" t="s">
        <v>1</v>
      </c>
      <c r="C224" s="437" t="s">
        <v>258</v>
      </c>
      <c r="D224" s="421"/>
      <c r="E224" s="408"/>
      <c r="F224" s="422"/>
      <c r="G224" s="423"/>
      <c r="H224" s="408"/>
      <c r="I224" s="408"/>
      <c r="J224" s="421"/>
      <c r="K224" s="394"/>
    </row>
    <row r="225" spans="1:11" hidden="1">
      <c r="A225" s="405"/>
      <c r="B225" s="405"/>
      <c r="C225" s="411" t="s">
        <v>130</v>
      </c>
      <c r="D225" s="426" t="s">
        <v>921</v>
      </c>
      <c r="E225" s="408">
        <v>1</v>
      </c>
      <c r="F225" s="409" t="s">
        <v>327</v>
      </c>
      <c r="G225" s="413">
        <v>1281</v>
      </c>
      <c r="H225" s="408">
        <v>1</v>
      </c>
      <c r="I225" s="408" t="str">
        <f>F225</f>
        <v>Nos</v>
      </c>
      <c r="J225" s="408">
        <f>ROUND(E225*G225/H225,2)</f>
        <v>1281</v>
      </c>
      <c r="K225" s="394"/>
    </row>
    <row r="226" spans="1:11" hidden="1">
      <c r="A226" s="405"/>
      <c r="B226" s="405"/>
      <c r="C226" s="411" t="s">
        <v>122</v>
      </c>
      <c r="D226" s="408" t="s">
        <v>925</v>
      </c>
      <c r="E226" s="397">
        <f>$D$3</f>
        <v>0</v>
      </c>
      <c r="F226" s="409"/>
      <c r="G226" s="413">
        <v>168</v>
      </c>
      <c r="H226" s="408">
        <v>1</v>
      </c>
      <c r="I226" s="408">
        <f>F226</f>
        <v>0</v>
      </c>
      <c r="J226" s="408">
        <f>ROUND(E226*G226/H226,2)</f>
        <v>0</v>
      </c>
      <c r="K226" s="394"/>
    </row>
    <row r="227" spans="1:11" hidden="1">
      <c r="A227" s="405"/>
      <c r="B227" s="405"/>
      <c r="C227" s="406"/>
      <c r="D227" s="408"/>
      <c r="E227" s="408"/>
      <c r="F227" s="409"/>
      <c r="G227" s="413"/>
      <c r="H227" s="408"/>
      <c r="I227" s="408"/>
      <c r="J227" s="408">
        <f>SUM(J225:J226)</f>
        <v>1281</v>
      </c>
      <c r="K227" s="394"/>
    </row>
    <row r="228" spans="1:11" hidden="1">
      <c r="A228" s="405"/>
      <c r="B228" s="405"/>
      <c r="C228" s="414" t="s">
        <v>123</v>
      </c>
      <c r="E228" s="425">
        <f>$D$4</f>
        <v>0</v>
      </c>
      <c r="F228" s="409"/>
      <c r="G228" s="413"/>
      <c r="H228" s="408"/>
      <c r="I228" s="408"/>
      <c r="J228" s="408">
        <f>ROUND(J227*E228,2)</f>
        <v>0</v>
      </c>
      <c r="K228" s="394"/>
    </row>
    <row r="229" spans="1:11" hidden="1">
      <c r="A229" s="405"/>
      <c r="B229" s="405"/>
      <c r="C229" s="406" t="s">
        <v>169</v>
      </c>
      <c r="D229" s="417"/>
      <c r="E229" s="418"/>
      <c r="F229" s="419"/>
      <c r="G229" s="420"/>
      <c r="H229" s="418"/>
      <c r="I229" s="418"/>
      <c r="J229" s="418">
        <f>CEILING(J228+J227,0.05)</f>
        <v>1281</v>
      </c>
      <c r="K229" s="394"/>
    </row>
    <row r="230" spans="1:11" hidden="1">
      <c r="A230" s="405"/>
      <c r="B230" s="405"/>
      <c r="C230" s="437"/>
      <c r="D230" s="421"/>
      <c r="E230" s="408"/>
      <c r="F230" s="422"/>
      <c r="G230" s="423"/>
      <c r="H230" s="408"/>
      <c r="I230" s="408"/>
      <c r="J230" s="421"/>
      <c r="K230" s="394"/>
    </row>
    <row r="231" spans="1:11" hidden="1">
      <c r="A231" s="405"/>
      <c r="B231" s="405"/>
      <c r="C231" s="441"/>
      <c r="D231" s="421"/>
      <c r="E231" s="408"/>
      <c r="F231" s="422"/>
      <c r="G231" s="423"/>
      <c r="H231" s="408"/>
      <c r="I231" s="408"/>
      <c r="J231" s="408"/>
      <c r="K231" s="394"/>
    </row>
    <row r="232" spans="1:11" hidden="1">
      <c r="A232" s="405"/>
      <c r="B232" s="405" t="s">
        <v>363</v>
      </c>
      <c r="C232" s="437" t="s">
        <v>1076</v>
      </c>
      <c r="D232" s="421"/>
      <c r="E232" s="408"/>
      <c r="F232" s="422"/>
      <c r="G232" s="423"/>
      <c r="H232" s="408"/>
      <c r="I232" s="408"/>
      <c r="J232" s="421"/>
      <c r="K232" s="394"/>
    </row>
    <row r="233" spans="1:11" hidden="1">
      <c r="A233" s="405"/>
      <c r="B233" s="405"/>
      <c r="C233" s="411" t="s">
        <v>130</v>
      </c>
      <c r="D233" s="426" t="s">
        <v>1097</v>
      </c>
      <c r="E233" s="408">
        <v>1</v>
      </c>
      <c r="F233" s="409" t="s">
        <v>327</v>
      </c>
      <c r="G233" s="413">
        <v>1947</v>
      </c>
      <c r="H233" s="408">
        <v>1</v>
      </c>
      <c r="I233" s="408" t="str">
        <f>F233</f>
        <v>Nos</v>
      </c>
      <c r="J233" s="408">
        <f>ROUND(E233*G233/H233,2)</f>
        <v>1947</v>
      </c>
      <c r="K233" s="394"/>
    </row>
    <row r="234" spans="1:11" hidden="1">
      <c r="A234" s="405"/>
      <c r="B234" s="405"/>
      <c r="C234" s="411" t="s">
        <v>122</v>
      </c>
      <c r="D234" s="408" t="s">
        <v>925</v>
      </c>
      <c r="E234" s="397">
        <f>$D$3</f>
        <v>0</v>
      </c>
      <c r="F234" s="409"/>
      <c r="G234" s="413">
        <f>G226</f>
        <v>168</v>
      </c>
      <c r="H234" s="408">
        <v>1</v>
      </c>
      <c r="I234" s="408">
        <f>F234</f>
        <v>0</v>
      </c>
      <c r="J234" s="408">
        <f>ROUND(E234*G234/H234,2)</f>
        <v>0</v>
      </c>
      <c r="K234" s="394"/>
    </row>
    <row r="235" spans="1:11" hidden="1">
      <c r="A235" s="405"/>
      <c r="B235" s="405"/>
      <c r="C235" s="406"/>
      <c r="D235" s="408"/>
      <c r="E235" s="408"/>
      <c r="F235" s="409"/>
      <c r="G235" s="413"/>
      <c r="H235" s="408"/>
      <c r="I235" s="408"/>
      <c r="J235" s="408">
        <f>SUM(J233:J234)</f>
        <v>1947</v>
      </c>
      <c r="K235" s="394"/>
    </row>
    <row r="236" spans="1:11" hidden="1">
      <c r="A236" s="405"/>
      <c r="B236" s="405"/>
      <c r="C236" s="414" t="s">
        <v>123</v>
      </c>
      <c r="E236" s="425">
        <f>$D$4</f>
        <v>0</v>
      </c>
      <c r="F236" s="409"/>
      <c r="G236" s="413"/>
      <c r="H236" s="408"/>
      <c r="I236" s="408"/>
      <c r="J236" s="408">
        <f>ROUND(J235*E236,2)</f>
        <v>0</v>
      </c>
      <c r="K236" s="394"/>
    </row>
    <row r="237" spans="1:11" hidden="1">
      <c r="A237" s="405"/>
      <c r="B237" s="405"/>
      <c r="C237" s="406" t="s">
        <v>169</v>
      </c>
      <c r="D237" s="417"/>
      <c r="E237" s="418"/>
      <c r="F237" s="419"/>
      <c r="G237" s="420"/>
      <c r="H237" s="418"/>
      <c r="I237" s="418"/>
      <c r="J237" s="418">
        <f>CEILING(J236+J235,0.05)</f>
        <v>1947</v>
      </c>
      <c r="K237" s="394"/>
    </row>
    <row r="238" spans="1:11" hidden="1">
      <c r="A238" s="405"/>
      <c r="B238" s="405" t="s">
        <v>363</v>
      </c>
      <c r="C238" s="437" t="s">
        <v>260</v>
      </c>
      <c r="D238" s="421"/>
      <c r="E238" s="408"/>
      <c r="F238" s="422"/>
      <c r="G238" s="423"/>
      <c r="H238" s="408"/>
      <c r="I238" s="408"/>
      <c r="J238" s="421"/>
      <c r="K238" s="394"/>
    </row>
    <row r="239" spans="1:11" hidden="1">
      <c r="A239" s="405"/>
      <c r="B239" s="405"/>
      <c r="C239" s="411" t="s">
        <v>130</v>
      </c>
      <c r="D239" s="426" t="s">
        <v>922</v>
      </c>
      <c r="E239" s="408">
        <v>1</v>
      </c>
      <c r="F239" s="409" t="s">
        <v>327</v>
      </c>
      <c r="G239" s="413">
        <v>2630</v>
      </c>
      <c r="H239" s="408">
        <v>1</v>
      </c>
      <c r="I239" s="408" t="str">
        <f>F239</f>
        <v>Nos</v>
      </c>
      <c r="J239" s="408">
        <f>ROUND(E239*G239/H239,2)</f>
        <v>2630</v>
      </c>
      <c r="K239" s="394"/>
    </row>
    <row r="240" spans="1:11" hidden="1">
      <c r="A240" s="405"/>
      <c r="B240" s="405"/>
      <c r="C240" s="411" t="s">
        <v>122</v>
      </c>
      <c r="D240" s="408" t="s">
        <v>925</v>
      </c>
      <c r="E240" s="397">
        <f>$D$3</f>
        <v>0</v>
      </c>
      <c r="F240" s="409"/>
      <c r="G240" s="413">
        <f>G234</f>
        <v>168</v>
      </c>
      <c r="H240" s="408">
        <v>1</v>
      </c>
      <c r="I240" s="408">
        <f>F240</f>
        <v>0</v>
      </c>
      <c r="J240" s="408">
        <f>ROUND(E240*G240/H240,2)</f>
        <v>0</v>
      </c>
      <c r="K240" s="394"/>
    </row>
    <row r="241" spans="1:11" hidden="1">
      <c r="A241" s="405"/>
      <c r="B241" s="405"/>
      <c r="C241" s="406"/>
      <c r="D241" s="408"/>
      <c r="E241" s="408"/>
      <c r="F241" s="409"/>
      <c r="G241" s="413"/>
      <c r="H241" s="408"/>
      <c r="I241" s="408"/>
      <c r="J241" s="408">
        <f>SUM(J239:J240)</f>
        <v>2630</v>
      </c>
      <c r="K241" s="394"/>
    </row>
    <row r="242" spans="1:11" hidden="1">
      <c r="A242" s="405"/>
      <c r="B242" s="405"/>
      <c r="C242" s="414" t="s">
        <v>123</v>
      </c>
      <c r="E242" s="425">
        <f>$D$4</f>
        <v>0</v>
      </c>
      <c r="F242" s="409"/>
      <c r="G242" s="413"/>
      <c r="H242" s="408"/>
      <c r="I242" s="408"/>
      <c r="J242" s="408">
        <f>ROUND(J241*E242,2)</f>
        <v>0</v>
      </c>
      <c r="K242" s="394"/>
    </row>
    <row r="243" spans="1:11" hidden="1">
      <c r="A243" s="405"/>
      <c r="B243" s="405"/>
      <c r="C243" s="406" t="s">
        <v>169</v>
      </c>
      <c r="D243" s="417"/>
      <c r="E243" s="418"/>
      <c r="F243" s="419"/>
      <c r="G243" s="420"/>
      <c r="H243" s="418"/>
      <c r="I243" s="418"/>
      <c r="J243" s="418">
        <f>CEILING(J242+J241,0.05)</f>
        <v>2630</v>
      </c>
      <c r="K243" s="394"/>
    </row>
    <row r="244" spans="1:11" hidden="1">
      <c r="A244" s="405"/>
      <c r="B244" s="405"/>
      <c r="C244" s="437"/>
      <c r="D244" s="421"/>
      <c r="E244" s="408"/>
      <c r="F244" s="422"/>
      <c r="G244" s="423"/>
      <c r="H244" s="408"/>
      <c r="I244" s="408"/>
      <c r="J244" s="421"/>
      <c r="K244" s="394"/>
    </row>
    <row r="245" spans="1:11" hidden="1">
      <c r="A245" s="405"/>
      <c r="B245" s="405" t="s">
        <v>361</v>
      </c>
      <c r="C245" s="437" t="s">
        <v>262</v>
      </c>
      <c r="D245" s="421"/>
      <c r="E245" s="408"/>
      <c r="F245" s="422"/>
      <c r="G245" s="423"/>
      <c r="H245" s="408"/>
      <c r="I245" s="408"/>
      <c r="J245" s="421"/>
      <c r="K245" s="394"/>
    </row>
    <row r="246" spans="1:11" hidden="1">
      <c r="A246" s="405"/>
      <c r="B246" s="405"/>
      <c r="C246" s="411" t="s">
        <v>130</v>
      </c>
      <c r="D246" s="426" t="s">
        <v>923</v>
      </c>
      <c r="E246" s="408">
        <v>1</v>
      </c>
      <c r="F246" s="409" t="s">
        <v>327</v>
      </c>
      <c r="G246" s="413">
        <v>3850</v>
      </c>
      <c r="H246" s="408">
        <v>1</v>
      </c>
      <c r="I246" s="408" t="str">
        <f>F246</f>
        <v>Nos</v>
      </c>
      <c r="J246" s="408">
        <f>ROUND(E246*G246/H246,2)</f>
        <v>3850</v>
      </c>
      <c r="K246" s="394"/>
    </row>
    <row r="247" spans="1:11" hidden="1">
      <c r="A247" s="405"/>
      <c r="B247" s="405"/>
      <c r="C247" s="411" t="s">
        <v>122</v>
      </c>
      <c r="D247" s="408" t="s">
        <v>925</v>
      </c>
      <c r="E247" s="397">
        <f>$D$3</f>
        <v>0</v>
      </c>
      <c r="F247" s="409"/>
      <c r="G247" s="413">
        <f>G240</f>
        <v>168</v>
      </c>
      <c r="H247" s="408">
        <v>1</v>
      </c>
      <c r="I247" s="408">
        <f>F247</f>
        <v>0</v>
      </c>
      <c r="J247" s="408">
        <f>ROUND(E247*G247/H247,2)</f>
        <v>0</v>
      </c>
      <c r="K247" s="394"/>
    </row>
    <row r="248" spans="1:11" hidden="1">
      <c r="A248" s="405"/>
      <c r="B248" s="405"/>
      <c r="C248" s="406"/>
      <c r="D248" s="408"/>
      <c r="E248" s="408"/>
      <c r="F248" s="409"/>
      <c r="G248" s="413"/>
      <c r="H248" s="408"/>
      <c r="I248" s="408"/>
      <c r="J248" s="408">
        <f>SUM(J246:J247)</f>
        <v>3850</v>
      </c>
      <c r="K248" s="394"/>
    </row>
    <row r="249" spans="1:11" hidden="1">
      <c r="A249" s="405"/>
      <c r="B249" s="405"/>
      <c r="C249" s="414" t="s">
        <v>123</v>
      </c>
      <c r="E249" s="425">
        <f>$D$4</f>
        <v>0</v>
      </c>
      <c r="F249" s="409"/>
      <c r="G249" s="413"/>
      <c r="H249" s="408"/>
      <c r="I249" s="408"/>
      <c r="J249" s="408">
        <f>ROUND(J248*E249,2)</f>
        <v>0</v>
      </c>
      <c r="K249" s="394"/>
    </row>
    <row r="250" spans="1:11" hidden="1">
      <c r="A250" s="405"/>
      <c r="B250" s="405"/>
      <c r="C250" s="406" t="s">
        <v>169</v>
      </c>
      <c r="D250" s="417"/>
      <c r="E250" s="418"/>
      <c r="F250" s="419"/>
      <c r="G250" s="420"/>
      <c r="H250" s="418"/>
      <c r="I250" s="418"/>
      <c r="J250" s="418">
        <f>CEILING(J249+J248,0.05)</f>
        <v>3850</v>
      </c>
      <c r="K250" s="394"/>
    </row>
    <row r="251" spans="1:11" hidden="1">
      <c r="A251" s="405"/>
      <c r="B251" s="405"/>
      <c r="C251" s="437"/>
      <c r="D251" s="421"/>
      <c r="E251" s="408"/>
      <c r="F251" s="422"/>
      <c r="G251" s="423"/>
      <c r="H251" s="408"/>
      <c r="I251" s="408"/>
      <c r="J251" s="421"/>
      <c r="K251" s="394"/>
    </row>
    <row r="252" spans="1:11" ht="19.5" hidden="1" customHeight="1">
      <c r="A252" s="405"/>
      <c r="B252" s="405" t="s">
        <v>42</v>
      </c>
      <c r="C252" s="437" t="s">
        <v>40</v>
      </c>
      <c r="D252" s="421"/>
      <c r="E252" s="408"/>
      <c r="F252" s="422"/>
      <c r="G252" s="423"/>
      <c r="H252" s="408"/>
      <c r="I252" s="408"/>
      <c r="J252" s="421"/>
      <c r="K252" s="394"/>
    </row>
    <row r="253" spans="1:11" hidden="1">
      <c r="A253" s="405"/>
      <c r="B253" s="405"/>
      <c r="C253" s="411" t="s">
        <v>130</v>
      </c>
      <c r="D253" s="426" t="s">
        <v>924</v>
      </c>
      <c r="E253" s="408">
        <v>1</v>
      </c>
      <c r="F253" s="409" t="s">
        <v>327</v>
      </c>
      <c r="G253" s="413">
        <v>5949</v>
      </c>
      <c r="H253" s="408">
        <v>1</v>
      </c>
      <c r="I253" s="408" t="str">
        <f>F253</f>
        <v>Nos</v>
      </c>
      <c r="J253" s="408">
        <f>ROUND(E253*G253/H253,2)</f>
        <v>5949</v>
      </c>
      <c r="K253" s="394"/>
    </row>
    <row r="254" spans="1:11" hidden="1">
      <c r="A254" s="405"/>
      <c r="B254" s="405"/>
      <c r="C254" s="411" t="s">
        <v>122</v>
      </c>
      <c r="D254" s="408" t="s">
        <v>925</v>
      </c>
      <c r="E254" s="397">
        <f>$D$3</f>
        <v>0</v>
      </c>
      <c r="F254" s="409"/>
      <c r="G254" s="413">
        <f>G247</f>
        <v>168</v>
      </c>
      <c r="H254" s="408">
        <v>1</v>
      </c>
      <c r="I254" s="408">
        <f>F254</f>
        <v>0</v>
      </c>
      <c r="J254" s="408">
        <f>ROUND(E254*G254/H254,2)</f>
        <v>0</v>
      </c>
      <c r="K254" s="394"/>
    </row>
    <row r="255" spans="1:11" hidden="1">
      <c r="A255" s="405"/>
      <c r="B255" s="405"/>
      <c r="C255" s="406"/>
      <c r="D255" s="408"/>
      <c r="E255" s="408"/>
      <c r="F255" s="409"/>
      <c r="G255" s="413"/>
      <c r="H255" s="408"/>
      <c r="I255" s="408"/>
      <c r="J255" s="408">
        <f>SUM(J253:J254)</f>
        <v>5949</v>
      </c>
      <c r="K255" s="394"/>
    </row>
    <row r="256" spans="1:11" hidden="1">
      <c r="A256" s="405"/>
      <c r="B256" s="405"/>
      <c r="C256" s="414" t="s">
        <v>123</v>
      </c>
      <c r="E256" s="425">
        <f>$D$4</f>
        <v>0</v>
      </c>
      <c r="F256" s="409"/>
      <c r="G256" s="413"/>
      <c r="H256" s="408"/>
      <c r="I256" s="408"/>
      <c r="J256" s="408">
        <f>ROUND(J255*E256,2)</f>
        <v>0</v>
      </c>
      <c r="K256" s="394"/>
    </row>
    <row r="257" spans="1:11" hidden="1">
      <c r="A257" s="405"/>
      <c r="B257" s="403"/>
      <c r="C257" s="406" t="s">
        <v>169</v>
      </c>
      <c r="D257" s="417"/>
      <c r="E257" s="418"/>
      <c r="F257" s="419"/>
      <c r="G257" s="420"/>
      <c r="H257" s="418"/>
      <c r="I257" s="418"/>
      <c r="J257" s="418">
        <f>CEILING(J256+J255,0.05)</f>
        <v>5949</v>
      </c>
      <c r="K257" s="394"/>
    </row>
    <row r="258" spans="1:11" hidden="1">
      <c r="A258" s="405"/>
      <c r="B258" s="403"/>
      <c r="C258" s="406"/>
      <c r="D258" s="417"/>
      <c r="E258" s="418"/>
      <c r="F258" s="419"/>
      <c r="G258" s="420"/>
      <c r="H258" s="418"/>
      <c r="I258" s="418"/>
      <c r="J258" s="418"/>
      <c r="K258" s="394"/>
    </row>
    <row r="259" spans="1:11" ht="32.25" customHeight="1">
      <c r="A259" s="403">
        <v>12</v>
      </c>
      <c r="B259" s="403"/>
      <c r="C259" s="1563" t="s">
        <v>1371</v>
      </c>
      <c r="D259" s="1564"/>
      <c r="E259" s="1564"/>
      <c r="F259" s="1564"/>
      <c r="G259" s="1564"/>
      <c r="H259" s="1564"/>
      <c r="I259" s="1564"/>
      <c r="J259" s="1565"/>
      <c r="K259" s="394"/>
    </row>
    <row r="260" spans="1:11">
      <c r="A260" s="403"/>
      <c r="B260" s="403"/>
      <c r="C260" s="437"/>
      <c r="D260" s="421"/>
      <c r="E260" s="439"/>
      <c r="F260" s="422"/>
      <c r="G260" s="423"/>
      <c r="H260" s="439"/>
      <c r="I260" s="408"/>
      <c r="J260" s="408"/>
      <c r="K260" s="394"/>
    </row>
    <row r="261" spans="1:11" ht="18" customHeight="1">
      <c r="A261" s="403"/>
      <c r="B261" s="403"/>
      <c r="C261" s="411" t="s">
        <v>130</v>
      </c>
      <c r="D261" s="426" t="s">
        <v>926</v>
      </c>
      <c r="E261" s="408">
        <v>1</v>
      </c>
      <c r="F261" s="409" t="s">
        <v>327</v>
      </c>
      <c r="G261" s="442">
        <v>223</v>
      </c>
      <c r="H261" s="408">
        <v>1</v>
      </c>
      <c r="I261" s="408" t="str">
        <f>F261</f>
        <v>Nos</v>
      </c>
      <c r="J261" s="408">
        <f>ROUND(E261*G261/H261,2)</f>
        <v>223</v>
      </c>
      <c r="K261" s="394"/>
    </row>
    <row r="262" spans="1:11">
      <c r="A262" s="403"/>
      <c r="B262" s="403"/>
      <c r="C262" s="411" t="s">
        <v>122</v>
      </c>
      <c r="D262" s="408"/>
      <c r="E262" s="397">
        <f>$D$3</f>
        <v>0</v>
      </c>
      <c r="F262" s="409"/>
      <c r="G262" s="413">
        <v>0</v>
      </c>
      <c r="H262" s="408">
        <v>1</v>
      </c>
      <c r="I262" s="408">
        <f>F262</f>
        <v>0</v>
      </c>
      <c r="J262" s="408">
        <f>ROUND(E262*G262/H262,2)</f>
        <v>0</v>
      </c>
      <c r="K262" s="394"/>
    </row>
    <row r="263" spans="1:11">
      <c r="A263" s="403"/>
      <c r="B263" s="403"/>
      <c r="C263" s="406"/>
      <c r="D263" s="408"/>
      <c r="E263" s="408"/>
      <c r="F263" s="409"/>
      <c r="G263" s="413"/>
      <c r="H263" s="408"/>
      <c r="I263" s="408"/>
      <c r="J263" s="408">
        <f>SUM(J261:J262)</f>
        <v>223</v>
      </c>
      <c r="K263" s="394"/>
    </row>
    <row r="264" spans="1:11">
      <c r="A264" s="403"/>
      <c r="B264" s="403"/>
      <c r="C264" s="414" t="s">
        <v>123</v>
      </c>
      <c r="E264" s="416">
        <f>$D$4</f>
        <v>0</v>
      </c>
      <c r="F264" s="409"/>
      <c r="G264" s="413"/>
      <c r="H264" s="408"/>
      <c r="I264" s="408"/>
      <c r="J264" s="408">
        <f>ROUND(J263*E264,2)</f>
        <v>0</v>
      </c>
      <c r="K264" s="394"/>
    </row>
    <row r="265" spans="1:11">
      <c r="A265" s="403"/>
      <c r="B265" s="403"/>
      <c r="C265" s="406" t="s">
        <v>169</v>
      </c>
      <c r="D265" s="417"/>
      <c r="E265" s="418"/>
      <c r="F265" s="419"/>
      <c r="G265" s="420"/>
      <c r="H265" s="418"/>
      <c r="I265" s="418"/>
      <c r="J265" s="418">
        <f>CEILING(J264+J263,0.05)</f>
        <v>223</v>
      </c>
      <c r="K265" s="394"/>
    </row>
    <row r="266" spans="1:11">
      <c r="A266" s="403"/>
      <c r="B266" s="403"/>
      <c r="C266" s="406"/>
      <c r="D266" s="417"/>
      <c r="E266" s="418"/>
      <c r="F266" s="419"/>
      <c r="G266" s="420"/>
      <c r="H266" s="418"/>
      <c r="I266" s="418"/>
      <c r="J266" s="418"/>
      <c r="K266" s="394"/>
    </row>
    <row r="267" spans="1:11" ht="32.25" customHeight="1">
      <c r="A267" s="403">
        <v>13</v>
      </c>
      <c r="B267" s="403"/>
      <c r="C267" s="1563" t="s">
        <v>1372</v>
      </c>
      <c r="D267" s="1564"/>
      <c r="E267" s="1564"/>
      <c r="F267" s="1564"/>
      <c r="G267" s="1564"/>
      <c r="H267" s="1564"/>
      <c r="I267" s="1564"/>
      <c r="J267" s="1565"/>
      <c r="K267" s="394"/>
    </row>
    <row r="268" spans="1:11">
      <c r="A268" s="403"/>
      <c r="B268" s="403"/>
      <c r="C268" s="437"/>
      <c r="D268" s="421"/>
      <c r="E268" s="439"/>
      <c r="F268" s="422"/>
      <c r="G268" s="423"/>
      <c r="H268" s="439"/>
      <c r="I268" s="408"/>
      <c r="J268" s="408"/>
      <c r="K268" s="394"/>
    </row>
    <row r="269" spans="1:11" ht="17.25" customHeight="1">
      <c r="A269" s="403"/>
      <c r="B269" s="403"/>
      <c r="C269" s="411" t="s">
        <v>130</v>
      </c>
      <c r="D269" s="426" t="s">
        <v>1055</v>
      </c>
      <c r="E269" s="408">
        <v>1</v>
      </c>
      <c r="F269" s="409" t="s">
        <v>327</v>
      </c>
      <c r="G269" s="413">
        <v>257</v>
      </c>
      <c r="H269" s="408">
        <v>1</v>
      </c>
      <c r="I269" s="408" t="str">
        <f>F269</f>
        <v>Nos</v>
      </c>
      <c r="J269" s="408">
        <f>ROUND(E269*G269/H269,2)</f>
        <v>257</v>
      </c>
      <c r="K269" s="394"/>
    </row>
    <row r="270" spans="1:11">
      <c r="A270" s="403"/>
      <c r="B270" s="403"/>
      <c r="C270" s="411" t="s">
        <v>122</v>
      </c>
      <c r="D270" s="408"/>
      <c r="E270" s="397">
        <f>$D$3</f>
        <v>0</v>
      </c>
      <c r="F270" s="409"/>
      <c r="G270" s="413"/>
      <c r="H270" s="408">
        <v>1</v>
      </c>
      <c r="I270" s="408">
        <f>F270</f>
        <v>0</v>
      </c>
      <c r="J270" s="408">
        <f>ROUND(E270*G270/H270,2)</f>
        <v>0</v>
      </c>
      <c r="K270" s="394"/>
    </row>
    <row r="271" spans="1:11">
      <c r="A271" s="403"/>
      <c r="B271" s="403"/>
      <c r="C271" s="406"/>
      <c r="D271" s="408"/>
      <c r="E271" s="408"/>
      <c r="F271" s="409"/>
      <c r="G271" s="413"/>
      <c r="H271" s="408"/>
      <c r="I271" s="408"/>
      <c r="J271" s="408">
        <f>SUM(J269:J270)</f>
        <v>257</v>
      </c>
      <c r="K271" s="394"/>
    </row>
    <row r="272" spans="1:11">
      <c r="A272" s="403"/>
      <c r="B272" s="403"/>
      <c r="C272" s="414" t="s">
        <v>123</v>
      </c>
      <c r="E272" s="416">
        <f>$D$4</f>
        <v>0</v>
      </c>
      <c r="F272" s="409"/>
      <c r="G272" s="413"/>
      <c r="H272" s="408"/>
      <c r="I272" s="408"/>
      <c r="J272" s="408">
        <f>ROUND(J271*E272,2)</f>
        <v>0</v>
      </c>
      <c r="K272" s="394"/>
    </row>
    <row r="273" spans="1:11">
      <c r="A273" s="403"/>
      <c r="B273" s="403"/>
      <c r="C273" s="406" t="s">
        <v>169</v>
      </c>
      <c r="D273" s="417"/>
      <c r="E273" s="418"/>
      <c r="F273" s="419"/>
      <c r="G273" s="420"/>
      <c r="H273" s="418"/>
      <c r="I273" s="418"/>
      <c r="J273" s="418">
        <f>CEILING(J272+J271,0.05)</f>
        <v>257</v>
      </c>
      <c r="K273" s="394"/>
    </row>
    <row r="274" spans="1:11" ht="32.25" hidden="1" customHeight="1">
      <c r="A274" s="403"/>
      <c r="B274" s="403" t="s">
        <v>2</v>
      </c>
      <c r="C274" s="1563" t="s">
        <v>1373</v>
      </c>
      <c r="D274" s="1564"/>
      <c r="E274" s="1564"/>
      <c r="F274" s="1564"/>
      <c r="G274" s="1564"/>
      <c r="H274" s="1564"/>
      <c r="I274" s="1564"/>
      <c r="J274" s="1565"/>
      <c r="K274" s="394"/>
    </row>
    <row r="275" spans="1:11" hidden="1">
      <c r="A275" s="403"/>
      <c r="B275" s="403"/>
      <c r="C275" s="437"/>
      <c r="D275" s="421"/>
      <c r="E275" s="439"/>
      <c r="F275" s="422"/>
      <c r="G275" s="423"/>
      <c r="H275" s="439"/>
      <c r="I275" s="408"/>
      <c r="J275" s="408"/>
      <c r="K275" s="394"/>
    </row>
    <row r="276" spans="1:11" ht="18" hidden="1" customHeight="1">
      <c r="A276" s="403"/>
      <c r="B276" s="403"/>
      <c r="C276" s="411" t="s">
        <v>130</v>
      </c>
      <c r="D276" s="426" t="s">
        <v>927</v>
      </c>
      <c r="E276" s="408">
        <v>1</v>
      </c>
      <c r="F276" s="409" t="s">
        <v>327</v>
      </c>
      <c r="G276" s="413">
        <v>478</v>
      </c>
      <c r="H276" s="408">
        <v>1</v>
      </c>
      <c r="I276" s="408" t="str">
        <f>F276</f>
        <v>Nos</v>
      </c>
      <c r="J276" s="408">
        <f>ROUND(E276*G276/H276,2)</f>
        <v>478</v>
      </c>
      <c r="K276" s="394"/>
    </row>
    <row r="277" spans="1:11" hidden="1">
      <c r="A277" s="403"/>
      <c r="B277" s="403"/>
      <c r="C277" s="411" t="s">
        <v>122</v>
      </c>
      <c r="D277" s="408"/>
      <c r="E277" s="397">
        <f>$D$3</f>
        <v>0</v>
      </c>
      <c r="F277" s="409"/>
      <c r="G277" s="413"/>
      <c r="H277" s="408">
        <v>1</v>
      </c>
      <c r="I277" s="408">
        <f>F277</f>
        <v>0</v>
      </c>
      <c r="J277" s="408">
        <f>ROUND(E277*G277/H277,2)</f>
        <v>0</v>
      </c>
      <c r="K277" s="394"/>
    </row>
    <row r="278" spans="1:11" hidden="1">
      <c r="A278" s="403"/>
      <c r="B278" s="403"/>
      <c r="C278" s="406"/>
      <c r="D278" s="408"/>
      <c r="E278" s="408"/>
      <c r="F278" s="409"/>
      <c r="G278" s="413"/>
      <c r="H278" s="408"/>
      <c r="I278" s="408"/>
      <c r="J278" s="408">
        <f>SUM(J276:J277)</f>
        <v>478</v>
      </c>
      <c r="K278" s="394"/>
    </row>
    <row r="279" spans="1:11" hidden="1">
      <c r="A279" s="403"/>
      <c r="B279" s="403"/>
      <c r="C279" s="414" t="s">
        <v>123</v>
      </c>
      <c r="E279" s="416">
        <f>$D$4</f>
        <v>0</v>
      </c>
      <c r="F279" s="409"/>
      <c r="G279" s="413"/>
      <c r="H279" s="408"/>
      <c r="I279" s="408"/>
      <c r="J279" s="408">
        <f>ROUND(J278*E279,2)</f>
        <v>0</v>
      </c>
      <c r="K279" s="394"/>
    </row>
    <row r="280" spans="1:11" hidden="1">
      <c r="A280" s="403"/>
      <c r="B280" s="403"/>
      <c r="C280" s="406" t="s">
        <v>169</v>
      </c>
      <c r="D280" s="417"/>
      <c r="E280" s="418"/>
      <c r="F280" s="419"/>
      <c r="G280" s="420"/>
      <c r="H280" s="418"/>
      <c r="I280" s="418"/>
      <c r="J280" s="418">
        <f>CEILING(J279+J278,0.05)</f>
        <v>478</v>
      </c>
      <c r="K280" s="394"/>
    </row>
    <row r="281" spans="1:11" hidden="1">
      <c r="A281" s="403"/>
      <c r="B281" s="403"/>
      <c r="C281" s="438"/>
      <c r="D281" s="421"/>
      <c r="E281" s="408"/>
      <c r="F281" s="422"/>
      <c r="G281" s="423"/>
      <c r="H281" s="408"/>
      <c r="I281" s="408"/>
      <c r="J281" s="408"/>
      <c r="K281" s="394"/>
    </row>
    <row r="282" spans="1:11" ht="32.25" hidden="1" customHeight="1">
      <c r="A282" s="403"/>
      <c r="B282" s="403" t="s">
        <v>2</v>
      </c>
      <c r="C282" s="1563" t="s">
        <v>1374</v>
      </c>
      <c r="D282" s="1564"/>
      <c r="E282" s="1564"/>
      <c r="F282" s="1564"/>
      <c r="G282" s="1564"/>
      <c r="H282" s="1564"/>
      <c r="I282" s="1564"/>
      <c r="J282" s="1565"/>
      <c r="K282" s="394"/>
    </row>
    <row r="283" spans="1:11" hidden="1">
      <c r="A283" s="403"/>
      <c r="B283" s="403"/>
      <c r="C283" s="437"/>
      <c r="D283" s="421"/>
      <c r="E283" s="439"/>
      <c r="F283" s="422"/>
      <c r="G283" s="423"/>
      <c r="H283" s="439"/>
      <c r="I283" s="408"/>
      <c r="J283" s="408"/>
      <c r="K283" s="394"/>
    </row>
    <row r="284" spans="1:11" ht="16.5" hidden="1" customHeight="1">
      <c r="A284" s="403"/>
      <c r="B284" s="403"/>
      <c r="C284" s="411" t="s">
        <v>130</v>
      </c>
      <c r="D284" s="426" t="s">
        <v>1056</v>
      </c>
      <c r="E284" s="408">
        <v>1</v>
      </c>
      <c r="F284" s="409" t="s">
        <v>327</v>
      </c>
      <c r="G284" s="413">
        <v>556</v>
      </c>
      <c r="H284" s="408">
        <v>1</v>
      </c>
      <c r="I284" s="408" t="str">
        <f>F284</f>
        <v>Nos</v>
      </c>
      <c r="J284" s="408">
        <f>ROUND(E284*G284/H284,2)</f>
        <v>556</v>
      </c>
      <c r="K284" s="394"/>
    </row>
    <row r="285" spans="1:11" hidden="1">
      <c r="A285" s="403"/>
      <c r="B285" s="403"/>
      <c r="C285" s="411" t="s">
        <v>122</v>
      </c>
      <c r="D285" s="408"/>
      <c r="E285" s="397">
        <f>$D$3</f>
        <v>0</v>
      </c>
      <c r="F285" s="409"/>
      <c r="G285" s="413"/>
      <c r="H285" s="408">
        <v>1</v>
      </c>
      <c r="I285" s="408">
        <f>F285</f>
        <v>0</v>
      </c>
      <c r="J285" s="408">
        <f>ROUND(E285*G285/H285,2)</f>
        <v>0</v>
      </c>
      <c r="K285" s="394"/>
    </row>
    <row r="286" spans="1:11" hidden="1">
      <c r="A286" s="403"/>
      <c r="B286" s="403"/>
      <c r="C286" s="406"/>
      <c r="D286" s="408"/>
      <c r="E286" s="408"/>
      <c r="F286" s="409"/>
      <c r="G286" s="413"/>
      <c r="H286" s="408"/>
      <c r="I286" s="408"/>
      <c r="J286" s="408">
        <f>SUM(J284:J285)</f>
        <v>556</v>
      </c>
      <c r="K286" s="394"/>
    </row>
    <row r="287" spans="1:11" hidden="1">
      <c r="A287" s="403"/>
      <c r="B287" s="403"/>
      <c r="C287" s="414" t="s">
        <v>123</v>
      </c>
      <c r="E287" s="416">
        <f>$D$4</f>
        <v>0</v>
      </c>
      <c r="F287" s="409"/>
      <c r="G287" s="413"/>
      <c r="H287" s="408"/>
      <c r="I287" s="408"/>
      <c r="J287" s="408">
        <f>ROUND(J286*E287,2)</f>
        <v>0</v>
      </c>
      <c r="K287" s="394"/>
    </row>
    <row r="288" spans="1:11" hidden="1">
      <c r="A288" s="403"/>
      <c r="B288" s="403"/>
      <c r="C288" s="406" t="s">
        <v>169</v>
      </c>
      <c r="D288" s="417"/>
      <c r="E288" s="418"/>
      <c r="F288" s="419"/>
      <c r="G288" s="420"/>
      <c r="H288" s="418"/>
      <c r="I288" s="418"/>
      <c r="J288" s="418">
        <f>CEILING(J287+J286,0.05)</f>
        <v>556</v>
      </c>
      <c r="K288" s="394"/>
    </row>
    <row r="289" spans="1:30" ht="94.5" customHeight="1">
      <c r="A289" s="403">
        <v>14</v>
      </c>
      <c r="B289" s="403"/>
      <c r="C289" s="1551" t="s">
        <v>600</v>
      </c>
      <c r="D289" s="1552"/>
      <c r="E289" s="1552"/>
      <c r="F289" s="1552"/>
      <c r="G289" s="1552"/>
      <c r="H289" s="1552"/>
      <c r="I289" s="1552"/>
      <c r="J289" s="1553"/>
      <c r="K289" s="394"/>
    </row>
    <row r="290" spans="1:30" ht="20.25" customHeight="1">
      <c r="A290" s="403"/>
      <c r="B290" s="403"/>
      <c r="C290" s="411" t="s">
        <v>130</v>
      </c>
      <c r="D290" s="426" t="s">
        <v>928</v>
      </c>
      <c r="E290" s="408">
        <v>1</v>
      </c>
      <c r="F290" s="409" t="s">
        <v>327</v>
      </c>
      <c r="G290" s="413">
        <v>1007</v>
      </c>
      <c r="H290" s="408">
        <v>1</v>
      </c>
      <c r="I290" s="408" t="str">
        <f>F290</f>
        <v>Nos</v>
      </c>
      <c r="J290" s="408">
        <f>ROUND(E290*G290/H290,2)</f>
        <v>1007</v>
      </c>
      <c r="K290" s="394"/>
    </row>
    <row r="291" spans="1:30" ht="30.6">
      <c r="A291" s="403"/>
      <c r="B291" s="403"/>
      <c r="C291" s="411" t="s">
        <v>122</v>
      </c>
      <c r="D291" s="426" t="s">
        <v>929</v>
      </c>
      <c r="E291" s="397">
        <f>$D$3</f>
        <v>0</v>
      </c>
      <c r="F291" s="409"/>
      <c r="G291" s="413">
        <v>179</v>
      </c>
      <c r="H291" s="408">
        <v>1</v>
      </c>
      <c r="I291" s="408">
        <f>F291</f>
        <v>0</v>
      </c>
      <c r="J291" s="408">
        <f>ROUND(E291*G291/H291,2)</f>
        <v>0</v>
      </c>
      <c r="K291" s="394"/>
    </row>
    <row r="292" spans="1:30">
      <c r="A292" s="403"/>
      <c r="B292" s="403"/>
      <c r="C292" s="406"/>
      <c r="D292" s="408"/>
      <c r="E292" s="408"/>
      <c r="F292" s="409"/>
      <c r="G292" s="413"/>
      <c r="H292" s="408"/>
      <c r="I292" s="408"/>
      <c r="J292" s="408">
        <f>SUM(J290:J291)</f>
        <v>1007</v>
      </c>
      <c r="K292" s="394"/>
      <c r="L292" s="443"/>
    </row>
    <row r="293" spans="1:30">
      <c r="A293" s="403"/>
      <c r="B293" s="403"/>
      <c r="C293" s="414" t="s">
        <v>123</v>
      </c>
      <c r="E293" s="416">
        <f>$D$4</f>
        <v>0</v>
      </c>
      <c r="F293" s="409"/>
      <c r="G293" s="413"/>
      <c r="H293" s="408"/>
      <c r="I293" s="408"/>
      <c r="J293" s="408">
        <f>ROUND(J292*E293,2)</f>
        <v>0</v>
      </c>
      <c r="K293" s="444"/>
    </row>
    <row r="294" spans="1:30">
      <c r="A294" s="403"/>
      <c r="B294" s="403"/>
      <c r="C294" s="406" t="s">
        <v>169</v>
      </c>
      <c r="D294" s="417"/>
      <c r="E294" s="418"/>
      <c r="F294" s="419"/>
      <c r="G294" s="420"/>
      <c r="H294" s="418"/>
      <c r="I294" s="418"/>
      <c r="J294" s="418">
        <f>CEILING(J293+J292,0.05)</f>
        <v>1007</v>
      </c>
      <c r="K294" s="394"/>
    </row>
    <row r="295" spans="1:30" ht="15" customHeight="1">
      <c r="A295" s="403"/>
      <c r="B295" s="403"/>
      <c r="C295" s="438"/>
      <c r="D295" s="421"/>
      <c r="E295" s="408"/>
      <c r="F295" s="422"/>
      <c r="G295" s="423"/>
      <c r="H295" s="408"/>
      <c r="I295" s="408"/>
      <c r="J295" s="421"/>
      <c r="K295" s="394"/>
    </row>
    <row r="296" spans="1:30" ht="94.5" hidden="1" customHeight="1">
      <c r="A296" s="403">
        <f>A289+1</f>
        <v>15</v>
      </c>
      <c r="B296" s="403"/>
      <c r="C296" s="1551" t="s">
        <v>1091</v>
      </c>
      <c r="D296" s="1552"/>
      <c r="E296" s="1552"/>
      <c r="F296" s="1552"/>
      <c r="G296" s="1552"/>
      <c r="H296" s="1552"/>
      <c r="I296" s="1552"/>
      <c r="J296" s="1553"/>
      <c r="K296" s="394"/>
    </row>
    <row r="297" spans="1:30" ht="20.25" hidden="1" customHeight="1">
      <c r="A297" s="403"/>
      <c r="B297" s="403"/>
      <c r="C297" s="411" t="s">
        <v>130</v>
      </c>
      <c r="D297" s="426" t="s">
        <v>1090</v>
      </c>
      <c r="E297" s="408">
        <v>1</v>
      </c>
      <c r="F297" s="409" t="s">
        <v>327</v>
      </c>
      <c r="G297" s="413">
        <v>2343</v>
      </c>
      <c r="H297" s="408">
        <v>1</v>
      </c>
      <c r="I297" s="408" t="str">
        <f>F297</f>
        <v>Nos</v>
      </c>
      <c r="J297" s="408">
        <f>ROUND(E297*G297/H297,2)</f>
        <v>2343</v>
      </c>
      <c r="K297" s="394"/>
    </row>
    <row r="298" spans="1:30" ht="30.6" hidden="1">
      <c r="A298" s="403"/>
      <c r="B298" s="403"/>
      <c r="C298" s="411" t="s">
        <v>122</v>
      </c>
      <c r="D298" s="426" t="s">
        <v>929</v>
      </c>
      <c r="E298" s="397">
        <f>$D$3</f>
        <v>0</v>
      </c>
      <c r="F298" s="409"/>
      <c r="G298" s="413">
        <f>G291</f>
        <v>179</v>
      </c>
      <c r="H298" s="408">
        <v>1</v>
      </c>
      <c r="I298" s="408">
        <f>F298</f>
        <v>0</v>
      </c>
      <c r="J298" s="408">
        <f>ROUND(E298*G298/H298,2)</f>
        <v>0</v>
      </c>
      <c r="K298" s="394"/>
    </row>
    <row r="299" spans="1:30" hidden="1">
      <c r="A299" s="403"/>
      <c r="B299" s="403"/>
      <c r="C299" s="406"/>
      <c r="D299" s="408"/>
      <c r="E299" s="408"/>
      <c r="F299" s="409"/>
      <c r="G299" s="413"/>
      <c r="H299" s="408"/>
      <c r="I299" s="408"/>
      <c r="J299" s="408">
        <f>SUM(J297:J298)</f>
        <v>2343</v>
      </c>
      <c r="K299" s="394"/>
      <c r="L299" s="443"/>
    </row>
    <row r="300" spans="1:30" hidden="1">
      <c r="A300" s="403"/>
      <c r="B300" s="403"/>
      <c r="C300" s="414" t="s">
        <v>123</v>
      </c>
      <c r="E300" s="416">
        <f>$D$4</f>
        <v>0</v>
      </c>
      <c r="F300" s="409"/>
      <c r="G300" s="413"/>
      <c r="H300" s="408"/>
      <c r="I300" s="408"/>
      <c r="J300" s="408">
        <f>ROUND(J299*E300,2)</f>
        <v>0</v>
      </c>
      <c r="K300" s="444"/>
    </row>
    <row r="301" spans="1:30" hidden="1">
      <c r="A301" s="403"/>
      <c r="B301" s="403"/>
      <c r="C301" s="406" t="s">
        <v>169</v>
      </c>
      <c r="D301" s="417"/>
      <c r="E301" s="418"/>
      <c r="F301" s="419"/>
      <c r="G301" s="420"/>
      <c r="H301" s="418"/>
      <c r="I301" s="418"/>
      <c r="J301" s="418">
        <f>CEILING(J300+J299,0.05)</f>
        <v>2343</v>
      </c>
      <c r="K301" s="394"/>
    </row>
    <row r="302" spans="1:30" ht="15" customHeight="1">
      <c r="A302" s="403"/>
      <c r="B302" s="403"/>
      <c r="C302" s="438"/>
      <c r="D302" s="421"/>
      <c r="E302" s="408"/>
      <c r="F302" s="422"/>
      <c r="G302" s="423"/>
      <c r="H302" s="408"/>
      <c r="I302" s="408"/>
      <c r="J302" s="421"/>
      <c r="K302" s="394"/>
    </row>
    <row r="303" spans="1:30" s="208" customFormat="1" ht="51.75" hidden="1" customHeight="1">
      <c r="A303" s="206">
        <f>A291+1</f>
        <v>1</v>
      </c>
      <c r="B303" s="207"/>
      <c r="C303" s="1561" t="s">
        <v>1375</v>
      </c>
      <c r="D303" s="1561"/>
      <c r="E303" s="1561"/>
      <c r="F303" s="1561"/>
      <c r="G303" s="1561"/>
      <c r="H303" s="1561"/>
      <c r="I303" s="1561"/>
      <c r="U303" s="206">
        <f>U291+1</f>
        <v>1</v>
      </c>
      <c r="V303" s="207"/>
      <c r="W303" s="1560" t="s">
        <v>1376</v>
      </c>
      <c r="X303" s="1560"/>
      <c r="Y303" s="1561"/>
      <c r="Z303" s="1561"/>
      <c r="AA303" s="1561"/>
      <c r="AB303" s="1561"/>
      <c r="AC303" s="1561"/>
      <c r="AD303" s="209">
        <f t="shared" ref="AD303:AD309" si="0">AC303-I303</f>
        <v>0</v>
      </c>
    </row>
    <row r="304" spans="1:30" s="208" customFormat="1" ht="19.5" hidden="1" customHeight="1">
      <c r="A304" s="210"/>
      <c r="B304" s="207"/>
      <c r="C304" s="390" t="s">
        <v>1092</v>
      </c>
      <c r="D304" s="445" t="s">
        <v>1100</v>
      </c>
      <c r="E304" s="445">
        <v>1</v>
      </c>
      <c r="F304" s="446" t="s">
        <v>329</v>
      </c>
      <c r="G304" s="447">
        <v>187</v>
      </c>
      <c r="H304" s="445">
        <v>1</v>
      </c>
      <c r="I304" s="390" t="s">
        <v>268</v>
      </c>
      <c r="J304" s="447">
        <f>IF(H304="",E304*G304,(E304*G304/H304))</f>
        <v>187</v>
      </c>
      <c r="U304" s="210"/>
      <c r="V304" s="207"/>
      <c r="W304" s="390" t="s">
        <v>1092</v>
      </c>
      <c r="X304" s="445">
        <v>1</v>
      </c>
      <c r="Y304" s="446" t="s">
        <v>329</v>
      </c>
      <c r="Z304" s="447" t="e">
        <f>#REF!</f>
        <v>#REF!</v>
      </c>
      <c r="AA304" s="445">
        <v>1</v>
      </c>
      <c r="AB304" s="390" t="s">
        <v>268</v>
      </c>
      <c r="AC304" s="447" t="e">
        <f>IF(AA304="",X304*Z304,(X304*Z304/AA304))</f>
        <v>#REF!</v>
      </c>
      <c r="AD304" s="209" t="e">
        <f t="shared" si="0"/>
        <v>#REF!</v>
      </c>
    </row>
    <row r="305" spans="1:30" s="208" customFormat="1" ht="19.5" hidden="1" customHeight="1">
      <c r="A305" s="210"/>
      <c r="B305" s="207"/>
      <c r="C305" s="446" t="s">
        <v>1093</v>
      </c>
      <c r="D305" s="448"/>
      <c r="E305" s="448" t="s">
        <v>1094</v>
      </c>
      <c r="F305" s="211"/>
      <c r="G305" s="212">
        <f>J304</f>
        <v>187</v>
      </c>
      <c r="H305" s="213"/>
      <c r="I305" s="212"/>
      <c r="J305" s="214">
        <f>ROUND(J304/0.6096,2)</f>
        <v>306.76</v>
      </c>
      <c r="U305" s="210"/>
      <c r="V305" s="207"/>
      <c r="W305" s="449" t="s">
        <v>1093</v>
      </c>
      <c r="X305" s="448" t="s">
        <v>1094</v>
      </c>
      <c r="Y305" s="211"/>
      <c r="Z305" s="212" t="e">
        <f>AC304</f>
        <v>#REF!</v>
      </c>
      <c r="AA305" s="213"/>
      <c r="AB305" s="212"/>
      <c r="AC305" s="450" t="e">
        <f>ROUND(AC304/0.6096,2)</f>
        <v>#REF!</v>
      </c>
      <c r="AD305" s="209" t="e">
        <f t="shared" si="0"/>
        <v>#REF!</v>
      </c>
    </row>
    <row r="306" spans="1:30" s="208" customFormat="1" ht="22.5" hidden="1" customHeight="1">
      <c r="A306" s="210"/>
      <c r="B306" s="207"/>
      <c r="C306" s="390" t="str">
        <f>C300</f>
        <v>add overheads @</v>
      </c>
      <c r="D306" s="215"/>
      <c r="E306" s="215">
        <f>E300</f>
        <v>0</v>
      </c>
      <c r="F306" s="211"/>
      <c r="G306" s="212">
        <f>J305</f>
        <v>306.76</v>
      </c>
      <c r="H306" s="213"/>
      <c r="I306" s="212"/>
      <c r="J306" s="447">
        <f>IF(H306="",E306*G306,(E306*G306/H306))</f>
        <v>0</v>
      </c>
      <c r="U306" s="210"/>
      <c r="V306" s="207"/>
      <c r="W306" s="390" t="e">
        <v>#REF!</v>
      </c>
      <c r="X306" s="216" t="e">
        <v>#REF!</v>
      </c>
      <c r="Y306" s="211"/>
      <c r="Z306" s="212" t="e">
        <f>AC305</f>
        <v>#REF!</v>
      </c>
      <c r="AA306" s="213"/>
      <c r="AB306" s="212"/>
      <c r="AC306" s="447" t="e">
        <f>IF(AA306="",X306*Z306,(X306*Z306/AA306))</f>
        <v>#REF!</v>
      </c>
      <c r="AD306" s="209" t="e">
        <f t="shared" si="0"/>
        <v>#REF!</v>
      </c>
    </row>
    <row r="307" spans="1:30" s="208" customFormat="1" hidden="1">
      <c r="A307" s="210"/>
      <c r="B307" s="207"/>
      <c r="C307" s="446"/>
      <c r="D307" s="448"/>
      <c r="E307" s="448"/>
      <c r="F307" s="211"/>
      <c r="G307" s="212"/>
      <c r="H307" s="213"/>
      <c r="I307" s="212"/>
      <c r="J307" s="214">
        <f>SUM(J305:J306)</f>
        <v>306.76</v>
      </c>
      <c r="U307" s="210"/>
      <c r="V307" s="207"/>
      <c r="W307" s="449"/>
      <c r="X307" s="448"/>
      <c r="Y307" s="211"/>
      <c r="Z307" s="212"/>
      <c r="AA307" s="213"/>
      <c r="AB307" s="212"/>
      <c r="AC307" s="450" t="e">
        <f>SUM(AC305:AC306)</f>
        <v>#REF!</v>
      </c>
      <c r="AD307" s="209" t="e">
        <f t="shared" si="0"/>
        <v>#REF!</v>
      </c>
    </row>
    <row r="308" spans="1:30" s="208" customFormat="1" hidden="1">
      <c r="A308" s="210"/>
      <c r="B308" s="207"/>
      <c r="C308" s="446"/>
      <c r="D308" s="448"/>
      <c r="E308" s="448"/>
      <c r="F308" s="211"/>
      <c r="G308" s="212"/>
      <c r="H308" s="213"/>
      <c r="I308" s="212" t="s">
        <v>467</v>
      </c>
      <c r="J308" s="205">
        <f>ROUND(J307,0)</f>
        <v>307</v>
      </c>
      <c r="U308" s="210"/>
      <c r="V308" s="207"/>
      <c r="W308" s="449"/>
      <c r="X308" s="448"/>
      <c r="Y308" s="211"/>
      <c r="Z308" s="212"/>
      <c r="AA308" s="213"/>
      <c r="AB308" s="212" t="s">
        <v>467</v>
      </c>
      <c r="AC308" s="205" t="e">
        <f>ROUND(AC307,0)</f>
        <v>#REF!</v>
      </c>
      <c r="AD308" s="209" t="e">
        <f t="shared" si="0"/>
        <v>#REF!</v>
      </c>
    </row>
    <row r="309" spans="1:30" s="208" customFormat="1" hidden="1">
      <c r="A309" s="210"/>
      <c r="B309" s="207"/>
      <c r="C309" s="446"/>
      <c r="D309" s="446"/>
      <c r="E309" s="448"/>
      <c r="F309" s="211"/>
      <c r="G309" s="212"/>
      <c r="H309" s="213"/>
      <c r="I309" s="212"/>
      <c r="U309" s="210"/>
      <c r="V309" s="207"/>
      <c r="W309" s="449"/>
      <c r="X309" s="449"/>
      <c r="Y309" s="448"/>
      <c r="Z309" s="211"/>
      <c r="AA309" s="212"/>
      <c r="AB309" s="213"/>
      <c r="AC309" s="212"/>
      <c r="AD309" s="209">
        <f t="shared" si="0"/>
        <v>0</v>
      </c>
    </row>
    <row r="310" spans="1:30" ht="50.25" customHeight="1">
      <c r="A310" s="403">
        <v>15</v>
      </c>
      <c r="B310" s="405"/>
      <c r="C310" s="1563" t="s">
        <v>1377</v>
      </c>
      <c r="D310" s="1564"/>
      <c r="E310" s="1564"/>
      <c r="F310" s="1564"/>
      <c r="G310" s="1564"/>
      <c r="H310" s="1564"/>
      <c r="I310" s="1564"/>
      <c r="J310" s="1565"/>
      <c r="K310" s="394"/>
    </row>
    <row r="311" spans="1:30">
      <c r="A311" s="403"/>
      <c r="B311" s="405"/>
      <c r="C311" s="411" t="s">
        <v>130</v>
      </c>
      <c r="D311" s="408" t="s">
        <v>1032</v>
      </c>
      <c r="E311" s="408">
        <v>1</v>
      </c>
      <c r="F311" s="409" t="s">
        <v>327</v>
      </c>
      <c r="G311" s="413">
        <v>86</v>
      </c>
      <c r="H311" s="408">
        <v>1</v>
      </c>
      <c r="I311" s="408" t="str">
        <f>F311</f>
        <v>Nos</v>
      </c>
      <c r="J311" s="408">
        <f>ROUND(E311*G311/H311,2)</f>
        <v>86</v>
      </c>
      <c r="K311" s="394"/>
    </row>
    <row r="312" spans="1:30">
      <c r="A312" s="451"/>
      <c r="B312" s="451"/>
      <c r="C312" s="411" t="s">
        <v>122</v>
      </c>
      <c r="D312" s="408"/>
      <c r="E312" s="397">
        <f>$D$3</f>
        <v>0</v>
      </c>
      <c r="F312" s="409" t="s">
        <v>327</v>
      </c>
      <c r="G312" s="413">
        <v>0</v>
      </c>
      <c r="H312" s="408">
        <v>1</v>
      </c>
      <c r="I312" s="408" t="str">
        <f>F312</f>
        <v>Nos</v>
      </c>
      <c r="J312" s="408">
        <f>ROUND(E312*G312/H312,2)</f>
        <v>0</v>
      </c>
      <c r="K312" s="394"/>
    </row>
    <row r="313" spans="1:30">
      <c r="A313" s="451"/>
      <c r="B313" s="451"/>
      <c r="C313" s="406"/>
      <c r="D313" s="408"/>
      <c r="E313" s="408"/>
      <c r="F313" s="409"/>
      <c r="G313" s="413"/>
      <c r="H313" s="408"/>
      <c r="I313" s="408"/>
      <c r="J313" s="408">
        <f>SUM(J311:J312)</f>
        <v>86</v>
      </c>
      <c r="K313" s="394"/>
    </row>
    <row r="314" spans="1:30">
      <c r="A314" s="451"/>
      <c r="B314" s="451"/>
      <c r="C314" s="414" t="s">
        <v>123</v>
      </c>
      <c r="E314" s="416">
        <f>$D$4</f>
        <v>0</v>
      </c>
      <c r="F314" s="409"/>
      <c r="G314" s="413"/>
      <c r="H314" s="408"/>
      <c r="I314" s="408"/>
      <c r="J314" s="408">
        <f>ROUND(J313*E314,2)</f>
        <v>0</v>
      </c>
      <c r="K314" s="394"/>
    </row>
    <row r="315" spans="1:30">
      <c r="A315" s="451"/>
      <c r="B315" s="451"/>
      <c r="C315" s="406" t="s">
        <v>169</v>
      </c>
      <c r="D315" s="417"/>
      <c r="E315" s="418"/>
      <c r="F315" s="419"/>
      <c r="G315" s="420"/>
      <c r="H315" s="418"/>
      <c r="I315" s="418"/>
      <c r="J315" s="418">
        <f>CEILING(J314+J313,0.05)</f>
        <v>86</v>
      </c>
      <c r="K315" s="394"/>
    </row>
    <row r="316" spans="1:30" ht="65.25" customHeight="1">
      <c r="A316" s="452">
        <f>A310+1</f>
        <v>16</v>
      </c>
      <c r="B316" s="451"/>
      <c r="C316" s="1551" t="s">
        <v>1175</v>
      </c>
      <c r="D316" s="1552"/>
      <c r="E316" s="1552"/>
      <c r="F316" s="1552"/>
      <c r="G316" s="1552"/>
      <c r="H316" s="1552"/>
      <c r="I316" s="1552"/>
      <c r="J316" s="1553"/>
      <c r="K316" s="394"/>
    </row>
    <row r="317" spans="1:30">
      <c r="A317" s="451"/>
      <c r="B317" s="451" t="s">
        <v>646</v>
      </c>
      <c r="C317" s="411" t="s">
        <v>493</v>
      </c>
      <c r="D317" s="426" t="s">
        <v>1349</v>
      </c>
      <c r="E317" s="408">
        <v>1</v>
      </c>
      <c r="F317" s="409" t="s">
        <v>327</v>
      </c>
      <c r="G317" s="413">
        <v>123</v>
      </c>
      <c r="H317" s="408">
        <v>1</v>
      </c>
      <c r="I317" s="408" t="str">
        <f>F317</f>
        <v>Nos</v>
      </c>
      <c r="J317" s="408">
        <f>ROUND(E317*G317/H317,2)</f>
        <v>123</v>
      </c>
      <c r="K317" s="394"/>
    </row>
    <row r="318" spans="1:30">
      <c r="A318" s="451"/>
      <c r="B318" s="451"/>
      <c r="C318" s="411" t="s">
        <v>122</v>
      </c>
      <c r="D318" s="426"/>
      <c r="E318" s="397">
        <f>$D$3</f>
        <v>0</v>
      </c>
      <c r="F318" s="409"/>
      <c r="G318" s="413"/>
      <c r="H318" s="408">
        <v>1</v>
      </c>
      <c r="I318" s="408">
        <f>F318</f>
        <v>0</v>
      </c>
      <c r="J318" s="408">
        <f>ROUND(E318*G318/H318,2)</f>
        <v>0</v>
      </c>
      <c r="K318" s="394"/>
    </row>
    <row r="319" spans="1:30">
      <c r="A319" s="451"/>
      <c r="B319" s="451"/>
      <c r="C319" s="406"/>
      <c r="D319" s="408"/>
      <c r="E319" s="408"/>
      <c r="F319" s="409"/>
      <c r="G319" s="413"/>
      <c r="H319" s="408"/>
      <c r="I319" s="408"/>
      <c r="J319" s="408">
        <f>SUM(J317:J318)</f>
        <v>123</v>
      </c>
      <c r="K319" s="394"/>
    </row>
    <row r="320" spans="1:30">
      <c r="A320" s="451"/>
      <c r="B320" s="451"/>
      <c r="C320" s="414" t="s">
        <v>123</v>
      </c>
      <c r="E320" s="416">
        <f>$D$4</f>
        <v>0</v>
      </c>
      <c r="F320" s="409"/>
      <c r="G320" s="413"/>
      <c r="H320" s="408"/>
      <c r="I320" s="408"/>
      <c r="J320" s="408">
        <f>ROUND(J319*E320,2)</f>
        <v>0</v>
      </c>
      <c r="K320" s="394"/>
    </row>
    <row r="321" spans="1:11">
      <c r="A321" s="451"/>
      <c r="B321" s="451"/>
      <c r="C321" s="406" t="s">
        <v>169</v>
      </c>
      <c r="D321" s="417"/>
      <c r="E321" s="418"/>
      <c r="F321" s="419"/>
      <c r="G321" s="420"/>
      <c r="H321" s="418"/>
      <c r="I321" s="418"/>
      <c r="J321" s="418">
        <f>CEILING(J320+J319,0.05)</f>
        <v>123</v>
      </c>
      <c r="K321" s="394"/>
    </row>
    <row r="322" spans="1:11">
      <c r="A322" s="451"/>
      <c r="B322" s="451"/>
      <c r="C322" s="406"/>
      <c r="D322" s="417"/>
      <c r="E322" s="418"/>
      <c r="F322" s="419"/>
      <c r="G322" s="420"/>
      <c r="H322" s="418"/>
      <c r="I322" s="418"/>
      <c r="J322" s="418"/>
      <c r="K322" s="394"/>
    </row>
    <row r="323" spans="1:11" ht="30.75" customHeight="1">
      <c r="A323" s="451"/>
      <c r="B323" s="451" t="s">
        <v>112</v>
      </c>
      <c r="C323" s="434" t="s">
        <v>1176</v>
      </c>
      <c r="D323" s="453" t="s">
        <v>1177</v>
      </c>
      <c r="E323" s="408">
        <v>1</v>
      </c>
      <c r="F323" s="409" t="s">
        <v>327</v>
      </c>
      <c r="G323" s="413">
        <v>65</v>
      </c>
      <c r="H323" s="408">
        <v>1</v>
      </c>
      <c r="I323" s="408" t="str">
        <f>F323</f>
        <v>Nos</v>
      </c>
      <c r="J323" s="408">
        <f>ROUND(E323*G323/H323,2)</f>
        <v>65</v>
      </c>
      <c r="K323" s="394"/>
    </row>
    <row r="324" spans="1:11">
      <c r="A324" s="451"/>
      <c r="B324" s="451"/>
      <c r="C324" s="434" t="s">
        <v>122</v>
      </c>
      <c r="D324" s="408"/>
      <c r="E324" s="397">
        <f>$D$3</f>
        <v>0</v>
      </c>
      <c r="F324" s="409"/>
      <c r="G324" s="413"/>
      <c r="H324" s="408">
        <v>1</v>
      </c>
      <c r="I324" s="408">
        <f>F324</f>
        <v>0</v>
      </c>
      <c r="J324" s="408">
        <f>ROUND(E324*G324/H324,2)</f>
        <v>0</v>
      </c>
      <c r="K324" s="394"/>
    </row>
    <row r="325" spans="1:11">
      <c r="A325" s="451"/>
      <c r="B325" s="451"/>
      <c r="C325" s="406"/>
      <c r="D325" s="408"/>
      <c r="E325" s="408"/>
      <c r="F325" s="409"/>
      <c r="G325" s="413"/>
      <c r="H325" s="408"/>
      <c r="I325" s="408"/>
      <c r="J325" s="408">
        <f>SUM(J323:J324)</f>
        <v>65</v>
      </c>
      <c r="K325" s="394"/>
    </row>
    <row r="326" spans="1:11">
      <c r="A326" s="451"/>
      <c r="B326" s="451"/>
      <c r="C326" s="414" t="s">
        <v>123</v>
      </c>
      <c r="E326" s="416">
        <f>$D$4</f>
        <v>0</v>
      </c>
      <c r="F326" s="409"/>
      <c r="G326" s="413"/>
      <c r="H326" s="408"/>
      <c r="I326" s="408"/>
      <c r="J326" s="408">
        <f>ROUND(J325*E326,2)</f>
        <v>0</v>
      </c>
      <c r="K326" s="394"/>
    </row>
    <row r="327" spans="1:11">
      <c r="A327" s="451"/>
      <c r="B327" s="451"/>
      <c r="C327" s="406" t="s">
        <v>169</v>
      </c>
      <c r="D327" s="417"/>
      <c r="E327" s="418"/>
      <c r="F327" s="419"/>
      <c r="G327" s="420"/>
      <c r="H327" s="418"/>
      <c r="I327" s="418"/>
      <c r="J327" s="418">
        <f>CEILING(J326+J325,0.05)</f>
        <v>65</v>
      </c>
      <c r="K327" s="394"/>
    </row>
    <row r="328" spans="1:11">
      <c r="A328" s="451"/>
      <c r="B328" s="451"/>
      <c r="C328" s="437" t="s">
        <v>494</v>
      </c>
      <c r="D328" s="438"/>
      <c r="E328" s="438"/>
      <c r="F328" s="454"/>
      <c r="G328" s="423"/>
      <c r="H328" s="454"/>
      <c r="I328" s="455"/>
      <c r="J328" s="456">
        <f>J321+J327</f>
        <v>188</v>
      </c>
      <c r="K328" s="394"/>
    </row>
    <row r="329" spans="1:11">
      <c r="A329" s="451"/>
      <c r="B329" s="451"/>
      <c r="C329" s="437"/>
      <c r="D329" s="438"/>
      <c r="E329" s="438"/>
      <c r="F329" s="454"/>
      <c r="G329" s="423"/>
      <c r="H329" s="454"/>
      <c r="I329" s="455"/>
      <c r="J329" s="456"/>
      <c r="K329" s="394"/>
    </row>
    <row r="330" spans="1:11" ht="87" customHeight="1">
      <c r="A330" s="452">
        <v>16</v>
      </c>
      <c r="B330" s="451"/>
      <c r="C330" s="1551" t="s">
        <v>289</v>
      </c>
      <c r="D330" s="1552"/>
      <c r="E330" s="1552"/>
      <c r="F330" s="1552"/>
      <c r="G330" s="1552"/>
      <c r="H330" s="1552"/>
      <c r="I330" s="1552"/>
      <c r="J330" s="1553"/>
      <c r="K330" s="394"/>
    </row>
    <row r="331" spans="1:11" ht="20.25" customHeight="1">
      <c r="A331" s="451"/>
      <c r="B331" s="451"/>
      <c r="C331" s="411" t="s">
        <v>495</v>
      </c>
      <c r="D331" s="426" t="s">
        <v>931</v>
      </c>
      <c r="E331" s="408">
        <v>1</v>
      </c>
      <c r="F331" s="409" t="s">
        <v>327</v>
      </c>
      <c r="G331" s="413">
        <v>2018</v>
      </c>
      <c r="H331" s="408">
        <v>1</v>
      </c>
      <c r="I331" s="408" t="str">
        <f>F331</f>
        <v>Nos</v>
      </c>
      <c r="J331" s="408">
        <f>ROUND(E331*G331/H331,2)</f>
        <v>2018</v>
      </c>
      <c r="K331" s="457"/>
    </row>
    <row r="332" spans="1:11" ht="30.6">
      <c r="A332" s="451"/>
      <c r="B332" s="451"/>
      <c r="C332" s="411" t="s">
        <v>122</v>
      </c>
      <c r="D332" s="426" t="s">
        <v>932</v>
      </c>
      <c r="E332" s="397">
        <f>$D$3</f>
        <v>0</v>
      </c>
      <c r="F332" s="409"/>
      <c r="G332" s="413">
        <v>448</v>
      </c>
      <c r="H332" s="408">
        <v>1</v>
      </c>
      <c r="I332" s="408">
        <f>F332</f>
        <v>0</v>
      </c>
      <c r="J332" s="408">
        <f>ROUND(E332*G332/H332,2)</f>
        <v>0</v>
      </c>
      <c r="K332" s="394"/>
    </row>
    <row r="333" spans="1:11">
      <c r="A333" s="451"/>
      <c r="B333" s="451"/>
      <c r="C333" s="414" t="s">
        <v>123</v>
      </c>
      <c r="D333" s="438"/>
      <c r="E333" s="416">
        <f>$D$4</f>
        <v>0</v>
      </c>
      <c r="F333" s="409"/>
      <c r="G333" s="413"/>
      <c r="H333" s="408"/>
      <c r="I333" s="408"/>
      <c r="J333" s="408">
        <f>ROUND((J331+J332)*E333,2)</f>
        <v>0</v>
      </c>
      <c r="K333" s="394"/>
    </row>
    <row r="334" spans="1:11">
      <c r="A334" s="451"/>
      <c r="B334" s="451"/>
      <c r="C334" s="437" t="s">
        <v>1077</v>
      </c>
      <c r="D334" s="438"/>
      <c r="E334" s="416"/>
      <c r="F334" s="409"/>
      <c r="G334" s="413"/>
      <c r="H334" s="408"/>
      <c r="I334" s="408"/>
      <c r="J334" s="408">
        <f>SUM(J331:J333)</f>
        <v>2018</v>
      </c>
      <c r="K334" s="394"/>
    </row>
    <row r="335" spans="1:11">
      <c r="A335" s="451"/>
      <c r="B335" s="451"/>
      <c r="C335" s="411" t="s">
        <v>496</v>
      </c>
      <c r="D335" s="408" t="s">
        <v>1157</v>
      </c>
      <c r="E335" s="408">
        <v>1</v>
      </c>
      <c r="F335" s="409" t="s">
        <v>327</v>
      </c>
      <c r="G335" s="413">
        <v>280</v>
      </c>
      <c r="H335" s="408">
        <v>1</v>
      </c>
      <c r="I335" s="408" t="str">
        <f>F335</f>
        <v>Nos</v>
      </c>
      <c r="J335" s="408">
        <f>E335*G335/H335</f>
        <v>280</v>
      </c>
      <c r="K335" s="394"/>
    </row>
    <row r="336" spans="1:11">
      <c r="A336" s="451"/>
      <c r="B336" s="451"/>
      <c r="C336" s="414" t="s">
        <v>123</v>
      </c>
      <c r="D336" s="438"/>
      <c r="E336" s="416">
        <f>$D$4</f>
        <v>0</v>
      </c>
      <c r="F336" s="409"/>
      <c r="G336" s="413"/>
      <c r="H336" s="408"/>
      <c r="I336" s="408"/>
      <c r="J336" s="408">
        <f>ROUND(J335*E336,2)</f>
        <v>0</v>
      </c>
      <c r="K336" s="394"/>
    </row>
    <row r="337" spans="1:11">
      <c r="A337" s="451"/>
      <c r="B337" s="451"/>
      <c r="C337" s="437" t="s">
        <v>1078</v>
      </c>
      <c r="D337" s="438"/>
      <c r="E337" s="416"/>
      <c r="F337" s="409"/>
      <c r="G337" s="413"/>
      <c r="H337" s="408"/>
      <c r="I337" s="408"/>
      <c r="J337" s="408">
        <f>SUM(J335:J336)</f>
        <v>280</v>
      </c>
      <c r="K337" s="394"/>
    </row>
    <row r="338" spans="1:11">
      <c r="A338" s="451"/>
      <c r="B338" s="451"/>
      <c r="C338" s="437" t="s">
        <v>494</v>
      </c>
      <c r="D338" s="438"/>
      <c r="E338" s="438"/>
      <c r="F338" s="454"/>
      <c r="G338" s="423"/>
      <c r="H338" s="454"/>
      <c r="I338" s="455"/>
      <c r="J338" s="418">
        <f>CEILING(J337+J334,0.05)</f>
        <v>2298</v>
      </c>
      <c r="K338" s="394"/>
    </row>
    <row r="339" spans="1:11">
      <c r="A339" s="451"/>
      <c r="B339" s="451"/>
      <c r="C339" s="437"/>
      <c r="D339" s="438"/>
      <c r="E339" s="438"/>
      <c r="F339" s="454"/>
      <c r="G339" s="423"/>
      <c r="H339" s="454"/>
      <c r="I339" s="455"/>
      <c r="J339" s="418"/>
      <c r="K339" s="394"/>
    </row>
    <row r="340" spans="1:11" s="461" customFormat="1" ht="113.25" customHeight="1">
      <c r="A340" s="458">
        <f>A330+1</f>
        <v>17</v>
      </c>
      <c r="B340" s="459"/>
      <c r="C340" s="1561" t="s">
        <v>1082</v>
      </c>
      <c r="D340" s="1561"/>
      <c r="E340" s="1561"/>
      <c r="F340" s="1561"/>
      <c r="G340" s="1561"/>
      <c r="H340" s="1561"/>
      <c r="I340" s="1561"/>
      <c r="J340" s="1561"/>
      <c r="K340" s="460"/>
    </row>
    <row r="341" spans="1:11" s="461" customFormat="1" ht="18" customHeight="1">
      <c r="A341" s="462"/>
      <c r="B341" s="459"/>
      <c r="C341" s="431" t="s">
        <v>495</v>
      </c>
      <c r="D341" s="463" t="s">
        <v>933</v>
      </c>
      <c r="E341" s="432">
        <v>1</v>
      </c>
      <c r="F341" s="429" t="s">
        <v>327</v>
      </c>
      <c r="G341" s="433">
        <v>1799</v>
      </c>
      <c r="H341" s="432">
        <v>1</v>
      </c>
      <c r="I341" s="432" t="str">
        <f t="shared" ref="I341:I346" si="1">F341</f>
        <v>Nos</v>
      </c>
      <c r="J341" s="432">
        <f>E341*G341/H341</f>
        <v>1799</v>
      </c>
      <c r="K341" s="460"/>
    </row>
    <row r="342" spans="1:11" s="461" customFormat="1" ht="18" customHeight="1">
      <c r="A342" s="462"/>
      <c r="B342" s="459"/>
      <c r="C342" s="411" t="s">
        <v>122</v>
      </c>
      <c r="D342" s="426" t="s">
        <v>934</v>
      </c>
      <c r="E342" s="397">
        <f>$D$3</f>
        <v>0</v>
      </c>
      <c r="F342" s="409"/>
      <c r="G342" s="410">
        <v>314</v>
      </c>
      <c r="H342" s="408">
        <v>1</v>
      </c>
      <c r="I342" s="408">
        <f t="shared" si="1"/>
        <v>0</v>
      </c>
      <c r="J342" s="408">
        <f>ROUND(E342*G342/H342,2)</f>
        <v>0</v>
      </c>
      <c r="K342" s="460"/>
    </row>
    <row r="343" spans="1:11" s="461" customFormat="1" ht="18" customHeight="1">
      <c r="A343" s="462"/>
      <c r="B343" s="459"/>
      <c r="C343" s="431" t="s">
        <v>1079</v>
      </c>
      <c r="D343" s="463" t="s">
        <v>935</v>
      </c>
      <c r="E343" s="432">
        <v>1</v>
      </c>
      <c r="F343" s="429" t="s">
        <v>327</v>
      </c>
      <c r="G343" s="433">
        <v>1186</v>
      </c>
      <c r="H343" s="432">
        <v>1</v>
      </c>
      <c r="I343" s="432" t="str">
        <f t="shared" si="1"/>
        <v>Nos</v>
      </c>
      <c r="J343" s="432">
        <f>E343*G343/H343</f>
        <v>1186</v>
      </c>
      <c r="K343" s="460"/>
    </row>
    <row r="344" spans="1:11" s="461" customFormat="1" ht="18" customHeight="1">
      <c r="A344" s="462"/>
      <c r="B344" s="459"/>
      <c r="C344" s="411" t="s">
        <v>122</v>
      </c>
      <c r="D344" s="426" t="s">
        <v>936</v>
      </c>
      <c r="E344" s="397">
        <f>$D$3</f>
        <v>0</v>
      </c>
      <c r="F344" s="409"/>
      <c r="G344" s="410">
        <v>91</v>
      </c>
      <c r="H344" s="408">
        <v>1</v>
      </c>
      <c r="I344" s="408">
        <f t="shared" si="1"/>
        <v>0</v>
      </c>
      <c r="J344" s="408">
        <f>ROUND(E344*G344/H344,2)</f>
        <v>0</v>
      </c>
      <c r="K344" s="460"/>
    </row>
    <row r="345" spans="1:11" s="461" customFormat="1" ht="18" customHeight="1">
      <c r="A345" s="462"/>
      <c r="B345" s="459"/>
      <c r="C345" s="464" t="s">
        <v>531</v>
      </c>
      <c r="D345" s="463" t="s">
        <v>1080</v>
      </c>
      <c r="E345" s="432">
        <v>1</v>
      </c>
      <c r="F345" s="429" t="s">
        <v>327</v>
      </c>
      <c r="G345" s="430">
        <v>1613</v>
      </c>
      <c r="H345" s="432">
        <v>1</v>
      </c>
      <c r="I345" s="432" t="str">
        <f t="shared" si="1"/>
        <v>Nos</v>
      </c>
      <c r="J345" s="432">
        <f>E345*G345/H345</f>
        <v>1613</v>
      </c>
      <c r="K345" s="460"/>
    </row>
    <row r="346" spans="1:11" s="461" customFormat="1" ht="18" customHeight="1">
      <c r="A346" s="462"/>
      <c r="B346" s="459"/>
      <c r="C346" s="411" t="s">
        <v>122</v>
      </c>
      <c r="D346" s="412" t="s">
        <v>1034</v>
      </c>
      <c r="E346" s="397">
        <f>$D$3</f>
        <v>0</v>
      </c>
      <c r="F346" s="409"/>
      <c r="G346" s="413">
        <v>627</v>
      </c>
      <c r="H346" s="408">
        <v>1</v>
      </c>
      <c r="I346" s="408">
        <f t="shared" si="1"/>
        <v>0</v>
      </c>
      <c r="J346" s="408">
        <f>ROUND(E346*G346/H346,2)</f>
        <v>0</v>
      </c>
      <c r="K346" s="460"/>
    </row>
    <row r="347" spans="1:11" s="461" customFormat="1" ht="18" customHeight="1">
      <c r="A347" s="462"/>
      <c r="B347" s="459"/>
      <c r="C347" s="465"/>
      <c r="D347" s="466"/>
      <c r="E347" s="432"/>
      <c r="F347" s="429"/>
      <c r="G347" s="430"/>
      <c r="H347" s="432"/>
      <c r="I347" s="432"/>
      <c r="J347" s="432">
        <f>SUM(J341:J346)</f>
        <v>4598</v>
      </c>
      <c r="K347" s="460"/>
    </row>
    <row r="348" spans="1:11" s="461" customFormat="1" ht="18" customHeight="1">
      <c r="A348" s="462"/>
      <c r="B348" s="459"/>
      <c r="C348" s="467" t="s">
        <v>1081</v>
      </c>
      <c r="D348" s="466">
        <f>$D$4</f>
        <v>0</v>
      </c>
      <c r="E348" s="432"/>
      <c r="F348" s="429"/>
      <c r="G348" s="430"/>
      <c r="H348" s="432"/>
      <c r="I348" s="432"/>
      <c r="J348" s="432">
        <f>ROUND(J347*D348,2)</f>
        <v>0</v>
      </c>
      <c r="K348" s="460"/>
    </row>
    <row r="349" spans="1:11" s="461" customFormat="1" ht="18" customHeight="1">
      <c r="A349" s="462"/>
      <c r="B349" s="459"/>
      <c r="C349" s="465"/>
      <c r="D349" s="466"/>
      <c r="E349" s="432"/>
      <c r="F349" s="429"/>
      <c r="G349" s="430"/>
      <c r="H349" s="432"/>
      <c r="I349" s="432"/>
      <c r="J349" s="432"/>
      <c r="K349" s="460"/>
    </row>
    <row r="350" spans="1:11" s="461" customFormat="1" ht="18" customHeight="1">
      <c r="A350" s="462"/>
      <c r="B350" s="459"/>
      <c r="C350" s="468" t="s">
        <v>494</v>
      </c>
      <c r="D350" s="469"/>
      <c r="E350" s="470"/>
      <c r="F350" s="471"/>
      <c r="G350" s="472"/>
      <c r="H350" s="471"/>
      <c r="I350" s="473"/>
      <c r="J350" s="474">
        <f>J347+J348</f>
        <v>4598</v>
      </c>
      <c r="K350" s="460"/>
    </row>
    <row r="351" spans="1:11" ht="51" hidden="1" customHeight="1">
      <c r="A351" s="452">
        <f>A340+1</f>
        <v>18</v>
      </c>
      <c r="B351" s="475"/>
      <c r="C351" s="1551" t="s">
        <v>531</v>
      </c>
      <c r="D351" s="1552"/>
      <c r="E351" s="1552"/>
      <c r="F351" s="1552"/>
      <c r="G351" s="1552"/>
      <c r="H351" s="1552"/>
      <c r="I351" s="1552"/>
      <c r="J351" s="1553"/>
      <c r="K351" s="394"/>
    </row>
    <row r="352" spans="1:11" hidden="1">
      <c r="A352" s="451"/>
      <c r="B352" s="475"/>
      <c r="C352" s="411" t="s">
        <v>495</v>
      </c>
      <c r="D352" s="476" t="str">
        <f>D345</f>
        <v>TBSP-H.II-07</v>
      </c>
      <c r="E352" s="408">
        <v>1</v>
      </c>
      <c r="F352" s="409" t="s">
        <v>327</v>
      </c>
      <c r="G352" s="413">
        <f>G345</f>
        <v>1613</v>
      </c>
      <c r="H352" s="408">
        <v>1</v>
      </c>
      <c r="I352" s="408" t="str">
        <f>F352</f>
        <v>Nos</v>
      </c>
      <c r="J352" s="408">
        <f>ROUND(E352*G352/H352,2)</f>
        <v>1613</v>
      </c>
      <c r="K352" s="394"/>
    </row>
    <row r="353" spans="1:11" ht="30.6" hidden="1">
      <c r="A353" s="451"/>
      <c r="B353" s="475"/>
      <c r="C353" s="411" t="s">
        <v>122</v>
      </c>
      <c r="D353" s="408" t="s">
        <v>1034</v>
      </c>
      <c r="E353" s="397">
        <f>$D$3</f>
        <v>0</v>
      </c>
      <c r="F353" s="409"/>
      <c r="G353" s="413">
        <f>G346</f>
        <v>627</v>
      </c>
      <c r="H353" s="408">
        <v>1</v>
      </c>
      <c r="I353" s="408">
        <f>F353</f>
        <v>0</v>
      </c>
      <c r="J353" s="408">
        <f>ROUND(E353*G353/H353,2)</f>
        <v>0</v>
      </c>
      <c r="K353" s="394"/>
    </row>
    <row r="354" spans="1:11" hidden="1">
      <c r="A354" s="451"/>
      <c r="B354" s="475"/>
      <c r="C354" s="406"/>
      <c r="D354" s="425"/>
      <c r="E354" s="408"/>
      <c r="F354" s="409"/>
      <c r="G354" s="413"/>
      <c r="H354" s="408"/>
      <c r="I354" s="408"/>
      <c r="J354" s="408">
        <f>SUM(J352:J353)</f>
        <v>1613</v>
      </c>
      <c r="K354" s="394"/>
    </row>
    <row r="355" spans="1:11" hidden="1">
      <c r="A355" s="451"/>
      <c r="B355" s="475"/>
      <c r="C355" s="414" t="s">
        <v>123</v>
      </c>
      <c r="E355" s="416">
        <f>$D$4</f>
        <v>0</v>
      </c>
      <c r="F355" s="409"/>
      <c r="G355" s="413"/>
      <c r="H355" s="408"/>
      <c r="I355" s="408"/>
      <c r="J355" s="408">
        <f>ROUND(J354*E355,2)</f>
        <v>0</v>
      </c>
      <c r="K355" s="394"/>
    </row>
    <row r="356" spans="1:11" hidden="1">
      <c r="A356" s="451"/>
      <c r="B356" s="475"/>
      <c r="C356" s="406" t="s">
        <v>169</v>
      </c>
      <c r="D356" s="417"/>
      <c r="E356" s="418"/>
      <c r="F356" s="419"/>
      <c r="G356" s="420"/>
      <c r="H356" s="418"/>
      <c r="I356" s="418"/>
      <c r="J356" s="418">
        <f>CEILING(J355+J354,0.05)</f>
        <v>1613</v>
      </c>
      <c r="K356" s="394"/>
    </row>
    <row r="357" spans="1:11" hidden="1">
      <c r="A357" s="451"/>
      <c r="B357" s="475"/>
      <c r="C357" s="439"/>
      <c r="D357" s="477"/>
      <c r="E357" s="438"/>
      <c r="F357" s="454"/>
      <c r="G357" s="423"/>
      <c r="H357" s="454"/>
      <c r="I357" s="455"/>
      <c r="J357" s="478"/>
      <c r="K357" s="394"/>
    </row>
    <row r="358" spans="1:11" ht="70.5" customHeight="1">
      <c r="A358" s="452">
        <v>18</v>
      </c>
      <c r="B358" s="451"/>
      <c r="C358" s="1551" t="s">
        <v>419</v>
      </c>
      <c r="D358" s="1552"/>
      <c r="E358" s="1552"/>
      <c r="F358" s="1552"/>
      <c r="G358" s="1552"/>
      <c r="H358" s="1552"/>
      <c r="I358" s="1552"/>
      <c r="J358" s="1553"/>
      <c r="K358" s="394"/>
    </row>
    <row r="359" spans="1:11">
      <c r="A359" s="451"/>
      <c r="B359" s="451"/>
      <c r="C359" s="411" t="s">
        <v>495</v>
      </c>
      <c r="D359" s="426" t="s">
        <v>937</v>
      </c>
      <c r="E359" s="408">
        <v>1</v>
      </c>
      <c r="F359" s="409" t="s">
        <v>497</v>
      </c>
      <c r="G359" s="413">
        <v>8</v>
      </c>
      <c r="H359" s="408">
        <v>1</v>
      </c>
      <c r="I359" s="408" t="str">
        <f>F359</f>
        <v>Lit</v>
      </c>
      <c r="J359" s="408">
        <f>ROUND(E359*G359/H359,2)</f>
        <v>8</v>
      </c>
      <c r="K359" s="394"/>
    </row>
    <row r="360" spans="1:11">
      <c r="A360" s="451"/>
      <c r="B360" s="451"/>
      <c r="C360" s="411" t="s">
        <v>122</v>
      </c>
      <c r="D360" s="408"/>
      <c r="E360" s="397">
        <f>$D$3</f>
        <v>0</v>
      </c>
      <c r="F360" s="409"/>
      <c r="G360" s="413">
        <v>0</v>
      </c>
      <c r="H360" s="408">
        <v>1</v>
      </c>
      <c r="I360" s="408">
        <f>F360</f>
        <v>0</v>
      </c>
      <c r="J360" s="408">
        <f>ROUND(E360*G360/H360,2)</f>
        <v>0</v>
      </c>
      <c r="K360" s="394"/>
    </row>
    <row r="361" spans="1:11">
      <c r="A361" s="451"/>
      <c r="B361" s="451"/>
      <c r="C361" s="406"/>
      <c r="D361" s="408"/>
      <c r="E361" s="408"/>
      <c r="F361" s="409"/>
      <c r="G361" s="413"/>
      <c r="H361" s="408"/>
      <c r="I361" s="408"/>
      <c r="J361" s="408">
        <f>SUM(J359:J360)</f>
        <v>8</v>
      </c>
      <c r="K361" s="394"/>
    </row>
    <row r="362" spans="1:11">
      <c r="A362" s="451"/>
      <c r="B362" s="451"/>
      <c r="C362" s="414" t="s">
        <v>123</v>
      </c>
      <c r="E362" s="416">
        <f>$D$4</f>
        <v>0</v>
      </c>
      <c r="F362" s="409"/>
      <c r="G362" s="413"/>
      <c r="H362" s="408"/>
      <c r="I362" s="408"/>
      <c r="J362" s="408">
        <f>ROUND(J361*E362,2)</f>
        <v>0</v>
      </c>
      <c r="K362" s="394"/>
    </row>
    <row r="363" spans="1:11">
      <c r="A363" s="451"/>
      <c r="B363" s="451"/>
      <c r="C363" s="406" t="s">
        <v>170</v>
      </c>
      <c r="D363" s="417"/>
      <c r="E363" s="418"/>
      <c r="F363" s="419"/>
      <c r="G363" s="420"/>
      <c r="H363" s="418"/>
      <c r="I363" s="418"/>
      <c r="J363" s="418">
        <f>CEILING(J362+J361,0.05)</f>
        <v>8</v>
      </c>
      <c r="K363" s="394"/>
    </row>
    <row r="364" spans="1:11">
      <c r="A364" s="451"/>
      <c r="B364" s="451"/>
      <c r="C364" s="438"/>
      <c r="D364" s="438"/>
      <c r="E364" s="438"/>
      <c r="F364" s="454"/>
      <c r="G364" s="423"/>
      <c r="H364" s="454"/>
      <c r="I364" s="455"/>
      <c r="J364" s="478"/>
      <c r="K364" s="394"/>
    </row>
    <row r="365" spans="1:11" ht="58.5" hidden="1" customHeight="1">
      <c r="A365" s="452">
        <f>A358+1</f>
        <v>19</v>
      </c>
      <c r="B365" s="451"/>
      <c r="C365" s="1551" t="s">
        <v>737</v>
      </c>
      <c r="D365" s="1552"/>
      <c r="E365" s="1552"/>
      <c r="F365" s="1552"/>
      <c r="G365" s="1552"/>
      <c r="H365" s="1552"/>
      <c r="I365" s="1552"/>
      <c r="J365" s="1553"/>
      <c r="K365" s="394"/>
    </row>
    <row r="366" spans="1:11" hidden="1">
      <c r="A366" s="451"/>
      <c r="B366" s="451"/>
      <c r="C366" s="411" t="s">
        <v>495</v>
      </c>
      <c r="D366" s="426" t="s">
        <v>1158</v>
      </c>
      <c r="E366" s="408">
        <v>1</v>
      </c>
      <c r="F366" s="409" t="s">
        <v>327</v>
      </c>
      <c r="G366" s="413">
        <v>4162</v>
      </c>
      <c r="H366" s="408">
        <v>1</v>
      </c>
      <c r="I366" s="408" t="str">
        <f>F366</f>
        <v>Nos</v>
      </c>
      <c r="J366" s="408">
        <f>ROUND(E366*G366/H366,2)</f>
        <v>4162</v>
      </c>
      <c r="K366" s="394"/>
    </row>
    <row r="367" spans="1:11" ht="30.6" hidden="1">
      <c r="A367" s="451"/>
      <c r="B367" s="451"/>
      <c r="C367" s="411" t="s">
        <v>122</v>
      </c>
      <c r="D367" s="408" t="s">
        <v>1035</v>
      </c>
      <c r="E367" s="397">
        <f>$D$3</f>
        <v>0</v>
      </c>
      <c r="F367" s="409"/>
      <c r="G367" s="413">
        <v>448</v>
      </c>
      <c r="H367" s="408">
        <v>1</v>
      </c>
      <c r="I367" s="408">
        <f>F367</f>
        <v>0</v>
      </c>
      <c r="J367" s="408">
        <f>ROUND(E367*G367/H367,2)</f>
        <v>0</v>
      </c>
      <c r="K367" s="394"/>
    </row>
    <row r="368" spans="1:11" hidden="1">
      <c r="A368" s="451"/>
      <c r="B368" s="451"/>
      <c r="C368" s="406"/>
      <c r="D368" s="408"/>
      <c r="E368" s="408"/>
      <c r="F368" s="409"/>
      <c r="G368" s="413"/>
      <c r="H368" s="408"/>
      <c r="I368" s="408"/>
      <c r="J368" s="408">
        <f>SUM(J366:J367)</f>
        <v>4162</v>
      </c>
      <c r="K368" s="394"/>
    </row>
    <row r="369" spans="1:12" hidden="1">
      <c r="A369" s="451"/>
      <c r="B369" s="451"/>
      <c r="C369" s="414" t="s">
        <v>123</v>
      </c>
      <c r="E369" s="416">
        <f>$D$4</f>
        <v>0</v>
      </c>
      <c r="F369" s="409"/>
      <c r="G369" s="413"/>
      <c r="H369" s="408"/>
      <c r="I369" s="408"/>
      <c r="J369" s="408">
        <f>ROUND(J368*E369,2)</f>
        <v>0</v>
      </c>
      <c r="K369" s="394"/>
    </row>
    <row r="370" spans="1:12" ht="21" hidden="1" customHeight="1">
      <c r="A370" s="451"/>
      <c r="B370" s="451"/>
      <c r="C370" s="406" t="s">
        <v>169</v>
      </c>
      <c r="D370" s="417"/>
      <c r="E370" s="418"/>
      <c r="F370" s="419"/>
      <c r="G370" s="420"/>
      <c r="H370" s="418"/>
      <c r="I370" s="418"/>
      <c r="J370" s="418">
        <f>CEILING(J369+J368,0.05)</f>
        <v>4162</v>
      </c>
      <c r="K370" s="394"/>
    </row>
    <row r="371" spans="1:12" ht="15" hidden="1" customHeight="1">
      <c r="A371" s="451"/>
      <c r="B371" s="451"/>
      <c r="C371" s="438"/>
      <c r="D371" s="438"/>
      <c r="E371" s="438"/>
      <c r="F371" s="454"/>
      <c r="G371" s="423"/>
      <c r="H371" s="454"/>
      <c r="I371" s="455"/>
      <c r="J371" s="478"/>
      <c r="K371" s="394"/>
    </row>
    <row r="372" spans="1:12" ht="79.5" hidden="1" customHeight="1">
      <c r="A372" s="452">
        <f>A365+1</f>
        <v>20</v>
      </c>
      <c r="B372" s="451"/>
      <c r="C372" s="1551" t="s">
        <v>316</v>
      </c>
      <c r="D372" s="1552"/>
      <c r="E372" s="1552"/>
      <c r="F372" s="1552"/>
      <c r="G372" s="1552"/>
      <c r="H372" s="1552"/>
      <c r="I372" s="1552"/>
      <c r="J372" s="1553"/>
      <c r="K372" s="394"/>
      <c r="L372" s="479" t="s">
        <v>318</v>
      </c>
    </row>
    <row r="373" spans="1:12" hidden="1">
      <c r="A373" s="451"/>
      <c r="B373" s="451"/>
      <c r="C373" s="411" t="s">
        <v>495</v>
      </c>
      <c r="D373" s="426" t="s">
        <v>938</v>
      </c>
      <c r="E373" s="408">
        <v>1</v>
      </c>
      <c r="F373" s="409" t="s">
        <v>327</v>
      </c>
      <c r="G373" s="413">
        <v>6339</v>
      </c>
      <c r="H373" s="408">
        <v>1</v>
      </c>
      <c r="I373" s="408" t="str">
        <f>F373</f>
        <v>Nos</v>
      </c>
      <c r="J373" s="408">
        <f>ROUND(E373*G373/H373,2)</f>
        <v>6339</v>
      </c>
      <c r="K373" s="394"/>
    </row>
    <row r="374" spans="1:12" hidden="1">
      <c r="A374" s="451"/>
      <c r="B374" s="451"/>
      <c r="C374" s="411" t="s">
        <v>122</v>
      </c>
      <c r="D374" s="408"/>
      <c r="E374" s="397">
        <f>$D$3</f>
        <v>0</v>
      </c>
      <c r="F374" s="409"/>
      <c r="G374" s="413"/>
      <c r="H374" s="408">
        <v>1</v>
      </c>
      <c r="I374" s="408">
        <f>F374</f>
        <v>0</v>
      </c>
      <c r="J374" s="408">
        <f>ROUND(E374*G374/H374,2)</f>
        <v>0</v>
      </c>
      <c r="K374" s="394"/>
    </row>
    <row r="375" spans="1:12" hidden="1">
      <c r="A375" s="451"/>
      <c r="B375" s="451"/>
      <c r="C375" s="406"/>
      <c r="D375" s="408"/>
      <c r="E375" s="408"/>
      <c r="F375" s="409"/>
      <c r="G375" s="413"/>
      <c r="H375" s="408"/>
      <c r="I375" s="408"/>
      <c r="J375" s="408">
        <f>SUM(J373:J374)</f>
        <v>6339</v>
      </c>
      <c r="K375" s="394"/>
    </row>
    <row r="376" spans="1:12" ht="15.75" hidden="1" customHeight="1">
      <c r="A376" s="451"/>
      <c r="B376" s="451"/>
      <c r="C376" s="414" t="s">
        <v>123</v>
      </c>
      <c r="E376" s="416">
        <f>$D$4</f>
        <v>0</v>
      </c>
      <c r="F376" s="409"/>
      <c r="G376" s="413"/>
      <c r="H376" s="408"/>
      <c r="I376" s="408"/>
      <c r="J376" s="408">
        <f>ROUND(J375*E376,2)</f>
        <v>0</v>
      </c>
      <c r="K376" s="394"/>
    </row>
    <row r="377" spans="1:12" ht="20.25" hidden="1" customHeight="1">
      <c r="A377" s="451"/>
      <c r="B377" s="451"/>
      <c r="C377" s="406" t="s">
        <v>169</v>
      </c>
      <c r="D377" s="417"/>
      <c r="E377" s="418"/>
      <c r="F377" s="419"/>
      <c r="G377" s="420"/>
      <c r="H377" s="418"/>
      <c r="I377" s="418"/>
      <c r="J377" s="418">
        <f>CEILING(J376+J375,0.05)</f>
        <v>6339</v>
      </c>
      <c r="K377" s="394"/>
    </row>
    <row r="378" spans="1:12" ht="37.5" hidden="1" customHeight="1">
      <c r="A378" s="452">
        <f>A372+1</f>
        <v>21</v>
      </c>
      <c r="B378" s="451"/>
      <c r="C378" s="1551" t="s">
        <v>317</v>
      </c>
      <c r="D378" s="1552"/>
      <c r="E378" s="1552"/>
      <c r="F378" s="1552"/>
      <c r="G378" s="1552"/>
      <c r="H378" s="1552"/>
      <c r="I378" s="1552"/>
      <c r="J378" s="1553"/>
      <c r="K378" s="394"/>
    </row>
    <row r="379" spans="1:12" ht="18" hidden="1" customHeight="1">
      <c r="A379" s="451"/>
      <c r="B379" s="451"/>
      <c r="C379" s="411" t="s">
        <v>495</v>
      </c>
      <c r="D379" s="426" t="s">
        <v>939</v>
      </c>
      <c r="E379" s="408">
        <v>1</v>
      </c>
      <c r="F379" s="409" t="s">
        <v>327</v>
      </c>
      <c r="G379" s="413">
        <v>746</v>
      </c>
      <c r="H379" s="408">
        <v>1</v>
      </c>
      <c r="I379" s="408" t="str">
        <f>F379</f>
        <v>Nos</v>
      </c>
      <c r="J379" s="408">
        <f>ROUND(E379*G379/H379,2)</f>
        <v>746</v>
      </c>
      <c r="K379" s="394"/>
    </row>
    <row r="380" spans="1:12" hidden="1">
      <c r="A380" s="451"/>
      <c r="B380" s="451"/>
      <c r="C380" s="411" t="s">
        <v>122</v>
      </c>
      <c r="D380" s="408"/>
      <c r="E380" s="397">
        <f>$D$3</f>
        <v>0</v>
      </c>
      <c r="F380" s="409"/>
      <c r="G380" s="413">
        <v>0</v>
      </c>
      <c r="H380" s="408">
        <v>1</v>
      </c>
      <c r="I380" s="408">
        <f>F380</f>
        <v>0</v>
      </c>
      <c r="J380" s="408">
        <f>ROUND(E380*G380/H380,2)</f>
        <v>0</v>
      </c>
      <c r="K380" s="394"/>
    </row>
    <row r="381" spans="1:12" hidden="1">
      <c r="A381" s="451"/>
      <c r="B381" s="451"/>
      <c r="C381" s="406"/>
      <c r="D381" s="408"/>
      <c r="E381" s="408"/>
      <c r="F381" s="409"/>
      <c r="G381" s="413"/>
      <c r="H381" s="408"/>
      <c r="I381" s="408"/>
      <c r="J381" s="408">
        <f>SUM(J379:J380)</f>
        <v>746</v>
      </c>
      <c r="K381" s="394"/>
    </row>
    <row r="382" spans="1:12" hidden="1">
      <c r="A382" s="451"/>
      <c r="B382" s="451"/>
      <c r="C382" s="414" t="s">
        <v>123</v>
      </c>
      <c r="E382" s="416">
        <f>$D$4</f>
        <v>0</v>
      </c>
      <c r="F382" s="409"/>
      <c r="G382" s="413"/>
      <c r="H382" s="408"/>
      <c r="I382" s="408"/>
      <c r="J382" s="408">
        <f>ROUND(J381*E382,2)</f>
        <v>0</v>
      </c>
      <c r="K382" s="394"/>
    </row>
    <row r="383" spans="1:12" hidden="1">
      <c r="A383" s="451"/>
      <c r="B383" s="451"/>
      <c r="C383" s="406" t="s">
        <v>169</v>
      </c>
      <c r="D383" s="417"/>
      <c r="E383" s="418"/>
      <c r="F383" s="419"/>
      <c r="G383" s="420"/>
      <c r="H383" s="418"/>
      <c r="I383" s="418"/>
      <c r="J383" s="418">
        <f>CEILING(J382+J381,0.05)</f>
        <v>746</v>
      </c>
      <c r="K383" s="394"/>
    </row>
    <row r="384" spans="1:12" hidden="1">
      <c r="A384" s="451"/>
      <c r="B384" s="451"/>
      <c r="C384" s="438"/>
      <c r="D384" s="438"/>
      <c r="E384" s="438"/>
      <c r="F384" s="454"/>
      <c r="G384" s="423"/>
      <c r="H384" s="454"/>
      <c r="I384" s="455"/>
      <c r="J384" s="478"/>
      <c r="K384" s="394"/>
    </row>
    <row r="385" spans="1:11" ht="48" hidden="1" customHeight="1">
      <c r="A385" s="452">
        <f>A378+1</f>
        <v>22</v>
      </c>
      <c r="B385" s="451"/>
      <c r="C385" s="1551" t="s">
        <v>319</v>
      </c>
      <c r="D385" s="1552"/>
      <c r="E385" s="1552"/>
      <c r="F385" s="1552"/>
      <c r="G385" s="1552"/>
      <c r="H385" s="1552"/>
      <c r="I385" s="1552"/>
      <c r="J385" s="1553"/>
      <c r="K385" s="394"/>
    </row>
    <row r="386" spans="1:11" hidden="1">
      <c r="A386" s="451"/>
      <c r="B386" s="451"/>
      <c r="C386" s="411" t="s">
        <v>495</v>
      </c>
      <c r="D386" s="426" t="s">
        <v>940</v>
      </c>
      <c r="E386" s="408">
        <v>1</v>
      </c>
      <c r="F386" s="409" t="s">
        <v>327</v>
      </c>
      <c r="G386" s="413">
        <v>2222</v>
      </c>
      <c r="H386" s="408">
        <v>1</v>
      </c>
      <c r="I386" s="408" t="str">
        <f>F386</f>
        <v>Nos</v>
      </c>
      <c r="J386" s="408">
        <f>ROUND(E386*G386/H386,2)</f>
        <v>2222</v>
      </c>
      <c r="K386" s="394"/>
    </row>
    <row r="387" spans="1:11" hidden="1">
      <c r="A387" s="451"/>
      <c r="B387" s="451"/>
      <c r="C387" s="411" t="s">
        <v>122</v>
      </c>
      <c r="D387" s="408"/>
      <c r="E387" s="397">
        <f>$D$3</f>
        <v>0</v>
      </c>
      <c r="F387" s="409"/>
      <c r="G387" s="413">
        <v>0</v>
      </c>
      <c r="H387" s="408">
        <v>1</v>
      </c>
      <c r="I387" s="408">
        <f>F387</f>
        <v>0</v>
      </c>
      <c r="J387" s="408">
        <f>ROUND(E387*G387/H387,2)</f>
        <v>0</v>
      </c>
      <c r="K387" s="394"/>
    </row>
    <row r="388" spans="1:11" hidden="1">
      <c r="A388" s="451"/>
      <c r="B388" s="451"/>
      <c r="C388" s="406"/>
      <c r="D388" s="408"/>
      <c r="E388" s="408"/>
      <c r="F388" s="409"/>
      <c r="G388" s="413"/>
      <c r="H388" s="408"/>
      <c r="I388" s="408"/>
      <c r="J388" s="408">
        <f>SUM(J386:J387)</f>
        <v>2222</v>
      </c>
      <c r="K388" s="394"/>
    </row>
    <row r="389" spans="1:11" hidden="1">
      <c r="A389" s="451"/>
      <c r="B389" s="451"/>
      <c r="C389" s="414" t="s">
        <v>123</v>
      </c>
      <c r="E389" s="416">
        <f>$D$4</f>
        <v>0</v>
      </c>
      <c r="F389" s="409"/>
      <c r="G389" s="413"/>
      <c r="H389" s="408"/>
      <c r="I389" s="408"/>
      <c r="J389" s="408">
        <f>ROUND(J388*E389,2)</f>
        <v>0</v>
      </c>
      <c r="K389" s="394"/>
    </row>
    <row r="390" spans="1:11" hidden="1">
      <c r="A390" s="451"/>
      <c r="B390" s="451"/>
      <c r="C390" s="406" t="s">
        <v>169</v>
      </c>
      <c r="D390" s="417"/>
      <c r="E390" s="418"/>
      <c r="F390" s="419"/>
      <c r="G390" s="420"/>
      <c r="H390" s="418"/>
      <c r="I390" s="418"/>
      <c r="J390" s="418">
        <f>CEILING(J389+J388,0.05)</f>
        <v>2222</v>
      </c>
      <c r="K390" s="394"/>
    </row>
    <row r="391" spans="1:11" hidden="1">
      <c r="A391" s="451"/>
      <c r="B391" s="451"/>
      <c r="C391" s="406"/>
      <c r="D391" s="417"/>
      <c r="E391" s="418"/>
      <c r="F391" s="419"/>
      <c r="G391" s="420"/>
      <c r="H391" s="418"/>
      <c r="I391" s="418"/>
      <c r="J391" s="418"/>
      <c r="K391" s="394"/>
    </row>
    <row r="392" spans="1:11" ht="48" hidden="1" customHeight="1">
      <c r="A392" s="452">
        <f>A385+1</f>
        <v>23</v>
      </c>
      <c r="B392" s="451"/>
      <c r="C392" s="1551" t="s">
        <v>498</v>
      </c>
      <c r="D392" s="1552"/>
      <c r="E392" s="1552"/>
      <c r="F392" s="1552"/>
      <c r="G392" s="1552"/>
      <c r="H392" s="1552"/>
      <c r="I392" s="1552"/>
      <c r="J392" s="1553"/>
      <c r="K392" s="394"/>
    </row>
    <row r="393" spans="1:11" hidden="1">
      <c r="A393" s="451"/>
      <c r="B393" s="451"/>
      <c r="C393" s="411" t="s">
        <v>495</v>
      </c>
      <c r="D393" s="426" t="s">
        <v>941</v>
      </c>
      <c r="E393" s="408">
        <v>1</v>
      </c>
      <c r="F393" s="409" t="s">
        <v>327</v>
      </c>
      <c r="G393" s="413">
        <v>1647</v>
      </c>
      <c r="H393" s="408">
        <v>1</v>
      </c>
      <c r="I393" s="408" t="str">
        <f>F393</f>
        <v>Nos</v>
      </c>
      <c r="J393" s="408">
        <f>ROUND(E393*G393/H393,2)</f>
        <v>1647</v>
      </c>
      <c r="K393" s="394"/>
    </row>
    <row r="394" spans="1:11" hidden="1">
      <c r="A394" s="451"/>
      <c r="B394" s="451"/>
      <c r="C394" s="411" t="s">
        <v>122</v>
      </c>
      <c r="D394" s="408"/>
      <c r="E394" s="397">
        <f>$D$3</f>
        <v>0</v>
      </c>
      <c r="F394" s="409"/>
      <c r="G394" s="413">
        <v>0</v>
      </c>
      <c r="H394" s="408">
        <v>1</v>
      </c>
      <c r="I394" s="408">
        <f>F394</f>
        <v>0</v>
      </c>
      <c r="J394" s="408">
        <f>ROUND(E394*G394/H394,2)</f>
        <v>0</v>
      </c>
      <c r="K394" s="394"/>
    </row>
    <row r="395" spans="1:11" hidden="1">
      <c r="A395" s="451"/>
      <c r="B395" s="451"/>
      <c r="C395" s="406"/>
      <c r="D395" s="408"/>
      <c r="E395" s="408"/>
      <c r="F395" s="409"/>
      <c r="G395" s="413"/>
      <c r="H395" s="408"/>
      <c r="I395" s="408"/>
      <c r="J395" s="408">
        <f>SUM(J393:J394)</f>
        <v>1647</v>
      </c>
      <c r="K395" s="394"/>
    </row>
    <row r="396" spans="1:11" hidden="1">
      <c r="A396" s="451"/>
      <c r="B396" s="451"/>
      <c r="C396" s="414" t="s">
        <v>123</v>
      </c>
      <c r="E396" s="416">
        <f>$D$4</f>
        <v>0</v>
      </c>
      <c r="F396" s="409"/>
      <c r="G396" s="413"/>
      <c r="H396" s="408"/>
      <c r="I396" s="408"/>
      <c r="J396" s="408">
        <f>ROUND(J395*E396,2)</f>
        <v>0</v>
      </c>
      <c r="K396" s="394"/>
    </row>
    <row r="397" spans="1:11" hidden="1">
      <c r="A397" s="451"/>
      <c r="B397" s="451"/>
      <c r="C397" s="406" t="s">
        <v>169</v>
      </c>
      <c r="D397" s="417"/>
      <c r="E397" s="418"/>
      <c r="F397" s="419"/>
      <c r="G397" s="420"/>
      <c r="H397" s="418"/>
      <c r="I397" s="418"/>
      <c r="J397" s="418">
        <f>CEILING(J396+J395,0.05)</f>
        <v>1647</v>
      </c>
      <c r="K397" s="394"/>
    </row>
    <row r="398" spans="1:11" hidden="1">
      <c r="A398" s="451"/>
      <c r="B398" s="451"/>
      <c r="C398" s="406"/>
      <c r="D398" s="417"/>
      <c r="E398" s="418"/>
      <c r="F398" s="419"/>
      <c r="G398" s="420"/>
      <c r="H398" s="418"/>
      <c r="I398" s="418"/>
      <c r="J398" s="418"/>
      <c r="K398" s="394"/>
    </row>
    <row r="399" spans="1:11" ht="84" hidden="1" customHeight="1">
      <c r="A399" s="452">
        <f>A392+1</f>
        <v>24</v>
      </c>
      <c r="B399" s="475" t="s">
        <v>642</v>
      </c>
      <c r="C399" s="1551" t="s">
        <v>320</v>
      </c>
      <c r="D399" s="1552"/>
      <c r="E399" s="1552"/>
      <c r="F399" s="1552"/>
      <c r="G399" s="1552"/>
      <c r="H399" s="1552"/>
      <c r="I399" s="1552"/>
      <c r="J399" s="1553"/>
      <c r="K399" s="394"/>
    </row>
    <row r="400" spans="1:11" hidden="1">
      <c r="A400" s="451"/>
      <c r="B400" s="475"/>
      <c r="C400" s="411" t="s">
        <v>495</v>
      </c>
      <c r="D400" s="426" t="s">
        <v>942</v>
      </c>
      <c r="E400" s="408">
        <v>1</v>
      </c>
      <c r="F400" s="409" t="s">
        <v>327</v>
      </c>
      <c r="G400" s="413">
        <v>1006</v>
      </c>
      <c r="H400" s="408">
        <v>1</v>
      </c>
      <c r="I400" s="408" t="str">
        <f>F400</f>
        <v>Nos</v>
      </c>
      <c r="J400" s="408">
        <f>ROUND(E400*G400/H400,2)</f>
        <v>1006</v>
      </c>
      <c r="K400" s="394"/>
    </row>
    <row r="401" spans="1:11" hidden="1">
      <c r="A401" s="451"/>
      <c r="B401" s="475"/>
      <c r="C401" s="411" t="s">
        <v>122</v>
      </c>
      <c r="D401" s="426" t="s">
        <v>943</v>
      </c>
      <c r="E401" s="397">
        <f>$D$3</f>
        <v>0</v>
      </c>
      <c r="F401" s="409"/>
      <c r="G401" s="413">
        <v>270</v>
      </c>
      <c r="H401" s="408">
        <v>1</v>
      </c>
      <c r="I401" s="408">
        <f>F401</f>
        <v>0</v>
      </c>
      <c r="J401" s="408">
        <f>ROUND(E401*G401/H401,2)</f>
        <v>0</v>
      </c>
      <c r="K401" s="394"/>
    </row>
    <row r="402" spans="1:11" hidden="1">
      <c r="A402" s="451"/>
      <c r="B402" s="475"/>
      <c r="C402" s="406"/>
      <c r="D402" s="408"/>
      <c r="E402" s="408"/>
      <c r="F402" s="409"/>
      <c r="G402" s="413"/>
      <c r="H402" s="408"/>
      <c r="I402" s="408"/>
      <c r="J402" s="408">
        <f>SUM(J400:J401)</f>
        <v>1006</v>
      </c>
      <c r="K402" s="394"/>
    </row>
    <row r="403" spans="1:11" hidden="1">
      <c r="A403" s="451"/>
      <c r="B403" s="475"/>
      <c r="C403" s="414" t="s">
        <v>123</v>
      </c>
      <c r="E403" s="416">
        <f>$D$4</f>
        <v>0</v>
      </c>
      <c r="F403" s="409"/>
      <c r="G403" s="413"/>
      <c r="H403" s="408"/>
      <c r="I403" s="408"/>
      <c r="J403" s="408">
        <f>ROUND(J402*E403,2)</f>
        <v>0</v>
      </c>
      <c r="K403" s="394"/>
    </row>
    <row r="404" spans="1:11" hidden="1">
      <c r="A404" s="451"/>
      <c r="B404" s="475"/>
      <c r="C404" s="406" t="s">
        <v>169</v>
      </c>
      <c r="D404" s="417"/>
      <c r="E404" s="418"/>
      <c r="F404" s="419"/>
      <c r="G404" s="420"/>
      <c r="H404" s="418"/>
      <c r="I404" s="418"/>
      <c r="J404" s="418">
        <f>CEILING(J403+J402,0.05)</f>
        <v>1006</v>
      </c>
      <c r="K404" s="394"/>
    </row>
    <row r="405" spans="1:11" ht="12" hidden="1" customHeight="1">
      <c r="A405" s="451"/>
      <c r="B405" s="475"/>
      <c r="C405" s="406"/>
      <c r="D405" s="417"/>
      <c r="E405" s="418"/>
      <c r="F405" s="419"/>
      <c r="G405" s="420"/>
      <c r="H405" s="418"/>
      <c r="I405" s="418"/>
      <c r="J405" s="418"/>
      <c r="K405" s="394"/>
    </row>
    <row r="406" spans="1:11" ht="80.25" hidden="1" customHeight="1">
      <c r="A406" s="452">
        <f>A399+1</f>
        <v>25</v>
      </c>
      <c r="B406" s="475" t="s">
        <v>2</v>
      </c>
      <c r="C406" s="1554" t="s">
        <v>472</v>
      </c>
      <c r="D406" s="1555"/>
      <c r="E406" s="1555"/>
      <c r="F406" s="1555"/>
      <c r="G406" s="1555"/>
      <c r="H406" s="1555"/>
      <c r="I406" s="1555"/>
      <c r="J406" s="1556"/>
      <c r="K406" s="394"/>
    </row>
    <row r="407" spans="1:11" hidden="1">
      <c r="A407" s="451"/>
      <c r="B407" s="475"/>
      <c r="C407" s="411" t="s">
        <v>495</v>
      </c>
      <c r="D407" s="426" t="s">
        <v>944</v>
      </c>
      <c r="E407" s="408">
        <v>1</v>
      </c>
      <c r="F407" s="409" t="s">
        <v>327</v>
      </c>
      <c r="G407" s="413">
        <v>766</v>
      </c>
      <c r="H407" s="408">
        <v>1</v>
      </c>
      <c r="I407" s="408" t="str">
        <f>F407</f>
        <v>Nos</v>
      </c>
      <c r="J407" s="408">
        <f>ROUND(E407*G407/H407,2)</f>
        <v>766</v>
      </c>
      <c r="K407" s="394"/>
    </row>
    <row r="408" spans="1:11" hidden="1">
      <c r="A408" s="451"/>
      <c r="B408" s="475"/>
      <c r="C408" s="411" t="s">
        <v>122</v>
      </c>
      <c r="D408" s="426" t="s">
        <v>943</v>
      </c>
      <c r="E408" s="397">
        <f>$D$3</f>
        <v>0</v>
      </c>
      <c r="F408" s="409"/>
      <c r="G408" s="413">
        <f>G401</f>
        <v>270</v>
      </c>
      <c r="H408" s="408">
        <v>1</v>
      </c>
      <c r="I408" s="408">
        <f>F408</f>
        <v>0</v>
      </c>
      <c r="J408" s="408">
        <f>ROUND(E408*G408/H408,2)</f>
        <v>0</v>
      </c>
      <c r="K408" s="394"/>
    </row>
    <row r="409" spans="1:11" hidden="1">
      <c r="A409" s="451"/>
      <c r="B409" s="475"/>
      <c r="C409" s="406"/>
      <c r="D409" s="408"/>
      <c r="E409" s="408"/>
      <c r="F409" s="409"/>
      <c r="G409" s="413"/>
      <c r="H409" s="408"/>
      <c r="I409" s="408"/>
      <c r="J409" s="408">
        <f>SUM(J407:J408)</f>
        <v>766</v>
      </c>
      <c r="K409" s="394"/>
    </row>
    <row r="410" spans="1:11" hidden="1">
      <c r="A410" s="451"/>
      <c r="B410" s="475"/>
      <c r="C410" s="414" t="s">
        <v>123</v>
      </c>
      <c r="E410" s="416">
        <f>$D$4</f>
        <v>0</v>
      </c>
      <c r="F410" s="409"/>
      <c r="G410" s="413"/>
      <c r="H410" s="408"/>
      <c r="I410" s="408"/>
      <c r="J410" s="408">
        <f>ROUND(J409*E410,2)</f>
        <v>0</v>
      </c>
      <c r="K410" s="394"/>
    </row>
    <row r="411" spans="1:11" hidden="1">
      <c r="A411" s="451"/>
      <c r="B411" s="475"/>
      <c r="C411" s="406" t="s">
        <v>169</v>
      </c>
      <c r="D411" s="417"/>
      <c r="E411" s="418"/>
      <c r="F411" s="419"/>
      <c r="G411" s="420"/>
      <c r="H411" s="418"/>
      <c r="I411" s="418"/>
      <c r="J411" s="418">
        <f>CEILING(J410+J409,0.05)</f>
        <v>766</v>
      </c>
      <c r="K411" s="394"/>
    </row>
    <row r="412" spans="1:11" ht="64.5" customHeight="1">
      <c r="A412" s="452">
        <v>19</v>
      </c>
      <c r="B412" s="475"/>
      <c r="C412" s="1551" t="s">
        <v>43</v>
      </c>
      <c r="D412" s="1552"/>
      <c r="E412" s="1552"/>
      <c r="F412" s="1552"/>
      <c r="G412" s="1552"/>
      <c r="H412" s="1552"/>
      <c r="I412" s="1552"/>
      <c r="J412" s="1553"/>
      <c r="K412" s="394"/>
    </row>
    <row r="413" spans="1:11">
      <c r="A413" s="451"/>
      <c r="B413" s="475"/>
      <c r="C413" s="411" t="s">
        <v>495</v>
      </c>
      <c r="D413" s="426" t="s">
        <v>945</v>
      </c>
      <c r="E413" s="408">
        <v>1</v>
      </c>
      <c r="F413" s="409" t="s">
        <v>327</v>
      </c>
      <c r="G413" s="413">
        <v>4273</v>
      </c>
      <c r="H413" s="408">
        <v>1</v>
      </c>
      <c r="I413" s="408" t="str">
        <f>F413</f>
        <v>Nos</v>
      </c>
      <c r="J413" s="408">
        <f>ROUND(E413*G413/H413,2)</f>
        <v>4273</v>
      </c>
      <c r="K413" s="394"/>
    </row>
    <row r="414" spans="1:11">
      <c r="A414" s="451"/>
      <c r="B414" s="475"/>
      <c r="C414" s="411" t="s">
        <v>122</v>
      </c>
      <c r="D414" s="408"/>
      <c r="E414" s="397">
        <f>$D$3</f>
        <v>0</v>
      </c>
      <c r="F414" s="409"/>
      <c r="G414" s="413"/>
      <c r="H414" s="408">
        <v>1</v>
      </c>
      <c r="I414" s="408">
        <f>F414</f>
        <v>0</v>
      </c>
      <c r="J414" s="408">
        <f>ROUND(E414*G414/H414,2)</f>
        <v>0</v>
      </c>
      <c r="K414" s="394"/>
    </row>
    <row r="415" spans="1:11">
      <c r="A415" s="451"/>
      <c r="B415" s="475"/>
      <c r="C415" s="406"/>
      <c r="D415" s="408"/>
      <c r="E415" s="408"/>
      <c r="F415" s="409"/>
      <c r="G415" s="413"/>
      <c r="H415" s="408"/>
      <c r="I415" s="408"/>
      <c r="J415" s="408">
        <f>SUM(J413:J414)</f>
        <v>4273</v>
      </c>
      <c r="K415" s="394"/>
    </row>
    <row r="416" spans="1:11">
      <c r="A416" s="451"/>
      <c r="B416" s="475"/>
      <c r="C416" s="414" t="s">
        <v>123</v>
      </c>
      <c r="E416" s="416">
        <f>$D$4</f>
        <v>0</v>
      </c>
      <c r="F416" s="409"/>
      <c r="G416" s="413"/>
      <c r="H416" s="408"/>
      <c r="I416" s="408"/>
      <c r="J416" s="408">
        <f>ROUND(J415*E416,2)</f>
        <v>0</v>
      </c>
      <c r="K416" s="394"/>
    </row>
    <row r="417" spans="1:11">
      <c r="A417" s="451"/>
      <c r="B417" s="475"/>
      <c r="C417" s="406" t="s">
        <v>169</v>
      </c>
      <c r="D417" s="417"/>
      <c r="E417" s="418"/>
      <c r="F417" s="419"/>
      <c r="G417" s="420"/>
      <c r="H417" s="418"/>
      <c r="I417" s="418"/>
      <c r="J417" s="418">
        <f>CEILING(J416+J415,0.05)</f>
        <v>4273</v>
      </c>
      <c r="K417" s="394"/>
    </row>
    <row r="418" spans="1:11">
      <c r="A418" s="451"/>
      <c r="B418" s="475"/>
      <c r="C418" s="480"/>
      <c r="D418" s="477"/>
      <c r="E418" s="438"/>
      <c r="F418" s="454"/>
      <c r="G418" s="423"/>
      <c r="H418" s="454"/>
      <c r="I418" s="455"/>
      <c r="J418" s="478"/>
      <c r="K418" s="394"/>
    </row>
    <row r="419" spans="1:11" ht="51" customHeight="1">
      <c r="A419" s="452">
        <f>A412+1</f>
        <v>20</v>
      </c>
      <c r="B419" s="475"/>
      <c r="C419" s="1554" t="s">
        <v>44</v>
      </c>
      <c r="D419" s="1555"/>
      <c r="E419" s="1555"/>
      <c r="F419" s="1555"/>
      <c r="G419" s="1555"/>
      <c r="H419" s="1555"/>
      <c r="I419" s="1555"/>
      <c r="J419" s="1556"/>
      <c r="K419" s="394"/>
    </row>
    <row r="420" spans="1:11">
      <c r="A420" s="451"/>
      <c r="B420" s="475"/>
      <c r="C420" s="411" t="s">
        <v>495</v>
      </c>
      <c r="D420" s="426" t="s">
        <v>946</v>
      </c>
      <c r="E420" s="408">
        <v>1</v>
      </c>
      <c r="F420" s="409" t="s">
        <v>327</v>
      </c>
      <c r="G420" s="413">
        <v>73</v>
      </c>
      <c r="H420" s="408">
        <v>1</v>
      </c>
      <c r="I420" s="408" t="str">
        <f>F420</f>
        <v>Nos</v>
      </c>
      <c r="J420" s="408">
        <f>ROUND(E420*G420/H420,2)</f>
        <v>73</v>
      </c>
      <c r="K420" s="394"/>
    </row>
    <row r="421" spans="1:11">
      <c r="A421" s="451"/>
      <c r="B421" s="475"/>
      <c r="C421" s="411" t="s">
        <v>122</v>
      </c>
      <c r="D421" s="408"/>
      <c r="E421" s="397">
        <f>$D$3</f>
        <v>0</v>
      </c>
      <c r="F421" s="409"/>
      <c r="G421" s="413"/>
      <c r="H421" s="408">
        <v>1</v>
      </c>
      <c r="I421" s="408">
        <f>F421</f>
        <v>0</v>
      </c>
      <c r="J421" s="408">
        <f>ROUND(E421*G421/H421,2)</f>
        <v>0</v>
      </c>
      <c r="K421" s="394"/>
    </row>
    <row r="422" spans="1:11">
      <c r="A422" s="451"/>
      <c r="B422" s="475"/>
      <c r="C422" s="406"/>
      <c r="D422" s="408"/>
      <c r="E422" s="408"/>
      <c r="F422" s="409"/>
      <c r="G422" s="413"/>
      <c r="H422" s="408"/>
      <c r="I422" s="408"/>
      <c r="J422" s="408">
        <f>SUM(J420:J421)</f>
        <v>73</v>
      </c>
      <c r="K422" s="394"/>
    </row>
    <row r="423" spans="1:11">
      <c r="A423" s="451"/>
      <c r="B423" s="475"/>
      <c r="C423" s="414" t="s">
        <v>123</v>
      </c>
      <c r="E423" s="416">
        <f>$D$4</f>
        <v>0</v>
      </c>
      <c r="F423" s="409"/>
      <c r="G423" s="413"/>
      <c r="H423" s="408"/>
      <c r="I423" s="408"/>
      <c r="J423" s="408">
        <f>ROUND(J422*E423,2)</f>
        <v>0</v>
      </c>
      <c r="K423" s="394"/>
    </row>
    <row r="424" spans="1:11">
      <c r="A424" s="451"/>
      <c r="B424" s="475"/>
      <c r="C424" s="406" t="s">
        <v>169</v>
      </c>
      <c r="D424" s="417"/>
      <c r="E424" s="418"/>
      <c r="F424" s="419"/>
      <c r="G424" s="420"/>
      <c r="H424" s="418"/>
      <c r="I424" s="418"/>
      <c r="J424" s="418">
        <f>CEILING(J423+J422,0.05)</f>
        <v>73</v>
      </c>
      <c r="K424" s="394"/>
    </row>
    <row r="425" spans="1:11">
      <c r="A425" s="451"/>
      <c r="B425" s="475"/>
      <c r="C425" s="480"/>
      <c r="D425" s="477"/>
      <c r="E425" s="438"/>
      <c r="F425" s="454"/>
      <c r="G425" s="423"/>
      <c r="H425" s="454"/>
      <c r="I425" s="455"/>
      <c r="J425" s="478"/>
      <c r="K425" s="394"/>
    </row>
    <row r="426" spans="1:11" ht="49.5" customHeight="1">
      <c r="A426" s="452">
        <f>A419+1</f>
        <v>21</v>
      </c>
      <c r="B426" s="475"/>
      <c r="C426" s="1554" t="s">
        <v>45</v>
      </c>
      <c r="D426" s="1555"/>
      <c r="E426" s="1555"/>
      <c r="F426" s="1555"/>
      <c r="G426" s="1555"/>
      <c r="H426" s="1555"/>
      <c r="I426" s="1555"/>
      <c r="J426" s="1556"/>
      <c r="K426" s="394"/>
    </row>
    <row r="427" spans="1:11">
      <c r="A427" s="451"/>
      <c r="B427" s="475"/>
      <c r="C427" s="411" t="s">
        <v>495</v>
      </c>
      <c r="D427" s="426" t="s">
        <v>947</v>
      </c>
      <c r="E427" s="408">
        <v>1</v>
      </c>
      <c r="F427" s="409" t="s">
        <v>327</v>
      </c>
      <c r="G427" s="413">
        <v>50</v>
      </c>
      <c r="H427" s="408">
        <v>1</v>
      </c>
      <c r="I427" s="408" t="str">
        <f>F427</f>
        <v>Nos</v>
      </c>
      <c r="J427" s="408">
        <f>ROUND(E427*G427/H427,2)</f>
        <v>50</v>
      </c>
      <c r="K427" s="394"/>
    </row>
    <row r="428" spans="1:11">
      <c r="A428" s="451"/>
      <c r="B428" s="475"/>
      <c r="C428" s="411" t="s">
        <v>122</v>
      </c>
      <c r="D428" s="408"/>
      <c r="E428" s="397">
        <f>$D$3</f>
        <v>0</v>
      </c>
      <c r="F428" s="409"/>
      <c r="G428" s="413"/>
      <c r="H428" s="408">
        <v>1</v>
      </c>
      <c r="I428" s="408">
        <f>F428</f>
        <v>0</v>
      </c>
      <c r="J428" s="408">
        <f>ROUND(E428*G428/H428,2)</f>
        <v>0</v>
      </c>
      <c r="K428" s="394"/>
    </row>
    <row r="429" spans="1:11">
      <c r="A429" s="451"/>
      <c r="B429" s="475"/>
      <c r="C429" s="406"/>
      <c r="D429" s="408"/>
      <c r="E429" s="408"/>
      <c r="F429" s="409"/>
      <c r="G429" s="413"/>
      <c r="H429" s="408"/>
      <c r="I429" s="408"/>
      <c r="J429" s="408">
        <f>SUM(J427:J428)</f>
        <v>50</v>
      </c>
      <c r="K429" s="394"/>
    </row>
    <row r="430" spans="1:11">
      <c r="A430" s="451"/>
      <c r="B430" s="475"/>
      <c r="C430" s="414" t="s">
        <v>123</v>
      </c>
      <c r="E430" s="416">
        <f>$D$4</f>
        <v>0</v>
      </c>
      <c r="F430" s="409"/>
      <c r="G430" s="413"/>
      <c r="H430" s="408"/>
      <c r="I430" s="408"/>
      <c r="J430" s="408">
        <f>ROUND(J429*E430,2)</f>
        <v>0</v>
      </c>
      <c r="K430" s="394"/>
    </row>
    <row r="431" spans="1:11">
      <c r="A431" s="451"/>
      <c r="B431" s="475"/>
      <c r="C431" s="406" t="s">
        <v>169</v>
      </c>
      <c r="D431" s="417"/>
      <c r="E431" s="418"/>
      <c r="F431" s="419"/>
      <c r="G431" s="420"/>
      <c r="H431" s="418"/>
      <c r="I431" s="418"/>
      <c r="J431" s="418">
        <f>CEILING(J430+J429,0.05)</f>
        <v>50</v>
      </c>
      <c r="K431" s="394"/>
    </row>
    <row r="432" spans="1:11">
      <c r="A432" s="451"/>
      <c r="B432" s="475"/>
      <c r="C432" s="480"/>
      <c r="D432" s="477"/>
      <c r="E432" s="438"/>
      <c r="F432" s="454"/>
      <c r="G432" s="423"/>
      <c r="H432" s="454"/>
      <c r="I432" s="455"/>
      <c r="J432" s="478"/>
      <c r="K432" s="394"/>
    </row>
    <row r="433" spans="1:11">
      <c r="A433" s="451"/>
      <c r="B433" s="475"/>
      <c r="C433" s="480"/>
      <c r="D433" s="477"/>
      <c r="E433" s="438"/>
      <c r="F433" s="454"/>
      <c r="G433" s="423"/>
      <c r="H433" s="454"/>
      <c r="I433" s="455"/>
      <c r="J433" s="478"/>
      <c r="K433" s="394"/>
    </row>
    <row r="434" spans="1:11" ht="47.25" customHeight="1">
      <c r="A434" s="452">
        <f>A426+1</f>
        <v>22</v>
      </c>
      <c r="B434" s="475"/>
      <c r="C434" s="1551" t="s">
        <v>113</v>
      </c>
      <c r="D434" s="1552"/>
      <c r="E434" s="1552"/>
      <c r="F434" s="1552"/>
      <c r="G434" s="1552"/>
      <c r="H434" s="1552"/>
      <c r="I434" s="1552"/>
      <c r="J434" s="1553"/>
      <c r="K434" s="394"/>
    </row>
    <row r="435" spans="1:11">
      <c r="A435" s="451"/>
      <c r="B435" s="475"/>
      <c r="C435" s="411" t="s">
        <v>495</v>
      </c>
      <c r="D435" s="426" t="s">
        <v>940</v>
      </c>
      <c r="E435" s="408">
        <v>1</v>
      </c>
      <c r="F435" s="409" t="s">
        <v>327</v>
      </c>
      <c r="G435" s="413">
        <v>2445</v>
      </c>
      <c r="H435" s="408">
        <v>1</v>
      </c>
      <c r="I435" s="408" t="str">
        <f>F435</f>
        <v>Nos</v>
      </c>
      <c r="J435" s="408">
        <f>ROUND(E435*G435/H435,2)</f>
        <v>2445</v>
      </c>
      <c r="K435" s="394"/>
    </row>
    <row r="436" spans="1:11" ht="18" customHeight="1">
      <c r="A436" s="451"/>
      <c r="B436" s="475"/>
      <c r="C436" s="411" t="s">
        <v>122</v>
      </c>
      <c r="D436" s="408"/>
      <c r="E436" s="397">
        <f>$D$3</f>
        <v>0</v>
      </c>
      <c r="F436" s="409"/>
      <c r="G436" s="413">
        <v>0</v>
      </c>
      <c r="H436" s="408">
        <v>1</v>
      </c>
      <c r="I436" s="408">
        <f>F436</f>
        <v>0</v>
      </c>
      <c r="J436" s="408">
        <f>ROUND(E436*G436/H436,2)</f>
        <v>0</v>
      </c>
      <c r="K436" s="394"/>
    </row>
    <row r="437" spans="1:11">
      <c r="A437" s="451"/>
      <c r="B437" s="475"/>
      <c r="C437" s="411" t="s">
        <v>495</v>
      </c>
      <c r="D437" s="426" t="s">
        <v>943</v>
      </c>
      <c r="E437" s="408">
        <v>1</v>
      </c>
      <c r="F437" s="409" t="s">
        <v>327</v>
      </c>
      <c r="G437" s="413">
        <v>270</v>
      </c>
      <c r="H437" s="408">
        <v>1</v>
      </c>
      <c r="I437" s="408" t="str">
        <f>F437</f>
        <v>Nos</v>
      </c>
      <c r="J437" s="408">
        <f>E437*G437/H437</f>
        <v>270</v>
      </c>
      <c r="K437" s="394"/>
    </row>
    <row r="438" spans="1:11">
      <c r="A438" s="451"/>
      <c r="B438" s="475"/>
      <c r="C438" s="411" t="s">
        <v>122</v>
      </c>
      <c r="D438" s="408"/>
      <c r="E438" s="397">
        <f>$D$3</f>
        <v>0</v>
      </c>
      <c r="F438" s="409"/>
      <c r="G438" s="413">
        <v>0</v>
      </c>
      <c r="H438" s="408">
        <v>1</v>
      </c>
      <c r="I438" s="408">
        <f>F438</f>
        <v>0</v>
      </c>
      <c r="J438" s="408">
        <f>ROUND(E438*G438/H438,2)</f>
        <v>0</v>
      </c>
      <c r="K438" s="394"/>
    </row>
    <row r="439" spans="1:11">
      <c r="A439" s="451"/>
      <c r="B439" s="475"/>
      <c r="C439" s="406"/>
      <c r="D439" s="408"/>
      <c r="E439" s="408"/>
      <c r="F439" s="409"/>
      <c r="G439" s="413"/>
      <c r="H439" s="408"/>
      <c r="I439" s="408"/>
      <c r="J439" s="408">
        <f>SUM(J435:J438)</f>
        <v>2715</v>
      </c>
      <c r="K439" s="394"/>
    </row>
    <row r="440" spans="1:11">
      <c r="A440" s="451"/>
      <c r="B440" s="475"/>
      <c r="C440" s="414" t="s">
        <v>123</v>
      </c>
      <c r="E440" s="416">
        <f>$D$4</f>
        <v>0</v>
      </c>
      <c r="F440" s="409"/>
      <c r="G440" s="413"/>
      <c r="H440" s="408"/>
      <c r="I440" s="408"/>
      <c r="J440" s="408">
        <f>ROUND(J439*E440,2)</f>
        <v>0</v>
      </c>
      <c r="K440" s="394"/>
    </row>
    <row r="441" spans="1:11">
      <c r="A441" s="451"/>
      <c r="B441" s="475"/>
      <c r="C441" s="406" t="s">
        <v>169</v>
      </c>
      <c r="D441" s="417"/>
      <c r="E441" s="418"/>
      <c r="F441" s="419"/>
      <c r="G441" s="420"/>
      <c r="H441" s="418"/>
      <c r="I441" s="418"/>
      <c r="J441" s="418">
        <f>CEILING(J440+J439,0.05)</f>
        <v>2715</v>
      </c>
      <c r="K441" s="394"/>
    </row>
    <row r="442" spans="1:11">
      <c r="A442" s="451"/>
      <c r="B442" s="475"/>
      <c r="C442" s="480"/>
      <c r="D442" s="477"/>
      <c r="E442" s="438"/>
      <c r="F442" s="454"/>
      <c r="G442" s="423"/>
      <c r="H442" s="454"/>
      <c r="I442" s="455"/>
      <c r="J442" s="478"/>
      <c r="K442" s="394"/>
    </row>
    <row r="443" spans="1:11" ht="52.5" customHeight="1">
      <c r="A443" s="452">
        <f>A434+1</f>
        <v>23</v>
      </c>
      <c r="B443" s="475"/>
      <c r="C443" s="1554" t="s">
        <v>49</v>
      </c>
      <c r="D443" s="1555"/>
      <c r="E443" s="1555"/>
      <c r="F443" s="1555"/>
      <c r="G443" s="1555"/>
      <c r="H443" s="1555"/>
      <c r="I443" s="1555"/>
      <c r="J443" s="1556"/>
      <c r="K443" s="394"/>
    </row>
    <row r="444" spans="1:11">
      <c r="A444" s="451"/>
      <c r="B444" s="475"/>
      <c r="C444" s="411" t="s">
        <v>495</v>
      </c>
      <c r="D444" s="426" t="s">
        <v>948</v>
      </c>
      <c r="E444" s="408">
        <v>1</v>
      </c>
      <c r="F444" s="409" t="s">
        <v>327</v>
      </c>
      <c r="G444" s="413">
        <v>2255</v>
      </c>
      <c r="H444" s="408">
        <v>1</v>
      </c>
      <c r="I444" s="408" t="str">
        <f>F444</f>
        <v>Nos</v>
      </c>
      <c r="J444" s="408">
        <f>ROUND(E444*G444/H444,2)</f>
        <v>2255</v>
      </c>
      <c r="K444" s="394"/>
    </row>
    <row r="445" spans="1:11">
      <c r="A445" s="451"/>
      <c r="B445" s="475"/>
      <c r="C445" s="411" t="s">
        <v>122</v>
      </c>
      <c r="D445" s="408"/>
      <c r="E445" s="397">
        <f>$D$3</f>
        <v>0</v>
      </c>
      <c r="F445" s="409"/>
      <c r="G445" s="413"/>
      <c r="H445" s="408">
        <v>1</v>
      </c>
      <c r="I445" s="408">
        <f>F445</f>
        <v>0</v>
      </c>
      <c r="J445" s="408">
        <f>ROUND(E445*G445/H445,2)</f>
        <v>0</v>
      </c>
      <c r="K445" s="394"/>
    </row>
    <row r="446" spans="1:11">
      <c r="A446" s="451"/>
      <c r="B446" s="475"/>
      <c r="C446" s="406"/>
      <c r="D446" s="408"/>
      <c r="E446" s="408"/>
      <c r="F446" s="409"/>
      <c r="G446" s="413"/>
      <c r="H446" s="408"/>
      <c r="I446" s="408"/>
      <c r="J446" s="408">
        <f>SUM(J444:J445)</f>
        <v>2255</v>
      </c>
      <c r="K446" s="394"/>
    </row>
    <row r="447" spans="1:11">
      <c r="A447" s="451"/>
      <c r="B447" s="475"/>
      <c r="C447" s="414" t="s">
        <v>123</v>
      </c>
      <c r="E447" s="416">
        <f>$D$4</f>
        <v>0</v>
      </c>
      <c r="F447" s="409"/>
      <c r="G447" s="413"/>
      <c r="H447" s="408"/>
      <c r="I447" s="408"/>
      <c r="J447" s="408">
        <f>ROUND(J446*E447,2)</f>
        <v>0</v>
      </c>
      <c r="K447" s="394"/>
    </row>
    <row r="448" spans="1:11">
      <c r="A448" s="451"/>
      <c r="B448" s="475"/>
      <c r="C448" s="406" t="s">
        <v>169</v>
      </c>
      <c r="D448" s="417"/>
      <c r="E448" s="418"/>
      <c r="F448" s="419"/>
      <c r="G448" s="420"/>
      <c r="H448" s="418"/>
      <c r="I448" s="418"/>
      <c r="J448" s="418">
        <f>CEILING(J447+J446,0.05)</f>
        <v>2255</v>
      </c>
      <c r="K448" s="394"/>
    </row>
    <row r="449" spans="1:13">
      <c r="A449" s="451"/>
      <c r="B449" s="475"/>
      <c r="C449" s="480"/>
      <c r="D449" s="477"/>
      <c r="E449" s="438"/>
      <c r="F449" s="454"/>
      <c r="G449" s="423"/>
      <c r="H449" s="454"/>
      <c r="I449" s="455"/>
      <c r="J449" s="478"/>
      <c r="K449" s="394"/>
    </row>
    <row r="450" spans="1:13" ht="45.75" customHeight="1">
      <c r="A450" s="452">
        <f>A443+1</f>
        <v>24</v>
      </c>
      <c r="B450" s="475"/>
      <c r="C450" s="1557" t="s">
        <v>530</v>
      </c>
      <c r="D450" s="1558"/>
      <c r="E450" s="1558"/>
      <c r="F450" s="1558"/>
      <c r="G450" s="1558"/>
      <c r="H450" s="1558"/>
      <c r="I450" s="1558"/>
      <c r="J450" s="1559"/>
      <c r="K450" s="394"/>
    </row>
    <row r="451" spans="1:13">
      <c r="A451" s="451"/>
      <c r="B451" s="475"/>
      <c r="C451" s="411" t="s">
        <v>495</v>
      </c>
      <c r="D451" s="426" t="s">
        <v>949</v>
      </c>
      <c r="E451" s="408">
        <v>1</v>
      </c>
      <c r="F451" s="409" t="s">
        <v>327</v>
      </c>
      <c r="G451" s="413">
        <v>74</v>
      </c>
      <c r="H451" s="408">
        <v>1</v>
      </c>
      <c r="I451" s="408" t="str">
        <f>F451</f>
        <v>Nos</v>
      </c>
      <c r="J451" s="408">
        <f>ROUND(E451*G451/H451,2)</f>
        <v>74</v>
      </c>
      <c r="K451" s="394"/>
    </row>
    <row r="452" spans="1:13">
      <c r="A452" s="451"/>
      <c r="B452" s="475"/>
      <c r="C452" s="411" t="s">
        <v>122</v>
      </c>
      <c r="D452" s="408"/>
      <c r="E452" s="397">
        <f>$D$3</f>
        <v>0</v>
      </c>
      <c r="F452" s="409"/>
      <c r="G452" s="413"/>
      <c r="H452" s="408">
        <v>1</v>
      </c>
      <c r="I452" s="408">
        <f>F452</f>
        <v>0</v>
      </c>
      <c r="J452" s="408">
        <f>ROUND(E452*G452/H452,2)</f>
        <v>0</v>
      </c>
      <c r="K452" s="394"/>
    </row>
    <row r="453" spans="1:13">
      <c r="A453" s="451"/>
      <c r="B453" s="475"/>
      <c r="C453" s="406"/>
      <c r="D453" s="408"/>
      <c r="E453" s="408"/>
      <c r="F453" s="409"/>
      <c r="G453" s="413"/>
      <c r="H453" s="408"/>
      <c r="I453" s="408"/>
      <c r="J453" s="408">
        <f>SUM(J451:J452)</f>
        <v>74</v>
      </c>
      <c r="K453" s="394"/>
    </row>
    <row r="454" spans="1:13">
      <c r="A454" s="451"/>
      <c r="B454" s="475"/>
      <c r="C454" s="414" t="s">
        <v>123</v>
      </c>
      <c r="E454" s="416">
        <f>$D$4</f>
        <v>0</v>
      </c>
      <c r="F454" s="409"/>
      <c r="G454" s="413"/>
      <c r="H454" s="408"/>
      <c r="I454" s="408"/>
      <c r="J454" s="408">
        <f>ROUND(J453*E454,2)</f>
        <v>0</v>
      </c>
      <c r="K454" s="394"/>
    </row>
    <row r="455" spans="1:13">
      <c r="A455" s="451"/>
      <c r="B455" s="475"/>
      <c r="C455" s="406" t="s">
        <v>169</v>
      </c>
      <c r="D455" s="417"/>
      <c r="E455" s="418"/>
      <c r="F455" s="419"/>
      <c r="G455" s="420"/>
      <c r="H455" s="418"/>
      <c r="I455" s="418"/>
      <c r="J455" s="418">
        <f>CEILING(J454+J453,0.05)</f>
        <v>74</v>
      </c>
      <c r="K455" s="394"/>
    </row>
    <row r="456" spans="1:13">
      <c r="A456" s="451"/>
      <c r="B456" s="475"/>
      <c r="C456" s="439"/>
      <c r="D456" s="477"/>
      <c r="E456" s="438"/>
      <c r="F456" s="454"/>
      <c r="G456" s="423"/>
      <c r="H456" s="454"/>
      <c r="I456" s="455"/>
      <c r="J456" s="478"/>
      <c r="K456" s="394"/>
    </row>
    <row r="457" spans="1:13">
      <c r="A457" s="451"/>
      <c r="B457" s="475"/>
      <c r="C457" s="480"/>
      <c r="D457" s="477"/>
      <c r="E457" s="438"/>
      <c r="F457" s="454"/>
      <c r="G457" s="423"/>
      <c r="H457" s="454"/>
      <c r="I457" s="455"/>
      <c r="J457" s="478"/>
      <c r="K457" s="394"/>
    </row>
    <row r="458" spans="1:13" ht="94.5" customHeight="1">
      <c r="A458" s="452">
        <f>A450+1</f>
        <v>25</v>
      </c>
      <c r="B458" s="475"/>
      <c r="C458" s="1551" t="s">
        <v>1350</v>
      </c>
      <c r="D458" s="1552"/>
      <c r="E458" s="1552"/>
      <c r="F458" s="1552"/>
      <c r="G458" s="1552"/>
      <c r="H458" s="1552"/>
      <c r="I458" s="1552"/>
      <c r="J458" s="1553"/>
      <c r="K458" s="394"/>
    </row>
    <row r="459" spans="1:13" ht="35.25" customHeight="1">
      <c r="A459" s="451"/>
      <c r="B459" s="451"/>
      <c r="C459" s="411" t="s">
        <v>495</v>
      </c>
      <c r="D459" s="481" t="s">
        <v>1160</v>
      </c>
      <c r="E459" s="482">
        <v>1</v>
      </c>
      <c r="F459" s="483" t="s">
        <v>400</v>
      </c>
      <c r="G459" s="484">
        <v>58</v>
      </c>
      <c r="H459" s="408">
        <v>1</v>
      </c>
      <c r="I459" s="408" t="str">
        <f>F459</f>
        <v>RMT</v>
      </c>
      <c r="J459" s="485">
        <f>E459*G459</f>
        <v>58</v>
      </c>
      <c r="K459" s="486"/>
      <c r="L459" s="487"/>
      <c r="M459" s="487"/>
    </row>
    <row r="460" spans="1:13" ht="36" customHeight="1">
      <c r="A460" s="451"/>
      <c r="B460" s="451"/>
      <c r="C460" s="411" t="s">
        <v>359</v>
      </c>
      <c r="D460" s="481" t="s">
        <v>1159</v>
      </c>
      <c r="E460" s="408">
        <v>1</v>
      </c>
      <c r="F460" s="409" t="s">
        <v>400</v>
      </c>
      <c r="G460" s="413">
        <v>46</v>
      </c>
      <c r="H460" s="408">
        <v>1</v>
      </c>
      <c r="I460" s="488" t="str">
        <f>F460</f>
        <v>RMT</v>
      </c>
      <c r="J460" s="485">
        <f>E460*G460</f>
        <v>46</v>
      </c>
      <c r="K460" s="486"/>
      <c r="L460" s="487"/>
      <c r="M460" s="487"/>
    </row>
    <row r="461" spans="1:13" ht="18" customHeight="1">
      <c r="A461" s="451"/>
      <c r="B461" s="451"/>
      <c r="C461" s="411" t="s">
        <v>122</v>
      </c>
      <c r="D461" s="408"/>
      <c r="E461" s="397">
        <f>$D$3</f>
        <v>0</v>
      </c>
      <c r="F461" s="409"/>
      <c r="G461" s="413">
        <f>J460</f>
        <v>46</v>
      </c>
      <c r="H461" s="408"/>
      <c r="I461" s="408"/>
      <c r="J461" s="408">
        <f>ROUND(E461*G461,2)</f>
        <v>0</v>
      </c>
      <c r="K461" s="486"/>
      <c r="L461" s="487"/>
      <c r="M461" s="487"/>
    </row>
    <row r="462" spans="1:13">
      <c r="A462" s="451"/>
      <c r="B462" s="451"/>
      <c r="C462" s="406"/>
      <c r="D462" s="408"/>
      <c r="E462" s="408"/>
      <c r="F462" s="409"/>
      <c r="G462" s="413"/>
      <c r="H462" s="408"/>
      <c r="I462" s="408"/>
      <c r="J462" s="408">
        <f>SUM(J459:J461)</f>
        <v>104</v>
      </c>
      <c r="K462" s="486"/>
      <c r="L462" s="487"/>
      <c r="M462" s="487"/>
    </row>
    <row r="463" spans="1:13" ht="21.75" customHeight="1">
      <c r="A463" s="451"/>
      <c r="B463" s="451"/>
      <c r="C463" s="414" t="s">
        <v>123</v>
      </c>
      <c r="E463" s="416">
        <f>$D$4</f>
        <v>0</v>
      </c>
      <c r="F463" s="409"/>
      <c r="G463" s="413"/>
      <c r="H463" s="408"/>
      <c r="I463" s="408"/>
      <c r="J463" s="408">
        <f>ROUND(J462*E463,2)</f>
        <v>0</v>
      </c>
      <c r="K463" s="486"/>
      <c r="L463" s="487"/>
      <c r="M463" s="487"/>
    </row>
    <row r="464" spans="1:13" ht="20.25" customHeight="1">
      <c r="A464" s="451"/>
      <c r="B464" s="451"/>
      <c r="C464" s="406" t="s">
        <v>171</v>
      </c>
      <c r="D464" s="417"/>
      <c r="E464" s="418"/>
      <c r="F464" s="419"/>
      <c r="G464" s="420"/>
      <c r="H464" s="418"/>
      <c r="I464" s="418"/>
      <c r="J464" s="418">
        <f>CEILING(J463+J462,0.05)</f>
        <v>104</v>
      </c>
      <c r="K464" s="486"/>
      <c r="L464" s="487"/>
      <c r="M464" s="487"/>
    </row>
    <row r="465" spans="1:13" ht="13.5" customHeight="1">
      <c r="A465" s="451"/>
      <c r="B465" s="451"/>
      <c r="C465" s="438"/>
      <c r="D465" s="438"/>
      <c r="E465" s="438"/>
      <c r="F465" s="454"/>
      <c r="G465" s="423"/>
      <c r="H465" s="454"/>
      <c r="I465" s="455"/>
      <c r="J465" s="478"/>
      <c r="K465" s="486"/>
      <c r="L465" s="487"/>
      <c r="M465" s="487"/>
    </row>
    <row r="466" spans="1:13">
      <c r="A466" s="451"/>
      <c r="B466" s="451"/>
      <c r="C466" s="438"/>
      <c r="D466" s="438"/>
      <c r="E466" s="438"/>
      <c r="F466" s="454"/>
      <c r="G466" s="423"/>
      <c r="H466" s="454"/>
      <c r="I466" s="455"/>
      <c r="J466" s="478"/>
      <c r="K466" s="393"/>
    </row>
    <row r="467" spans="1:13">
      <c r="A467" s="489"/>
      <c r="B467" s="489"/>
      <c r="C467" s="490"/>
      <c r="D467" s="489"/>
      <c r="E467" s="489"/>
      <c r="F467" s="489"/>
      <c r="G467" s="489"/>
      <c r="H467" s="477"/>
      <c r="I467" s="490"/>
      <c r="J467" s="491"/>
    </row>
    <row r="468" spans="1:13" ht="71.25" customHeight="1">
      <c r="A468" s="492">
        <v>20</v>
      </c>
      <c r="B468" s="489"/>
      <c r="C468" s="1568" t="s">
        <v>722</v>
      </c>
      <c r="D468" s="1568"/>
      <c r="E468" s="1568"/>
      <c r="F468" s="1568"/>
      <c r="G468" s="1568"/>
      <c r="H468" s="1568"/>
      <c r="I468" s="1568"/>
      <c r="J468" s="1568"/>
    </row>
    <row r="469" spans="1:13">
      <c r="A469" s="489"/>
      <c r="B469" s="405" t="s">
        <v>469</v>
      </c>
      <c r="C469" s="437" t="s">
        <v>723</v>
      </c>
      <c r="D469" s="421"/>
      <c r="E469" s="408"/>
      <c r="F469" s="422"/>
      <c r="G469" s="423"/>
      <c r="H469" s="408"/>
      <c r="I469" s="408"/>
      <c r="J469" s="421"/>
    </row>
    <row r="470" spans="1:13">
      <c r="A470" s="489"/>
      <c r="B470" s="405"/>
      <c r="C470" s="411" t="s">
        <v>130</v>
      </c>
      <c r="D470" s="426" t="s">
        <v>950</v>
      </c>
      <c r="E470" s="408">
        <v>1</v>
      </c>
      <c r="F470" s="409" t="s">
        <v>327</v>
      </c>
      <c r="G470" s="410">
        <v>143</v>
      </c>
      <c r="H470" s="408">
        <v>1</v>
      </c>
      <c r="I470" s="408" t="str">
        <f>F470</f>
        <v>Nos</v>
      </c>
      <c r="J470" s="408">
        <f>ROUND(E470*G470/H470,2)</f>
        <v>143</v>
      </c>
    </row>
    <row r="471" spans="1:13">
      <c r="A471" s="451"/>
      <c r="B471" s="405"/>
      <c r="C471" s="411" t="s">
        <v>122</v>
      </c>
      <c r="D471" s="408"/>
      <c r="E471" s="397">
        <f>$D$3</f>
        <v>0</v>
      </c>
      <c r="F471" s="409"/>
      <c r="G471" s="410"/>
      <c r="H471" s="408">
        <v>1</v>
      </c>
      <c r="I471" s="408">
        <f>F471</f>
        <v>0</v>
      </c>
      <c r="J471" s="408">
        <f>ROUND(E471*G471/H471,2)</f>
        <v>0</v>
      </c>
    </row>
    <row r="472" spans="1:13">
      <c r="A472" s="451"/>
      <c r="B472" s="405"/>
      <c r="C472" s="406"/>
      <c r="D472" s="408"/>
      <c r="E472" s="408"/>
      <c r="F472" s="409"/>
      <c r="G472" s="410"/>
      <c r="H472" s="408"/>
      <c r="I472" s="408"/>
      <c r="J472" s="408">
        <f>SUM(J470:J471)</f>
        <v>143</v>
      </c>
    </row>
    <row r="473" spans="1:13">
      <c r="A473" s="451"/>
      <c r="B473" s="405"/>
      <c r="C473" s="414" t="s">
        <v>123</v>
      </c>
      <c r="D473" s="438"/>
      <c r="E473" s="425">
        <f>$D$4</f>
        <v>0</v>
      </c>
      <c r="F473" s="409"/>
      <c r="G473" s="410"/>
      <c r="H473" s="408"/>
      <c r="I473" s="408"/>
      <c r="J473" s="408">
        <f>ROUND(J472*E473,2)</f>
        <v>0</v>
      </c>
    </row>
    <row r="474" spans="1:13">
      <c r="A474" s="451"/>
      <c r="B474" s="403"/>
      <c r="C474" s="406" t="s">
        <v>169</v>
      </c>
      <c r="D474" s="417"/>
      <c r="E474" s="418"/>
      <c r="F474" s="419"/>
      <c r="G474" s="424"/>
      <c r="H474" s="418"/>
      <c r="I474" s="418"/>
      <c r="J474" s="418">
        <f>CEILING(J473+J472,0.05)</f>
        <v>143</v>
      </c>
    </row>
    <row r="475" spans="1:13">
      <c r="A475" s="451"/>
      <c r="B475" s="403"/>
      <c r="C475" s="406"/>
      <c r="D475" s="417"/>
      <c r="E475" s="418"/>
      <c r="F475" s="419"/>
      <c r="G475" s="424"/>
      <c r="H475" s="418"/>
      <c r="I475" s="418"/>
      <c r="J475" s="418"/>
    </row>
    <row r="476" spans="1:13">
      <c r="A476" s="451"/>
      <c r="B476" s="405" t="s">
        <v>1</v>
      </c>
      <c r="C476" s="437" t="s">
        <v>725</v>
      </c>
      <c r="D476" s="421"/>
      <c r="E476" s="408"/>
      <c r="F476" s="422"/>
      <c r="G476" s="493"/>
      <c r="H476" s="408"/>
      <c r="I476" s="408"/>
      <c r="J476" s="421"/>
    </row>
    <row r="477" spans="1:13">
      <c r="A477" s="451"/>
      <c r="B477" s="405"/>
      <c r="C477" s="411" t="s">
        <v>130</v>
      </c>
      <c r="D477" s="426" t="s">
        <v>951</v>
      </c>
      <c r="E477" s="408">
        <v>1</v>
      </c>
      <c r="F477" s="409" t="s">
        <v>327</v>
      </c>
      <c r="G477" s="410">
        <v>164</v>
      </c>
      <c r="H477" s="408">
        <v>1</v>
      </c>
      <c r="I477" s="408" t="str">
        <f>F477</f>
        <v>Nos</v>
      </c>
      <c r="J477" s="408">
        <f>ROUND(E477*G477/H477,2)</f>
        <v>164</v>
      </c>
    </row>
    <row r="478" spans="1:13">
      <c r="A478" s="451"/>
      <c r="B478" s="405"/>
      <c r="C478" s="411" t="s">
        <v>122</v>
      </c>
      <c r="D478" s="408"/>
      <c r="E478" s="397">
        <f>$D$3</f>
        <v>0</v>
      </c>
      <c r="F478" s="409"/>
      <c r="G478" s="410"/>
      <c r="H478" s="408">
        <v>1</v>
      </c>
      <c r="I478" s="408">
        <f>F478</f>
        <v>0</v>
      </c>
      <c r="J478" s="408">
        <f>ROUND(E478*G478/H478,2)</f>
        <v>0</v>
      </c>
    </row>
    <row r="479" spans="1:13">
      <c r="A479" s="451"/>
      <c r="B479" s="405"/>
      <c r="C479" s="406"/>
      <c r="D479" s="408"/>
      <c r="E479" s="408"/>
      <c r="F479" s="409"/>
      <c r="G479" s="410"/>
      <c r="H479" s="408"/>
      <c r="I479" s="408"/>
      <c r="J479" s="408">
        <f>SUM(J477:J478)</f>
        <v>164</v>
      </c>
    </row>
    <row r="480" spans="1:13">
      <c r="A480" s="451"/>
      <c r="B480" s="405"/>
      <c r="C480" s="414" t="s">
        <v>123</v>
      </c>
      <c r="D480" s="438"/>
      <c r="E480" s="425">
        <f>$D$4</f>
        <v>0</v>
      </c>
      <c r="F480" s="409"/>
      <c r="G480" s="410"/>
      <c r="H480" s="408"/>
      <c r="I480" s="408"/>
      <c r="J480" s="408">
        <f>ROUND(J479*E480,2)</f>
        <v>0</v>
      </c>
    </row>
    <row r="481" spans="1:10">
      <c r="A481" s="451"/>
      <c r="B481" s="403"/>
      <c r="C481" s="406" t="s">
        <v>169</v>
      </c>
      <c r="D481" s="417"/>
      <c r="E481" s="418"/>
      <c r="F481" s="419"/>
      <c r="G481" s="424"/>
      <c r="H481" s="418"/>
      <c r="I481" s="418"/>
      <c r="J481" s="418">
        <f>CEILING(J480+J479,0.05)</f>
        <v>164</v>
      </c>
    </row>
    <row r="482" spans="1:10">
      <c r="A482" s="451"/>
      <c r="B482" s="403"/>
      <c r="C482" s="406"/>
      <c r="D482" s="417"/>
      <c r="E482" s="418"/>
      <c r="F482" s="419"/>
      <c r="G482" s="424"/>
      <c r="H482" s="418"/>
      <c r="I482" s="418"/>
      <c r="J482" s="418"/>
    </row>
    <row r="483" spans="1:10">
      <c r="A483" s="451"/>
      <c r="B483" s="405" t="s">
        <v>363</v>
      </c>
      <c r="C483" s="437" t="s">
        <v>726</v>
      </c>
      <c r="D483" s="421"/>
      <c r="E483" s="408"/>
      <c r="F483" s="422"/>
      <c r="G483" s="493"/>
      <c r="H483" s="408"/>
      <c r="I483" s="408"/>
      <c r="J483" s="421"/>
    </row>
    <row r="484" spans="1:10">
      <c r="A484" s="451"/>
      <c r="B484" s="405"/>
      <c r="C484" s="411" t="s">
        <v>130</v>
      </c>
      <c r="D484" s="426" t="s">
        <v>952</v>
      </c>
      <c r="E484" s="408">
        <v>1</v>
      </c>
      <c r="F484" s="409" t="s">
        <v>327</v>
      </c>
      <c r="G484" s="410">
        <v>217</v>
      </c>
      <c r="H484" s="408">
        <v>1</v>
      </c>
      <c r="I484" s="408" t="str">
        <f>F484</f>
        <v>Nos</v>
      </c>
      <c r="J484" s="408">
        <f>ROUND(E484*G484/H484,2)</f>
        <v>217</v>
      </c>
    </row>
    <row r="485" spans="1:10">
      <c r="A485" s="451"/>
      <c r="B485" s="405"/>
      <c r="C485" s="411" t="s">
        <v>122</v>
      </c>
      <c r="D485" s="408"/>
      <c r="E485" s="397">
        <f>$D$3</f>
        <v>0</v>
      </c>
      <c r="F485" s="409"/>
      <c r="G485" s="410"/>
      <c r="H485" s="408">
        <v>1</v>
      </c>
      <c r="I485" s="408">
        <f>F485</f>
        <v>0</v>
      </c>
      <c r="J485" s="408">
        <f>ROUND(E485*G485/H485,2)</f>
        <v>0</v>
      </c>
    </row>
    <row r="486" spans="1:10">
      <c r="A486" s="451"/>
      <c r="B486" s="405"/>
      <c r="C486" s="406"/>
      <c r="D486" s="408"/>
      <c r="E486" s="408"/>
      <c r="F486" s="409"/>
      <c r="G486" s="410"/>
      <c r="H486" s="408"/>
      <c r="I486" s="408"/>
      <c r="J486" s="408">
        <f>SUM(J484:J485)</f>
        <v>217</v>
      </c>
    </row>
    <row r="487" spans="1:10">
      <c r="A487" s="451"/>
      <c r="B487" s="405"/>
      <c r="C487" s="414" t="s">
        <v>123</v>
      </c>
      <c r="D487" s="438"/>
      <c r="E487" s="425">
        <f>$D$4</f>
        <v>0</v>
      </c>
      <c r="F487" s="409"/>
      <c r="G487" s="410"/>
      <c r="H487" s="408"/>
      <c r="I487" s="408"/>
      <c r="J487" s="408">
        <f>ROUND(J486*E487,2)</f>
        <v>0</v>
      </c>
    </row>
    <row r="488" spans="1:10">
      <c r="A488" s="451"/>
      <c r="B488" s="403"/>
      <c r="C488" s="406" t="s">
        <v>169</v>
      </c>
      <c r="D488" s="417"/>
      <c r="E488" s="418"/>
      <c r="F488" s="419"/>
      <c r="G488" s="424"/>
      <c r="H488" s="418"/>
      <c r="I488" s="418"/>
      <c r="J488" s="418">
        <f>CEILING(J487+J486,0.05)</f>
        <v>217</v>
      </c>
    </row>
    <row r="489" spans="1:10">
      <c r="A489" s="451"/>
      <c r="B489" s="403"/>
      <c r="C489" s="406"/>
      <c r="D489" s="417"/>
      <c r="E489" s="418"/>
      <c r="F489" s="419"/>
      <c r="G489" s="424"/>
      <c r="H489" s="418"/>
      <c r="I489" s="418"/>
      <c r="J489" s="418"/>
    </row>
    <row r="490" spans="1:10">
      <c r="A490" s="451"/>
      <c r="B490" s="405" t="s">
        <v>361</v>
      </c>
      <c r="C490" s="437" t="s">
        <v>727</v>
      </c>
      <c r="D490" s="421"/>
      <c r="E490" s="408"/>
      <c r="F490" s="422"/>
      <c r="G490" s="493"/>
      <c r="H490" s="408"/>
      <c r="I490" s="408"/>
      <c r="J490" s="421"/>
    </row>
    <row r="491" spans="1:10">
      <c r="A491" s="451"/>
      <c r="B491" s="405"/>
      <c r="C491" s="411" t="s">
        <v>130</v>
      </c>
      <c r="D491" s="426" t="s">
        <v>953</v>
      </c>
      <c r="E491" s="408">
        <v>1</v>
      </c>
      <c r="F491" s="409" t="s">
        <v>327</v>
      </c>
      <c r="G491" s="410">
        <v>295</v>
      </c>
      <c r="H491" s="408">
        <v>1</v>
      </c>
      <c r="I491" s="408" t="str">
        <f>F491</f>
        <v>Nos</v>
      </c>
      <c r="J491" s="408">
        <f>ROUND(E491*G491/H491,2)</f>
        <v>295</v>
      </c>
    </row>
    <row r="492" spans="1:10">
      <c r="A492" s="451"/>
      <c r="B492" s="405"/>
      <c r="C492" s="411" t="s">
        <v>122</v>
      </c>
      <c r="D492" s="408"/>
      <c r="E492" s="397">
        <f>$D$3</f>
        <v>0</v>
      </c>
      <c r="F492" s="409"/>
      <c r="G492" s="410"/>
      <c r="H492" s="408">
        <v>1</v>
      </c>
      <c r="I492" s="408">
        <f>F492</f>
        <v>0</v>
      </c>
      <c r="J492" s="408">
        <f>ROUND(E492*G492/H492,2)</f>
        <v>0</v>
      </c>
    </row>
    <row r="493" spans="1:10">
      <c r="A493" s="451"/>
      <c r="B493" s="405"/>
      <c r="C493" s="406"/>
      <c r="D493" s="408"/>
      <c r="E493" s="408"/>
      <c r="F493" s="409"/>
      <c r="G493" s="410"/>
      <c r="H493" s="408"/>
      <c r="I493" s="408"/>
      <c r="J493" s="408">
        <f>SUM(J491:J492)</f>
        <v>295</v>
      </c>
    </row>
    <row r="494" spans="1:10">
      <c r="A494" s="451"/>
      <c r="B494" s="405"/>
      <c r="C494" s="414" t="s">
        <v>123</v>
      </c>
      <c r="D494" s="438"/>
      <c r="E494" s="425">
        <f>$D$4</f>
        <v>0</v>
      </c>
      <c r="F494" s="409"/>
      <c r="G494" s="410"/>
      <c r="H494" s="408"/>
      <c r="I494" s="408"/>
      <c r="J494" s="408">
        <f>ROUND(J493*E494,2)</f>
        <v>0</v>
      </c>
    </row>
    <row r="495" spans="1:10">
      <c r="A495" s="451"/>
      <c r="B495" s="403"/>
      <c r="C495" s="406" t="s">
        <v>169</v>
      </c>
      <c r="D495" s="417"/>
      <c r="E495" s="418"/>
      <c r="F495" s="419"/>
      <c r="G495" s="424"/>
      <c r="H495" s="418"/>
      <c r="I495" s="418"/>
      <c r="J495" s="418">
        <f>CEILING(J494+J493,0.05)</f>
        <v>295</v>
      </c>
    </row>
    <row r="496" spans="1:10">
      <c r="A496" s="451"/>
      <c r="B496" s="403"/>
      <c r="C496" s="406"/>
      <c r="D496" s="417"/>
      <c r="E496" s="418"/>
      <c r="F496" s="419"/>
      <c r="G496" s="424"/>
      <c r="H496" s="418"/>
      <c r="I496" s="418"/>
      <c r="J496" s="418"/>
    </row>
    <row r="497" spans="1:11">
      <c r="A497" s="451"/>
      <c r="B497" s="405" t="s">
        <v>326</v>
      </c>
      <c r="C497" s="437" t="s">
        <v>728</v>
      </c>
      <c r="D497" s="421"/>
      <c r="E497" s="408"/>
      <c r="F497" s="422"/>
      <c r="G497" s="493"/>
      <c r="H497" s="408"/>
      <c r="I497" s="408"/>
      <c r="J497" s="421"/>
    </row>
    <row r="498" spans="1:11">
      <c r="A498" s="451"/>
      <c r="B498" s="405"/>
      <c r="C498" s="411" t="s">
        <v>130</v>
      </c>
      <c r="D498" s="426" t="s">
        <v>954</v>
      </c>
      <c r="E498" s="408">
        <v>1</v>
      </c>
      <c r="F498" s="409" t="s">
        <v>327</v>
      </c>
      <c r="G498" s="410">
        <v>367</v>
      </c>
      <c r="H498" s="408">
        <v>1</v>
      </c>
      <c r="I498" s="408" t="str">
        <f>F498</f>
        <v>Nos</v>
      </c>
      <c r="J498" s="408">
        <f>ROUND(E498*G498/H498,2)</f>
        <v>367</v>
      </c>
    </row>
    <row r="499" spans="1:11">
      <c r="A499" s="451"/>
      <c r="B499" s="405"/>
      <c r="C499" s="411" t="s">
        <v>122</v>
      </c>
      <c r="D499" s="408"/>
      <c r="E499" s="397">
        <f>$D$3</f>
        <v>0</v>
      </c>
      <c r="F499" s="409"/>
      <c r="G499" s="410"/>
      <c r="H499" s="408">
        <v>1</v>
      </c>
      <c r="I499" s="408">
        <f>F499</f>
        <v>0</v>
      </c>
      <c r="J499" s="408">
        <f>ROUND(E499*G499/H499,2)</f>
        <v>0</v>
      </c>
    </row>
    <row r="500" spans="1:11">
      <c r="A500" s="451"/>
      <c r="B500" s="405"/>
      <c r="C500" s="406"/>
      <c r="D500" s="408"/>
      <c r="E500" s="408"/>
      <c r="F500" s="409"/>
      <c r="G500" s="410"/>
      <c r="H500" s="408"/>
      <c r="I500" s="408"/>
      <c r="J500" s="408">
        <f>SUM(J498:J499)</f>
        <v>367</v>
      </c>
    </row>
    <row r="501" spans="1:11">
      <c r="A501" s="451"/>
      <c r="B501" s="405"/>
      <c r="C501" s="414" t="s">
        <v>123</v>
      </c>
      <c r="D501" s="438"/>
      <c r="E501" s="425">
        <f>$D$4</f>
        <v>0</v>
      </c>
      <c r="F501" s="409"/>
      <c r="G501" s="410"/>
      <c r="H501" s="408"/>
      <c r="I501" s="408"/>
      <c r="J501" s="408">
        <f>ROUND(J500*E501,2)</f>
        <v>0</v>
      </c>
    </row>
    <row r="502" spans="1:11">
      <c r="A502" s="451"/>
      <c r="B502" s="403"/>
      <c r="C502" s="406" t="s">
        <v>169</v>
      </c>
      <c r="D502" s="417"/>
      <c r="E502" s="418"/>
      <c r="F502" s="419"/>
      <c r="G502" s="424"/>
      <c r="H502" s="418"/>
      <c r="I502" s="418"/>
      <c r="J502" s="418">
        <f>CEILING(J501+J500,0.05)</f>
        <v>367</v>
      </c>
    </row>
    <row r="503" spans="1:11">
      <c r="A503" s="451"/>
      <c r="B503" s="403"/>
      <c r="C503" s="406"/>
      <c r="D503" s="417"/>
      <c r="E503" s="418"/>
      <c r="F503" s="419"/>
      <c r="G503" s="424"/>
      <c r="H503" s="418"/>
      <c r="I503" s="418"/>
      <c r="J503" s="418"/>
    </row>
    <row r="504" spans="1:11">
      <c r="A504" s="451"/>
      <c r="B504" s="405" t="s">
        <v>460</v>
      </c>
      <c r="C504" s="437" t="s">
        <v>730</v>
      </c>
      <c r="D504" s="421"/>
      <c r="E504" s="408"/>
      <c r="F504" s="422"/>
      <c r="G504" s="493"/>
      <c r="H504" s="408"/>
      <c r="I504" s="408"/>
      <c r="J504" s="421"/>
      <c r="K504" s="393"/>
    </row>
    <row r="505" spans="1:11">
      <c r="A505" s="451"/>
      <c r="B505" s="405"/>
      <c r="C505" s="411" t="s">
        <v>130</v>
      </c>
      <c r="D505" s="426" t="s">
        <v>955</v>
      </c>
      <c r="E505" s="408">
        <v>1</v>
      </c>
      <c r="F505" s="409" t="s">
        <v>327</v>
      </c>
      <c r="G505" s="410">
        <v>534</v>
      </c>
      <c r="H505" s="408">
        <v>1</v>
      </c>
      <c r="I505" s="408" t="str">
        <f>F505</f>
        <v>Nos</v>
      </c>
      <c r="J505" s="408">
        <f>ROUND(E505*G505/H505,2)</f>
        <v>534</v>
      </c>
      <c r="K505" s="393"/>
    </row>
    <row r="506" spans="1:11">
      <c r="A506" s="451"/>
      <c r="B506" s="405"/>
      <c r="C506" s="411" t="s">
        <v>122</v>
      </c>
      <c r="D506" s="408"/>
      <c r="E506" s="397">
        <f>$D$3</f>
        <v>0</v>
      </c>
      <c r="F506" s="409"/>
      <c r="G506" s="410"/>
      <c r="H506" s="408">
        <v>1</v>
      </c>
      <c r="I506" s="408">
        <f>F506</f>
        <v>0</v>
      </c>
      <c r="J506" s="408">
        <f>ROUND(E506*G506/H506,2)</f>
        <v>0</v>
      </c>
    </row>
    <row r="507" spans="1:11">
      <c r="A507" s="451"/>
      <c r="B507" s="405"/>
      <c r="C507" s="406"/>
      <c r="D507" s="408"/>
      <c r="E507" s="408"/>
      <c r="F507" s="409"/>
      <c r="G507" s="413"/>
      <c r="H507" s="408"/>
      <c r="I507" s="408"/>
      <c r="J507" s="408">
        <f>SUM(J505:J506)</f>
        <v>534</v>
      </c>
    </row>
    <row r="508" spans="1:11">
      <c r="A508" s="451"/>
      <c r="B508" s="405"/>
      <c r="C508" s="414" t="s">
        <v>123</v>
      </c>
      <c r="D508" s="438"/>
      <c r="E508" s="425">
        <f>$D$4</f>
        <v>0</v>
      </c>
      <c r="F508" s="409"/>
      <c r="G508" s="413"/>
      <c r="H508" s="408"/>
      <c r="I508" s="408"/>
      <c r="J508" s="408">
        <f>ROUND(J507*E508,2)</f>
        <v>0</v>
      </c>
    </row>
    <row r="509" spans="1:11">
      <c r="A509" s="451"/>
      <c r="B509" s="403"/>
      <c r="C509" s="406" t="s">
        <v>169</v>
      </c>
      <c r="D509" s="417"/>
      <c r="E509" s="418"/>
      <c r="F509" s="419"/>
      <c r="G509" s="420"/>
      <c r="H509" s="418"/>
      <c r="I509" s="418"/>
      <c r="J509" s="418">
        <f>CEILING(J508+J507,0.05)</f>
        <v>534</v>
      </c>
    </row>
    <row r="510" spans="1:11">
      <c r="A510" s="451"/>
      <c r="B510" s="403"/>
      <c r="C510" s="406"/>
      <c r="D510" s="417"/>
      <c r="E510" s="418"/>
      <c r="F510" s="419"/>
      <c r="G510" s="420"/>
      <c r="H510" s="418"/>
      <c r="I510" s="418"/>
      <c r="J510" s="418"/>
    </row>
    <row r="511" spans="1:11" hidden="1">
      <c r="A511" s="489"/>
      <c r="B511" s="405" t="s">
        <v>51</v>
      </c>
      <c r="C511" s="437" t="s">
        <v>731</v>
      </c>
      <c r="D511" s="421"/>
      <c r="E511" s="408"/>
      <c r="F511" s="422"/>
      <c r="G511" s="423"/>
      <c r="H511" s="408"/>
      <c r="I511" s="408"/>
      <c r="J511" s="421"/>
    </row>
    <row r="512" spans="1:11" hidden="1">
      <c r="A512" s="489"/>
      <c r="B512" s="405"/>
      <c r="C512" s="411" t="s">
        <v>130</v>
      </c>
      <c r="D512" s="426" t="s">
        <v>956</v>
      </c>
      <c r="E512" s="408">
        <v>1</v>
      </c>
      <c r="F512" s="409" t="s">
        <v>327</v>
      </c>
      <c r="G512" s="413">
        <v>141</v>
      </c>
      <c r="H512" s="408">
        <v>1</v>
      </c>
      <c r="I512" s="408" t="str">
        <f>F512</f>
        <v>Nos</v>
      </c>
      <c r="J512" s="408">
        <f>ROUND(E512*G512/H512,2)</f>
        <v>141</v>
      </c>
    </row>
    <row r="513" spans="1:10" hidden="1">
      <c r="A513" s="451"/>
      <c r="B513" s="405"/>
      <c r="C513" s="411" t="s">
        <v>122</v>
      </c>
      <c r="D513" s="408" t="s">
        <v>724</v>
      </c>
      <c r="E513" s="397">
        <f>$D$3</f>
        <v>0</v>
      </c>
      <c r="F513" s="409"/>
      <c r="G513" s="413"/>
      <c r="H513" s="408">
        <v>1</v>
      </c>
      <c r="I513" s="408">
        <f>F513</f>
        <v>0</v>
      </c>
      <c r="J513" s="408">
        <f>ROUND(E513*G513/H513,2)</f>
        <v>0</v>
      </c>
    </row>
    <row r="514" spans="1:10" hidden="1">
      <c r="A514" s="451"/>
      <c r="B514" s="405"/>
      <c r="C514" s="406"/>
      <c r="D514" s="408"/>
      <c r="E514" s="408"/>
      <c r="F514" s="409"/>
      <c r="G514" s="413"/>
      <c r="H514" s="408"/>
      <c r="I514" s="408"/>
      <c r="J514" s="408">
        <f>SUM(J512:J513)</f>
        <v>141</v>
      </c>
    </row>
    <row r="515" spans="1:10" hidden="1">
      <c r="A515" s="451"/>
      <c r="B515" s="405"/>
      <c r="C515" s="414" t="s">
        <v>123</v>
      </c>
      <c r="D515" s="438"/>
      <c r="E515" s="425">
        <f>$D$4</f>
        <v>0</v>
      </c>
      <c r="F515" s="409"/>
      <c r="G515" s="413"/>
      <c r="H515" s="408"/>
      <c r="I515" s="408"/>
      <c r="J515" s="408">
        <f>ROUND(J514*E515,2)</f>
        <v>0</v>
      </c>
    </row>
    <row r="516" spans="1:10" hidden="1">
      <c r="A516" s="451"/>
      <c r="B516" s="403"/>
      <c r="C516" s="406" t="s">
        <v>169</v>
      </c>
      <c r="D516" s="417"/>
      <c r="E516" s="418"/>
      <c r="F516" s="419"/>
      <c r="G516" s="420"/>
      <c r="H516" s="418"/>
      <c r="I516" s="418"/>
      <c r="J516" s="418">
        <f>CEILING(J515+J514,0.05)</f>
        <v>141</v>
      </c>
    </row>
    <row r="517" spans="1:10" hidden="1">
      <c r="A517" s="451"/>
      <c r="B517" s="403"/>
      <c r="C517" s="406"/>
      <c r="D517" s="417"/>
      <c r="E517" s="418"/>
      <c r="F517" s="419"/>
      <c r="G517" s="420"/>
      <c r="H517" s="418"/>
      <c r="I517" s="418"/>
      <c r="J517" s="418"/>
    </row>
    <row r="518" spans="1:10" hidden="1">
      <c r="A518" s="451"/>
      <c r="B518" s="405" t="s">
        <v>52</v>
      </c>
      <c r="C518" s="437" t="s">
        <v>732</v>
      </c>
      <c r="D518" s="421"/>
      <c r="E518" s="408"/>
      <c r="F518" s="422"/>
      <c r="G518" s="423"/>
      <c r="H518" s="408"/>
      <c r="I518" s="408"/>
      <c r="J518" s="421"/>
    </row>
    <row r="519" spans="1:10" hidden="1">
      <c r="A519" s="451"/>
      <c r="B519" s="405"/>
      <c r="C519" s="411" t="s">
        <v>130</v>
      </c>
      <c r="D519" s="426" t="s">
        <v>957</v>
      </c>
      <c r="E519" s="408">
        <v>1</v>
      </c>
      <c r="F519" s="409" t="s">
        <v>327</v>
      </c>
      <c r="G519" s="413">
        <v>172</v>
      </c>
      <c r="H519" s="408">
        <v>1</v>
      </c>
      <c r="I519" s="408" t="str">
        <f>F519</f>
        <v>Nos</v>
      </c>
      <c r="J519" s="408">
        <f>ROUND(E519*G519/H519,2)</f>
        <v>172</v>
      </c>
    </row>
    <row r="520" spans="1:10" hidden="1">
      <c r="A520" s="451"/>
      <c r="B520" s="405"/>
      <c r="C520" s="411" t="s">
        <v>122</v>
      </c>
      <c r="D520" s="408" t="s">
        <v>724</v>
      </c>
      <c r="E520" s="397">
        <f>$D$3</f>
        <v>0</v>
      </c>
      <c r="F520" s="409"/>
      <c r="G520" s="413"/>
      <c r="H520" s="408">
        <v>1</v>
      </c>
      <c r="I520" s="408">
        <f>F520</f>
        <v>0</v>
      </c>
      <c r="J520" s="408">
        <f>ROUND(E520*G520/H520,2)</f>
        <v>0</v>
      </c>
    </row>
    <row r="521" spans="1:10" hidden="1">
      <c r="A521" s="451"/>
      <c r="B521" s="405"/>
      <c r="C521" s="406"/>
      <c r="D521" s="408"/>
      <c r="E521" s="408"/>
      <c r="F521" s="409"/>
      <c r="G521" s="413"/>
      <c r="H521" s="408"/>
      <c r="I521" s="408"/>
      <c r="J521" s="408">
        <f>SUM(J519:J520)</f>
        <v>172</v>
      </c>
    </row>
    <row r="522" spans="1:10" hidden="1">
      <c r="A522" s="451"/>
      <c r="B522" s="405"/>
      <c r="C522" s="414" t="s">
        <v>123</v>
      </c>
      <c r="D522" s="438"/>
      <c r="E522" s="425">
        <f>$D$4</f>
        <v>0</v>
      </c>
      <c r="F522" s="409"/>
      <c r="G522" s="413"/>
      <c r="H522" s="408"/>
      <c r="I522" s="408"/>
      <c r="J522" s="408">
        <f>ROUND(J521*E522,2)</f>
        <v>0</v>
      </c>
    </row>
    <row r="523" spans="1:10" hidden="1">
      <c r="A523" s="451"/>
      <c r="B523" s="403"/>
      <c r="C523" s="406" t="s">
        <v>169</v>
      </c>
      <c r="D523" s="417"/>
      <c r="E523" s="418"/>
      <c r="F523" s="419"/>
      <c r="G523" s="420"/>
      <c r="H523" s="418"/>
      <c r="I523" s="418"/>
      <c r="J523" s="418">
        <f>CEILING(J522+J521,0.05)</f>
        <v>172</v>
      </c>
    </row>
    <row r="524" spans="1:10" hidden="1">
      <c r="A524" s="451"/>
      <c r="B524" s="403"/>
      <c r="C524" s="406"/>
      <c r="D524" s="417"/>
      <c r="E524" s="418"/>
      <c r="F524" s="419"/>
      <c r="G524" s="420"/>
      <c r="H524" s="418"/>
      <c r="I524" s="418"/>
      <c r="J524" s="418"/>
    </row>
    <row r="525" spans="1:10" hidden="1">
      <c r="A525" s="451"/>
      <c r="B525" s="405" t="s">
        <v>695</v>
      </c>
      <c r="C525" s="437" t="s">
        <v>733</v>
      </c>
      <c r="D525" s="421"/>
      <c r="E525" s="408"/>
      <c r="F525" s="422"/>
      <c r="G525" s="423"/>
      <c r="H525" s="408"/>
      <c r="I525" s="408"/>
      <c r="J525" s="421"/>
    </row>
    <row r="526" spans="1:10" hidden="1">
      <c r="A526" s="451"/>
      <c r="B526" s="405"/>
      <c r="C526" s="411" t="s">
        <v>130</v>
      </c>
      <c r="D526" s="426" t="s">
        <v>958</v>
      </c>
      <c r="E526" s="408">
        <v>1</v>
      </c>
      <c r="F526" s="409" t="s">
        <v>327</v>
      </c>
      <c r="G526" s="413">
        <v>206</v>
      </c>
      <c r="H526" s="408">
        <v>1</v>
      </c>
      <c r="I526" s="408" t="str">
        <f>F526</f>
        <v>Nos</v>
      </c>
      <c r="J526" s="408">
        <f>ROUND(E526*G526/H526,2)</f>
        <v>206</v>
      </c>
    </row>
    <row r="527" spans="1:10" hidden="1">
      <c r="A527" s="451"/>
      <c r="B527" s="405"/>
      <c r="C527" s="411" t="s">
        <v>122</v>
      </c>
      <c r="D527" s="408" t="s">
        <v>724</v>
      </c>
      <c r="E527" s="397">
        <f>$D$3</f>
        <v>0</v>
      </c>
      <c r="F527" s="409"/>
      <c r="G527" s="413"/>
      <c r="H527" s="408">
        <v>1</v>
      </c>
      <c r="I527" s="408">
        <f>F527</f>
        <v>0</v>
      </c>
      <c r="J527" s="408">
        <f>ROUND(E527*G527/H527,2)</f>
        <v>0</v>
      </c>
    </row>
    <row r="528" spans="1:10" hidden="1">
      <c r="A528" s="451"/>
      <c r="B528" s="405"/>
      <c r="C528" s="406"/>
      <c r="D528" s="408"/>
      <c r="E528" s="408"/>
      <c r="F528" s="409"/>
      <c r="G528" s="413"/>
      <c r="H528" s="408"/>
      <c r="I528" s="408"/>
      <c r="J528" s="408">
        <f>SUM(J526:J527)</f>
        <v>206</v>
      </c>
    </row>
    <row r="529" spans="1:10" hidden="1">
      <c r="A529" s="451"/>
      <c r="B529" s="405"/>
      <c r="C529" s="414" t="s">
        <v>123</v>
      </c>
      <c r="D529" s="438"/>
      <c r="E529" s="425">
        <f>$D$4</f>
        <v>0</v>
      </c>
      <c r="F529" s="409"/>
      <c r="G529" s="413"/>
      <c r="H529" s="408"/>
      <c r="I529" s="408"/>
      <c r="J529" s="408">
        <f>ROUND(J528*E529,2)</f>
        <v>0</v>
      </c>
    </row>
    <row r="530" spans="1:10" hidden="1">
      <c r="A530" s="451"/>
      <c r="B530" s="403"/>
      <c r="C530" s="406" t="s">
        <v>169</v>
      </c>
      <c r="D530" s="417"/>
      <c r="E530" s="418"/>
      <c r="F530" s="419"/>
      <c r="G530" s="420"/>
      <c r="H530" s="418"/>
      <c r="I530" s="418"/>
      <c r="J530" s="418">
        <f>CEILING(J529+J528,0.05)</f>
        <v>206</v>
      </c>
    </row>
    <row r="531" spans="1:10" hidden="1">
      <c r="A531" s="451"/>
      <c r="B531" s="403"/>
      <c r="C531" s="406"/>
      <c r="D531" s="417"/>
      <c r="E531" s="418"/>
      <c r="F531" s="419"/>
      <c r="G531" s="420"/>
      <c r="H531" s="418"/>
      <c r="I531" s="418"/>
      <c r="J531" s="418"/>
    </row>
    <row r="532" spans="1:10" hidden="1">
      <c r="A532" s="451"/>
      <c r="B532" s="405" t="s">
        <v>696</v>
      </c>
      <c r="C532" s="437" t="s">
        <v>734</v>
      </c>
      <c r="D532" s="421"/>
      <c r="E532" s="408"/>
      <c r="F532" s="422"/>
      <c r="G532" s="423"/>
      <c r="H532" s="408"/>
      <c r="I532" s="408"/>
      <c r="J532" s="421"/>
    </row>
    <row r="533" spans="1:10" hidden="1">
      <c r="A533" s="451"/>
      <c r="B533" s="405"/>
      <c r="C533" s="411" t="s">
        <v>130</v>
      </c>
      <c r="D533" s="426" t="s">
        <v>959</v>
      </c>
      <c r="E533" s="408">
        <v>1</v>
      </c>
      <c r="F533" s="409" t="s">
        <v>327</v>
      </c>
      <c r="G533" s="413">
        <v>281</v>
      </c>
      <c r="H533" s="408">
        <v>1</v>
      </c>
      <c r="I533" s="408" t="str">
        <f>F533</f>
        <v>Nos</v>
      </c>
      <c r="J533" s="408">
        <f>ROUND(E533*G533/H533,2)</f>
        <v>281</v>
      </c>
    </row>
    <row r="534" spans="1:10" hidden="1">
      <c r="A534" s="451"/>
      <c r="B534" s="405"/>
      <c r="C534" s="411" t="s">
        <v>122</v>
      </c>
      <c r="D534" s="408" t="s">
        <v>724</v>
      </c>
      <c r="E534" s="397">
        <f>$D$3</f>
        <v>0</v>
      </c>
      <c r="F534" s="409"/>
      <c r="G534" s="413"/>
      <c r="H534" s="408">
        <v>1</v>
      </c>
      <c r="I534" s="408">
        <f>F534</f>
        <v>0</v>
      </c>
      <c r="J534" s="408">
        <f>ROUND(E534*G534/H534,2)</f>
        <v>0</v>
      </c>
    </row>
    <row r="535" spans="1:10" hidden="1">
      <c r="A535" s="451"/>
      <c r="B535" s="405"/>
      <c r="C535" s="406"/>
      <c r="D535" s="408"/>
      <c r="E535" s="408"/>
      <c r="F535" s="409"/>
      <c r="G535" s="413"/>
      <c r="H535" s="408"/>
      <c r="I535" s="408"/>
      <c r="J535" s="408">
        <f>SUM(J533:J534)</f>
        <v>281</v>
      </c>
    </row>
    <row r="536" spans="1:10" hidden="1">
      <c r="A536" s="451"/>
      <c r="B536" s="405"/>
      <c r="C536" s="414" t="s">
        <v>123</v>
      </c>
      <c r="D536" s="438"/>
      <c r="E536" s="425">
        <f>$D$4</f>
        <v>0</v>
      </c>
      <c r="F536" s="409"/>
      <c r="G536" s="413"/>
      <c r="H536" s="408"/>
      <c r="I536" s="408"/>
      <c r="J536" s="408">
        <f>ROUND(J535*E536,2)</f>
        <v>0</v>
      </c>
    </row>
    <row r="537" spans="1:10" hidden="1">
      <c r="A537" s="451"/>
      <c r="B537" s="403"/>
      <c r="C537" s="406" t="s">
        <v>169</v>
      </c>
      <c r="D537" s="417"/>
      <c r="E537" s="418"/>
      <c r="F537" s="419"/>
      <c r="G537" s="420"/>
      <c r="H537" s="418"/>
      <c r="I537" s="418"/>
      <c r="J537" s="418">
        <f>CEILING(J536+J535,0.05)</f>
        <v>281</v>
      </c>
    </row>
    <row r="538" spans="1:10" hidden="1">
      <c r="A538" s="451"/>
      <c r="B538" s="403"/>
      <c r="C538" s="406"/>
      <c r="D538" s="417"/>
      <c r="E538" s="418"/>
      <c r="F538" s="419"/>
      <c r="G538" s="420"/>
      <c r="H538" s="418"/>
      <c r="I538" s="418"/>
      <c r="J538" s="418"/>
    </row>
    <row r="539" spans="1:10" hidden="1">
      <c r="A539" s="451"/>
      <c r="B539" s="405" t="s">
        <v>697</v>
      </c>
      <c r="C539" s="437" t="s">
        <v>735</v>
      </c>
      <c r="D539" s="421"/>
      <c r="E539" s="408"/>
      <c r="F539" s="422"/>
      <c r="G539" s="423"/>
      <c r="H539" s="408"/>
      <c r="I539" s="408"/>
      <c r="J539" s="421"/>
    </row>
    <row r="540" spans="1:10" hidden="1">
      <c r="A540" s="451"/>
      <c r="B540" s="405"/>
      <c r="C540" s="411" t="s">
        <v>130</v>
      </c>
      <c r="D540" s="426" t="s">
        <v>960</v>
      </c>
      <c r="E540" s="408">
        <v>1</v>
      </c>
      <c r="F540" s="409" t="s">
        <v>327</v>
      </c>
      <c r="G540" s="413">
        <v>348</v>
      </c>
      <c r="H540" s="408">
        <v>1</v>
      </c>
      <c r="I540" s="408" t="str">
        <f>F540</f>
        <v>Nos</v>
      </c>
      <c r="J540" s="408">
        <f>ROUND(E540*G540/H540,2)</f>
        <v>348</v>
      </c>
    </row>
    <row r="541" spans="1:10" hidden="1">
      <c r="A541" s="451"/>
      <c r="B541" s="405"/>
      <c r="C541" s="411" t="s">
        <v>122</v>
      </c>
      <c r="D541" s="408" t="s">
        <v>729</v>
      </c>
      <c r="E541" s="397">
        <f>$D$3</f>
        <v>0</v>
      </c>
      <c r="F541" s="409"/>
      <c r="G541" s="413"/>
      <c r="H541" s="408">
        <v>1</v>
      </c>
      <c r="I541" s="408">
        <f>F541</f>
        <v>0</v>
      </c>
      <c r="J541" s="408">
        <f>ROUND(E541*G541/H541,2)</f>
        <v>0</v>
      </c>
    </row>
    <row r="542" spans="1:10" hidden="1">
      <c r="A542" s="451"/>
      <c r="B542" s="405"/>
      <c r="C542" s="406"/>
      <c r="D542" s="408"/>
      <c r="E542" s="408"/>
      <c r="F542" s="409"/>
      <c r="G542" s="413"/>
      <c r="H542" s="408"/>
      <c r="I542" s="408"/>
      <c r="J542" s="408">
        <f>SUM(J540:J541)</f>
        <v>348</v>
      </c>
    </row>
    <row r="543" spans="1:10" hidden="1">
      <c r="A543" s="451"/>
      <c r="B543" s="405"/>
      <c r="C543" s="414" t="s">
        <v>123</v>
      </c>
      <c r="D543" s="438"/>
      <c r="E543" s="425">
        <f>$D$4</f>
        <v>0</v>
      </c>
      <c r="F543" s="409"/>
      <c r="G543" s="413"/>
      <c r="H543" s="408"/>
      <c r="I543" s="408"/>
      <c r="J543" s="408">
        <f>ROUND(J542*E543,2)</f>
        <v>0</v>
      </c>
    </row>
    <row r="544" spans="1:10" hidden="1">
      <c r="A544" s="451"/>
      <c r="B544" s="403"/>
      <c r="C544" s="406" t="s">
        <v>169</v>
      </c>
      <c r="D544" s="417"/>
      <c r="E544" s="418"/>
      <c r="F544" s="419"/>
      <c r="G544" s="420"/>
      <c r="H544" s="418"/>
      <c r="I544" s="418"/>
      <c r="J544" s="418">
        <f>CEILING(J543+J542,0.05)</f>
        <v>348</v>
      </c>
    </row>
    <row r="545" spans="1:30" hidden="1">
      <c r="A545" s="451"/>
      <c r="B545" s="403"/>
      <c r="C545" s="406"/>
      <c r="D545" s="417"/>
      <c r="E545" s="418"/>
      <c r="F545" s="419"/>
      <c r="G545" s="420"/>
      <c r="H545" s="418"/>
      <c r="I545" s="418"/>
      <c r="J545" s="418"/>
    </row>
    <row r="546" spans="1:30" hidden="1">
      <c r="A546" s="451"/>
      <c r="B546" s="405" t="s">
        <v>20</v>
      </c>
      <c r="C546" s="437" t="s">
        <v>736</v>
      </c>
      <c r="D546" s="421"/>
      <c r="E546" s="408"/>
      <c r="F546" s="422"/>
      <c r="G546" s="423"/>
      <c r="H546" s="408"/>
      <c r="I546" s="408"/>
      <c r="J546" s="421"/>
    </row>
    <row r="547" spans="1:30" hidden="1">
      <c r="A547" s="451"/>
      <c r="B547" s="405"/>
      <c r="C547" s="411" t="s">
        <v>130</v>
      </c>
      <c r="D547" s="426" t="s">
        <v>961</v>
      </c>
      <c r="E547" s="408">
        <v>1</v>
      </c>
      <c r="F547" s="409" t="s">
        <v>327</v>
      </c>
      <c r="G547" s="413">
        <v>508</v>
      </c>
      <c r="H547" s="408">
        <v>1</v>
      </c>
      <c r="I547" s="408" t="str">
        <f>F547</f>
        <v>Nos</v>
      </c>
      <c r="J547" s="408">
        <f>ROUND(E547*G547/H547,2)</f>
        <v>508</v>
      </c>
    </row>
    <row r="548" spans="1:30" hidden="1">
      <c r="A548" s="451"/>
      <c r="B548" s="405"/>
      <c r="C548" s="411" t="s">
        <v>122</v>
      </c>
      <c r="D548" s="408" t="s">
        <v>729</v>
      </c>
      <c r="E548" s="397">
        <f>$D$3</f>
        <v>0</v>
      </c>
      <c r="F548" s="409"/>
      <c r="G548" s="413"/>
      <c r="H548" s="408">
        <v>1</v>
      </c>
      <c r="I548" s="408">
        <f>F548</f>
        <v>0</v>
      </c>
      <c r="J548" s="408">
        <f>ROUND(E548*G548/H548,2)</f>
        <v>0</v>
      </c>
    </row>
    <row r="549" spans="1:30" hidden="1">
      <c r="A549" s="451"/>
      <c r="B549" s="405"/>
      <c r="C549" s="406"/>
      <c r="D549" s="408"/>
      <c r="E549" s="408"/>
      <c r="F549" s="409"/>
      <c r="G549" s="413"/>
      <c r="H549" s="408"/>
      <c r="I549" s="408"/>
      <c r="J549" s="408">
        <f>SUM(J547:J548)</f>
        <v>508</v>
      </c>
    </row>
    <row r="550" spans="1:30" ht="21" hidden="1" customHeight="1">
      <c r="A550" s="451"/>
      <c r="B550" s="405"/>
      <c r="C550" s="414" t="s">
        <v>123</v>
      </c>
      <c r="D550" s="438"/>
      <c r="E550" s="425">
        <f>$D$4</f>
        <v>0</v>
      </c>
      <c r="F550" s="409"/>
      <c r="G550" s="413"/>
      <c r="H550" s="408"/>
      <c r="I550" s="408"/>
      <c r="J550" s="408">
        <f>ROUND(J549*E550,2)</f>
        <v>0</v>
      </c>
    </row>
    <row r="551" spans="1:30" ht="19.5" hidden="1" customHeight="1">
      <c r="A551" s="451"/>
      <c r="B551" s="403"/>
      <c r="C551" s="406" t="s">
        <v>169</v>
      </c>
      <c r="D551" s="417"/>
      <c r="E551" s="418"/>
      <c r="F551" s="419"/>
      <c r="G551" s="420"/>
      <c r="H551" s="418"/>
      <c r="I551" s="418"/>
      <c r="J551" s="418">
        <f>CEILING(J550+J549,0.05)</f>
        <v>508</v>
      </c>
    </row>
    <row r="552" spans="1:30" s="208" customFormat="1" ht="68.25" hidden="1" customHeight="1">
      <c r="A552" s="206" t="e">
        <f>#REF!+1</f>
        <v>#REF!</v>
      </c>
      <c r="B552" s="210"/>
      <c r="C552" s="1561" t="s">
        <v>1351</v>
      </c>
      <c r="D552" s="1561"/>
      <c r="E552" s="1561"/>
      <c r="F552" s="1561"/>
      <c r="G552" s="1561"/>
      <c r="H552" s="1561"/>
      <c r="I552" s="1561"/>
      <c r="L552" s="391"/>
      <c r="M552" s="391"/>
      <c r="N552" s="391"/>
      <c r="O552" s="391"/>
      <c r="P552" s="391"/>
      <c r="Q552" s="391"/>
      <c r="R552" s="391"/>
    </row>
    <row r="553" spans="1:30" s="208" customFormat="1" hidden="1">
      <c r="A553" s="210"/>
      <c r="B553" s="210"/>
      <c r="C553" s="390" t="s">
        <v>1092</v>
      </c>
      <c r="D553" s="217" t="s">
        <v>1102</v>
      </c>
      <c r="E553" s="217">
        <v>1</v>
      </c>
      <c r="F553" s="212" t="s">
        <v>643</v>
      </c>
      <c r="G553" s="212">
        <v>2969</v>
      </c>
      <c r="H553" s="213"/>
      <c r="I553" s="212" t="s">
        <v>268</v>
      </c>
      <c r="J553" s="218">
        <f>IF(H553="",E553*G553,(E553*G553/H553))</f>
        <v>2969</v>
      </c>
    </row>
    <row r="554" spans="1:30" s="208" customFormat="1" hidden="1">
      <c r="A554" s="210"/>
      <c r="B554" s="210"/>
      <c r="C554" s="431" t="s">
        <v>122</v>
      </c>
      <c r="D554" s="216" t="s">
        <v>1088</v>
      </c>
      <c r="E554" s="216">
        <f>E506</f>
        <v>0</v>
      </c>
      <c r="F554" s="212"/>
      <c r="G554" s="212">
        <v>55</v>
      </c>
      <c r="H554" s="213"/>
      <c r="I554" s="212"/>
      <c r="J554" s="218">
        <f>IF(H554="",E554*G554,(E554*G554/H554))</f>
        <v>0</v>
      </c>
    </row>
    <row r="555" spans="1:30" s="208" customFormat="1" hidden="1">
      <c r="A555" s="210"/>
      <c r="B555" s="210"/>
      <c r="C555" s="390"/>
      <c r="D555" s="217"/>
      <c r="E555" s="217"/>
      <c r="F555" s="212"/>
      <c r="G555" s="212"/>
      <c r="H555" s="213"/>
      <c r="I555" s="212"/>
      <c r="J555" s="218">
        <f>SUM(J553:J554)</f>
        <v>2969</v>
      </c>
    </row>
    <row r="556" spans="1:30" s="208" customFormat="1" ht="18.75" hidden="1" customHeight="1">
      <c r="A556" s="210"/>
      <c r="B556" s="210"/>
      <c r="C556" s="494" t="s">
        <v>1081</v>
      </c>
      <c r="D556" s="215"/>
      <c r="E556" s="215">
        <f>E508</f>
        <v>0</v>
      </c>
      <c r="F556" s="212"/>
      <c r="G556" s="212">
        <f>J555</f>
        <v>2969</v>
      </c>
      <c r="H556" s="213"/>
      <c r="I556" s="212"/>
      <c r="J556" s="218">
        <f>IF(H556="",E556*G556,(E556*G556/H556))</f>
        <v>0</v>
      </c>
    </row>
    <row r="557" spans="1:30" s="208" customFormat="1" hidden="1">
      <c r="A557" s="210"/>
      <c r="B557" s="210"/>
      <c r="C557" s="390"/>
      <c r="D557" s="217"/>
      <c r="E557" s="217"/>
      <c r="F557" s="212"/>
      <c r="G557" s="212"/>
      <c r="H557" s="213"/>
      <c r="I557" s="212"/>
      <c r="J557" s="218">
        <f>SUM(J555:J556)</f>
        <v>2969</v>
      </c>
    </row>
    <row r="558" spans="1:30" s="208" customFormat="1" hidden="1">
      <c r="A558" s="210"/>
      <c r="B558" s="210"/>
      <c r="C558" s="219" t="s">
        <v>1101</v>
      </c>
      <c r="D558" s="214"/>
      <c r="E558" s="214"/>
      <c r="F558" s="211"/>
      <c r="G558" s="212"/>
      <c r="H558" s="213"/>
      <c r="I558" s="212" t="s">
        <v>392</v>
      </c>
      <c r="J558" s="205">
        <f>ROUND(J557,0)</f>
        <v>2969</v>
      </c>
    </row>
    <row r="559" spans="1:30" s="208" customFormat="1">
      <c r="A559" s="210"/>
      <c r="B559" s="207"/>
      <c r="C559" s="390"/>
      <c r="D559" s="390"/>
      <c r="E559" s="390"/>
      <c r="F559" s="214"/>
      <c r="G559" s="212"/>
      <c r="H559" s="212"/>
      <c r="I559" s="213"/>
      <c r="J559" s="212"/>
      <c r="U559" s="210"/>
      <c r="V559" s="207"/>
      <c r="W559" s="390"/>
      <c r="X559" s="390"/>
      <c r="Y559" s="214"/>
      <c r="Z559" s="212"/>
      <c r="AA559" s="212"/>
      <c r="AB559" s="213"/>
      <c r="AC559" s="212"/>
      <c r="AD559" s="209">
        <f>AC559-I559</f>
        <v>0</v>
      </c>
    </row>
    <row r="560" spans="1:30" s="208" customFormat="1" ht="54" hidden="1" customHeight="1">
      <c r="A560" s="206" t="e">
        <f>A552+1</f>
        <v>#REF!</v>
      </c>
      <c r="B560" s="210"/>
      <c r="C560" s="1560" t="s">
        <v>1075</v>
      </c>
      <c r="D560" s="1561"/>
      <c r="E560" s="1561"/>
      <c r="F560" s="1561"/>
      <c r="G560" s="1561"/>
      <c r="H560" s="1561"/>
      <c r="I560" s="1561"/>
      <c r="L560" s="391"/>
      <c r="M560" s="391"/>
      <c r="N560" s="391"/>
      <c r="O560" s="391"/>
      <c r="P560" s="391"/>
      <c r="Q560" s="391"/>
      <c r="R560" s="391"/>
    </row>
    <row r="561" spans="1:30" s="208" customFormat="1" hidden="1">
      <c r="A561" s="210"/>
      <c r="B561" s="210"/>
      <c r="C561" s="390" t="s">
        <v>1092</v>
      </c>
      <c r="D561" s="217" t="s">
        <v>1103</v>
      </c>
      <c r="E561" s="217">
        <v>1</v>
      </c>
      <c r="F561" s="212" t="s">
        <v>643</v>
      </c>
      <c r="G561" s="212">
        <v>3373</v>
      </c>
      <c r="H561" s="213"/>
      <c r="I561" s="212" t="s">
        <v>268</v>
      </c>
      <c r="J561" s="218">
        <f>IF(H561="",E561*G561,(E561*G561/H561))</f>
        <v>3373</v>
      </c>
    </row>
    <row r="562" spans="1:30" s="208" customFormat="1" hidden="1">
      <c r="A562" s="210"/>
      <c r="B562" s="210"/>
      <c r="C562" s="431" t="s">
        <v>122</v>
      </c>
      <c r="D562" s="216" t="s">
        <v>1161</v>
      </c>
      <c r="E562" s="216">
        <f>E554</f>
        <v>0</v>
      </c>
      <c r="F562" s="212"/>
      <c r="G562" s="212">
        <v>55</v>
      </c>
      <c r="H562" s="213"/>
      <c r="I562" s="212"/>
      <c r="J562" s="218">
        <f>IF(H562="",E562*G562,(E562*G562/H562))</f>
        <v>0</v>
      </c>
    </row>
    <row r="563" spans="1:30" s="208" customFormat="1" hidden="1">
      <c r="A563" s="210"/>
      <c r="B563" s="210"/>
      <c r="C563" s="390"/>
      <c r="D563" s="217"/>
      <c r="E563" s="217"/>
      <c r="F563" s="212"/>
      <c r="G563" s="212"/>
      <c r="H563" s="213"/>
      <c r="I563" s="212"/>
      <c r="J563" s="218">
        <f>SUM(J561:J562)</f>
        <v>3373</v>
      </c>
    </row>
    <row r="564" spans="1:30" s="208" customFormat="1" ht="18" hidden="1" customHeight="1">
      <c r="A564" s="210"/>
      <c r="B564" s="210"/>
      <c r="C564" s="494" t="s">
        <v>1081</v>
      </c>
      <c r="D564" s="215"/>
      <c r="E564" s="215">
        <f>E556</f>
        <v>0</v>
      </c>
      <c r="F564" s="212"/>
      <c r="G564" s="212">
        <f>J563</f>
        <v>3373</v>
      </c>
      <c r="H564" s="213"/>
      <c r="I564" s="212"/>
      <c r="J564" s="218">
        <f>IF(H564="",E564*G564,(E564*G564/H564))</f>
        <v>0</v>
      </c>
    </row>
    <row r="565" spans="1:30" s="208" customFormat="1" hidden="1">
      <c r="A565" s="210"/>
      <c r="B565" s="210"/>
      <c r="C565" s="390"/>
      <c r="D565" s="217"/>
      <c r="E565" s="217"/>
      <c r="F565" s="212"/>
      <c r="G565" s="212"/>
      <c r="H565" s="213"/>
      <c r="I565" s="212"/>
      <c r="J565" s="218">
        <f>SUM(J563:J564)</f>
        <v>3373</v>
      </c>
    </row>
    <row r="566" spans="1:30" s="208" customFormat="1" hidden="1">
      <c r="A566" s="210"/>
      <c r="B566" s="210"/>
      <c r="C566" s="219" t="s">
        <v>1101</v>
      </c>
      <c r="D566" s="214"/>
      <c r="E566" s="214"/>
      <c r="F566" s="211"/>
      <c r="G566" s="212"/>
      <c r="H566" s="213"/>
      <c r="I566" s="212" t="s">
        <v>392</v>
      </c>
      <c r="J566" s="205">
        <f>ROUND(J565,0)</f>
        <v>3373</v>
      </c>
    </row>
    <row r="567" spans="1:30" s="208" customFormat="1" hidden="1">
      <c r="A567" s="210"/>
      <c r="B567" s="207"/>
      <c r="C567" s="390"/>
      <c r="D567" s="390"/>
      <c r="E567" s="214"/>
      <c r="F567" s="212"/>
      <c r="G567" s="212"/>
      <c r="H567" s="213"/>
      <c r="I567" s="212"/>
      <c r="U567" s="210"/>
      <c r="V567" s="207"/>
      <c r="W567" s="390"/>
      <c r="X567" s="390"/>
      <c r="Y567" s="214"/>
      <c r="Z567" s="212"/>
      <c r="AA567" s="212"/>
      <c r="AB567" s="213"/>
      <c r="AC567" s="212"/>
      <c r="AD567" s="209"/>
    </row>
    <row r="568" spans="1:30" s="704" customFormat="1" ht="63" hidden="1" customHeight="1">
      <c r="A568" s="702" t="e">
        <f>A560+1</f>
        <v>#REF!</v>
      </c>
      <c r="B568" s="703"/>
      <c r="C568" s="1549" t="s">
        <v>1729</v>
      </c>
      <c r="D568" s="1549"/>
      <c r="E568" s="1550"/>
      <c r="F568" s="1550"/>
      <c r="G568" s="1550"/>
      <c r="H568" s="1550"/>
      <c r="I568" s="1550"/>
      <c r="U568" s="702">
        <f>U556+1</f>
        <v>1</v>
      </c>
      <c r="V568" s="703"/>
      <c r="W568" s="1549" t="s">
        <v>1378</v>
      </c>
      <c r="X568" s="1549"/>
      <c r="Y568" s="1550"/>
      <c r="Z568" s="1550"/>
      <c r="AA568" s="1550"/>
      <c r="AB568" s="1550"/>
      <c r="AC568" s="1550"/>
      <c r="AD568" s="705">
        <f t="shared" ref="AD568:AD596" si="2">AC568-I568</f>
        <v>0</v>
      </c>
    </row>
    <row r="569" spans="1:30" s="208" customFormat="1" ht="21.75" hidden="1" customHeight="1">
      <c r="A569" s="211"/>
      <c r="B569" s="207"/>
      <c r="C569" s="390" t="s">
        <v>1092</v>
      </c>
      <c r="D569" s="707" t="s">
        <v>875</v>
      </c>
      <c r="E569" s="495">
        <f>1.2*0.6</f>
        <v>0.72</v>
      </c>
      <c r="F569" s="211" t="s">
        <v>461</v>
      </c>
      <c r="G569" s="706">
        <f>907+2.97</f>
        <v>909.97</v>
      </c>
      <c r="H569" s="213">
        <v>1</v>
      </c>
      <c r="I569" s="211" t="s">
        <v>461</v>
      </c>
      <c r="J569" s="218">
        <f t="shared" ref="J569:J574" si="3">IF(H569="",E569*G569,(E569*G569/H569))</f>
        <v>655.17840000000001</v>
      </c>
      <c r="U569" s="211"/>
      <c r="V569" s="207"/>
      <c r="W569" s="390" t="s">
        <v>1092</v>
      </c>
      <c r="X569" s="495">
        <f>1.2*0.6</f>
        <v>0.72</v>
      </c>
      <c r="Y569" s="211" t="s">
        <v>461</v>
      </c>
      <c r="Z569" s="212" t="e">
        <f>#REF!</f>
        <v>#REF!</v>
      </c>
      <c r="AA569" s="213">
        <v>1</v>
      </c>
      <c r="AB569" s="211" t="s">
        <v>461</v>
      </c>
      <c r="AC569" s="218" t="e">
        <f t="shared" ref="AC569:AC574" si="4">IF(AA569="",X569*Z569,(X569*Z569/AA569))</f>
        <v>#REF!</v>
      </c>
      <c r="AD569" s="209" t="e">
        <f t="shared" si="2"/>
        <v>#REF!</v>
      </c>
    </row>
    <row r="570" spans="1:30" s="208" customFormat="1" ht="15.75" hidden="1" customHeight="1">
      <c r="A570" s="210"/>
      <c r="B570" s="207"/>
      <c r="C570" s="446" t="s">
        <v>1104</v>
      </c>
      <c r="D570" s="707" t="s">
        <v>1725</v>
      </c>
      <c r="E570" s="216">
        <v>1.2</v>
      </c>
      <c r="F570" s="211" t="s">
        <v>468</v>
      </c>
      <c r="G570" s="706">
        <v>33</v>
      </c>
      <c r="H570" s="213">
        <v>1</v>
      </c>
      <c r="I570" s="211" t="s">
        <v>468</v>
      </c>
      <c r="J570" s="218">
        <f t="shared" si="3"/>
        <v>39.6</v>
      </c>
      <c r="U570" s="210"/>
      <c r="V570" s="207"/>
      <c r="W570" s="446" t="s">
        <v>1104</v>
      </c>
      <c r="X570" s="216">
        <v>1.2</v>
      </c>
      <c r="Y570" s="211" t="s">
        <v>468</v>
      </c>
      <c r="Z570" s="212" t="e">
        <f>#REF!</f>
        <v>#REF!</v>
      </c>
      <c r="AA570" s="213">
        <v>1</v>
      </c>
      <c r="AB570" s="211" t="s">
        <v>468</v>
      </c>
      <c r="AC570" s="218" t="e">
        <f t="shared" si="4"/>
        <v>#REF!</v>
      </c>
      <c r="AD570" s="209" t="e">
        <f t="shared" si="2"/>
        <v>#REF!</v>
      </c>
    </row>
    <row r="571" spans="1:30" s="208" customFormat="1" ht="15.75" hidden="1" customHeight="1">
      <c r="A571" s="210"/>
      <c r="B571" s="207"/>
      <c r="C571" s="708" t="s">
        <v>1726</v>
      </c>
      <c r="D571" s="216"/>
      <c r="E571" s="216">
        <f>D3</f>
        <v>0</v>
      </c>
      <c r="F571" s="211"/>
      <c r="G571" s="212">
        <f>J570</f>
        <v>39.6</v>
      </c>
      <c r="H571" s="213"/>
      <c r="I571" s="211"/>
      <c r="J571" s="218">
        <f t="shared" si="3"/>
        <v>0</v>
      </c>
      <c r="U571" s="210"/>
      <c r="V571" s="207"/>
      <c r="W571" s="390" t="e">
        <v>#REF!</v>
      </c>
      <c r="X571" s="216" t="e">
        <v>#REF!</v>
      </c>
      <c r="Y571" s="211"/>
      <c r="Z571" s="212" t="e">
        <f>AC570</f>
        <v>#REF!</v>
      </c>
      <c r="AA571" s="213"/>
      <c r="AB571" s="211"/>
      <c r="AC571" s="218" t="e">
        <f t="shared" si="4"/>
        <v>#REF!</v>
      </c>
      <c r="AD571" s="209" t="e">
        <f t="shared" si="2"/>
        <v>#REF!</v>
      </c>
    </row>
    <row r="572" spans="1:30" s="208" customFormat="1" ht="16.5" hidden="1" customHeight="1">
      <c r="A572" s="210"/>
      <c r="B572" s="207"/>
      <c r="C572" s="446" t="s">
        <v>1105</v>
      </c>
      <c r="D572" s="709" t="s">
        <v>1727</v>
      </c>
      <c r="E572" s="216">
        <v>2.4</v>
      </c>
      <c r="F572" s="211" t="s">
        <v>468</v>
      </c>
      <c r="G572" s="706">
        <v>502</v>
      </c>
      <c r="H572" s="213">
        <v>1</v>
      </c>
      <c r="I572" s="211" t="s">
        <v>468</v>
      </c>
      <c r="J572" s="218">
        <f t="shared" si="3"/>
        <v>1204.8</v>
      </c>
      <c r="U572" s="210"/>
      <c r="V572" s="207"/>
      <c r="W572" s="446" t="s">
        <v>1105</v>
      </c>
      <c r="X572" s="216">
        <v>2.4</v>
      </c>
      <c r="Y572" s="211" t="s">
        <v>468</v>
      </c>
      <c r="Z572" s="212" t="e">
        <f>#REF!</f>
        <v>#REF!</v>
      </c>
      <c r="AA572" s="213">
        <v>1</v>
      </c>
      <c r="AB572" s="211" t="s">
        <v>468</v>
      </c>
      <c r="AC572" s="218" t="e">
        <f t="shared" si="4"/>
        <v>#REF!</v>
      </c>
      <c r="AD572" s="209" t="e">
        <f t="shared" si="2"/>
        <v>#REF!</v>
      </c>
    </row>
    <row r="573" spans="1:30" s="208" customFormat="1" ht="28.5" hidden="1" customHeight="1">
      <c r="A573" s="210"/>
      <c r="B573" s="207"/>
      <c r="C573" s="446" t="s">
        <v>1106</v>
      </c>
      <c r="D573" s="495"/>
      <c r="E573" s="495">
        <f>1.2*0.6</f>
        <v>0.72</v>
      </c>
      <c r="F573" s="211" t="s">
        <v>461</v>
      </c>
      <c r="G573" s="212">
        <f>SUM('C-data'!I1207:I1208)</f>
        <v>81.164999999999992</v>
      </c>
      <c r="H573" s="213">
        <v>10</v>
      </c>
      <c r="I573" s="211" t="s">
        <v>461</v>
      </c>
      <c r="J573" s="218">
        <f t="shared" si="3"/>
        <v>5.8438799999999995</v>
      </c>
      <c r="U573" s="210"/>
      <c r="V573" s="207"/>
      <c r="W573" s="446" t="s">
        <v>1106</v>
      </c>
      <c r="X573" s="495">
        <f>1.2*0.6</f>
        <v>0.72</v>
      </c>
      <c r="Y573" s="211" t="s">
        <v>461</v>
      </c>
      <c r="Z573" s="212" t="e">
        <v>#REF!</v>
      </c>
      <c r="AA573" s="213">
        <v>10</v>
      </c>
      <c r="AB573" s="211" t="s">
        <v>461</v>
      </c>
      <c r="AC573" s="218" t="e">
        <f t="shared" si="4"/>
        <v>#REF!</v>
      </c>
      <c r="AD573" s="209" t="e">
        <f t="shared" si="2"/>
        <v>#REF!</v>
      </c>
    </row>
    <row r="574" spans="1:30" s="208" customFormat="1" ht="20.25" hidden="1" customHeight="1">
      <c r="A574" s="210"/>
      <c r="B574" s="207"/>
      <c r="C574" s="708" t="s">
        <v>1726</v>
      </c>
      <c r="D574" s="216"/>
      <c r="E574" s="429">
        <f>D3</f>
        <v>0</v>
      </c>
      <c r="F574" s="211"/>
      <c r="G574" s="212">
        <f>J573</f>
        <v>5.8438799999999995</v>
      </c>
      <c r="H574" s="213"/>
      <c r="I574" s="211"/>
      <c r="J574" s="218">
        <f t="shared" si="3"/>
        <v>0</v>
      </c>
      <c r="U574" s="210"/>
      <c r="V574" s="207"/>
      <c r="W574" s="390" t="e">
        <v>#REF!</v>
      </c>
      <c r="X574" s="216" t="e">
        <v>#REF!</v>
      </c>
      <c r="Y574" s="211"/>
      <c r="Z574" s="212" t="e">
        <f>AC573</f>
        <v>#REF!</v>
      </c>
      <c r="AA574" s="213"/>
      <c r="AB574" s="211"/>
      <c r="AC574" s="218" t="e">
        <f t="shared" si="4"/>
        <v>#REF!</v>
      </c>
      <c r="AD574" s="209" t="e">
        <f t="shared" si="2"/>
        <v>#REF!</v>
      </c>
    </row>
    <row r="575" spans="1:30" s="208" customFormat="1" hidden="1">
      <c r="A575" s="210"/>
      <c r="B575" s="207"/>
      <c r="C575" s="390"/>
      <c r="D575" s="495"/>
      <c r="E575" s="495"/>
      <c r="F575" s="211"/>
      <c r="G575" s="212"/>
      <c r="H575" s="213"/>
      <c r="I575" s="212"/>
      <c r="J575" s="216">
        <f>SUM(J569:J574)</f>
        <v>1905.4222799999998</v>
      </c>
      <c r="U575" s="210"/>
      <c r="V575" s="207"/>
      <c r="W575" s="390"/>
      <c r="X575" s="495"/>
      <c r="Y575" s="211"/>
      <c r="Z575" s="212"/>
      <c r="AA575" s="213"/>
      <c r="AB575" s="212"/>
      <c r="AC575" s="216" t="e">
        <f>SUM(AC569:AC574)</f>
        <v>#REF!</v>
      </c>
      <c r="AD575" s="209" t="e">
        <f t="shared" si="2"/>
        <v>#REF!</v>
      </c>
    </row>
    <row r="576" spans="1:30" s="208" customFormat="1" ht="14.25" hidden="1" customHeight="1">
      <c r="A576" s="210"/>
      <c r="B576" s="207"/>
      <c r="C576" s="494" t="s">
        <v>1081</v>
      </c>
      <c r="D576" s="215"/>
      <c r="E576" s="215">
        <f>E556</f>
        <v>0</v>
      </c>
      <c r="F576" s="211"/>
      <c r="G576" s="212">
        <f>J575</f>
        <v>1905.4222799999998</v>
      </c>
      <c r="H576" s="213"/>
      <c r="I576" s="212"/>
      <c r="J576" s="218">
        <f>IF(H576="",E576*G576,(E576*G576/H576))</f>
        <v>0</v>
      </c>
      <c r="U576" s="210"/>
      <c r="V576" s="207"/>
      <c r="W576" s="390" t="e">
        <v>#REF!</v>
      </c>
      <c r="X576" s="216" t="e">
        <v>#REF!</v>
      </c>
      <c r="Y576" s="211"/>
      <c r="Z576" s="212" t="e">
        <f>AC575</f>
        <v>#REF!</v>
      </c>
      <c r="AA576" s="213"/>
      <c r="AB576" s="212"/>
      <c r="AC576" s="218" t="e">
        <f>IF(AA576="",X576*Z576,(X576*Z576/AA576))</f>
        <v>#REF!</v>
      </c>
      <c r="AD576" s="209" t="e">
        <f t="shared" si="2"/>
        <v>#REF!</v>
      </c>
    </row>
    <row r="577" spans="1:30" s="208" customFormat="1" hidden="1">
      <c r="A577" s="210"/>
      <c r="B577" s="207"/>
      <c r="C577" s="390"/>
      <c r="D577" s="495"/>
      <c r="E577" s="495"/>
      <c r="F577" s="211"/>
      <c r="G577" s="212"/>
      <c r="H577" s="213"/>
      <c r="I577" s="212"/>
      <c r="J577" s="216">
        <f>SUM(J575:J576)</f>
        <v>1905.4222799999998</v>
      </c>
      <c r="U577" s="210"/>
      <c r="V577" s="207"/>
      <c r="W577" s="390"/>
      <c r="X577" s="495"/>
      <c r="Y577" s="211"/>
      <c r="Z577" s="212"/>
      <c r="AA577" s="213"/>
      <c r="AB577" s="212"/>
      <c r="AC577" s="216" t="e">
        <f>SUM(AC575:AC576)</f>
        <v>#REF!</v>
      </c>
      <c r="AD577" s="209" t="e">
        <f t="shared" si="2"/>
        <v>#REF!</v>
      </c>
    </row>
    <row r="578" spans="1:30" s="208" customFormat="1" ht="20.25" hidden="1" customHeight="1">
      <c r="A578" s="210"/>
      <c r="B578" s="207"/>
      <c r="C578" s="449" t="s">
        <v>1101</v>
      </c>
      <c r="D578" s="495"/>
      <c r="E578" s="495"/>
      <c r="F578" s="211"/>
      <c r="G578" s="212"/>
      <c r="H578" s="213"/>
      <c r="I578" s="212" t="s">
        <v>467</v>
      </c>
      <c r="J578" s="205">
        <f>ROUND(J577,0)</f>
        <v>1905</v>
      </c>
      <c r="U578" s="210"/>
      <c r="V578" s="207"/>
      <c r="W578" s="449" t="s">
        <v>1101</v>
      </c>
      <c r="X578" s="495"/>
      <c r="Y578" s="211"/>
      <c r="Z578" s="212"/>
      <c r="AA578" s="213"/>
      <c r="AB578" s="212" t="s">
        <v>467</v>
      </c>
      <c r="AC578" s="205" t="e">
        <f>ROUND(AC577,0)</f>
        <v>#REF!</v>
      </c>
      <c r="AD578" s="209" t="e">
        <f t="shared" si="2"/>
        <v>#REF!</v>
      </c>
    </row>
    <row r="579" spans="1:30" s="208" customFormat="1" hidden="1">
      <c r="A579" s="210"/>
      <c r="B579" s="207"/>
      <c r="C579" s="390"/>
      <c r="D579" s="390"/>
      <c r="E579" s="495"/>
      <c r="F579" s="211"/>
      <c r="G579" s="212"/>
      <c r="H579" s="213"/>
      <c r="I579" s="212"/>
      <c r="U579" s="210"/>
      <c r="V579" s="207"/>
      <c r="W579" s="390"/>
      <c r="X579" s="390"/>
      <c r="Y579" s="495"/>
      <c r="Z579" s="211"/>
      <c r="AA579" s="212"/>
      <c r="AB579" s="213"/>
      <c r="AC579" s="212"/>
      <c r="AD579" s="209">
        <f t="shared" si="2"/>
        <v>0</v>
      </c>
    </row>
    <row r="580" spans="1:30" s="208" customFormat="1" ht="48" hidden="1" customHeight="1">
      <c r="A580" s="206" t="e">
        <f>A568+1</f>
        <v>#REF!</v>
      </c>
      <c r="B580" s="206"/>
      <c r="C580" s="1560" t="s">
        <v>1109</v>
      </c>
      <c r="D580" s="1560"/>
      <c r="E580" s="1561"/>
      <c r="F580" s="1561"/>
      <c r="G580" s="1561"/>
      <c r="H580" s="1561"/>
      <c r="I580" s="1561"/>
      <c r="U580" s="206">
        <f>U570+1</f>
        <v>1</v>
      </c>
      <c r="V580" s="206"/>
      <c r="W580" s="1560" t="s">
        <v>1109</v>
      </c>
      <c r="X580" s="1560"/>
      <c r="Y580" s="1561"/>
      <c r="Z580" s="1561"/>
      <c r="AA580" s="1561"/>
      <c r="AB580" s="1561"/>
      <c r="AC580" s="1561"/>
      <c r="AD580" s="209">
        <f t="shared" si="2"/>
        <v>0</v>
      </c>
    </row>
    <row r="581" spans="1:30" s="208" customFormat="1" ht="18.75" hidden="1" customHeight="1">
      <c r="A581" s="206"/>
      <c r="B581" s="206"/>
      <c r="C581" s="390" t="s">
        <v>416</v>
      </c>
      <c r="D581" s="217" t="s">
        <v>1107</v>
      </c>
      <c r="E581" s="217">
        <v>1</v>
      </c>
      <c r="F581" s="212" t="s">
        <v>643</v>
      </c>
      <c r="G581" s="212">
        <v>101</v>
      </c>
      <c r="H581" s="213">
        <v>1</v>
      </c>
      <c r="I581" s="212" t="s">
        <v>268</v>
      </c>
      <c r="J581" s="218">
        <f>IF(H581="",E581*G581,(E581*G581/H581))</f>
        <v>101</v>
      </c>
      <c r="U581" s="206"/>
      <c r="V581" s="206"/>
      <c r="W581" s="390" t="s">
        <v>416</v>
      </c>
      <c r="X581" s="217">
        <v>1</v>
      </c>
      <c r="Y581" s="212" t="s">
        <v>643</v>
      </c>
      <c r="Z581" s="212" t="e">
        <f>#REF!</f>
        <v>#REF!</v>
      </c>
      <c r="AA581" s="213">
        <v>1</v>
      </c>
      <c r="AB581" s="212" t="s">
        <v>268</v>
      </c>
      <c r="AC581" s="218" t="e">
        <f>IF(AA581="",X581*Z581,(X581*Z581/AA581))</f>
        <v>#REF!</v>
      </c>
      <c r="AD581" s="209" t="e">
        <f t="shared" si="2"/>
        <v>#REF!</v>
      </c>
    </row>
    <row r="582" spans="1:30" s="208" customFormat="1" ht="15.75" hidden="1" customHeight="1">
      <c r="A582" s="206"/>
      <c r="B582" s="206"/>
      <c r="C582" s="494" t="s">
        <v>1081</v>
      </c>
      <c r="D582" s="215"/>
      <c r="E582" s="215">
        <f>E564</f>
        <v>0</v>
      </c>
      <c r="F582" s="212"/>
      <c r="G582" s="212">
        <f>J581</f>
        <v>101</v>
      </c>
      <c r="H582" s="213"/>
      <c r="I582" s="212"/>
      <c r="J582" s="218">
        <f>IF(H582="",E582*G582,(E582*G582/H582))</f>
        <v>0</v>
      </c>
      <c r="U582" s="206"/>
      <c r="V582" s="206"/>
      <c r="W582" s="390" t="e">
        <v>#REF!</v>
      </c>
      <c r="X582" s="216" t="e">
        <v>#REF!</v>
      </c>
      <c r="Y582" s="212"/>
      <c r="Z582" s="212" t="e">
        <f>AC581</f>
        <v>#REF!</v>
      </c>
      <c r="AA582" s="213"/>
      <c r="AB582" s="212"/>
      <c r="AC582" s="218" t="e">
        <f>IF(AA582="",X582*Z582,(X582*Z582/AA582))</f>
        <v>#REF!</v>
      </c>
      <c r="AD582" s="209" t="e">
        <f t="shared" si="2"/>
        <v>#REF!</v>
      </c>
    </row>
    <row r="583" spans="1:30" s="208" customFormat="1" hidden="1">
      <c r="A583" s="206"/>
      <c r="B583" s="206"/>
      <c r="C583" s="390"/>
      <c r="D583" s="216"/>
      <c r="E583" s="216"/>
      <c r="F583" s="212"/>
      <c r="G583" s="212"/>
      <c r="H583" s="213"/>
      <c r="I583" s="212"/>
      <c r="J583" s="218">
        <f>SUM(J581:J582)</f>
        <v>101</v>
      </c>
      <c r="U583" s="206"/>
      <c r="V583" s="206"/>
      <c r="W583" s="390"/>
      <c r="X583" s="216"/>
      <c r="Y583" s="212"/>
      <c r="Z583" s="212"/>
      <c r="AA583" s="213"/>
      <c r="AB583" s="212"/>
      <c r="AC583" s="218" t="e">
        <f>SUM(AC581:AC582)</f>
        <v>#REF!</v>
      </c>
      <c r="AD583" s="209" t="e">
        <f t="shared" si="2"/>
        <v>#REF!</v>
      </c>
    </row>
    <row r="584" spans="1:30" s="208" customFormat="1" ht="19.5" hidden="1" customHeight="1">
      <c r="A584" s="206"/>
      <c r="B584" s="206"/>
      <c r="C584" s="219" t="s">
        <v>1101</v>
      </c>
      <c r="D584" s="214"/>
      <c r="E584" s="214"/>
      <c r="F584" s="211"/>
      <c r="G584" s="212"/>
      <c r="H584" s="213"/>
      <c r="I584" s="212" t="s">
        <v>392</v>
      </c>
      <c r="J584" s="205">
        <f>ROUND(J583,0)</f>
        <v>101</v>
      </c>
      <c r="U584" s="206"/>
      <c r="V584" s="206"/>
      <c r="W584" s="219" t="s">
        <v>1101</v>
      </c>
      <c r="X584" s="214"/>
      <c r="Y584" s="211"/>
      <c r="Z584" s="212"/>
      <c r="AA584" s="213"/>
      <c r="AB584" s="212" t="s">
        <v>392</v>
      </c>
      <c r="AC584" s="205" t="e">
        <f>ROUND(AC583,0)</f>
        <v>#REF!</v>
      </c>
      <c r="AD584" s="209" t="e">
        <f t="shared" si="2"/>
        <v>#REF!</v>
      </c>
    </row>
    <row r="585" spans="1:30" s="208" customFormat="1" hidden="1">
      <c r="A585" s="206"/>
      <c r="B585" s="206"/>
      <c r="C585" s="219"/>
      <c r="D585" s="214"/>
      <c r="E585" s="211"/>
      <c r="F585" s="212"/>
      <c r="G585" s="213"/>
      <c r="H585" s="212"/>
      <c r="I585" s="205"/>
      <c r="U585" s="206"/>
      <c r="V585" s="206"/>
      <c r="W585" s="219"/>
      <c r="X585" s="214"/>
      <c r="Y585" s="211"/>
      <c r="Z585" s="212"/>
      <c r="AA585" s="213"/>
      <c r="AB585" s="212"/>
      <c r="AC585" s="205"/>
      <c r="AD585" s="209">
        <f t="shared" si="2"/>
        <v>0</v>
      </c>
    </row>
    <row r="586" spans="1:30" s="208" customFormat="1" ht="48.75" customHeight="1">
      <c r="A586" s="206">
        <v>21</v>
      </c>
      <c r="B586" s="206"/>
      <c r="C586" s="1560" t="s">
        <v>1110</v>
      </c>
      <c r="D586" s="1560"/>
      <c r="E586" s="1561"/>
      <c r="F586" s="1561"/>
      <c r="G586" s="1561"/>
      <c r="H586" s="1561"/>
      <c r="I586" s="1561"/>
      <c r="U586" s="206">
        <f>U580+1</f>
        <v>2</v>
      </c>
      <c r="V586" s="206"/>
      <c r="W586" s="1560" t="s">
        <v>1110</v>
      </c>
      <c r="X586" s="1560"/>
      <c r="Y586" s="1561"/>
      <c r="Z586" s="1561"/>
      <c r="AA586" s="1561"/>
      <c r="AB586" s="1561"/>
      <c r="AC586" s="1561"/>
      <c r="AD586" s="209">
        <f t="shared" si="2"/>
        <v>0</v>
      </c>
    </row>
    <row r="587" spans="1:30" s="208" customFormat="1" ht="21" customHeight="1">
      <c r="A587" s="206"/>
      <c r="B587" s="206"/>
      <c r="C587" s="390" t="s">
        <v>416</v>
      </c>
      <c r="D587" s="217" t="s">
        <v>1108</v>
      </c>
      <c r="E587" s="217">
        <v>1</v>
      </c>
      <c r="F587" s="212" t="s">
        <v>643</v>
      </c>
      <c r="G587" s="212">
        <v>158</v>
      </c>
      <c r="H587" s="213">
        <v>1</v>
      </c>
      <c r="I587" s="212" t="s">
        <v>268</v>
      </c>
      <c r="J587" s="218">
        <f>IF(H587="",E587*G587,(E587*G587/H587))</f>
        <v>158</v>
      </c>
      <c r="U587" s="206"/>
      <c r="V587" s="206"/>
      <c r="W587" s="390" t="s">
        <v>416</v>
      </c>
      <c r="X587" s="217">
        <v>1</v>
      </c>
      <c r="Y587" s="212" t="s">
        <v>643</v>
      </c>
      <c r="Z587" s="212" t="e">
        <f>#REF!</f>
        <v>#REF!</v>
      </c>
      <c r="AA587" s="213">
        <v>1</v>
      </c>
      <c r="AB587" s="212" t="s">
        <v>268</v>
      </c>
      <c r="AC587" s="218" t="e">
        <f>IF(AA587="",X587*Z587,(X587*Z587/AA587))</f>
        <v>#REF!</v>
      </c>
      <c r="AD587" s="209" t="e">
        <f t="shared" si="2"/>
        <v>#REF!</v>
      </c>
    </row>
    <row r="588" spans="1:30" s="208" customFormat="1" ht="17.25" customHeight="1">
      <c r="A588" s="206"/>
      <c r="B588" s="206"/>
      <c r="C588" s="494" t="s">
        <v>1081</v>
      </c>
      <c r="D588" s="215"/>
      <c r="E588" s="215">
        <f>E582</f>
        <v>0</v>
      </c>
      <c r="F588" s="212"/>
      <c r="G588" s="212">
        <f>J587</f>
        <v>158</v>
      </c>
      <c r="H588" s="213"/>
      <c r="I588" s="212"/>
      <c r="J588" s="218">
        <f>IF(H588="",E588*G588,(E588*G588/H588))</f>
        <v>0</v>
      </c>
      <c r="U588" s="206"/>
      <c r="V588" s="206"/>
      <c r="W588" s="390" t="e">
        <v>#REF!</v>
      </c>
      <c r="X588" s="216" t="e">
        <v>#REF!</v>
      </c>
      <c r="Y588" s="212"/>
      <c r="Z588" s="212" t="e">
        <f>AC587</f>
        <v>#REF!</v>
      </c>
      <c r="AA588" s="213"/>
      <c r="AB588" s="212"/>
      <c r="AC588" s="218" t="e">
        <f>IF(AA588="",X588*Z588,(X588*Z588/AA588))</f>
        <v>#REF!</v>
      </c>
      <c r="AD588" s="209" t="e">
        <f t="shared" si="2"/>
        <v>#REF!</v>
      </c>
    </row>
    <row r="589" spans="1:30" s="208" customFormat="1">
      <c r="A589" s="206"/>
      <c r="B589" s="206"/>
      <c r="C589" s="390"/>
      <c r="D589" s="216"/>
      <c r="E589" s="216"/>
      <c r="F589" s="212"/>
      <c r="G589" s="212"/>
      <c r="H589" s="213"/>
      <c r="I589" s="212"/>
      <c r="J589" s="218">
        <f>SUM(J587:J588)</f>
        <v>158</v>
      </c>
      <c r="U589" s="206"/>
      <c r="V589" s="206"/>
      <c r="W589" s="390"/>
      <c r="X589" s="216"/>
      <c r="Y589" s="212"/>
      <c r="Z589" s="212"/>
      <c r="AA589" s="213"/>
      <c r="AB589" s="212"/>
      <c r="AC589" s="218" t="e">
        <f>SUM(AC587:AC588)</f>
        <v>#REF!</v>
      </c>
      <c r="AD589" s="209" t="e">
        <f t="shared" si="2"/>
        <v>#REF!</v>
      </c>
    </row>
    <row r="590" spans="1:30" s="208" customFormat="1" ht="16.5" customHeight="1">
      <c r="A590" s="206"/>
      <c r="B590" s="206"/>
      <c r="C590" s="219" t="s">
        <v>1101</v>
      </c>
      <c r="D590" s="214"/>
      <c r="E590" s="214"/>
      <c r="F590" s="211"/>
      <c r="G590" s="212"/>
      <c r="H590" s="213"/>
      <c r="I590" s="212" t="s">
        <v>392</v>
      </c>
      <c r="J590" s="205">
        <f>ROUND(J589,0)</f>
        <v>158</v>
      </c>
      <c r="U590" s="206"/>
      <c r="V590" s="206"/>
      <c r="W590" s="219" t="s">
        <v>1101</v>
      </c>
      <c r="X590" s="214"/>
      <c r="Y590" s="211"/>
      <c r="Z590" s="212"/>
      <c r="AA590" s="213"/>
      <c r="AB590" s="212" t="s">
        <v>392</v>
      </c>
      <c r="AC590" s="205" t="e">
        <f>ROUND(AC589,0)</f>
        <v>#REF!</v>
      </c>
      <c r="AD590" s="209" t="e">
        <f t="shared" si="2"/>
        <v>#REF!</v>
      </c>
    </row>
    <row r="591" spans="1:30" s="704" customFormat="1" ht="63.75" hidden="1" customHeight="1">
      <c r="A591" s="702">
        <f>A585+1</f>
        <v>1</v>
      </c>
      <c r="B591" s="702"/>
      <c r="C591" s="1549" t="s">
        <v>1730</v>
      </c>
      <c r="D591" s="1549"/>
      <c r="E591" s="1550"/>
      <c r="F591" s="1550"/>
      <c r="G591" s="1550"/>
      <c r="H591" s="1550"/>
      <c r="I591" s="1550"/>
      <c r="U591" s="702">
        <f>U585+1</f>
        <v>1</v>
      </c>
      <c r="V591" s="702"/>
      <c r="W591" s="1549" t="s">
        <v>1110</v>
      </c>
      <c r="X591" s="1549"/>
      <c r="Y591" s="1550"/>
      <c r="Z591" s="1550"/>
      <c r="AA591" s="1550"/>
      <c r="AB591" s="1550"/>
      <c r="AC591" s="1550"/>
      <c r="AD591" s="705">
        <f t="shared" ref="AD591:AD595" si="5">AC591-I591</f>
        <v>0</v>
      </c>
    </row>
    <row r="592" spans="1:30" s="704" customFormat="1" ht="21" hidden="1" customHeight="1">
      <c r="A592" s="702"/>
      <c r="B592" s="702"/>
      <c r="C592" s="722" t="s">
        <v>1092</v>
      </c>
      <c r="D592" s="707" t="s">
        <v>1728</v>
      </c>
      <c r="E592" s="724"/>
      <c r="F592" s="712"/>
      <c r="G592" s="723">
        <v>457</v>
      </c>
      <c r="H592" s="724">
        <v>0.6</v>
      </c>
      <c r="I592" s="712" t="s">
        <v>268</v>
      </c>
      <c r="J592" s="714">
        <v>457</v>
      </c>
      <c r="U592" s="702"/>
      <c r="V592" s="702"/>
      <c r="W592" s="710" t="s">
        <v>416</v>
      </c>
      <c r="X592" s="711">
        <v>1</v>
      </c>
      <c r="Y592" s="712" t="s">
        <v>643</v>
      </c>
      <c r="Z592" s="712" t="e">
        <f>#REF!</f>
        <v>#REF!</v>
      </c>
      <c r="AA592" s="713">
        <v>1</v>
      </c>
      <c r="AB592" s="712" t="s">
        <v>268</v>
      </c>
      <c r="AC592" s="714" t="e">
        <f>IF(AA592="",X592*Z592,(X592*Z592/AA592))</f>
        <v>#REF!</v>
      </c>
      <c r="AD592" s="705" t="e">
        <f t="shared" si="5"/>
        <v>#REF!</v>
      </c>
    </row>
    <row r="593" spans="1:30" s="704" customFormat="1" ht="17.25" hidden="1" customHeight="1">
      <c r="A593" s="702"/>
      <c r="B593" s="702"/>
      <c r="C593" s="715" t="s">
        <v>1081</v>
      </c>
      <c r="D593" s="716"/>
      <c r="E593" s="716">
        <f>E588</f>
        <v>0</v>
      </c>
      <c r="F593" s="712"/>
      <c r="G593" s="712">
        <f>J592</f>
        <v>457</v>
      </c>
      <c r="H593" s="713"/>
      <c r="I593" s="712"/>
      <c r="J593" s="714">
        <f>IF(H593="",E593*G593,(E593*G593/H593))</f>
        <v>0</v>
      </c>
      <c r="U593" s="702"/>
      <c r="V593" s="702"/>
      <c r="W593" s="710" t="e">
        <v>#REF!</v>
      </c>
      <c r="X593" s="717" t="e">
        <v>#REF!</v>
      </c>
      <c r="Y593" s="712"/>
      <c r="Z593" s="712" t="e">
        <f>AC592</f>
        <v>#REF!</v>
      </c>
      <c r="AA593" s="713"/>
      <c r="AB593" s="712"/>
      <c r="AC593" s="714" t="e">
        <f>IF(AA593="",X593*Z593,(X593*Z593/AA593))</f>
        <v>#REF!</v>
      </c>
      <c r="AD593" s="705" t="e">
        <f t="shared" si="5"/>
        <v>#REF!</v>
      </c>
    </row>
    <row r="594" spans="1:30" s="704" customFormat="1" hidden="1">
      <c r="A594" s="702"/>
      <c r="B594" s="702"/>
      <c r="C594" s="710"/>
      <c r="D594" s="717"/>
      <c r="E594" s="717"/>
      <c r="F594" s="712"/>
      <c r="G594" s="712"/>
      <c r="H594" s="713"/>
      <c r="I594" s="712"/>
      <c r="J594" s="714">
        <f>SUM(J592:J593)</f>
        <v>457</v>
      </c>
      <c r="U594" s="702"/>
      <c r="V594" s="702"/>
      <c r="W594" s="710"/>
      <c r="X594" s="717"/>
      <c r="Y594" s="712"/>
      <c r="Z594" s="712"/>
      <c r="AA594" s="713"/>
      <c r="AB594" s="712"/>
      <c r="AC594" s="714" t="e">
        <f>SUM(AC592:AC593)</f>
        <v>#REF!</v>
      </c>
      <c r="AD594" s="705" t="e">
        <f t="shared" si="5"/>
        <v>#REF!</v>
      </c>
    </row>
    <row r="595" spans="1:30" s="704" customFormat="1" ht="16.5" hidden="1" customHeight="1">
      <c r="A595" s="702"/>
      <c r="B595" s="702"/>
      <c r="C595" s="718" t="s">
        <v>1101</v>
      </c>
      <c r="D595" s="719"/>
      <c r="E595" s="719"/>
      <c r="F595" s="720"/>
      <c r="G595" s="712"/>
      <c r="H595" s="713"/>
      <c r="I595" s="712" t="s">
        <v>392</v>
      </c>
      <c r="J595" s="721">
        <f>ROUND(J594,0)</f>
        <v>457</v>
      </c>
      <c r="U595" s="702"/>
      <c r="V595" s="702"/>
      <c r="W595" s="718" t="s">
        <v>1101</v>
      </c>
      <c r="X595" s="719"/>
      <c r="Y595" s="720"/>
      <c r="Z595" s="712"/>
      <c r="AA595" s="713"/>
      <c r="AB595" s="712" t="s">
        <v>392</v>
      </c>
      <c r="AC595" s="721" t="e">
        <f>ROUND(AC594,0)</f>
        <v>#REF!</v>
      </c>
      <c r="AD595" s="705" t="e">
        <f t="shared" si="5"/>
        <v>#REF!</v>
      </c>
    </row>
    <row r="596" spans="1:30" s="208" customFormat="1">
      <c r="A596" s="206"/>
      <c r="B596" s="206"/>
      <c r="C596" s="211"/>
      <c r="D596" s="211"/>
      <c r="E596" s="214"/>
      <c r="F596" s="211"/>
      <c r="G596" s="212"/>
      <c r="H596" s="213"/>
      <c r="I596" s="212"/>
      <c r="U596" s="206"/>
      <c r="V596" s="206"/>
      <c r="W596" s="211"/>
      <c r="X596" s="211"/>
      <c r="Y596" s="214"/>
      <c r="Z596" s="211"/>
      <c r="AA596" s="212"/>
      <c r="AB596" s="213"/>
      <c r="AC596" s="212"/>
      <c r="AD596" s="209">
        <f t="shared" si="2"/>
        <v>0</v>
      </c>
    </row>
    <row r="600" spans="1:30">
      <c r="C600" s="415" t="str">
        <f>+LEAD!B41</f>
        <v xml:space="preserve">Asst Engineer </v>
      </c>
      <c r="D600" s="1570" t="str">
        <f>+LEAD!D41:G41</f>
        <v>Dy. Executive Engineer</v>
      </c>
      <c r="E600" s="1570"/>
      <c r="G600" s="1571">
        <f>+LEAD!J41</f>
        <v>0</v>
      </c>
      <c r="H600" s="1571"/>
      <c r="I600" s="1571"/>
      <c r="J600" s="1571"/>
    </row>
    <row r="601" spans="1:30">
      <c r="C601" s="415" t="str">
        <f>+LEAD!B42</f>
        <v>PR  MP Utkoor</v>
      </c>
      <c r="D601" s="1570" t="str">
        <f>+LEAD!D42:G42</f>
        <v>PR SD Makthal</v>
      </c>
      <c r="E601" s="1570"/>
      <c r="G601" s="1571">
        <f>+LEAD!J42</f>
        <v>0</v>
      </c>
      <c r="H601" s="1571"/>
      <c r="I601" s="1571"/>
      <c r="J601" s="1571"/>
    </row>
    <row r="605" spans="1:30">
      <c r="D605" s="1569"/>
      <c r="E605" s="1569"/>
      <c r="F605" s="1569"/>
    </row>
    <row r="606" spans="1:30">
      <c r="D606" s="1569"/>
      <c r="E606" s="1569"/>
      <c r="F606" s="1569"/>
    </row>
  </sheetData>
  <protectedRanges>
    <protectedRange sqref="C5" name="Range1"/>
    <protectedRange sqref="C6" name="Range1_1"/>
  </protectedRanges>
  <mergeCells count="64">
    <mergeCell ref="D606:F606"/>
    <mergeCell ref="D600:E600"/>
    <mergeCell ref="D601:E601"/>
    <mergeCell ref="G600:J600"/>
    <mergeCell ref="G601:J601"/>
    <mergeCell ref="D605:F605"/>
    <mergeCell ref="W586:AC586"/>
    <mergeCell ref="W303:AC303"/>
    <mergeCell ref="C552:I552"/>
    <mergeCell ref="C560:I560"/>
    <mergeCell ref="C568:I568"/>
    <mergeCell ref="W568:AC568"/>
    <mergeCell ref="C303:I303"/>
    <mergeCell ref="C351:J351"/>
    <mergeCell ref="C358:J358"/>
    <mergeCell ref="C458:J458"/>
    <mergeCell ref="C419:J419"/>
    <mergeCell ref="C468:J468"/>
    <mergeCell ref="A1:J1"/>
    <mergeCell ref="C372:J372"/>
    <mergeCell ref="C117:J117"/>
    <mergeCell ref="C289:J289"/>
    <mergeCell ref="C310:J310"/>
    <mergeCell ref="C31:J31"/>
    <mergeCell ref="C37:J37"/>
    <mergeCell ref="C6:J6"/>
    <mergeCell ref="C51:J51"/>
    <mergeCell ref="C63:J63"/>
    <mergeCell ref="C98:J98"/>
    <mergeCell ref="C44:J44"/>
    <mergeCell ref="C70:J70"/>
    <mergeCell ref="C104:J104"/>
    <mergeCell ref="C282:J282"/>
    <mergeCell ref="C296:J296"/>
    <mergeCell ref="C274:J274"/>
    <mergeCell ref="C330:J330"/>
    <mergeCell ref="C316:J316"/>
    <mergeCell ref="C340:J340"/>
    <mergeCell ref="C140:J140"/>
    <mergeCell ref="C267:J267"/>
    <mergeCell ref="C165:J165"/>
    <mergeCell ref="C209:J209"/>
    <mergeCell ref="A2:J2"/>
    <mergeCell ref="C57:J57"/>
    <mergeCell ref="C111:J111"/>
    <mergeCell ref="C133:J133"/>
    <mergeCell ref="C259:J259"/>
    <mergeCell ref="C125:J125"/>
    <mergeCell ref="C591:I591"/>
    <mergeCell ref="W591:AC591"/>
    <mergeCell ref="C365:J365"/>
    <mergeCell ref="C399:J399"/>
    <mergeCell ref="C406:J406"/>
    <mergeCell ref="C412:J412"/>
    <mergeCell ref="C385:J385"/>
    <mergeCell ref="C378:J378"/>
    <mergeCell ref="C443:J443"/>
    <mergeCell ref="C426:J426"/>
    <mergeCell ref="C450:J450"/>
    <mergeCell ref="C434:J434"/>
    <mergeCell ref="C392:J392"/>
    <mergeCell ref="C580:I580"/>
    <mergeCell ref="W580:AC580"/>
    <mergeCell ref="C586:I586"/>
  </mergeCells>
  <phoneticPr fontId="28" type="noConversion"/>
  <printOptions horizontalCentered="1" gridLines="1"/>
  <pageMargins left="0.6" right="0.6" top="0.75" bottom="0.75" header="0.5" footer="0.5"/>
  <pageSetup paperSize="9" scale="82" orientation="portrait" r:id="rId1"/>
  <headerFooter alignWithMargins="0">
    <oddHeader>&amp;A</oddHeader>
    <oddFoote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N1028"/>
  <sheetViews>
    <sheetView view="pageBreakPreview" zoomScaleSheetLayoutView="100" workbookViewId="0">
      <selection activeCell="C20" sqref="C20"/>
    </sheetView>
  </sheetViews>
  <sheetFormatPr defaultColWidth="10.26171875" defaultRowHeight="12.3"/>
  <cols>
    <col min="1" max="1" width="4.578125" style="783" customWidth="1"/>
    <col min="2" max="2" width="14" style="1125" customWidth="1"/>
    <col min="3" max="3" width="49" style="792" customWidth="1"/>
    <col min="4" max="4" width="11.26171875" style="1120" customWidth="1"/>
    <col min="5" max="5" width="7.68359375" style="1120" customWidth="1"/>
    <col min="6" max="6" width="10.26171875" style="778" customWidth="1"/>
    <col min="7" max="7" width="11.83984375" style="777" customWidth="1"/>
    <col min="8" max="8" width="5.41796875" style="783" customWidth="1"/>
    <col min="9" max="9" width="15.83984375" style="783" customWidth="1"/>
    <col min="10" max="10" width="19.83984375" style="783" customWidth="1"/>
    <col min="11" max="16384" width="10.26171875" style="783"/>
  </cols>
  <sheetData>
    <row r="1" spans="1:10" ht="12.75" customHeight="1">
      <c r="A1" s="782"/>
      <c r="B1" s="914" t="s">
        <v>1731</v>
      </c>
      <c r="C1" s="914"/>
      <c r="D1" s="914"/>
      <c r="E1" s="914"/>
      <c r="F1" s="914"/>
      <c r="G1" s="914"/>
      <c r="H1" s="914"/>
    </row>
    <row r="2" spans="1:10" ht="12.75" customHeight="1">
      <c r="A2" s="782"/>
      <c r="B2" s="915" t="str">
        <f>[4]Abs!A2</f>
        <v>NAME OF THE WORK : CONSTRUCTION MINORITY RESIDENTIAL SCHOOL, AT MAHABUBNAGAR DIST.(SSR 2020-21)</v>
      </c>
      <c r="C2" s="916"/>
      <c r="D2" s="916"/>
      <c r="E2" s="916"/>
      <c r="F2" s="916"/>
      <c r="G2" s="916"/>
      <c r="H2" s="916"/>
    </row>
    <row r="3" spans="1:10" ht="12.75" customHeight="1">
      <c r="A3" s="782"/>
      <c r="B3" s="914">
        <v>3</v>
      </c>
      <c r="C3" s="914" t="s">
        <v>1732</v>
      </c>
      <c r="D3" s="771"/>
      <c r="E3" s="914"/>
      <c r="F3" s="917" t="s">
        <v>1733</v>
      </c>
      <c r="G3" s="917"/>
      <c r="H3" s="914">
        <v>620</v>
      </c>
    </row>
    <row r="4" spans="1:10" ht="12.75" customHeight="1">
      <c r="A4" s="782"/>
      <c r="B4" s="914"/>
      <c r="C4" s="914" t="s">
        <v>1734</v>
      </c>
      <c r="D4" s="772"/>
      <c r="E4" s="914"/>
      <c r="F4" s="917" t="s">
        <v>1735</v>
      </c>
      <c r="G4" s="917"/>
      <c r="H4" s="914">
        <v>515</v>
      </c>
    </row>
    <row r="5" spans="1:10">
      <c r="A5" s="782"/>
      <c r="B5" s="914"/>
      <c r="C5" s="914" t="s">
        <v>1736</v>
      </c>
      <c r="D5" s="772"/>
      <c r="E5" s="914"/>
      <c r="F5" s="917" t="s">
        <v>1737</v>
      </c>
      <c r="G5" s="917"/>
      <c r="H5" s="914">
        <v>515</v>
      </c>
    </row>
    <row r="6" spans="1:10" s="1120" customFormat="1" ht="49.2">
      <c r="A6" s="914" t="s">
        <v>1738</v>
      </c>
      <c r="B6" s="914" t="s">
        <v>1739</v>
      </c>
      <c r="C6" s="914" t="s">
        <v>563</v>
      </c>
      <c r="D6" s="914" t="s">
        <v>53</v>
      </c>
      <c r="E6" s="773" t="s">
        <v>172</v>
      </c>
      <c r="F6" s="773" t="s">
        <v>1740</v>
      </c>
      <c r="G6" s="773" t="s">
        <v>564</v>
      </c>
      <c r="H6" s="914" t="s">
        <v>1741</v>
      </c>
    </row>
    <row r="7" spans="1:10" s="1125" customFormat="1">
      <c r="A7" s="914"/>
      <c r="B7" s="914">
        <v>1</v>
      </c>
      <c r="C7" s="914">
        <v>2</v>
      </c>
      <c r="D7" s="914">
        <v>3</v>
      </c>
      <c r="E7" s="914">
        <v>4</v>
      </c>
      <c r="F7" s="774">
        <v>5</v>
      </c>
      <c r="G7" s="774">
        <v>6</v>
      </c>
      <c r="H7" s="914">
        <v>7</v>
      </c>
    </row>
    <row r="8" spans="1:10" ht="54.75" customHeight="1">
      <c r="A8" s="914">
        <v>1</v>
      </c>
      <c r="B8" s="917" t="s">
        <v>1742</v>
      </c>
      <c r="C8" s="905" t="s">
        <v>2415</v>
      </c>
      <c r="D8" s="905"/>
      <c r="E8" s="905"/>
      <c r="F8" s="905"/>
      <c r="G8" s="905"/>
      <c r="H8" s="782"/>
    </row>
    <row r="9" spans="1:10">
      <c r="A9" s="782"/>
      <c r="B9" s="917"/>
      <c r="C9" s="911" t="s">
        <v>1743</v>
      </c>
      <c r="D9" s="917"/>
      <c r="E9" s="917"/>
      <c r="F9" s="815"/>
      <c r="G9" s="816"/>
      <c r="H9" s="782"/>
    </row>
    <row r="10" spans="1:10">
      <c r="A10" s="782"/>
      <c r="B10" s="917"/>
      <c r="C10" s="817" t="s">
        <v>1744</v>
      </c>
      <c r="D10" s="917"/>
      <c r="E10" s="917"/>
      <c r="F10" s="815"/>
      <c r="G10" s="816"/>
      <c r="H10" s="782"/>
      <c r="J10" s="913" t="s">
        <v>1745</v>
      </c>
    </row>
    <row r="11" spans="1:10">
      <c r="A11" s="782"/>
      <c r="B11" s="782" t="s">
        <v>2135</v>
      </c>
      <c r="C11" s="905" t="s">
        <v>1746</v>
      </c>
      <c r="D11" s="818" t="s">
        <v>1747</v>
      </c>
      <c r="E11" s="917">
        <v>1</v>
      </c>
      <c r="F11" s="1178">
        <v>3500</v>
      </c>
      <c r="G11" s="816">
        <f>F11*E11</f>
        <v>3500</v>
      </c>
      <c r="H11" s="782"/>
      <c r="J11" s="917" t="s">
        <v>1748</v>
      </c>
    </row>
    <row r="12" spans="1:10">
      <c r="A12" s="782"/>
      <c r="B12" s="917" t="s">
        <v>1749</v>
      </c>
      <c r="C12" s="905" t="s">
        <v>1750</v>
      </c>
      <c r="D12" s="818" t="s">
        <v>268</v>
      </c>
      <c r="E12" s="917">
        <v>12</v>
      </c>
      <c r="F12" s="815">
        <v>30</v>
      </c>
      <c r="G12" s="816">
        <f>F12*E12</f>
        <v>360</v>
      </c>
      <c r="H12" s="782"/>
      <c r="J12" s="917" t="s">
        <v>1751</v>
      </c>
    </row>
    <row r="13" spans="1:10">
      <c r="A13" s="782"/>
      <c r="B13" s="917" t="s">
        <v>1752</v>
      </c>
      <c r="C13" s="905" t="s">
        <v>1753</v>
      </c>
      <c r="D13" s="818" t="s">
        <v>268</v>
      </c>
      <c r="E13" s="917">
        <v>12</v>
      </c>
      <c r="F13" s="815">
        <v>8</v>
      </c>
      <c r="G13" s="816">
        <f>F13*E13</f>
        <v>96</v>
      </c>
      <c r="H13" s="782"/>
      <c r="J13" s="917"/>
    </row>
    <row r="14" spans="1:10">
      <c r="A14" s="782"/>
      <c r="B14" s="917"/>
      <c r="C14" s="905"/>
      <c r="D14" s="818"/>
      <c r="E14" s="917"/>
      <c r="F14" s="815"/>
      <c r="G14" s="816">
        <f>SUM(G11:G13)</f>
        <v>3956</v>
      </c>
      <c r="H14" s="782"/>
      <c r="J14" s="917"/>
    </row>
    <row r="15" spans="1:10">
      <c r="A15" s="782"/>
      <c r="B15" s="917"/>
      <c r="C15" s="905" t="s">
        <v>1754</v>
      </c>
      <c r="D15" s="819">
        <f>$D$4</f>
        <v>0</v>
      </c>
      <c r="E15" s="917"/>
      <c r="F15" s="815"/>
      <c r="G15" s="816">
        <f>ROUND(G14*D15,2)</f>
        <v>0</v>
      </c>
      <c r="H15" s="782"/>
      <c r="J15" s="917"/>
    </row>
    <row r="16" spans="1:10">
      <c r="A16" s="782"/>
      <c r="B16" s="917"/>
      <c r="C16" s="905" t="s">
        <v>1755</v>
      </c>
      <c r="D16" s="818"/>
      <c r="E16" s="917"/>
      <c r="F16" s="815"/>
      <c r="G16" s="816">
        <f>SUM(G14:G15)</f>
        <v>3956</v>
      </c>
      <c r="H16" s="782"/>
      <c r="J16" s="913"/>
    </row>
    <row r="17" spans="1:10">
      <c r="A17" s="782"/>
      <c r="B17" s="913"/>
      <c r="C17" s="820" t="s">
        <v>1756</v>
      </c>
      <c r="D17" s="818"/>
      <c r="E17" s="917"/>
      <c r="F17" s="815"/>
      <c r="G17" s="816"/>
      <c r="H17" s="782"/>
      <c r="J17" s="913" t="s">
        <v>1757</v>
      </c>
    </row>
    <row r="18" spans="1:10">
      <c r="A18" s="782"/>
      <c r="B18" s="913"/>
      <c r="C18" s="905" t="s">
        <v>1733</v>
      </c>
      <c r="D18" s="818" t="s">
        <v>594</v>
      </c>
      <c r="E18" s="917">
        <v>2</v>
      </c>
      <c r="F18" s="914">
        <f>$H$3</f>
        <v>620</v>
      </c>
      <c r="G18" s="816">
        <f>F18*E18</f>
        <v>1240</v>
      </c>
      <c r="H18" s="782"/>
      <c r="J18" s="913" t="s">
        <v>1758</v>
      </c>
    </row>
    <row r="19" spans="1:10">
      <c r="A19" s="782"/>
      <c r="B19" s="913"/>
      <c r="C19" s="905" t="s">
        <v>1735</v>
      </c>
      <c r="D19" s="818" t="s">
        <v>594</v>
      </c>
      <c r="E19" s="917">
        <v>2</v>
      </c>
      <c r="F19" s="914">
        <f>$H$4</f>
        <v>515</v>
      </c>
      <c r="G19" s="816">
        <f>F19*E19</f>
        <v>1030</v>
      </c>
      <c r="H19" s="782"/>
      <c r="J19" s="913" t="s">
        <v>1759</v>
      </c>
    </row>
    <row r="20" spans="1:10">
      <c r="A20" s="782"/>
      <c r="B20" s="913"/>
      <c r="C20" s="905" t="s">
        <v>1737</v>
      </c>
      <c r="D20" s="818" t="s">
        <v>594</v>
      </c>
      <c r="E20" s="917">
        <v>2</v>
      </c>
      <c r="F20" s="914">
        <f>$H$5</f>
        <v>515</v>
      </c>
      <c r="G20" s="816">
        <f>F20*E20</f>
        <v>1030</v>
      </c>
      <c r="H20" s="782"/>
    </row>
    <row r="21" spans="1:10">
      <c r="A21" s="782"/>
      <c r="B21" s="913"/>
      <c r="C21" s="820" t="s">
        <v>1760</v>
      </c>
      <c r="D21" s="771">
        <f>$D$3</f>
        <v>0</v>
      </c>
      <c r="E21" s="914"/>
      <c r="F21" s="815"/>
      <c r="G21" s="821">
        <f>ROUND(D21*(G20+G19+G18),2)</f>
        <v>0</v>
      </c>
      <c r="H21" s="782"/>
    </row>
    <row r="22" spans="1:10">
      <c r="A22" s="782"/>
      <c r="B22" s="913"/>
      <c r="C22" s="905" t="s">
        <v>1761</v>
      </c>
      <c r="D22" s="772">
        <f>D$5</f>
        <v>0</v>
      </c>
      <c r="E22" s="914"/>
      <c r="F22" s="1178">
        <f>SUM(G18:G21)</f>
        <v>3300</v>
      </c>
      <c r="G22" s="821">
        <f>ROUND(D22*F22,2)</f>
        <v>0</v>
      </c>
      <c r="H22" s="782"/>
    </row>
    <row r="23" spans="1:10">
      <c r="A23" s="782"/>
      <c r="B23" s="913"/>
      <c r="C23" s="820" t="s">
        <v>1762</v>
      </c>
      <c r="D23" s="914"/>
      <c r="E23" s="914"/>
      <c r="F23" s="815"/>
      <c r="G23" s="821">
        <f>SUM(G16:G22)</f>
        <v>7256</v>
      </c>
      <c r="H23" s="782"/>
    </row>
    <row r="24" spans="1:10">
      <c r="A24" s="782"/>
      <c r="B24" s="913"/>
      <c r="C24" s="820" t="s">
        <v>1763</v>
      </c>
      <c r="D24" s="914"/>
      <c r="E24" s="914"/>
      <c r="F24" s="815"/>
      <c r="G24" s="821">
        <f>CEILING(G23/100,0.05)</f>
        <v>72.600000000000009</v>
      </c>
      <c r="H24" s="782"/>
    </row>
    <row r="25" spans="1:10">
      <c r="A25" s="782"/>
      <c r="B25" s="913"/>
      <c r="C25" s="820"/>
      <c r="D25" s="914"/>
      <c r="E25" s="914"/>
      <c r="F25" s="815"/>
      <c r="G25" s="821"/>
      <c r="H25" s="782"/>
    </row>
    <row r="26" spans="1:10" ht="12.75" customHeight="1">
      <c r="A26" s="782"/>
      <c r="B26" s="913"/>
      <c r="C26" s="1179" t="s">
        <v>2416</v>
      </c>
      <c r="D26" s="1179"/>
      <c r="E26" s="917"/>
      <c r="F26" s="815"/>
      <c r="G26" s="816"/>
      <c r="H26" s="782"/>
    </row>
    <row r="27" spans="1:10" ht="63.75" customHeight="1">
      <c r="A27" s="914">
        <f>A8+1</f>
        <v>2</v>
      </c>
      <c r="B27" s="917" t="s">
        <v>1764</v>
      </c>
      <c r="C27" s="905" t="s">
        <v>2417</v>
      </c>
      <c r="D27" s="905"/>
      <c r="E27" s="905"/>
      <c r="F27" s="905"/>
      <c r="G27" s="905"/>
      <c r="H27" s="782"/>
    </row>
    <row r="28" spans="1:10">
      <c r="A28" s="782"/>
      <c r="B28" s="917"/>
      <c r="C28" s="911" t="s">
        <v>1743</v>
      </c>
      <c r="D28" s="917"/>
      <c r="E28" s="917"/>
      <c r="F28" s="815"/>
      <c r="G28" s="816"/>
      <c r="H28" s="782"/>
    </row>
    <row r="29" spans="1:10">
      <c r="A29" s="782"/>
      <c r="B29" s="917"/>
      <c r="C29" s="817" t="s">
        <v>1744</v>
      </c>
      <c r="D29" s="917"/>
      <c r="E29" s="917"/>
      <c r="F29" s="815"/>
      <c r="G29" s="816"/>
      <c r="H29" s="782"/>
    </row>
    <row r="30" spans="1:10">
      <c r="A30" s="782"/>
      <c r="B30" s="784" t="s">
        <v>2136</v>
      </c>
      <c r="C30" s="905" t="s">
        <v>1765</v>
      </c>
      <c r="D30" s="818" t="s">
        <v>1747</v>
      </c>
      <c r="E30" s="917">
        <v>1</v>
      </c>
      <c r="F30" s="815">
        <v>2500</v>
      </c>
      <c r="G30" s="816">
        <f t="shared" ref="G30:G35" si="0">F30*E30</f>
        <v>2500</v>
      </c>
      <c r="H30" s="782"/>
    </row>
    <row r="31" spans="1:10">
      <c r="A31" s="782"/>
      <c r="B31" s="784" t="s">
        <v>1766</v>
      </c>
      <c r="C31" s="822" t="s">
        <v>1767</v>
      </c>
      <c r="D31" s="818" t="s">
        <v>1768</v>
      </c>
      <c r="E31" s="917">
        <v>2</v>
      </c>
      <c r="F31" s="815">
        <v>38</v>
      </c>
      <c r="G31" s="816">
        <f t="shared" si="0"/>
        <v>76</v>
      </c>
      <c r="H31" s="782"/>
    </row>
    <row r="32" spans="1:10">
      <c r="A32" s="782"/>
      <c r="B32" s="784" t="s">
        <v>2137</v>
      </c>
      <c r="C32" s="905" t="s">
        <v>1769</v>
      </c>
      <c r="D32" s="818" t="s">
        <v>268</v>
      </c>
      <c r="E32" s="917">
        <v>2</v>
      </c>
      <c r="F32" s="815">
        <v>185</v>
      </c>
      <c r="G32" s="816">
        <f t="shared" si="0"/>
        <v>370</v>
      </c>
      <c r="H32" s="782"/>
    </row>
    <row r="33" spans="1:8">
      <c r="A33" s="782"/>
      <c r="B33" s="784" t="s">
        <v>1749</v>
      </c>
      <c r="C33" s="905" t="s">
        <v>1770</v>
      </c>
      <c r="D33" s="818" t="s">
        <v>268</v>
      </c>
      <c r="E33" s="917">
        <v>12</v>
      </c>
      <c r="F33" s="815">
        <v>21</v>
      </c>
      <c r="G33" s="816">
        <f t="shared" si="0"/>
        <v>252</v>
      </c>
      <c r="H33" s="782"/>
    </row>
    <row r="34" spans="1:8">
      <c r="A34" s="782"/>
      <c r="B34" s="917" t="s">
        <v>1752</v>
      </c>
      <c r="C34" s="905" t="s">
        <v>2138</v>
      </c>
      <c r="D34" s="818" t="s">
        <v>268</v>
      </c>
      <c r="E34" s="917">
        <v>12</v>
      </c>
      <c r="F34" s="815">
        <v>8</v>
      </c>
      <c r="G34" s="816">
        <f t="shared" si="0"/>
        <v>96</v>
      </c>
      <c r="H34" s="782"/>
    </row>
    <row r="35" spans="1:8">
      <c r="A35" s="782"/>
      <c r="B35" s="917" t="s">
        <v>1771</v>
      </c>
      <c r="C35" s="905" t="s">
        <v>235</v>
      </c>
      <c r="D35" s="818" t="s">
        <v>236</v>
      </c>
      <c r="E35" s="917">
        <v>50</v>
      </c>
      <c r="F35" s="815">
        <v>8</v>
      </c>
      <c r="G35" s="816">
        <f t="shared" si="0"/>
        <v>400</v>
      </c>
      <c r="H35" s="782"/>
    </row>
    <row r="36" spans="1:8">
      <c r="A36" s="782"/>
      <c r="B36" s="917"/>
      <c r="C36" s="905"/>
      <c r="D36" s="818"/>
      <c r="E36" s="917"/>
      <c r="F36" s="815"/>
      <c r="G36" s="816">
        <f>SUM(G30:G35)</f>
        <v>3694</v>
      </c>
      <c r="H36" s="782"/>
    </row>
    <row r="37" spans="1:8">
      <c r="A37" s="782"/>
      <c r="B37" s="917"/>
      <c r="C37" s="905" t="s">
        <v>1754</v>
      </c>
      <c r="D37" s="819">
        <f>$D$4</f>
        <v>0</v>
      </c>
      <c r="E37" s="917"/>
      <c r="F37" s="815"/>
      <c r="G37" s="816">
        <f>ROUND(G36*D37,2)</f>
        <v>0</v>
      </c>
      <c r="H37" s="782"/>
    </row>
    <row r="38" spans="1:8">
      <c r="A38" s="782"/>
      <c r="B38" s="917"/>
      <c r="C38" s="905" t="s">
        <v>1755</v>
      </c>
      <c r="D38" s="818"/>
      <c r="E38" s="917"/>
      <c r="F38" s="815"/>
      <c r="G38" s="816">
        <f>SUM(G36:G37)</f>
        <v>3694</v>
      </c>
      <c r="H38" s="782"/>
    </row>
    <row r="39" spans="1:8">
      <c r="A39" s="782"/>
      <c r="B39" s="917"/>
      <c r="C39" s="820" t="s">
        <v>1756</v>
      </c>
      <c r="D39" s="818"/>
      <c r="E39" s="917"/>
      <c r="F39" s="815"/>
      <c r="G39" s="816"/>
      <c r="H39" s="782"/>
    </row>
    <row r="40" spans="1:8">
      <c r="A40" s="782"/>
      <c r="B40" s="913"/>
      <c r="C40" s="905" t="s">
        <v>1733</v>
      </c>
      <c r="D40" s="818" t="s">
        <v>594</v>
      </c>
      <c r="E40" s="917">
        <v>2</v>
      </c>
      <c r="F40" s="815">
        <f>$H$3</f>
        <v>620</v>
      </c>
      <c r="G40" s="816">
        <f>F40*E40</f>
        <v>1240</v>
      </c>
      <c r="H40" s="782"/>
    </row>
    <row r="41" spans="1:8">
      <c r="A41" s="782"/>
      <c r="B41" s="913"/>
      <c r="C41" s="905" t="s">
        <v>1735</v>
      </c>
      <c r="D41" s="818" t="s">
        <v>594</v>
      </c>
      <c r="E41" s="917">
        <v>2</v>
      </c>
      <c r="F41" s="815">
        <f>$H$4</f>
        <v>515</v>
      </c>
      <c r="G41" s="816">
        <f>F41*E41</f>
        <v>1030</v>
      </c>
      <c r="H41" s="782"/>
    </row>
    <row r="42" spans="1:8">
      <c r="A42" s="782"/>
      <c r="B42" s="913"/>
      <c r="C42" s="905" t="s">
        <v>1737</v>
      </c>
      <c r="D42" s="818" t="s">
        <v>594</v>
      </c>
      <c r="E42" s="917">
        <v>2</v>
      </c>
      <c r="F42" s="815">
        <f>F20</f>
        <v>515</v>
      </c>
      <c r="G42" s="816">
        <f>F42*E42</f>
        <v>1030</v>
      </c>
      <c r="H42" s="782"/>
    </row>
    <row r="43" spans="1:8">
      <c r="A43" s="782"/>
      <c r="B43" s="913"/>
      <c r="C43" s="905" t="s">
        <v>1772</v>
      </c>
      <c r="D43" s="818" t="s">
        <v>594</v>
      </c>
      <c r="E43" s="917">
        <v>2</v>
      </c>
      <c r="F43" s="815">
        <v>520</v>
      </c>
      <c r="G43" s="816">
        <f>F43*E43</f>
        <v>1040</v>
      </c>
      <c r="H43" s="782"/>
    </row>
    <row r="44" spans="1:8">
      <c r="A44" s="782"/>
      <c r="B44" s="917"/>
      <c r="C44" s="820" t="s">
        <v>1760</v>
      </c>
      <c r="D44" s="771">
        <f>$D$3</f>
        <v>0</v>
      </c>
      <c r="E44" s="914"/>
      <c r="F44" s="815"/>
      <c r="G44" s="821">
        <f>ROUND(D44*(G43+G42+G41+G40),2)</f>
        <v>0</v>
      </c>
      <c r="H44" s="782"/>
    </row>
    <row r="45" spans="1:8">
      <c r="A45" s="782"/>
      <c r="B45" s="917"/>
      <c r="C45" s="905" t="s">
        <v>1761</v>
      </c>
      <c r="D45" s="772">
        <f>D22</f>
        <v>0</v>
      </c>
      <c r="E45" s="914"/>
      <c r="F45" s="815">
        <f>SUM(G40:G44)</f>
        <v>4340</v>
      </c>
      <c r="G45" s="821">
        <f>ROUND(D45*F45,2)</f>
        <v>0</v>
      </c>
      <c r="H45" s="782"/>
    </row>
    <row r="46" spans="1:8">
      <c r="A46" s="782"/>
      <c r="B46" s="917"/>
      <c r="C46" s="820" t="s">
        <v>1762</v>
      </c>
      <c r="D46" s="914"/>
      <c r="E46" s="914"/>
      <c r="F46" s="815"/>
      <c r="G46" s="821">
        <f>SUM(G38:G45)</f>
        <v>8034</v>
      </c>
      <c r="H46" s="782"/>
    </row>
    <row r="47" spans="1:8">
      <c r="A47" s="782"/>
      <c r="B47" s="917"/>
      <c r="C47" s="820" t="s">
        <v>1763</v>
      </c>
      <c r="D47" s="914"/>
      <c r="E47" s="914"/>
      <c r="F47" s="823"/>
      <c r="G47" s="821">
        <f>CEILING(G46/100,0.05)</f>
        <v>80.350000000000009</v>
      </c>
      <c r="H47" s="782"/>
    </row>
    <row r="48" spans="1:8">
      <c r="A48" s="782"/>
      <c r="B48" s="917"/>
      <c r="C48" s="820"/>
      <c r="D48" s="914"/>
      <c r="E48" s="914"/>
      <c r="F48" s="823"/>
      <c r="G48" s="821"/>
      <c r="H48" s="782"/>
    </row>
    <row r="49" spans="1:10" s="1125" customFormat="1" ht="36.75" customHeight="1">
      <c r="A49" s="914">
        <f>A27+1</f>
        <v>3</v>
      </c>
      <c r="B49" s="917"/>
      <c r="C49" s="910" t="s">
        <v>1410</v>
      </c>
      <c r="D49" s="910"/>
      <c r="E49" s="910"/>
      <c r="F49" s="910"/>
      <c r="G49" s="910"/>
      <c r="H49" s="914"/>
    </row>
    <row r="50" spans="1:10">
      <c r="A50" s="782"/>
      <c r="B50" s="914"/>
      <c r="C50" s="820" t="s">
        <v>1773</v>
      </c>
      <c r="D50" s="917"/>
      <c r="E50" s="917"/>
      <c r="F50" s="824"/>
      <c r="G50" s="816"/>
      <c r="H50" s="782"/>
    </row>
    <row r="51" spans="1:10">
      <c r="A51" s="782"/>
      <c r="B51" s="917" t="s">
        <v>1774</v>
      </c>
      <c r="C51" s="905" t="s">
        <v>1775</v>
      </c>
      <c r="D51" s="917" t="s">
        <v>331</v>
      </c>
      <c r="E51" s="825">
        <v>1</v>
      </c>
      <c r="F51" s="824">
        <v>119</v>
      </c>
      <c r="G51" s="816">
        <f>E51*F51</f>
        <v>119</v>
      </c>
      <c r="H51" s="782"/>
    </row>
    <row r="52" spans="1:10">
      <c r="A52" s="782"/>
      <c r="B52" s="917"/>
      <c r="C52" s="826" t="s">
        <v>1776</v>
      </c>
      <c r="D52" s="827">
        <f>$D$4</f>
        <v>0</v>
      </c>
      <c r="E52" s="917"/>
      <c r="F52" s="824"/>
      <c r="G52" s="816">
        <f>ROUND(G51*D52,2)</f>
        <v>0</v>
      </c>
      <c r="H52" s="782"/>
    </row>
    <row r="53" spans="1:10">
      <c r="A53" s="782"/>
      <c r="B53" s="914"/>
      <c r="C53" s="905" t="s">
        <v>1777</v>
      </c>
      <c r="D53" s="917"/>
      <c r="E53" s="917"/>
      <c r="F53" s="824"/>
      <c r="G53" s="816">
        <f>SUM(G51:G52)</f>
        <v>119</v>
      </c>
      <c r="H53" s="782"/>
    </row>
    <row r="54" spans="1:10">
      <c r="A54" s="782"/>
      <c r="B54" s="914"/>
      <c r="C54" s="820" t="s">
        <v>1778</v>
      </c>
      <c r="D54" s="917"/>
      <c r="E54" s="917"/>
      <c r="F54" s="824"/>
      <c r="G54" s="816"/>
      <c r="H54" s="782"/>
    </row>
    <row r="55" spans="1:10">
      <c r="A55" s="782"/>
      <c r="B55" s="914"/>
      <c r="C55" s="782" t="s">
        <v>1733</v>
      </c>
      <c r="D55" s="917" t="s">
        <v>594</v>
      </c>
      <c r="E55" s="917">
        <v>0.05</v>
      </c>
      <c r="F55" s="825">
        <f>$H$3</f>
        <v>620</v>
      </c>
      <c r="G55" s="816">
        <f>F55*E55</f>
        <v>31</v>
      </c>
      <c r="H55" s="782"/>
    </row>
    <row r="56" spans="1:10">
      <c r="A56" s="782"/>
      <c r="B56" s="914"/>
      <c r="C56" s="782" t="s">
        <v>330</v>
      </c>
      <c r="D56" s="917" t="s">
        <v>594</v>
      </c>
      <c r="E56" s="917">
        <v>0.05</v>
      </c>
      <c r="F56" s="825">
        <f>$H$5</f>
        <v>515</v>
      </c>
      <c r="G56" s="816">
        <f>F56*E56</f>
        <v>25.75</v>
      </c>
      <c r="H56" s="782"/>
    </row>
    <row r="57" spans="1:10">
      <c r="A57" s="782"/>
      <c r="B57" s="914"/>
      <c r="C57" s="826" t="s">
        <v>1760</v>
      </c>
      <c r="D57" s="828">
        <f>D44</f>
        <v>0</v>
      </c>
      <c r="E57" s="914"/>
      <c r="F57" s="824"/>
      <c r="G57" s="821">
        <f>ROUND(D57*(G56+G55),2)</f>
        <v>0</v>
      </c>
      <c r="H57" s="782"/>
    </row>
    <row r="58" spans="1:10">
      <c r="A58" s="782"/>
      <c r="B58" s="914"/>
      <c r="C58" s="826" t="s">
        <v>1779</v>
      </c>
      <c r="D58" s="827">
        <f>$D$5</f>
        <v>0</v>
      </c>
      <c r="E58" s="914"/>
      <c r="F58" s="824">
        <f>SUM(G54:G57)</f>
        <v>56.75</v>
      </c>
      <c r="G58" s="821">
        <f>ROUND(D58*F58,2)</f>
        <v>0</v>
      </c>
      <c r="H58" s="782"/>
    </row>
    <row r="59" spans="1:10">
      <c r="A59" s="782"/>
      <c r="B59" s="914"/>
      <c r="C59" s="905" t="s">
        <v>1780</v>
      </c>
      <c r="D59" s="917"/>
      <c r="E59" s="917"/>
      <c r="F59" s="824"/>
      <c r="G59" s="821">
        <f>G53+G55+G56+G58</f>
        <v>175.75</v>
      </c>
      <c r="H59" s="782"/>
    </row>
    <row r="60" spans="1:10">
      <c r="A60" s="782"/>
      <c r="B60" s="917"/>
      <c r="C60" s="820"/>
      <c r="D60" s="914"/>
      <c r="E60" s="914"/>
      <c r="F60" s="823"/>
      <c r="G60" s="821"/>
      <c r="H60" s="782"/>
    </row>
    <row r="61" spans="1:10" ht="82.5" customHeight="1">
      <c r="A61" s="914">
        <v>4</v>
      </c>
      <c r="B61" s="917" t="s">
        <v>1781</v>
      </c>
      <c r="C61" s="912" t="s">
        <v>2418</v>
      </c>
      <c r="D61" s="912"/>
      <c r="E61" s="912"/>
      <c r="F61" s="912"/>
      <c r="G61" s="912"/>
      <c r="H61" s="911" t="s">
        <v>2204</v>
      </c>
    </row>
    <row r="62" spans="1:10" ht="28.5" customHeight="1">
      <c r="A62" s="782"/>
      <c r="B62" s="917"/>
      <c r="C62" s="911" t="s">
        <v>1782</v>
      </c>
      <c r="D62" s="917"/>
      <c r="E62" s="917"/>
      <c r="F62" s="815"/>
      <c r="G62" s="816"/>
      <c r="H62" s="829" t="s">
        <v>2205</v>
      </c>
    </row>
    <row r="63" spans="1:10">
      <c r="A63" s="782"/>
      <c r="B63" s="917"/>
      <c r="C63" s="817" t="s">
        <v>1744</v>
      </c>
      <c r="D63" s="917"/>
      <c r="E63" s="917"/>
      <c r="F63" s="815"/>
      <c r="G63" s="816"/>
      <c r="H63" s="782"/>
      <c r="J63" s="917" t="s">
        <v>1783</v>
      </c>
    </row>
    <row r="64" spans="1:10" ht="24.6">
      <c r="A64" s="782"/>
      <c r="B64" s="782" t="s">
        <v>1784</v>
      </c>
      <c r="C64" s="905" t="s">
        <v>1785</v>
      </c>
      <c r="D64" s="818" t="s">
        <v>1747</v>
      </c>
      <c r="E64" s="917">
        <v>1</v>
      </c>
      <c r="F64" s="815">
        <v>1103</v>
      </c>
      <c r="G64" s="816">
        <f>F64*E64</f>
        <v>1103</v>
      </c>
      <c r="H64" s="782"/>
      <c r="J64" s="917" t="s">
        <v>1786</v>
      </c>
    </row>
    <row r="65" spans="1:10">
      <c r="A65" s="782"/>
      <c r="B65" s="782" t="s">
        <v>1787</v>
      </c>
      <c r="C65" s="905" t="s">
        <v>1788</v>
      </c>
      <c r="D65" s="917" t="s">
        <v>331</v>
      </c>
      <c r="E65" s="917">
        <v>6</v>
      </c>
      <c r="F65" s="815">
        <v>69</v>
      </c>
      <c r="G65" s="816">
        <f>F65*E65</f>
        <v>414</v>
      </c>
      <c r="H65" s="782"/>
      <c r="J65" s="917" t="s">
        <v>1789</v>
      </c>
    </row>
    <row r="66" spans="1:10">
      <c r="A66" s="782"/>
      <c r="B66" s="913" t="s">
        <v>1790</v>
      </c>
      <c r="C66" s="905" t="s">
        <v>1791</v>
      </c>
      <c r="D66" s="917" t="s">
        <v>331</v>
      </c>
      <c r="E66" s="917">
        <v>1</v>
      </c>
      <c r="F66" s="815">
        <v>148</v>
      </c>
      <c r="G66" s="830">
        <f>F66*E66</f>
        <v>148</v>
      </c>
      <c r="H66" s="782"/>
      <c r="J66" s="917"/>
    </row>
    <row r="67" spans="1:10">
      <c r="A67" s="782"/>
      <c r="B67" s="782" t="s">
        <v>1792</v>
      </c>
      <c r="C67" s="905" t="s">
        <v>1793</v>
      </c>
      <c r="D67" s="917" t="s">
        <v>331</v>
      </c>
      <c r="E67" s="917">
        <v>6</v>
      </c>
      <c r="F67" s="815">
        <v>21</v>
      </c>
      <c r="G67" s="816">
        <f>F67*E67</f>
        <v>126</v>
      </c>
      <c r="H67" s="782"/>
      <c r="J67" s="917" t="s">
        <v>1794</v>
      </c>
    </row>
    <row r="68" spans="1:10">
      <c r="A68" s="782"/>
      <c r="B68" s="917"/>
      <c r="C68" s="905"/>
      <c r="D68" s="917"/>
      <c r="E68" s="917"/>
      <c r="F68" s="815"/>
      <c r="G68" s="816">
        <f>SUM(G64:G67)</f>
        <v>1791</v>
      </c>
      <c r="H68" s="782"/>
    </row>
    <row r="69" spans="1:10">
      <c r="A69" s="782"/>
      <c r="B69" s="917"/>
      <c r="C69" s="905" t="s">
        <v>1754</v>
      </c>
      <c r="D69" s="819">
        <f>$D$4</f>
        <v>0</v>
      </c>
      <c r="E69" s="917"/>
      <c r="F69" s="815"/>
      <c r="G69" s="816">
        <f>ROUND(G68*D69,2)</f>
        <v>0</v>
      </c>
      <c r="H69" s="782"/>
    </row>
    <row r="70" spans="1:10">
      <c r="A70" s="782"/>
      <c r="B70" s="917"/>
      <c r="C70" s="905" t="s">
        <v>1755</v>
      </c>
      <c r="D70" s="917"/>
      <c r="E70" s="917"/>
      <c r="F70" s="815"/>
      <c r="G70" s="816">
        <f>SUM(G68:G69)</f>
        <v>1791</v>
      </c>
      <c r="H70" s="782"/>
    </row>
    <row r="71" spans="1:10">
      <c r="A71" s="782"/>
      <c r="B71" s="917"/>
      <c r="C71" s="820" t="s">
        <v>1756</v>
      </c>
      <c r="D71" s="917"/>
      <c r="E71" s="917"/>
      <c r="F71" s="815"/>
      <c r="G71" s="816"/>
      <c r="H71" s="782"/>
    </row>
    <row r="72" spans="1:10">
      <c r="A72" s="782"/>
      <c r="B72" s="913"/>
      <c r="C72" s="905" t="s">
        <v>1733</v>
      </c>
      <c r="D72" s="818" t="s">
        <v>594</v>
      </c>
      <c r="E72" s="917">
        <v>0.6</v>
      </c>
      <c r="F72" s="831">
        <f>$H$3</f>
        <v>620</v>
      </c>
      <c r="G72" s="816">
        <f>F72*E72</f>
        <v>372</v>
      </c>
      <c r="H72" s="782"/>
    </row>
    <row r="73" spans="1:10">
      <c r="A73" s="782"/>
      <c r="B73" s="913"/>
      <c r="C73" s="905" t="s">
        <v>1735</v>
      </c>
      <c r="D73" s="818" t="s">
        <v>594</v>
      </c>
      <c r="E73" s="917">
        <v>1.2</v>
      </c>
      <c r="F73" s="831">
        <f>$H$4</f>
        <v>515</v>
      </c>
      <c r="G73" s="816">
        <f>F73*E73</f>
        <v>618</v>
      </c>
      <c r="H73" s="782"/>
    </row>
    <row r="74" spans="1:10">
      <c r="A74" s="782"/>
      <c r="B74" s="913"/>
      <c r="C74" s="905" t="s">
        <v>1737</v>
      </c>
      <c r="D74" s="818" t="s">
        <v>594</v>
      </c>
      <c r="E74" s="917">
        <v>0.6</v>
      </c>
      <c r="F74" s="831">
        <f>F42</f>
        <v>515</v>
      </c>
      <c r="G74" s="816">
        <f>F74*E74</f>
        <v>309</v>
      </c>
      <c r="H74" s="782"/>
    </row>
    <row r="75" spans="1:10">
      <c r="A75" s="782"/>
      <c r="B75" s="917"/>
      <c r="C75" s="820" t="s">
        <v>1760</v>
      </c>
      <c r="D75" s="771">
        <f>$D$3</f>
        <v>0</v>
      </c>
      <c r="E75" s="914"/>
      <c r="F75" s="815"/>
      <c r="G75" s="821">
        <f>ROUND(D75*(G74+G73+G72+G71),2)</f>
        <v>0</v>
      </c>
      <c r="H75" s="782"/>
    </row>
    <row r="76" spans="1:10">
      <c r="A76" s="782"/>
      <c r="B76" s="917"/>
      <c r="C76" s="905" t="s">
        <v>1761</v>
      </c>
      <c r="D76" s="772">
        <f>D45</f>
        <v>0</v>
      </c>
      <c r="E76" s="914"/>
      <c r="F76" s="815">
        <f>SUM(G72:G75)</f>
        <v>1299</v>
      </c>
      <c r="G76" s="821">
        <f>ROUND(D76*F76,2)</f>
        <v>0</v>
      </c>
      <c r="H76" s="782"/>
    </row>
    <row r="77" spans="1:10">
      <c r="A77" s="782"/>
      <c r="B77" s="917"/>
      <c r="C77" s="820" t="s">
        <v>1795</v>
      </c>
      <c r="D77" s="917"/>
      <c r="E77" s="917"/>
      <c r="F77" s="815"/>
      <c r="G77" s="821">
        <f>SUM(G70:G76)</f>
        <v>3090</v>
      </c>
      <c r="H77" s="782"/>
    </row>
    <row r="78" spans="1:10">
      <c r="A78" s="782"/>
      <c r="B78" s="917"/>
      <c r="C78" s="820" t="s">
        <v>1796</v>
      </c>
      <c r="D78" s="917"/>
      <c r="E78" s="917"/>
      <c r="F78" s="815"/>
      <c r="G78" s="821">
        <f>CEILING(G77/6,0.05)</f>
        <v>515</v>
      </c>
      <c r="H78" s="823"/>
    </row>
    <row r="79" spans="1:10" s="1125" customFormat="1" hidden="1">
      <c r="A79" s="914"/>
      <c r="B79" s="917"/>
      <c r="C79" s="914"/>
      <c r="D79" s="914"/>
      <c r="E79" s="914"/>
      <c r="F79" s="774"/>
      <c r="G79" s="832"/>
      <c r="H79" s="914"/>
    </row>
    <row r="80" spans="1:10" s="1125" customFormat="1" ht="75" hidden="1" customHeight="1">
      <c r="A80" s="914" t="s">
        <v>1797</v>
      </c>
      <c r="B80" s="917" t="s">
        <v>1798</v>
      </c>
      <c r="C80" s="912" t="s">
        <v>2183</v>
      </c>
      <c r="D80" s="912"/>
      <c r="E80" s="912"/>
      <c r="F80" s="912"/>
      <c r="G80" s="912"/>
      <c r="H80" s="914"/>
    </row>
    <row r="81" spans="1:9" s="1125" customFormat="1" hidden="1">
      <c r="A81" s="914"/>
      <c r="B81" s="917"/>
      <c r="C81" s="910" t="str">
        <f>CONCATENATE("Rate as per light point in Non Residental Building =",G78)</f>
        <v>Rate as per light point in Non Residental Building =515</v>
      </c>
      <c r="D81" s="917"/>
      <c r="E81" s="917"/>
      <c r="F81" s="833"/>
      <c r="G81" s="834"/>
      <c r="H81" s="917"/>
    </row>
    <row r="82" spans="1:9" s="1125" customFormat="1" hidden="1">
      <c r="A82" s="914"/>
      <c r="B82" s="917"/>
      <c r="C82" s="910" t="s">
        <v>1799</v>
      </c>
      <c r="D82" s="917">
        <v>1</v>
      </c>
      <c r="E82" s="825">
        <v>1.5</v>
      </c>
      <c r="F82" s="833">
        <f>G78</f>
        <v>515</v>
      </c>
      <c r="G82" s="835">
        <f>CEILING(F82*E82/D82,0.05)</f>
        <v>772.5</v>
      </c>
      <c r="H82" s="917"/>
    </row>
    <row r="83" spans="1:9" s="1125" customFormat="1" hidden="1">
      <c r="A83" s="914"/>
      <c r="B83" s="917"/>
      <c r="C83" s="910"/>
      <c r="D83" s="917"/>
      <c r="E83" s="825"/>
      <c r="F83" s="833"/>
      <c r="G83" s="835"/>
      <c r="H83" s="917"/>
    </row>
    <row r="84" spans="1:9" ht="78.75" hidden="1" customHeight="1">
      <c r="A84" s="914">
        <v>4</v>
      </c>
      <c r="B84" s="917" t="s">
        <v>1781</v>
      </c>
      <c r="C84" s="912" t="s">
        <v>2184</v>
      </c>
      <c r="D84" s="912"/>
      <c r="E84" s="912"/>
      <c r="F84" s="912"/>
      <c r="G84" s="912"/>
      <c r="H84" s="911"/>
    </row>
    <row r="85" spans="1:9" hidden="1">
      <c r="A85" s="782"/>
      <c r="B85" s="917"/>
      <c r="C85" s="911" t="s">
        <v>1800</v>
      </c>
      <c r="D85" s="917"/>
      <c r="E85" s="917"/>
      <c r="F85" s="815"/>
      <c r="G85" s="816"/>
      <c r="H85" s="829"/>
    </row>
    <row r="86" spans="1:9" hidden="1">
      <c r="A86" s="782"/>
      <c r="B86" s="917"/>
      <c r="C86" s="817" t="s">
        <v>1744</v>
      </c>
      <c r="D86" s="917"/>
      <c r="E86" s="917"/>
      <c r="F86" s="815"/>
      <c r="G86" s="816"/>
      <c r="H86" s="782"/>
      <c r="I86" s="785"/>
    </row>
    <row r="87" spans="1:9" ht="24.6" hidden="1">
      <c r="A87" s="782"/>
      <c r="B87" s="782" t="s">
        <v>1784</v>
      </c>
      <c r="C87" s="905" t="s">
        <v>1785</v>
      </c>
      <c r="D87" s="818" t="s">
        <v>1747</v>
      </c>
      <c r="E87" s="917">
        <v>1</v>
      </c>
      <c r="F87" s="815">
        <v>1050</v>
      </c>
      <c r="G87" s="816">
        <f>F87*E87</f>
        <v>1050</v>
      </c>
      <c r="H87" s="782"/>
      <c r="I87" s="785"/>
    </row>
    <row r="88" spans="1:9" hidden="1">
      <c r="A88" s="782"/>
      <c r="B88" s="782" t="s">
        <v>1787</v>
      </c>
      <c r="C88" s="905" t="s">
        <v>1788</v>
      </c>
      <c r="D88" s="917" t="s">
        <v>331</v>
      </c>
      <c r="E88" s="917">
        <v>7</v>
      </c>
      <c r="F88" s="815">
        <v>63</v>
      </c>
      <c r="G88" s="816">
        <f>F88*E88</f>
        <v>441</v>
      </c>
      <c r="H88" s="782"/>
      <c r="I88" s="785"/>
    </row>
    <row r="89" spans="1:9" hidden="1">
      <c r="A89" s="782"/>
      <c r="B89" s="913" t="s">
        <v>1790</v>
      </c>
      <c r="C89" s="905" t="s">
        <v>1791</v>
      </c>
      <c r="D89" s="917" t="s">
        <v>331</v>
      </c>
      <c r="E89" s="917">
        <v>1</v>
      </c>
      <c r="F89" s="815">
        <v>141</v>
      </c>
      <c r="G89" s="830">
        <f>F89*E89</f>
        <v>141</v>
      </c>
      <c r="H89" s="782"/>
      <c r="I89" s="785"/>
    </row>
    <row r="90" spans="1:9" hidden="1">
      <c r="A90" s="782"/>
      <c r="B90" s="782" t="s">
        <v>1792</v>
      </c>
      <c r="C90" s="905" t="s">
        <v>1793</v>
      </c>
      <c r="D90" s="917" t="s">
        <v>331</v>
      </c>
      <c r="E90" s="917">
        <v>7</v>
      </c>
      <c r="F90" s="815">
        <v>19</v>
      </c>
      <c r="G90" s="816">
        <f>F90*E90</f>
        <v>133</v>
      </c>
      <c r="H90" s="782"/>
      <c r="I90" s="785"/>
    </row>
    <row r="91" spans="1:9" hidden="1">
      <c r="A91" s="782"/>
      <c r="B91" s="782" t="s">
        <v>1801</v>
      </c>
      <c r="C91" s="905"/>
      <c r="D91" s="917"/>
      <c r="E91" s="917"/>
      <c r="F91" s="815"/>
      <c r="G91" s="816">
        <f>F91*E91</f>
        <v>0</v>
      </c>
      <c r="H91" s="782"/>
    </row>
    <row r="92" spans="1:9" hidden="1">
      <c r="A92" s="782"/>
      <c r="B92" s="917"/>
      <c r="C92" s="905"/>
      <c r="D92" s="917"/>
      <c r="E92" s="917"/>
      <c r="F92" s="815"/>
      <c r="G92" s="816">
        <f>SUM(G87:G91)</f>
        <v>1765</v>
      </c>
      <c r="H92" s="782"/>
    </row>
    <row r="93" spans="1:9" hidden="1">
      <c r="A93" s="782"/>
      <c r="B93" s="917"/>
      <c r="C93" s="905" t="s">
        <v>1754</v>
      </c>
      <c r="D93" s="819">
        <f>$D$4</f>
        <v>0</v>
      </c>
      <c r="E93" s="917"/>
      <c r="F93" s="815"/>
      <c r="G93" s="816">
        <f>ROUND(G92*D93,2)</f>
        <v>0</v>
      </c>
      <c r="H93" s="782"/>
    </row>
    <row r="94" spans="1:9" hidden="1">
      <c r="A94" s="782"/>
      <c r="B94" s="917"/>
      <c r="C94" s="905" t="s">
        <v>1755</v>
      </c>
      <c r="D94" s="917"/>
      <c r="E94" s="917"/>
      <c r="F94" s="815"/>
      <c r="G94" s="816">
        <f>SUM(G92:G93)</f>
        <v>1765</v>
      </c>
      <c r="H94" s="782"/>
    </row>
    <row r="95" spans="1:9" hidden="1">
      <c r="A95" s="782"/>
      <c r="B95" s="917"/>
      <c r="C95" s="820" t="s">
        <v>1756</v>
      </c>
      <c r="D95" s="917"/>
      <c r="E95" s="917"/>
      <c r="F95" s="815"/>
      <c r="G95" s="816"/>
      <c r="H95" s="782"/>
    </row>
    <row r="96" spans="1:9" hidden="1">
      <c r="A96" s="782"/>
      <c r="B96" s="913"/>
      <c r="C96" s="905" t="s">
        <v>1733</v>
      </c>
      <c r="D96" s="818" t="s">
        <v>594</v>
      </c>
      <c r="E96" s="917">
        <v>0.7</v>
      </c>
      <c r="F96" s="831">
        <f>$H$3</f>
        <v>620</v>
      </c>
      <c r="G96" s="816">
        <f>F96*E96</f>
        <v>434</v>
      </c>
      <c r="H96" s="782"/>
    </row>
    <row r="97" spans="1:8" hidden="1">
      <c r="A97" s="782"/>
      <c r="B97" s="913"/>
      <c r="C97" s="905" t="s">
        <v>1735</v>
      </c>
      <c r="D97" s="818" t="s">
        <v>594</v>
      </c>
      <c r="E97" s="917">
        <v>1.4</v>
      </c>
      <c r="F97" s="831">
        <f>$H$4</f>
        <v>515</v>
      </c>
      <c r="G97" s="816">
        <f>F97*E97</f>
        <v>721</v>
      </c>
      <c r="H97" s="782"/>
    </row>
    <row r="98" spans="1:8" hidden="1">
      <c r="A98" s="782"/>
      <c r="B98" s="913"/>
      <c r="C98" s="905" t="s">
        <v>1737</v>
      </c>
      <c r="D98" s="818" t="s">
        <v>594</v>
      </c>
      <c r="E98" s="917">
        <v>0.7</v>
      </c>
      <c r="F98" s="831">
        <f>$H$5</f>
        <v>515</v>
      </c>
      <c r="G98" s="816">
        <f>F98*E98</f>
        <v>360.5</v>
      </c>
      <c r="H98" s="782"/>
    </row>
    <row r="99" spans="1:8" hidden="1">
      <c r="A99" s="782"/>
      <c r="B99" s="917"/>
      <c r="C99" s="820" t="s">
        <v>1760</v>
      </c>
      <c r="D99" s="771">
        <f>$D$3</f>
        <v>0</v>
      </c>
      <c r="E99" s="914"/>
      <c r="F99" s="815"/>
      <c r="G99" s="821">
        <f>ROUND(D99*(G98+G97+G96+G95),2)</f>
        <v>0</v>
      </c>
      <c r="H99" s="782"/>
    </row>
    <row r="100" spans="1:8" hidden="1">
      <c r="A100" s="782"/>
      <c r="B100" s="917"/>
      <c r="C100" s="905" t="s">
        <v>1761</v>
      </c>
      <c r="D100" s="818">
        <f>$D$5</f>
        <v>0</v>
      </c>
      <c r="E100" s="914"/>
      <c r="F100" s="815">
        <f>SUM(G96:G99)</f>
        <v>1515.5</v>
      </c>
      <c r="G100" s="821">
        <f>ROUND(D100*F100,2)</f>
        <v>0</v>
      </c>
      <c r="H100" s="782"/>
    </row>
    <row r="101" spans="1:8" hidden="1">
      <c r="A101" s="782"/>
      <c r="B101" s="917"/>
      <c r="C101" s="820" t="s">
        <v>1795</v>
      </c>
      <c r="D101" s="917"/>
      <c r="E101" s="917"/>
      <c r="F101" s="815"/>
      <c r="G101" s="821">
        <f>SUM(G94:G100)</f>
        <v>3280.5</v>
      </c>
      <c r="H101" s="782"/>
    </row>
    <row r="102" spans="1:8" hidden="1">
      <c r="A102" s="782"/>
      <c r="B102" s="917"/>
      <c r="C102" s="820" t="s">
        <v>1802</v>
      </c>
      <c r="D102" s="917"/>
      <c r="E102" s="917"/>
      <c r="F102" s="815"/>
      <c r="G102" s="821">
        <f>CEILING(G101/7,0.05)</f>
        <v>468.65000000000003</v>
      </c>
      <c r="H102" s="823"/>
    </row>
    <row r="103" spans="1:8" s="1125" customFormat="1" hidden="1">
      <c r="A103" s="914"/>
      <c r="B103" s="917"/>
      <c r="C103" s="910"/>
      <c r="D103" s="917"/>
      <c r="E103" s="825"/>
      <c r="F103" s="833"/>
      <c r="G103" s="835"/>
      <c r="H103" s="917"/>
    </row>
    <row r="104" spans="1:8" s="1125" customFormat="1" ht="84" hidden="1" customHeight="1">
      <c r="A104" s="914">
        <v>5</v>
      </c>
      <c r="B104" s="917" t="s">
        <v>1798</v>
      </c>
      <c r="C104" s="912" t="s">
        <v>2206</v>
      </c>
      <c r="D104" s="912"/>
      <c r="E104" s="912"/>
      <c r="F104" s="912"/>
      <c r="G104" s="912"/>
      <c r="H104" s="914"/>
    </row>
    <row r="105" spans="1:8" s="1125" customFormat="1" hidden="1">
      <c r="A105" s="914"/>
      <c r="B105" s="917"/>
      <c r="C105" s="910" t="str">
        <f>CONCATENATE("Rate as per light point in Non Residental Building =",G102)</f>
        <v>Rate as per light point in Non Residental Building =468.65</v>
      </c>
      <c r="D105" s="917"/>
      <c r="E105" s="917"/>
      <c r="F105" s="833"/>
      <c r="G105" s="834"/>
      <c r="H105" s="917"/>
    </row>
    <row r="106" spans="1:8" s="1125" customFormat="1" hidden="1">
      <c r="A106" s="914"/>
      <c r="B106" s="917"/>
      <c r="C106" s="910" t="s">
        <v>1799</v>
      </c>
      <c r="D106" s="917">
        <v>1</v>
      </c>
      <c r="E106" s="825">
        <v>1.5</v>
      </c>
      <c r="F106" s="833">
        <f>G102</f>
        <v>468.65000000000003</v>
      </c>
      <c r="G106" s="835">
        <f>CEILING(F106*E106/D106,0.05)</f>
        <v>703</v>
      </c>
      <c r="H106" s="917"/>
    </row>
    <row r="107" spans="1:8" s="1125" customFormat="1" hidden="1">
      <c r="A107" s="914"/>
      <c r="B107" s="917"/>
      <c r="C107" s="910"/>
      <c r="D107" s="917"/>
      <c r="E107" s="825"/>
      <c r="F107" s="833"/>
      <c r="G107" s="835"/>
      <c r="H107" s="917"/>
    </row>
    <row r="108" spans="1:8" s="1125" customFormat="1" hidden="1">
      <c r="A108" s="914"/>
      <c r="B108" s="917"/>
      <c r="C108" s="910"/>
      <c r="D108" s="917"/>
      <c r="E108" s="825"/>
      <c r="F108" s="833"/>
      <c r="G108" s="835"/>
      <c r="H108" s="917"/>
    </row>
    <row r="109" spans="1:8" s="1125" customFormat="1" hidden="1">
      <c r="A109" s="914"/>
      <c r="B109" s="917"/>
      <c r="C109" s="836"/>
      <c r="D109" s="917"/>
      <c r="E109" s="825"/>
      <c r="F109" s="833"/>
      <c r="G109" s="835"/>
      <c r="H109" s="917"/>
    </row>
    <row r="110" spans="1:8" ht="86.1">
      <c r="A110" s="914">
        <v>6</v>
      </c>
      <c r="B110" s="917" t="s">
        <v>1803</v>
      </c>
      <c r="C110" s="907" t="s">
        <v>2419</v>
      </c>
      <c r="D110" s="907"/>
      <c r="E110" s="907"/>
      <c r="F110" s="907"/>
      <c r="G110" s="907"/>
      <c r="H110" s="782"/>
    </row>
    <row r="111" spans="1:8">
      <c r="A111" s="782"/>
      <c r="B111" s="917"/>
      <c r="C111" s="911" t="s">
        <v>1804</v>
      </c>
      <c r="D111" s="782"/>
      <c r="E111" s="782"/>
      <c r="F111" s="815"/>
      <c r="G111" s="816"/>
      <c r="H111" s="782"/>
    </row>
    <row r="112" spans="1:8">
      <c r="A112" s="782"/>
      <c r="B112" s="917"/>
      <c r="C112" s="817" t="s">
        <v>1744</v>
      </c>
      <c r="D112" s="782"/>
      <c r="E112" s="782"/>
      <c r="F112" s="815"/>
      <c r="G112" s="816"/>
      <c r="H112" s="782"/>
    </row>
    <row r="113" spans="1:10" ht="24.6">
      <c r="A113" s="782"/>
      <c r="B113" s="913" t="s">
        <v>1787</v>
      </c>
      <c r="C113" s="905" t="s">
        <v>1805</v>
      </c>
      <c r="D113" s="917" t="s">
        <v>331</v>
      </c>
      <c r="E113" s="917">
        <v>1</v>
      </c>
      <c r="F113" s="815">
        <v>103</v>
      </c>
      <c r="G113" s="816">
        <f>F113*E113</f>
        <v>103</v>
      </c>
      <c r="H113" s="782"/>
      <c r="I113" s="786"/>
    </row>
    <row r="114" spans="1:10">
      <c r="A114" s="782"/>
      <c r="B114" s="913" t="s">
        <v>1787</v>
      </c>
      <c r="C114" s="905" t="s">
        <v>1788</v>
      </c>
      <c r="D114" s="917" t="s">
        <v>331</v>
      </c>
      <c r="E114" s="917">
        <v>1</v>
      </c>
      <c r="F114" s="815">
        <v>69</v>
      </c>
      <c r="G114" s="816">
        <f>F114*E114</f>
        <v>69</v>
      </c>
      <c r="H114" s="782"/>
      <c r="I114" s="786"/>
    </row>
    <row r="115" spans="1:10">
      <c r="A115" s="782"/>
      <c r="B115" s="913"/>
      <c r="C115" s="905"/>
      <c r="D115" s="917"/>
      <c r="E115" s="917"/>
      <c r="F115" s="815"/>
      <c r="G115" s="816"/>
      <c r="H115" s="782"/>
      <c r="I115" s="786"/>
    </row>
    <row r="116" spans="1:10">
      <c r="A116" s="782"/>
      <c r="B116" s="784"/>
      <c r="C116" s="905"/>
      <c r="D116" s="917"/>
      <c r="E116" s="917"/>
      <c r="F116" s="815"/>
      <c r="G116" s="816">
        <f>SUM(G113:G114)</f>
        <v>172</v>
      </c>
      <c r="H116" s="782"/>
    </row>
    <row r="117" spans="1:10">
      <c r="A117" s="782"/>
      <c r="B117" s="784"/>
      <c r="C117" s="905" t="s">
        <v>1754</v>
      </c>
      <c r="D117" s="819">
        <f>$D$4</f>
        <v>0</v>
      </c>
      <c r="E117" s="917"/>
      <c r="F117" s="815"/>
      <c r="G117" s="816">
        <f>ROUND(G116*D117,2)</f>
        <v>0</v>
      </c>
      <c r="H117" s="782"/>
    </row>
    <row r="118" spans="1:10">
      <c r="A118" s="782"/>
      <c r="B118" s="784"/>
      <c r="C118" s="905" t="s">
        <v>1755</v>
      </c>
      <c r="D118" s="917"/>
      <c r="E118" s="917"/>
      <c r="F118" s="815"/>
      <c r="G118" s="816">
        <f>SUM(G116:G117)</f>
        <v>172</v>
      </c>
      <c r="H118" s="782"/>
    </row>
    <row r="119" spans="1:10">
      <c r="A119" s="782"/>
      <c r="B119" s="784"/>
      <c r="C119" s="820" t="s">
        <v>1756</v>
      </c>
      <c r="D119" s="917"/>
      <c r="E119" s="917"/>
      <c r="F119" s="815"/>
      <c r="G119" s="816"/>
      <c r="H119" s="782"/>
    </row>
    <row r="120" spans="1:10">
      <c r="A120" s="782"/>
      <c r="B120" s="787"/>
      <c r="C120" s="905" t="s">
        <v>1733</v>
      </c>
      <c r="D120" s="818" t="s">
        <v>594</v>
      </c>
      <c r="E120" s="917">
        <v>6.7000000000000004E-2</v>
      </c>
      <c r="F120" s="914">
        <f>$H$3</f>
        <v>620</v>
      </c>
      <c r="G120" s="816">
        <f>F120*E120</f>
        <v>41.54</v>
      </c>
      <c r="H120" s="782"/>
      <c r="J120" s="914">
        <f>$H$3</f>
        <v>620</v>
      </c>
    </row>
    <row r="121" spans="1:10">
      <c r="A121" s="782"/>
      <c r="B121" s="787"/>
      <c r="C121" s="905" t="s">
        <v>1737</v>
      </c>
      <c r="D121" s="818" t="s">
        <v>594</v>
      </c>
      <c r="E121" s="917">
        <v>6.7000000000000004E-2</v>
      </c>
      <c r="F121" s="914">
        <f>$H$5</f>
        <v>515</v>
      </c>
      <c r="G121" s="816">
        <f>F121*E121</f>
        <v>34.505000000000003</v>
      </c>
      <c r="H121" s="782"/>
      <c r="J121" s="914">
        <f>$H$4</f>
        <v>515</v>
      </c>
    </row>
    <row r="122" spans="1:10">
      <c r="A122" s="782"/>
      <c r="B122" s="914"/>
      <c r="C122" s="820" t="s">
        <v>1760</v>
      </c>
      <c r="D122" s="771">
        <f>$D$3</f>
        <v>0</v>
      </c>
      <c r="E122" s="914"/>
      <c r="F122" s="815"/>
      <c r="G122" s="821">
        <f>ROUND(D122*(G121+G120+G119),2)</f>
        <v>0</v>
      </c>
      <c r="H122" s="782"/>
      <c r="J122" s="914">
        <f>$H$5</f>
        <v>515</v>
      </c>
    </row>
    <row r="123" spans="1:10">
      <c r="A123" s="782"/>
      <c r="B123" s="917"/>
      <c r="C123" s="905" t="s">
        <v>1761</v>
      </c>
      <c r="D123" s="772">
        <f>D$5</f>
        <v>0</v>
      </c>
      <c r="E123" s="914"/>
      <c r="F123" s="815">
        <f>SUM(G119:G122)</f>
        <v>76.045000000000002</v>
      </c>
      <c r="G123" s="821">
        <f>ROUND(D123*F123,2)</f>
        <v>0</v>
      </c>
      <c r="H123" s="782"/>
    </row>
    <row r="124" spans="1:10">
      <c r="A124" s="782"/>
      <c r="B124" s="917"/>
      <c r="C124" s="820" t="s">
        <v>1806</v>
      </c>
      <c r="D124" s="917"/>
      <c r="E124" s="917"/>
      <c r="F124" s="815"/>
      <c r="G124" s="821">
        <f>CEILING(SUM(G118:G123),0.05)</f>
        <v>248.05</v>
      </c>
      <c r="H124" s="782"/>
    </row>
    <row r="125" spans="1:10" ht="12.75" customHeight="1">
      <c r="A125" s="782"/>
      <c r="B125" s="917"/>
      <c r="C125" s="905" t="s">
        <v>1807</v>
      </c>
      <c r="D125" s="905"/>
      <c r="E125" s="917"/>
      <c r="F125" s="815"/>
      <c r="G125" s="816"/>
      <c r="H125" s="782"/>
    </row>
    <row r="126" spans="1:10" hidden="1">
      <c r="A126" s="782"/>
      <c r="B126" s="917"/>
      <c r="C126" s="905"/>
      <c r="D126" s="905"/>
      <c r="E126" s="917"/>
      <c r="F126" s="815"/>
      <c r="G126" s="816"/>
      <c r="H126" s="782"/>
    </row>
    <row r="127" spans="1:10" ht="12.75" hidden="1" customHeight="1">
      <c r="A127" s="914">
        <f>A110+1</f>
        <v>7</v>
      </c>
      <c r="B127" s="917" t="s">
        <v>1808</v>
      </c>
      <c r="C127" s="912" t="s">
        <v>2185</v>
      </c>
      <c r="D127" s="912"/>
      <c r="E127" s="912"/>
      <c r="F127" s="912"/>
      <c r="G127" s="912"/>
      <c r="H127" s="823"/>
    </row>
    <row r="128" spans="1:10" hidden="1">
      <c r="A128" s="782"/>
      <c r="B128" s="917"/>
      <c r="C128" s="911" t="s">
        <v>1809</v>
      </c>
      <c r="D128" s="917"/>
      <c r="E128" s="782"/>
      <c r="F128" s="824"/>
      <c r="G128" s="816"/>
      <c r="H128" s="837"/>
    </row>
    <row r="129" spans="1:8" hidden="1">
      <c r="A129" s="782"/>
      <c r="B129" s="917"/>
      <c r="C129" s="817" t="s">
        <v>1744</v>
      </c>
      <c r="D129" s="917"/>
      <c r="E129" s="782"/>
      <c r="F129" s="824"/>
      <c r="G129" s="816"/>
      <c r="H129" s="782"/>
    </row>
    <row r="130" spans="1:8" ht="24.6" hidden="1">
      <c r="A130" s="782"/>
      <c r="B130" s="782" t="s">
        <v>1784</v>
      </c>
      <c r="C130" s="905" t="s">
        <v>1785</v>
      </c>
      <c r="D130" s="784" t="s">
        <v>1747</v>
      </c>
      <c r="E130" s="784">
        <v>1</v>
      </c>
      <c r="F130" s="838">
        <v>1050</v>
      </c>
      <c r="G130" s="838">
        <f>F130*E130</f>
        <v>1050</v>
      </c>
      <c r="H130" s="782"/>
    </row>
    <row r="131" spans="1:8" hidden="1">
      <c r="A131" s="782"/>
      <c r="B131" s="784" t="s">
        <v>1810</v>
      </c>
      <c r="C131" s="907" t="s">
        <v>1811</v>
      </c>
      <c r="D131" s="784" t="s">
        <v>331</v>
      </c>
      <c r="E131" s="784">
        <v>15</v>
      </c>
      <c r="F131" s="838">
        <v>63</v>
      </c>
      <c r="G131" s="838">
        <f>F131*E131</f>
        <v>945</v>
      </c>
      <c r="H131" s="782"/>
    </row>
    <row r="132" spans="1:8" hidden="1">
      <c r="A132" s="782"/>
      <c r="B132" s="784" t="s">
        <v>1810</v>
      </c>
      <c r="C132" s="907" t="s">
        <v>1812</v>
      </c>
      <c r="D132" s="784" t="s">
        <v>331</v>
      </c>
      <c r="E132" s="784">
        <v>15</v>
      </c>
      <c r="F132" s="838">
        <v>94</v>
      </c>
      <c r="G132" s="838">
        <f>F132*E132</f>
        <v>1410</v>
      </c>
      <c r="H132" s="782"/>
    </row>
    <row r="133" spans="1:8" hidden="1">
      <c r="A133" s="782"/>
      <c r="B133" s="784" t="s">
        <v>1813</v>
      </c>
      <c r="C133" s="907" t="s">
        <v>1814</v>
      </c>
      <c r="D133" s="784" t="s">
        <v>331</v>
      </c>
      <c r="E133" s="784">
        <v>15</v>
      </c>
      <c r="F133" s="838">
        <v>70</v>
      </c>
      <c r="G133" s="838">
        <f>F133*E133</f>
        <v>1050</v>
      </c>
      <c r="H133" s="782"/>
    </row>
    <row r="134" spans="1:8" hidden="1">
      <c r="A134" s="782"/>
      <c r="B134" s="784"/>
      <c r="C134" s="905"/>
      <c r="D134" s="917"/>
      <c r="E134" s="917"/>
      <c r="F134" s="824"/>
      <c r="G134" s="816">
        <f>SUM(G130:G133)</f>
        <v>4455</v>
      </c>
      <c r="H134" s="782"/>
    </row>
    <row r="135" spans="1:8" hidden="1">
      <c r="A135" s="782"/>
      <c r="B135" s="784"/>
      <c r="C135" s="826" t="s">
        <v>1776</v>
      </c>
      <c r="D135" s="827">
        <f>$D$4</f>
        <v>0</v>
      </c>
      <c r="E135" s="917"/>
      <c r="F135" s="824"/>
      <c r="G135" s="816">
        <f>ROUND(G134*D135,2)</f>
        <v>0</v>
      </c>
      <c r="H135" s="782"/>
    </row>
    <row r="136" spans="1:8" hidden="1">
      <c r="A136" s="782"/>
      <c r="B136" s="784"/>
      <c r="C136" s="905" t="s">
        <v>1755</v>
      </c>
      <c r="D136" s="917"/>
      <c r="E136" s="917"/>
      <c r="F136" s="824"/>
      <c r="G136" s="816">
        <f>SUM(G134:G135)</f>
        <v>4455</v>
      </c>
      <c r="H136" s="782"/>
    </row>
    <row r="137" spans="1:8" hidden="1">
      <c r="A137" s="782"/>
      <c r="B137" s="784"/>
      <c r="C137" s="820" t="s">
        <v>1756</v>
      </c>
      <c r="D137" s="917"/>
      <c r="E137" s="917"/>
      <c r="F137" s="824"/>
      <c r="G137" s="816"/>
      <c r="H137" s="782"/>
    </row>
    <row r="138" spans="1:8" hidden="1">
      <c r="A138" s="782"/>
      <c r="B138" s="787" t="s">
        <v>1757</v>
      </c>
      <c r="C138" s="905" t="s">
        <v>1733</v>
      </c>
      <c r="D138" s="818" t="s">
        <v>594</v>
      </c>
      <c r="E138" s="917">
        <v>1.5</v>
      </c>
      <c r="F138" s="839">
        <f>$H$3</f>
        <v>620</v>
      </c>
      <c r="G138" s="816">
        <f>F138*E138</f>
        <v>930</v>
      </c>
      <c r="H138" s="782"/>
    </row>
    <row r="139" spans="1:8" hidden="1">
      <c r="A139" s="782"/>
      <c r="B139" s="787" t="s">
        <v>1758</v>
      </c>
      <c r="C139" s="905" t="s">
        <v>1735</v>
      </c>
      <c r="D139" s="818" t="s">
        <v>594</v>
      </c>
      <c r="E139" s="917">
        <v>1.5</v>
      </c>
      <c r="F139" s="839">
        <f>$H$4</f>
        <v>515</v>
      </c>
      <c r="G139" s="816">
        <f>F139*E139</f>
        <v>772.5</v>
      </c>
      <c r="H139" s="782"/>
    </row>
    <row r="140" spans="1:8" hidden="1">
      <c r="A140" s="782"/>
      <c r="B140" s="787" t="s">
        <v>1759</v>
      </c>
      <c r="C140" s="905" t="s">
        <v>1737</v>
      </c>
      <c r="D140" s="818" t="s">
        <v>594</v>
      </c>
      <c r="E140" s="917">
        <v>1.5</v>
      </c>
      <c r="F140" s="839">
        <f>$H$5</f>
        <v>515</v>
      </c>
      <c r="G140" s="816">
        <f>F140*E140</f>
        <v>772.5</v>
      </c>
      <c r="H140" s="782"/>
    </row>
    <row r="141" spans="1:8" hidden="1">
      <c r="A141" s="782"/>
      <c r="B141" s="917"/>
      <c r="C141" s="826" t="s">
        <v>1760</v>
      </c>
      <c r="D141" s="828">
        <f>$D$3</f>
        <v>0</v>
      </c>
      <c r="E141" s="914"/>
      <c r="F141" s="824"/>
      <c r="G141" s="821">
        <f>ROUND(D141*(G140+G139+G138),2)</f>
        <v>0</v>
      </c>
      <c r="H141" s="782"/>
    </row>
    <row r="142" spans="1:8" hidden="1">
      <c r="A142" s="782"/>
      <c r="B142" s="917"/>
      <c r="C142" s="826" t="s">
        <v>1779</v>
      </c>
      <c r="D142" s="827">
        <f>$D$5</f>
        <v>0</v>
      </c>
      <c r="E142" s="914"/>
      <c r="F142" s="824">
        <f>SUM(G138:G141)</f>
        <v>2475</v>
      </c>
      <c r="G142" s="821">
        <f>ROUND(D142*F142,2)</f>
        <v>0</v>
      </c>
      <c r="H142" s="782"/>
    </row>
    <row r="143" spans="1:8" hidden="1">
      <c r="A143" s="782"/>
      <c r="B143" s="917"/>
      <c r="C143" s="820" t="s">
        <v>1815</v>
      </c>
      <c r="D143" s="917"/>
      <c r="E143" s="917"/>
      <c r="F143" s="824"/>
      <c r="G143" s="821">
        <f>SUM(G136:G142)</f>
        <v>6930</v>
      </c>
      <c r="H143" s="782"/>
    </row>
    <row r="144" spans="1:8" hidden="1">
      <c r="A144" s="782"/>
      <c r="B144" s="917"/>
      <c r="C144" s="820" t="s">
        <v>1816</v>
      </c>
      <c r="D144" s="917"/>
      <c r="E144" s="917"/>
      <c r="F144" s="824"/>
      <c r="G144" s="821">
        <f>CEILING(G143/15,0.05)</f>
        <v>462</v>
      </c>
      <c r="H144" s="823"/>
    </row>
    <row r="145" spans="1:8" hidden="1">
      <c r="A145" s="782"/>
      <c r="B145" s="917"/>
      <c r="C145" s="820"/>
      <c r="D145" s="917"/>
      <c r="E145" s="917"/>
      <c r="F145" s="824"/>
      <c r="G145" s="821"/>
      <c r="H145" s="823"/>
    </row>
    <row r="146" spans="1:8" ht="123" hidden="1">
      <c r="A146" s="914">
        <v>7</v>
      </c>
      <c r="B146" s="917" t="s">
        <v>1803</v>
      </c>
      <c r="C146" s="907" t="s">
        <v>2186</v>
      </c>
      <c r="D146" s="907"/>
      <c r="E146" s="907"/>
      <c r="F146" s="907"/>
      <c r="G146" s="907"/>
      <c r="H146" s="782"/>
    </row>
    <row r="147" spans="1:8" hidden="1">
      <c r="A147" s="782"/>
      <c r="B147" s="917"/>
      <c r="C147" s="911" t="s">
        <v>1804</v>
      </c>
      <c r="D147" s="782"/>
      <c r="E147" s="782"/>
      <c r="F147" s="824"/>
      <c r="G147" s="816"/>
      <c r="H147" s="782"/>
    </row>
    <row r="148" spans="1:8" hidden="1">
      <c r="A148" s="782"/>
      <c r="B148" s="917"/>
      <c r="C148" s="817" t="s">
        <v>1744</v>
      </c>
      <c r="D148" s="782"/>
      <c r="E148" s="782"/>
      <c r="F148" s="824"/>
      <c r="G148" s="816"/>
      <c r="H148" s="782"/>
    </row>
    <row r="149" spans="1:8" hidden="1">
      <c r="A149" s="782"/>
      <c r="B149" s="784" t="s">
        <v>1810</v>
      </c>
      <c r="C149" s="907" t="s">
        <v>1811</v>
      </c>
      <c r="D149" s="784" t="s">
        <v>331</v>
      </c>
      <c r="E149" s="784">
        <v>3</v>
      </c>
      <c r="F149" s="838">
        <v>63</v>
      </c>
      <c r="G149" s="838">
        <f>F149*E149</f>
        <v>189</v>
      </c>
      <c r="H149" s="782"/>
    </row>
    <row r="150" spans="1:8" hidden="1">
      <c r="A150" s="782"/>
      <c r="B150" s="784" t="s">
        <v>1810</v>
      </c>
      <c r="C150" s="907" t="s">
        <v>2139</v>
      </c>
      <c r="D150" s="784" t="s">
        <v>331</v>
      </c>
      <c r="E150" s="784">
        <v>3</v>
      </c>
      <c r="F150" s="838">
        <v>94</v>
      </c>
      <c r="G150" s="838">
        <f>F150*E150</f>
        <v>282</v>
      </c>
      <c r="H150" s="782"/>
    </row>
    <row r="151" spans="1:8" hidden="1">
      <c r="A151" s="782"/>
      <c r="B151" s="784" t="s">
        <v>1813</v>
      </c>
      <c r="C151" s="907" t="s">
        <v>1817</v>
      </c>
      <c r="D151" s="784" t="s">
        <v>331</v>
      </c>
      <c r="E151" s="784">
        <v>1</v>
      </c>
      <c r="F151" s="838">
        <v>141</v>
      </c>
      <c r="G151" s="838">
        <f>F151*E151</f>
        <v>141</v>
      </c>
      <c r="H151" s="782"/>
    </row>
    <row r="152" spans="1:8" hidden="1">
      <c r="A152" s="782"/>
      <c r="B152" s="913"/>
      <c r="C152" s="905"/>
      <c r="D152" s="917"/>
      <c r="E152" s="917"/>
      <c r="F152" s="824"/>
      <c r="G152" s="816">
        <f>SUM(G149:G151)</f>
        <v>612</v>
      </c>
      <c r="H152" s="782"/>
    </row>
    <row r="153" spans="1:8" hidden="1">
      <c r="A153" s="782"/>
      <c r="B153" s="784"/>
      <c r="C153" s="826" t="s">
        <v>1776</v>
      </c>
      <c r="D153" s="827">
        <f>$D$4</f>
        <v>0</v>
      </c>
      <c r="E153" s="917"/>
      <c r="F153" s="824"/>
      <c r="G153" s="816">
        <f>ROUND(G152*D153,2)</f>
        <v>0</v>
      </c>
      <c r="H153" s="782"/>
    </row>
    <row r="154" spans="1:8" hidden="1">
      <c r="A154" s="782"/>
      <c r="B154" s="784"/>
      <c r="C154" s="905" t="s">
        <v>1755</v>
      </c>
      <c r="D154" s="917"/>
      <c r="E154" s="917"/>
      <c r="F154" s="824"/>
      <c r="G154" s="816">
        <f>SUM(G152:G153)</f>
        <v>612</v>
      </c>
      <c r="H154" s="782"/>
    </row>
    <row r="155" spans="1:8" hidden="1">
      <c r="A155" s="782"/>
      <c r="B155" s="784"/>
      <c r="C155" s="820" t="s">
        <v>1756</v>
      </c>
      <c r="D155" s="917"/>
      <c r="E155" s="917"/>
      <c r="F155" s="824" t="s">
        <v>694</v>
      </c>
      <c r="G155" s="816"/>
      <c r="H155" s="782"/>
    </row>
    <row r="156" spans="1:8" hidden="1">
      <c r="A156" s="782"/>
      <c r="B156" s="787" t="s">
        <v>1757</v>
      </c>
      <c r="C156" s="905" t="s">
        <v>1733</v>
      </c>
      <c r="D156" s="818" t="s">
        <v>594</v>
      </c>
      <c r="E156" s="917">
        <f>3*0.067</f>
        <v>0.20100000000000001</v>
      </c>
      <c r="F156" s="839">
        <f>$H$3</f>
        <v>620</v>
      </c>
      <c r="G156" s="816">
        <f>F156*E156</f>
        <v>124.62</v>
      </c>
      <c r="H156" s="782"/>
    </row>
    <row r="157" spans="1:8" hidden="1">
      <c r="A157" s="782"/>
      <c r="B157" s="787" t="s">
        <v>1759</v>
      </c>
      <c r="C157" s="905" t="s">
        <v>1737</v>
      </c>
      <c r="D157" s="818" t="s">
        <v>594</v>
      </c>
      <c r="E157" s="917">
        <f>3*0.067</f>
        <v>0.20100000000000001</v>
      </c>
      <c r="F157" s="839">
        <f>$H$5</f>
        <v>515</v>
      </c>
      <c r="G157" s="816">
        <f>F157*E157</f>
        <v>103.515</v>
      </c>
      <c r="H157" s="782"/>
    </row>
    <row r="158" spans="1:8" hidden="1">
      <c r="A158" s="782"/>
      <c r="B158" s="787"/>
      <c r="C158" s="826" t="s">
        <v>1760</v>
      </c>
      <c r="D158" s="828">
        <f>$D$3</f>
        <v>0</v>
      </c>
      <c r="E158" s="914"/>
      <c r="F158" s="824"/>
      <c r="G158" s="821">
        <f>ROUND(D158*(G157+G156+G155),2)</f>
        <v>0</v>
      </c>
      <c r="H158" s="782"/>
    </row>
    <row r="159" spans="1:8" hidden="1">
      <c r="A159" s="782"/>
      <c r="B159" s="917"/>
      <c r="C159" s="826" t="s">
        <v>1779</v>
      </c>
      <c r="D159" s="827">
        <f>$D$5</f>
        <v>0</v>
      </c>
      <c r="E159" s="914"/>
      <c r="F159" s="824">
        <f>SUM(G155:G158)</f>
        <v>228.13499999999999</v>
      </c>
      <c r="G159" s="821">
        <f>ROUND(D159*F159,2)</f>
        <v>0</v>
      </c>
      <c r="H159" s="782"/>
    </row>
    <row r="160" spans="1:8" hidden="1">
      <c r="A160" s="782"/>
      <c r="B160" s="917"/>
      <c r="C160" s="820" t="s">
        <v>1806</v>
      </c>
      <c r="D160" s="917"/>
      <c r="E160" s="917"/>
      <c r="F160" s="824"/>
      <c r="G160" s="821">
        <f>CEILING(SUM(G154:G159),0.05)</f>
        <v>840.15000000000009</v>
      </c>
      <c r="H160" s="782"/>
    </row>
    <row r="161" spans="1:8" ht="12.75" hidden="1" customHeight="1">
      <c r="A161" s="782"/>
      <c r="B161" s="917"/>
      <c r="C161" s="905" t="s">
        <v>1807</v>
      </c>
      <c r="D161" s="905"/>
      <c r="E161" s="917"/>
      <c r="F161" s="824"/>
      <c r="G161" s="816"/>
      <c r="H161" s="782"/>
    </row>
    <row r="162" spans="1:8" s="1125" customFormat="1">
      <c r="A162" s="914"/>
      <c r="B162" s="917"/>
      <c r="C162" s="914"/>
      <c r="D162" s="914"/>
      <c r="E162" s="914"/>
      <c r="F162" s="774"/>
      <c r="G162" s="832"/>
      <c r="H162" s="914"/>
    </row>
    <row r="163" spans="1:8" ht="86.1">
      <c r="A163" s="914">
        <f>A146+1</f>
        <v>8</v>
      </c>
      <c r="B163" s="917" t="s">
        <v>1803</v>
      </c>
      <c r="C163" s="907" t="s">
        <v>2420</v>
      </c>
      <c r="D163" s="907"/>
      <c r="E163" s="907"/>
      <c r="F163" s="907"/>
      <c r="G163" s="907"/>
      <c r="H163" s="782"/>
    </row>
    <row r="164" spans="1:8">
      <c r="A164" s="782"/>
      <c r="B164" s="917"/>
      <c r="C164" s="911" t="s">
        <v>1804</v>
      </c>
      <c r="D164" s="782"/>
      <c r="E164" s="782"/>
      <c r="F164" s="815"/>
      <c r="G164" s="816"/>
      <c r="H164" s="782"/>
    </row>
    <row r="165" spans="1:8">
      <c r="A165" s="782"/>
      <c r="B165" s="917"/>
      <c r="C165" s="817" t="s">
        <v>1744</v>
      </c>
      <c r="D165" s="782"/>
      <c r="E165" s="782"/>
      <c r="F165" s="815"/>
      <c r="G165" s="816"/>
      <c r="H165" s="782"/>
    </row>
    <row r="166" spans="1:8">
      <c r="A166" s="782"/>
      <c r="B166" s="782" t="s">
        <v>1787</v>
      </c>
      <c r="C166" s="905" t="s">
        <v>1818</v>
      </c>
      <c r="D166" s="917" t="s">
        <v>331</v>
      </c>
      <c r="E166" s="917">
        <v>1</v>
      </c>
      <c r="F166" s="815">
        <v>150</v>
      </c>
      <c r="G166" s="816">
        <f>F166*E166</f>
        <v>150</v>
      </c>
      <c r="H166" s="782"/>
    </row>
    <row r="167" spans="1:8">
      <c r="A167" s="782"/>
      <c r="B167" s="782" t="s">
        <v>1787</v>
      </c>
      <c r="C167" s="905" t="s">
        <v>1819</v>
      </c>
      <c r="D167" s="917" t="s">
        <v>331</v>
      </c>
      <c r="E167" s="917">
        <v>1</v>
      </c>
      <c r="F167" s="815">
        <v>92</v>
      </c>
      <c r="G167" s="816">
        <f>F167*E167</f>
        <v>92</v>
      </c>
      <c r="H167" s="782"/>
    </row>
    <row r="168" spans="1:8">
      <c r="A168" s="782"/>
      <c r="B168" s="782"/>
      <c r="C168" s="905"/>
      <c r="D168" s="917"/>
      <c r="E168" s="917"/>
      <c r="F168" s="815"/>
      <c r="G168" s="816">
        <f>SUM(G166:G167)</f>
        <v>242</v>
      </c>
      <c r="H168" s="782"/>
    </row>
    <row r="169" spans="1:8">
      <c r="A169" s="782"/>
      <c r="B169" s="784"/>
      <c r="C169" s="905" t="s">
        <v>1754</v>
      </c>
      <c r="D169" s="819">
        <f>$D$4</f>
        <v>0</v>
      </c>
      <c r="E169" s="917"/>
      <c r="F169" s="815"/>
      <c r="G169" s="816">
        <f>ROUND(G168*D169,2)</f>
        <v>0</v>
      </c>
      <c r="H169" s="782"/>
    </row>
    <row r="170" spans="1:8">
      <c r="A170" s="782"/>
      <c r="B170" s="784"/>
      <c r="C170" s="905" t="s">
        <v>1755</v>
      </c>
      <c r="D170" s="917"/>
      <c r="E170" s="917"/>
      <c r="F170" s="815"/>
      <c r="G170" s="816">
        <f>SUM(G168:G169)</f>
        <v>242</v>
      </c>
      <c r="H170" s="782"/>
    </row>
    <row r="171" spans="1:8">
      <c r="A171" s="782"/>
      <c r="B171" s="784"/>
      <c r="C171" s="820" t="s">
        <v>1756</v>
      </c>
      <c r="D171" s="917"/>
      <c r="E171" s="917"/>
      <c r="F171" s="815" t="s">
        <v>694</v>
      </c>
      <c r="G171" s="816"/>
      <c r="H171" s="782"/>
    </row>
    <row r="172" spans="1:8">
      <c r="A172" s="782"/>
      <c r="B172" s="787"/>
      <c r="C172" s="905" t="s">
        <v>1733</v>
      </c>
      <c r="D172" s="818" t="s">
        <v>594</v>
      </c>
      <c r="E172" s="917">
        <v>0.1</v>
      </c>
      <c r="F172" s="914">
        <f>$H$3</f>
        <v>620</v>
      </c>
      <c r="G172" s="816">
        <f>F172*E172</f>
        <v>62</v>
      </c>
      <c r="H172" s="782"/>
    </row>
    <row r="173" spans="1:8">
      <c r="A173" s="782"/>
      <c r="B173" s="787"/>
      <c r="C173" s="905" t="s">
        <v>1737</v>
      </c>
      <c r="D173" s="818" t="s">
        <v>594</v>
      </c>
      <c r="E173" s="917">
        <v>0.1</v>
      </c>
      <c r="F173" s="914">
        <f>$H$5</f>
        <v>515</v>
      </c>
      <c r="G173" s="816">
        <f>F173*E173</f>
        <v>51.5</v>
      </c>
      <c r="H173" s="782"/>
    </row>
    <row r="174" spans="1:8">
      <c r="A174" s="782"/>
      <c r="B174" s="787"/>
      <c r="C174" s="820" t="s">
        <v>1760</v>
      </c>
      <c r="D174" s="771">
        <f>$D$3</f>
        <v>0</v>
      </c>
      <c r="E174" s="914"/>
      <c r="F174" s="815"/>
      <c r="G174" s="821">
        <f>ROUND(D174*(G173+G172+G171),2)</f>
        <v>0</v>
      </c>
      <c r="H174" s="782"/>
    </row>
    <row r="175" spans="1:8">
      <c r="A175" s="782"/>
      <c r="B175" s="917"/>
      <c r="C175" s="905" t="s">
        <v>1761</v>
      </c>
      <c r="D175" s="772">
        <f>D$5</f>
        <v>0</v>
      </c>
      <c r="E175" s="914"/>
      <c r="F175" s="815">
        <f>SUM(G171:G174)</f>
        <v>113.5</v>
      </c>
      <c r="G175" s="821">
        <f>ROUND(D175*F175,2)</f>
        <v>0</v>
      </c>
      <c r="H175" s="782"/>
    </row>
    <row r="176" spans="1:8">
      <c r="A176" s="782"/>
      <c r="B176" s="917"/>
      <c r="C176" s="820" t="s">
        <v>1806</v>
      </c>
      <c r="D176" s="917"/>
      <c r="E176" s="917"/>
      <c r="F176" s="815"/>
      <c r="G176" s="821">
        <f>CEILING(SUM(G170:G175),0.05)</f>
        <v>355.5</v>
      </c>
      <c r="H176" s="782"/>
    </row>
    <row r="177" spans="1:8" ht="12.75" customHeight="1">
      <c r="A177" s="782"/>
      <c r="B177" s="917"/>
      <c r="C177" s="905" t="s">
        <v>1807</v>
      </c>
      <c r="D177" s="905"/>
      <c r="E177" s="917"/>
      <c r="F177" s="815"/>
      <c r="G177" s="816"/>
      <c r="H177" s="782"/>
    </row>
    <row r="178" spans="1:8" s="1125" customFormat="1">
      <c r="A178" s="914"/>
      <c r="B178" s="917"/>
      <c r="C178" s="914"/>
      <c r="D178" s="914"/>
      <c r="E178" s="914"/>
      <c r="F178" s="774"/>
      <c r="G178" s="832"/>
      <c r="H178" s="914"/>
    </row>
    <row r="179" spans="1:8" s="1125" customFormat="1">
      <c r="A179" s="914"/>
      <c r="B179" s="917"/>
      <c r="C179" s="914"/>
      <c r="D179" s="914"/>
      <c r="E179" s="914"/>
      <c r="F179" s="774"/>
      <c r="G179" s="835"/>
      <c r="H179" s="914"/>
    </row>
    <row r="180" spans="1:8" s="1125" customFormat="1">
      <c r="A180" s="914"/>
      <c r="B180" s="917"/>
      <c r="C180" s="836" t="s">
        <v>1260</v>
      </c>
      <c r="D180" s="914"/>
      <c r="E180" s="914"/>
      <c r="F180" s="774"/>
      <c r="G180" s="832"/>
      <c r="H180" s="914"/>
    </row>
    <row r="181" spans="1:8" ht="73.8">
      <c r="A181" s="914">
        <f>A163+1</f>
        <v>9</v>
      </c>
      <c r="B181" s="917" t="s">
        <v>1820</v>
      </c>
      <c r="C181" s="907" t="s">
        <v>2421</v>
      </c>
      <c r="D181" s="907"/>
      <c r="E181" s="907"/>
      <c r="F181" s="907"/>
      <c r="G181" s="907"/>
      <c r="H181" s="782"/>
    </row>
    <row r="182" spans="1:8">
      <c r="A182" s="782"/>
      <c r="B182" s="917"/>
      <c r="C182" s="911" t="s">
        <v>1743</v>
      </c>
      <c r="D182" s="917"/>
      <c r="E182" s="917"/>
      <c r="F182" s="815"/>
      <c r="G182" s="816"/>
      <c r="H182" s="782"/>
    </row>
    <row r="183" spans="1:8">
      <c r="A183" s="782"/>
      <c r="B183" s="917"/>
      <c r="C183" s="817" t="s">
        <v>1744</v>
      </c>
      <c r="D183" s="917"/>
      <c r="E183" s="917"/>
      <c r="F183" s="815"/>
      <c r="G183" s="816"/>
      <c r="H183" s="782"/>
    </row>
    <row r="184" spans="1:8">
      <c r="A184" s="782"/>
      <c r="B184" s="784" t="s">
        <v>1821</v>
      </c>
      <c r="C184" s="840" t="s">
        <v>1822</v>
      </c>
      <c r="D184" s="784">
        <v>100</v>
      </c>
      <c r="E184" s="784">
        <v>1</v>
      </c>
      <c r="F184" s="1180">
        <v>1648</v>
      </c>
      <c r="G184" s="816">
        <f>F184*E184</f>
        <v>1648</v>
      </c>
      <c r="H184" s="782"/>
    </row>
    <row r="185" spans="1:8">
      <c r="A185" s="782"/>
      <c r="B185" s="784"/>
      <c r="C185" s="905" t="s">
        <v>1754</v>
      </c>
      <c r="D185" s="819">
        <f>$D$4</f>
        <v>0</v>
      </c>
      <c r="E185" s="917"/>
      <c r="F185" s="815"/>
      <c r="G185" s="816">
        <f>ROUND(G184*D185,2)</f>
        <v>0</v>
      </c>
      <c r="H185" s="782"/>
    </row>
    <row r="186" spans="1:8">
      <c r="A186" s="782"/>
      <c r="B186" s="784"/>
      <c r="C186" s="905" t="s">
        <v>1755</v>
      </c>
      <c r="D186" s="917"/>
      <c r="E186" s="917"/>
      <c r="F186" s="815"/>
      <c r="G186" s="816">
        <f>SUM(G184:G185)</f>
        <v>1648</v>
      </c>
      <c r="H186" s="782"/>
    </row>
    <row r="187" spans="1:8">
      <c r="A187" s="782"/>
      <c r="B187" s="784"/>
      <c r="C187" s="820" t="s">
        <v>1756</v>
      </c>
      <c r="D187" s="917"/>
      <c r="E187" s="917"/>
      <c r="F187" s="815"/>
      <c r="G187" s="816"/>
      <c r="H187" s="782"/>
    </row>
    <row r="188" spans="1:8">
      <c r="A188" s="782"/>
      <c r="B188" s="784" t="s">
        <v>1757</v>
      </c>
      <c r="C188" s="905" t="s">
        <v>1733</v>
      </c>
      <c r="D188" s="818" t="s">
        <v>594</v>
      </c>
      <c r="E188" s="1181">
        <v>0.34</v>
      </c>
      <c r="F188" s="914">
        <f>$H$3</f>
        <v>620</v>
      </c>
      <c r="G188" s="816">
        <f>F188*E188</f>
        <v>210.8</v>
      </c>
      <c r="H188" s="782"/>
    </row>
    <row r="189" spans="1:8">
      <c r="A189" s="782"/>
      <c r="B189" s="787" t="s">
        <v>1758</v>
      </c>
      <c r="C189" s="905" t="s">
        <v>1823</v>
      </c>
      <c r="D189" s="818" t="s">
        <v>594</v>
      </c>
      <c r="E189" s="784">
        <v>1</v>
      </c>
      <c r="F189" s="914">
        <f>$H$4</f>
        <v>515</v>
      </c>
      <c r="G189" s="816">
        <f>F189*E189</f>
        <v>515</v>
      </c>
      <c r="H189" s="782"/>
    </row>
    <row r="190" spans="1:8">
      <c r="A190" s="782"/>
      <c r="B190" s="787" t="s">
        <v>1759</v>
      </c>
      <c r="C190" s="905" t="s">
        <v>1737</v>
      </c>
      <c r="D190" s="818" t="s">
        <v>594</v>
      </c>
      <c r="E190" s="784">
        <v>0.34</v>
      </c>
      <c r="F190" s="914">
        <f>$H$5</f>
        <v>515</v>
      </c>
      <c r="G190" s="816">
        <f>F190*E190</f>
        <v>175.10000000000002</v>
      </c>
      <c r="H190" s="782"/>
    </row>
    <row r="191" spans="1:8">
      <c r="A191" s="782"/>
      <c r="B191" s="787"/>
      <c r="C191" s="820" t="s">
        <v>1760</v>
      </c>
      <c r="D191" s="771">
        <f>$D$3</f>
        <v>0</v>
      </c>
      <c r="E191" s="914"/>
      <c r="F191" s="815"/>
      <c r="G191" s="821">
        <f>ROUND(D191*(G190+G189+G188),2)</f>
        <v>0</v>
      </c>
      <c r="H191" s="782"/>
    </row>
    <row r="192" spans="1:8">
      <c r="A192" s="782"/>
      <c r="B192" s="917"/>
      <c r="C192" s="905" t="s">
        <v>1761</v>
      </c>
      <c r="D192" s="772">
        <f>D$5</f>
        <v>0</v>
      </c>
      <c r="E192" s="914"/>
      <c r="F192" s="815">
        <f>SUM(G188:G191)</f>
        <v>900.9</v>
      </c>
      <c r="G192" s="821">
        <f>ROUND(D192*F192,2)</f>
        <v>0</v>
      </c>
      <c r="H192" s="782"/>
    </row>
    <row r="193" spans="1:8">
      <c r="A193" s="782"/>
      <c r="B193" s="917"/>
      <c r="C193" s="820" t="s">
        <v>1762</v>
      </c>
      <c r="D193" s="917"/>
      <c r="E193" s="917"/>
      <c r="F193" s="815"/>
      <c r="G193" s="821">
        <f>SUM(G186:G192)</f>
        <v>2548.9</v>
      </c>
      <c r="H193" s="782"/>
    </row>
    <row r="194" spans="1:8">
      <c r="A194" s="782"/>
      <c r="B194" s="917"/>
      <c r="C194" s="820" t="s">
        <v>1763</v>
      </c>
      <c r="D194" s="917"/>
      <c r="E194" s="917"/>
      <c r="F194" s="815"/>
      <c r="G194" s="821">
        <f>CEILING(G193/100,0.05)</f>
        <v>25.5</v>
      </c>
      <c r="H194" s="782"/>
    </row>
    <row r="195" spans="1:8">
      <c r="A195" s="782"/>
      <c r="B195" s="917"/>
      <c r="C195" s="913" t="s">
        <v>1824</v>
      </c>
      <c r="D195" s="913"/>
      <c r="E195" s="913"/>
      <c r="F195" s="913"/>
      <c r="G195" s="816"/>
      <c r="H195" s="782"/>
    </row>
    <row r="196" spans="1:8">
      <c r="A196" s="782"/>
      <c r="B196" s="917"/>
      <c r="C196" s="913"/>
      <c r="D196" s="913"/>
      <c r="E196" s="913"/>
      <c r="F196" s="913"/>
      <c r="G196" s="816"/>
      <c r="H196" s="782"/>
    </row>
    <row r="197" spans="1:8" ht="12.75" customHeight="1">
      <c r="A197" s="914">
        <f>A181+1</f>
        <v>10</v>
      </c>
      <c r="B197" s="917" t="s">
        <v>1825</v>
      </c>
      <c r="C197" s="905" t="s">
        <v>1420</v>
      </c>
      <c r="D197" s="905"/>
      <c r="E197" s="905"/>
      <c r="F197" s="905"/>
      <c r="G197" s="907"/>
      <c r="H197" s="782"/>
    </row>
    <row r="198" spans="1:8">
      <c r="A198" s="782"/>
      <c r="B198" s="917"/>
      <c r="C198" s="911" t="s">
        <v>1743</v>
      </c>
      <c r="D198" s="917"/>
      <c r="E198" s="917"/>
      <c r="F198" s="815"/>
      <c r="G198" s="816"/>
      <c r="H198" s="782"/>
    </row>
    <row r="199" spans="1:8">
      <c r="A199" s="782"/>
      <c r="B199" s="917"/>
      <c r="C199" s="817" t="s">
        <v>1744</v>
      </c>
      <c r="D199" s="917"/>
      <c r="E199" s="917"/>
      <c r="F199" s="815"/>
      <c r="G199" s="816"/>
      <c r="H199" s="782"/>
    </row>
    <row r="200" spans="1:8">
      <c r="A200" s="782"/>
      <c r="B200" s="913" t="s">
        <v>1821</v>
      </c>
      <c r="C200" s="905" t="s">
        <v>1826</v>
      </c>
      <c r="D200" s="917" t="s">
        <v>1747</v>
      </c>
      <c r="E200" s="917">
        <v>2</v>
      </c>
      <c r="F200" s="815">
        <v>2672</v>
      </c>
      <c r="G200" s="816">
        <f>F200*E200</f>
        <v>5344</v>
      </c>
      <c r="H200" s="782"/>
    </row>
    <row r="201" spans="1:8">
      <c r="A201" s="782"/>
      <c r="B201" s="782" t="s">
        <v>1784</v>
      </c>
      <c r="C201" s="905" t="s">
        <v>1827</v>
      </c>
      <c r="D201" s="917" t="s">
        <v>1747</v>
      </c>
      <c r="E201" s="917">
        <v>1</v>
      </c>
      <c r="F201" s="815">
        <v>1103</v>
      </c>
      <c r="G201" s="816">
        <f>F201*E201</f>
        <v>1103</v>
      </c>
      <c r="H201" s="782"/>
    </row>
    <row r="202" spans="1:8">
      <c r="A202" s="782"/>
      <c r="B202" s="913"/>
      <c r="C202" s="910"/>
      <c r="D202" s="917"/>
      <c r="E202" s="825"/>
      <c r="F202" s="833"/>
      <c r="G202" s="816">
        <f>SUM(G200:G201)</f>
        <v>6447</v>
      </c>
      <c r="H202" s="782"/>
    </row>
    <row r="203" spans="1:8">
      <c r="A203" s="782"/>
      <c r="B203" s="917"/>
      <c r="C203" s="905" t="s">
        <v>1754</v>
      </c>
      <c r="D203" s="819">
        <f>$D$4</f>
        <v>0</v>
      </c>
      <c r="E203" s="833"/>
      <c r="F203" s="815">
        <f>G202</f>
        <v>6447</v>
      </c>
      <c r="G203" s="821">
        <f>ROUND(D203*F203,2)</f>
        <v>0</v>
      </c>
      <c r="H203" s="782"/>
    </row>
    <row r="204" spans="1:8">
      <c r="A204" s="782"/>
      <c r="B204" s="917"/>
      <c r="C204" s="910" t="s">
        <v>1755</v>
      </c>
      <c r="D204" s="917"/>
      <c r="E204" s="825"/>
      <c r="F204" s="833"/>
      <c r="G204" s="816">
        <f>SUM(G202:G203)</f>
        <v>6447</v>
      </c>
      <c r="H204" s="782"/>
    </row>
    <row r="205" spans="1:8">
      <c r="A205" s="782"/>
      <c r="B205" s="917"/>
      <c r="C205" s="820" t="s">
        <v>1756</v>
      </c>
      <c r="D205" s="917"/>
      <c r="E205" s="917"/>
      <c r="F205" s="815"/>
      <c r="G205" s="816"/>
      <c r="H205" s="782"/>
    </row>
    <row r="206" spans="1:8">
      <c r="A206" s="782"/>
      <c r="B206" s="913"/>
      <c r="C206" s="905" t="s">
        <v>1828</v>
      </c>
      <c r="D206" s="818" t="s">
        <v>594</v>
      </c>
      <c r="E206" s="917">
        <f>0.67+0.34</f>
        <v>1.01</v>
      </c>
      <c r="F206" s="914">
        <f>$H$3</f>
        <v>620</v>
      </c>
      <c r="G206" s="816">
        <f>F206*E206</f>
        <v>626.20000000000005</v>
      </c>
      <c r="H206" s="782"/>
    </row>
    <row r="207" spans="1:8">
      <c r="A207" s="782"/>
      <c r="B207" s="913"/>
      <c r="C207" s="905" t="s">
        <v>1829</v>
      </c>
      <c r="D207" s="818" t="s">
        <v>594</v>
      </c>
      <c r="E207" s="917">
        <v>3</v>
      </c>
      <c r="F207" s="914">
        <f>$H$4</f>
        <v>515</v>
      </c>
      <c r="G207" s="816">
        <f>F207*E207</f>
        <v>1545</v>
      </c>
      <c r="H207" s="782"/>
    </row>
    <row r="208" spans="1:8">
      <c r="A208" s="782"/>
      <c r="B208" s="913"/>
      <c r="C208" s="905" t="s">
        <v>1830</v>
      </c>
      <c r="D208" s="818" t="s">
        <v>594</v>
      </c>
      <c r="E208" s="917">
        <f>0.67+0.34</f>
        <v>1.01</v>
      </c>
      <c r="F208" s="914">
        <f>$H$5</f>
        <v>515</v>
      </c>
      <c r="G208" s="816">
        <f>F208*E208</f>
        <v>520.15</v>
      </c>
      <c r="H208" s="782"/>
    </row>
    <row r="209" spans="1:8">
      <c r="A209" s="782"/>
      <c r="B209" s="917"/>
      <c r="C209" s="820" t="s">
        <v>1760</v>
      </c>
      <c r="D209" s="771">
        <f>$D$3</f>
        <v>0</v>
      </c>
      <c r="E209" s="914"/>
      <c r="F209" s="815"/>
      <c r="G209" s="821">
        <f>ROUND(D209*(G208+G207+G206),2)</f>
        <v>0</v>
      </c>
      <c r="H209" s="782"/>
    </row>
    <row r="210" spans="1:8">
      <c r="A210" s="782"/>
      <c r="B210" s="917"/>
      <c r="C210" s="905" t="s">
        <v>1761</v>
      </c>
      <c r="D210" s="772">
        <f>D$5</f>
        <v>0</v>
      </c>
      <c r="E210" s="914"/>
      <c r="F210" s="815">
        <f>SUM(G206:G209)</f>
        <v>2691.35</v>
      </c>
      <c r="G210" s="821">
        <f>ROUND(D210*F210,2)</f>
        <v>0</v>
      </c>
      <c r="H210" s="782"/>
    </row>
    <row r="211" spans="1:8">
      <c r="A211" s="782"/>
      <c r="B211" s="917"/>
      <c r="C211" s="905" t="s">
        <v>1831</v>
      </c>
      <c r="D211" s="917"/>
      <c r="E211" s="917"/>
      <c r="F211" s="815"/>
      <c r="G211" s="816"/>
      <c r="H211" s="782"/>
    </row>
    <row r="212" spans="1:8">
      <c r="A212" s="782"/>
      <c r="B212" s="917"/>
      <c r="C212" s="820" t="s">
        <v>1762</v>
      </c>
      <c r="D212" s="917"/>
      <c r="E212" s="917"/>
      <c r="F212" s="815"/>
      <c r="G212" s="821">
        <f>SUM(G204:G211)</f>
        <v>9138.35</v>
      </c>
      <c r="H212" s="782"/>
    </row>
    <row r="213" spans="1:8">
      <c r="A213" s="782"/>
      <c r="B213" s="917"/>
      <c r="C213" s="820" t="s">
        <v>1763</v>
      </c>
      <c r="D213" s="917"/>
      <c r="E213" s="917"/>
      <c r="F213" s="815"/>
      <c r="G213" s="821">
        <f>CEILING(G212/100,0.05)</f>
        <v>91.4</v>
      </c>
      <c r="H213" s="782"/>
    </row>
    <row r="214" spans="1:8">
      <c r="A214" s="782"/>
      <c r="B214" s="917"/>
      <c r="C214" s="909" t="s">
        <v>1832</v>
      </c>
      <c r="D214" s="909"/>
      <c r="E214" s="917"/>
      <c r="F214" s="815"/>
      <c r="G214" s="816"/>
      <c r="H214" s="782"/>
    </row>
    <row r="215" spans="1:8" ht="12.75" hidden="1" customHeight="1">
      <c r="A215" s="914">
        <f>A197+1</f>
        <v>11</v>
      </c>
      <c r="B215" s="917" t="s">
        <v>1833</v>
      </c>
      <c r="C215" s="905" t="s">
        <v>1834</v>
      </c>
      <c r="D215" s="905"/>
      <c r="E215" s="905"/>
      <c r="F215" s="905"/>
      <c r="G215" s="905"/>
      <c r="H215" s="782"/>
    </row>
    <row r="216" spans="1:8" hidden="1">
      <c r="A216" s="782"/>
      <c r="B216" s="917"/>
      <c r="C216" s="911" t="s">
        <v>1743</v>
      </c>
      <c r="D216" s="917"/>
      <c r="E216" s="917"/>
      <c r="F216" s="815"/>
      <c r="G216" s="816"/>
      <c r="H216" s="782"/>
    </row>
    <row r="217" spans="1:8" hidden="1">
      <c r="A217" s="782"/>
      <c r="B217" s="917"/>
      <c r="C217" s="817" t="s">
        <v>1744</v>
      </c>
      <c r="D217" s="917"/>
      <c r="E217" s="917"/>
      <c r="F217" s="815"/>
      <c r="G217" s="816"/>
      <c r="H217" s="782"/>
    </row>
    <row r="218" spans="1:8" hidden="1">
      <c r="A218" s="782"/>
      <c r="B218" s="913" t="s">
        <v>1821</v>
      </c>
      <c r="C218" s="905" t="s">
        <v>1835</v>
      </c>
      <c r="D218" s="917" t="s">
        <v>1747</v>
      </c>
      <c r="E218" s="917">
        <v>2</v>
      </c>
      <c r="F218" s="815">
        <v>3877</v>
      </c>
      <c r="G218" s="816">
        <f>F218*E218</f>
        <v>7754</v>
      </c>
      <c r="H218" s="782"/>
    </row>
    <row r="219" spans="1:8" hidden="1">
      <c r="A219" s="782"/>
      <c r="B219" s="913" t="s">
        <v>1821</v>
      </c>
      <c r="C219" s="905" t="s">
        <v>1836</v>
      </c>
      <c r="D219" s="917" t="s">
        <v>1747</v>
      </c>
      <c r="E219" s="917">
        <v>1</v>
      </c>
      <c r="F219" s="815">
        <f>F200</f>
        <v>2672</v>
      </c>
      <c r="G219" s="816">
        <f>F219*E219</f>
        <v>2672</v>
      </c>
      <c r="H219" s="782"/>
    </row>
    <row r="220" spans="1:8" hidden="1">
      <c r="A220" s="782"/>
      <c r="B220" s="917"/>
      <c r="C220" s="910"/>
      <c r="D220" s="917"/>
      <c r="E220" s="825"/>
      <c r="F220" s="833"/>
      <c r="G220" s="816">
        <f>SUM(G218:G219)</f>
        <v>10426</v>
      </c>
      <c r="H220" s="782"/>
    </row>
    <row r="221" spans="1:8" hidden="1">
      <c r="A221" s="782"/>
      <c r="B221" s="917"/>
      <c r="C221" s="905" t="s">
        <v>1754</v>
      </c>
      <c r="D221" s="819">
        <f>$D$4</f>
        <v>0</v>
      </c>
      <c r="E221" s="917"/>
      <c r="F221" s="815"/>
      <c r="G221" s="816">
        <f>ROUND(G220*D221,2)</f>
        <v>0</v>
      </c>
      <c r="H221" s="782"/>
    </row>
    <row r="222" spans="1:8" hidden="1">
      <c r="A222" s="782"/>
      <c r="B222" s="917"/>
      <c r="C222" s="910" t="s">
        <v>1755</v>
      </c>
      <c r="D222" s="917"/>
      <c r="E222" s="825"/>
      <c r="F222" s="833"/>
      <c r="G222" s="816">
        <f>SUM(G220:G221)</f>
        <v>10426</v>
      </c>
      <c r="H222" s="782"/>
    </row>
    <row r="223" spans="1:8" hidden="1">
      <c r="A223" s="782"/>
      <c r="B223" s="917"/>
      <c r="C223" s="820" t="s">
        <v>1756</v>
      </c>
      <c r="D223" s="917"/>
      <c r="E223" s="917"/>
      <c r="F223" s="815"/>
      <c r="G223" s="816"/>
      <c r="H223" s="782"/>
    </row>
    <row r="224" spans="1:8" hidden="1">
      <c r="A224" s="782"/>
      <c r="B224" s="913"/>
      <c r="C224" s="905" t="s">
        <v>1837</v>
      </c>
      <c r="D224" s="818" t="s">
        <v>594</v>
      </c>
      <c r="E224" s="917">
        <f>1+0.34</f>
        <v>1.34</v>
      </c>
      <c r="F224" s="914">
        <f>$H$3</f>
        <v>620</v>
      </c>
      <c r="G224" s="816">
        <f>F224*E224</f>
        <v>830.80000000000007</v>
      </c>
      <c r="H224" s="782"/>
    </row>
    <row r="225" spans="1:8" hidden="1">
      <c r="A225" s="782"/>
      <c r="B225" s="913"/>
      <c r="C225" s="905" t="s">
        <v>1838</v>
      </c>
      <c r="D225" s="818" t="s">
        <v>594</v>
      </c>
      <c r="E225" s="917">
        <f>3+1</f>
        <v>4</v>
      </c>
      <c r="F225" s="914">
        <f>$H$4</f>
        <v>515</v>
      </c>
      <c r="G225" s="816">
        <f>F225*E225</f>
        <v>2060</v>
      </c>
      <c r="H225" s="782"/>
    </row>
    <row r="226" spans="1:8" hidden="1">
      <c r="A226" s="782"/>
      <c r="B226" s="913"/>
      <c r="C226" s="905" t="s">
        <v>1839</v>
      </c>
      <c r="D226" s="818" t="s">
        <v>594</v>
      </c>
      <c r="E226" s="917">
        <f>1+0.34</f>
        <v>1.34</v>
      </c>
      <c r="F226" s="914">
        <f>$H$5</f>
        <v>515</v>
      </c>
      <c r="G226" s="816">
        <f>F226*E226</f>
        <v>690.1</v>
      </c>
      <c r="H226" s="782"/>
    </row>
    <row r="227" spans="1:8" hidden="1">
      <c r="A227" s="782"/>
      <c r="B227" s="917"/>
      <c r="C227" s="820" t="s">
        <v>1760</v>
      </c>
      <c r="D227" s="771">
        <f>$D$3</f>
        <v>0</v>
      </c>
      <c r="E227" s="914"/>
      <c r="F227" s="815"/>
      <c r="G227" s="821">
        <f>ROUND(D227*(G226+G225+G224),2)</f>
        <v>0</v>
      </c>
      <c r="H227" s="782"/>
    </row>
    <row r="228" spans="1:8" hidden="1">
      <c r="A228" s="782"/>
      <c r="B228" s="917"/>
      <c r="C228" s="905" t="s">
        <v>1761</v>
      </c>
      <c r="D228" s="772">
        <f>D$5</f>
        <v>0</v>
      </c>
      <c r="E228" s="914"/>
      <c r="F228" s="815">
        <f>SUM(G224:G227)</f>
        <v>3580.9</v>
      </c>
      <c r="G228" s="821">
        <f>ROUND(D228*F228,2)</f>
        <v>0</v>
      </c>
      <c r="H228" s="782"/>
    </row>
    <row r="229" spans="1:8" hidden="1">
      <c r="A229" s="782"/>
      <c r="B229" s="917"/>
      <c r="C229" s="905" t="s">
        <v>1831</v>
      </c>
      <c r="D229" s="917"/>
      <c r="E229" s="917"/>
      <c r="F229" s="815"/>
      <c r="G229" s="816"/>
      <c r="H229" s="782"/>
    </row>
    <row r="230" spans="1:8" hidden="1">
      <c r="A230" s="782"/>
      <c r="B230" s="917"/>
      <c r="C230" s="820" t="s">
        <v>1762</v>
      </c>
      <c r="D230" s="917"/>
      <c r="E230" s="917"/>
      <c r="F230" s="815"/>
      <c r="G230" s="821">
        <f>SUM(G222:G229)</f>
        <v>14006.9</v>
      </c>
      <c r="H230" s="782"/>
    </row>
    <row r="231" spans="1:8" hidden="1">
      <c r="A231" s="782"/>
      <c r="B231" s="917"/>
      <c r="C231" s="820" t="s">
        <v>1763</v>
      </c>
      <c r="D231" s="917"/>
      <c r="E231" s="917"/>
      <c r="F231" s="815"/>
      <c r="G231" s="821">
        <f>CEILING(G230/100,0.05)</f>
        <v>140.1</v>
      </c>
      <c r="H231" s="782"/>
    </row>
    <row r="232" spans="1:8" hidden="1">
      <c r="A232" s="782"/>
      <c r="B232" s="917"/>
      <c r="C232" s="909" t="s">
        <v>1832</v>
      </c>
      <c r="D232" s="909"/>
      <c r="E232" s="917"/>
      <c r="F232" s="815"/>
      <c r="G232" s="816"/>
      <c r="H232" s="782"/>
    </row>
    <row r="233" spans="1:8" ht="12.75" hidden="1" customHeight="1">
      <c r="A233" s="914">
        <f>A215+1</f>
        <v>12</v>
      </c>
      <c r="B233" s="917" t="s">
        <v>1840</v>
      </c>
      <c r="C233" s="905" t="s">
        <v>1841</v>
      </c>
      <c r="D233" s="905"/>
      <c r="E233" s="905"/>
      <c r="F233" s="905"/>
      <c r="G233" s="905"/>
      <c r="H233" s="782"/>
    </row>
    <row r="234" spans="1:8" hidden="1">
      <c r="A234" s="782"/>
      <c r="B234" s="917"/>
      <c r="C234" s="911" t="s">
        <v>1743</v>
      </c>
      <c r="D234" s="917"/>
      <c r="E234" s="917"/>
      <c r="F234" s="815"/>
      <c r="G234" s="816"/>
      <c r="H234" s="782"/>
    </row>
    <row r="235" spans="1:8" hidden="1">
      <c r="A235" s="782"/>
      <c r="B235" s="917"/>
      <c r="C235" s="817" t="s">
        <v>1744</v>
      </c>
      <c r="D235" s="917"/>
      <c r="E235" s="917"/>
      <c r="F235" s="815"/>
      <c r="G235" s="816"/>
      <c r="H235" s="782"/>
    </row>
    <row r="236" spans="1:8" hidden="1">
      <c r="A236" s="782"/>
      <c r="B236" s="913" t="s">
        <v>1821</v>
      </c>
      <c r="C236" s="905" t="s">
        <v>1842</v>
      </c>
      <c r="D236" s="917" t="s">
        <v>1747</v>
      </c>
      <c r="E236" s="917">
        <v>2</v>
      </c>
      <c r="F236" s="815">
        <v>5930</v>
      </c>
      <c r="G236" s="816">
        <f>F236*E236</f>
        <v>11860</v>
      </c>
      <c r="H236" s="782"/>
    </row>
    <row r="237" spans="1:8" hidden="1">
      <c r="A237" s="782"/>
      <c r="B237" s="913" t="s">
        <v>1821</v>
      </c>
      <c r="C237" s="905" t="s">
        <v>1836</v>
      </c>
      <c r="D237" s="917" t="s">
        <v>1747</v>
      </c>
      <c r="E237" s="917">
        <v>1</v>
      </c>
      <c r="F237" s="815">
        <f>F219</f>
        <v>2672</v>
      </c>
      <c r="G237" s="816">
        <f>F237*E237</f>
        <v>2672</v>
      </c>
      <c r="H237" s="782"/>
    </row>
    <row r="238" spans="1:8" hidden="1">
      <c r="A238" s="782"/>
      <c r="B238" s="917"/>
      <c r="C238" s="910"/>
      <c r="D238" s="917"/>
      <c r="E238" s="825"/>
      <c r="F238" s="833"/>
      <c r="G238" s="816">
        <f>SUM(G236:G237)</f>
        <v>14532</v>
      </c>
      <c r="H238" s="782"/>
    </row>
    <row r="239" spans="1:8" hidden="1">
      <c r="A239" s="782"/>
      <c r="B239" s="917"/>
      <c r="C239" s="905" t="s">
        <v>1754</v>
      </c>
      <c r="D239" s="819">
        <f>$D$4</f>
        <v>0</v>
      </c>
      <c r="E239" s="917"/>
      <c r="F239" s="815"/>
      <c r="G239" s="816">
        <f>ROUND(G238*D239,2)</f>
        <v>0</v>
      </c>
      <c r="H239" s="782"/>
    </row>
    <row r="240" spans="1:8" hidden="1">
      <c r="A240" s="782"/>
      <c r="B240" s="917"/>
      <c r="C240" s="910" t="s">
        <v>1755</v>
      </c>
      <c r="D240" s="917"/>
      <c r="E240" s="825"/>
      <c r="F240" s="833"/>
      <c r="G240" s="816">
        <f>SUM(G238:G239)</f>
        <v>14532</v>
      </c>
      <c r="H240" s="782"/>
    </row>
    <row r="241" spans="1:8" hidden="1">
      <c r="A241" s="782"/>
      <c r="B241" s="917"/>
      <c r="C241" s="820" t="s">
        <v>1756</v>
      </c>
      <c r="D241" s="917"/>
      <c r="E241" s="917"/>
      <c r="F241" s="815"/>
      <c r="G241" s="816"/>
      <c r="H241" s="782"/>
    </row>
    <row r="242" spans="1:8" hidden="1">
      <c r="A242" s="782"/>
      <c r="B242" s="913"/>
      <c r="C242" s="905" t="s">
        <v>1843</v>
      </c>
      <c r="D242" s="818" t="s">
        <v>594</v>
      </c>
      <c r="E242" s="917">
        <f>1+0.5</f>
        <v>1.5</v>
      </c>
      <c r="F242" s="914">
        <f>$H$3</f>
        <v>620</v>
      </c>
      <c r="G242" s="816">
        <f>F242*E242</f>
        <v>930</v>
      </c>
      <c r="H242" s="782"/>
    </row>
    <row r="243" spans="1:8" hidden="1">
      <c r="A243" s="782"/>
      <c r="B243" s="913"/>
      <c r="C243" s="905" t="s">
        <v>1844</v>
      </c>
      <c r="D243" s="818" t="s">
        <v>594</v>
      </c>
      <c r="E243" s="917">
        <f>3+1.5</f>
        <v>4.5</v>
      </c>
      <c r="F243" s="914">
        <f>$H$4</f>
        <v>515</v>
      </c>
      <c r="G243" s="816">
        <f>F243*E243</f>
        <v>2317.5</v>
      </c>
      <c r="H243" s="782"/>
    </row>
    <row r="244" spans="1:8" hidden="1">
      <c r="A244" s="782"/>
      <c r="B244" s="913"/>
      <c r="C244" s="905" t="s">
        <v>1845</v>
      </c>
      <c r="D244" s="818" t="s">
        <v>594</v>
      </c>
      <c r="E244" s="917">
        <f>1+0.5</f>
        <v>1.5</v>
      </c>
      <c r="F244" s="914">
        <f>$H$5</f>
        <v>515</v>
      </c>
      <c r="G244" s="816">
        <f>F244*E244</f>
        <v>772.5</v>
      </c>
      <c r="H244" s="782"/>
    </row>
    <row r="245" spans="1:8" hidden="1">
      <c r="A245" s="782"/>
      <c r="B245" s="917"/>
      <c r="C245" s="820" t="s">
        <v>1760</v>
      </c>
      <c r="D245" s="771">
        <f>$D$3</f>
        <v>0</v>
      </c>
      <c r="E245" s="914"/>
      <c r="F245" s="815"/>
      <c r="G245" s="821">
        <f>ROUND(D245*(G244+G243+G242),2)</f>
        <v>0</v>
      </c>
      <c r="H245" s="782"/>
    </row>
    <row r="246" spans="1:8" hidden="1">
      <c r="A246" s="782"/>
      <c r="B246" s="917"/>
      <c r="C246" s="905" t="s">
        <v>1761</v>
      </c>
      <c r="D246" s="772">
        <f>D$5</f>
        <v>0</v>
      </c>
      <c r="E246" s="914"/>
      <c r="F246" s="815">
        <f>SUM(G242:G245)</f>
        <v>4020</v>
      </c>
      <c r="G246" s="821">
        <f>ROUND(D246*F246,2)</f>
        <v>0</v>
      </c>
      <c r="H246" s="782"/>
    </row>
    <row r="247" spans="1:8" hidden="1">
      <c r="A247" s="782"/>
      <c r="B247" s="917"/>
      <c r="C247" s="905" t="s">
        <v>1831</v>
      </c>
      <c r="D247" s="917"/>
      <c r="E247" s="917"/>
      <c r="F247" s="815"/>
      <c r="G247" s="816"/>
      <c r="H247" s="782"/>
    </row>
    <row r="248" spans="1:8" hidden="1">
      <c r="A248" s="782"/>
      <c r="B248" s="917"/>
      <c r="C248" s="820" t="s">
        <v>1762</v>
      </c>
      <c r="D248" s="917"/>
      <c r="E248" s="917"/>
      <c r="F248" s="815"/>
      <c r="G248" s="821">
        <f>SUM(G240:G247)</f>
        <v>18552</v>
      </c>
      <c r="H248" s="782"/>
    </row>
    <row r="249" spans="1:8" hidden="1">
      <c r="A249" s="782"/>
      <c r="B249" s="917"/>
      <c r="C249" s="820" t="s">
        <v>1763</v>
      </c>
      <c r="D249" s="917"/>
      <c r="E249" s="917"/>
      <c r="F249" s="815"/>
      <c r="G249" s="821">
        <f>CEILING(G248/100,0.05)</f>
        <v>185.55</v>
      </c>
      <c r="H249" s="782"/>
    </row>
    <row r="250" spans="1:8" hidden="1">
      <c r="A250" s="782"/>
      <c r="B250" s="917"/>
      <c r="C250" s="909" t="s">
        <v>1832</v>
      </c>
      <c r="D250" s="909"/>
      <c r="E250" s="917"/>
      <c r="F250" s="815"/>
      <c r="G250" s="816"/>
      <c r="H250" s="782"/>
    </row>
    <row r="251" spans="1:8" ht="25.5" hidden="1" customHeight="1">
      <c r="A251" s="914">
        <f>A233+1</f>
        <v>13</v>
      </c>
      <c r="B251" s="917" t="s">
        <v>1846</v>
      </c>
      <c r="C251" s="905" t="s">
        <v>1261</v>
      </c>
      <c r="D251" s="905"/>
      <c r="E251" s="905"/>
      <c r="F251" s="905"/>
      <c r="G251" s="905"/>
      <c r="H251" s="782"/>
    </row>
    <row r="252" spans="1:8" hidden="1">
      <c r="A252" s="782"/>
      <c r="B252" s="917"/>
      <c r="C252" s="911" t="s">
        <v>1743</v>
      </c>
      <c r="D252" s="917"/>
      <c r="E252" s="917"/>
      <c r="F252" s="815"/>
      <c r="G252" s="816"/>
      <c r="H252" s="782"/>
    </row>
    <row r="253" spans="1:8" hidden="1">
      <c r="A253" s="782"/>
      <c r="B253" s="917"/>
      <c r="C253" s="817" t="s">
        <v>1744</v>
      </c>
      <c r="D253" s="917"/>
      <c r="E253" s="917"/>
      <c r="F253" s="815"/>
      <c r="G253" s="816"/>
      <c r="H253" s="782"/>
    </row>
    <row r="254" spans="1:8" hidden="1">
      <c r="A254" s="782"/>
      <c r="B254" s="913" t="s">
        <v>1821</v>
      </c>
      <c r="C254" s="905" t="s">
        <v>1847</v>
      </c>
      <c r="D254" s="917" t="s">
        <v>1747</v>
      </c>
      <c r="E254" s="917">
        <v>4</v>
      </c>
      <c r="F254" s="815">
        <f>F236</f>
        <v>5930</v>
      </c>
      <c r="G254" s="816">
        <f>F254*E254</f>
        <v>23720</v>
      </c>
      <c r="H254" s="782"/>
    </row>
    <row r="255" spans="1:8" hidden="1">
      <c r="A255" s="782"/>
      <c r="B255" s="913" t="s">
        <v>1821</v>
      </c>
      <c r="C255" s="905" t="s">
        <v>1835</v>
      </c>
      <c r="D255" s="917" t="s">
        <v>1747</v>
      </c>
      <c r="E255" s="917">
        <v>1</v>
      </c>
      <c r="F255" s="815">
        <f>F218</f>
        <v>3877</v>
      </c>
      <c r="G255" s="816">
        <f>F255*E255</f>
        <v>3877</v>
      </c>
      <c r="H255" s="782"/>
    </row>
    <row r="256" spans="1:8" hidden="1">
      <c r="A256" s="782"/>
      <c r="B256" s="917"/>
      <c r="C256" s="910"/>
      <c r="D256" s="917"/>
      <c r="E256" s="825"/>
      <c r="F256" s="833"/>
      <c r="G256" s="816">
        <f>SUM(G254:G255)</f>
        <v>27597</v>
      </c>
      <c r="H256" s="782"/>
    </row>
    <row r="257" spans="1:8" hidden="1">
      <c r="A257" s="782"/>
      <c r="B257" s="917"/>
      <c r="C257" s="905" t="s">
        <v>1754</v>
      </c>
      <c r="D257" s="819">
        <f>$D$4</f>
        <v>0</v>
      </c>
      <c r="E257" s="917"/>
      <c r="F257" s="815"/>
      <c r="G257" s="816">
        <f>ROUND(G256*D257,2)</f>
        <v>0</v>
      </c>
      <c r="H257" s="782"/>
    </row>
    <row r="258" spans="1:8" hidden="1">
      <c r="A258" s="782"/>
      <c r="B258" s="917"/>
      <c r="C258" s="910" t="s">
        <v>1755</v>
      </c>
      <c r="D258" s="917"/>
      <c r="E258" s="825"/>
      <c r="F258" s="833"/>
      <c r="G258" s="816">
        <f>SUM(G256:G257)</f>
        <v>27597</v>
      </c>
      <c r="H258" s="782"/>
    </row>
    <row r="259" spans="1:8" hidden="1">
      <c r="A259" s="782"/>
      <c r="B259" s="917"/>
      <c r="C259" s="820" t="s">
        <v>1756</v>
      </c>
      <c r="D259" s="917"/>
      <c r="E259" s="917"/>
      <c r="F259" s="815"/>
      <c r="G259" s="816"/>
      <c r="H259" s="782"/>
    </row>
    <row r="260" spans="1:8" hidden="1">
      <c r="A260" s="782"/>
      <c r="B260" s="913"/>
      <c r="C260" s="905" t="s">
        <v>1848</v>
      </c>
      <c r="D260" s="818" t="s">
        <v>594</v>
      </c>
      <c r="E260" s="917">
        <f>1+1+0.5</f>
        <v>2.5</v>
      </c>
      <c r="F260" s="914">
        <f>$H$3</f>
        <v>620</v>
      </c>
      <c r="G260" s="816">
        <f>F260*E260</f>
        <v>1550</v>
      </c>
      <c r="H260" s="782"/>
    </row>
    <row r="261" spans="1:8" hidden="1">
      <c r="A261" s="782"/>
      <c r="B261" s="913"/>
      <c r="C261" s="905" t="s">
        <v>1849</v>
      </c>
      <c r="D261" s="818" t="s">
        <v>594</v>
      </c>
      <c r="E261" s="917">
        <f>3+3+1.5</f>
        <v>7.5</v>
      </c>
      <c r="F261" s="914">
        <f>$H$4</f>
        <v>515</v>
      </c>
      <c r="G261" s="816">
        <f>F261*E261</f>
        <v>3862.5</v>
      </c>
      <c r="H261" s="782"/>
    </row>
    <row r="262" spans="1:8" hidden="1">
      <c r="A262" s="782"/>
      <c r="B262" s="913"/>
      <c r="C262" s="905" t="s">
        <v>1850</v>
      </c>
      <c r="D262" s="818" t="s">
        <v>594</v>
      </c>
      <c r="E262" s="917">
        <f>1+1+0.5</f>
        <v>2.5</v>
      </c>
      <c r="F262" s="914">
        <f>$H$5</f>
        <v>515</v>
      </c>
      <c r="G262" s="816">
        <f>F262*E262</f>
        <v>1287.5</v>
      </c>
      <c r="H262" s="782"/>
    </row>
    <row r="263" spans="1:8" hidden="1">
      <c r="A263" s="782"/>
      <c r="B263" s="917"/>
      <c r="C263" s="820" t="s">
        <v>1760</v>
      </c>
      <c r="D263" s="771">
        <f>$D$3</f>
        <v>0</v>
      </c>
      <c r="E263" s="914"/>
      <c r="F263" s="815"/>
      <c r="G263" s="821">
        <f>ROUND(D263*(G262+G261+G260),2)</f>
        <v>0</v>
      </c>
      <c r="H263" s="782"/>
    </row>
    <row r="264" spans="1:8" hidden="1">
      <c r="A264" s="782"/>
      <c r="B264" s="917"/>
      <c r="C264" s="905" t="s">
        <v>1761</v>
      </c>
      <c r="D264" s="772">
        <f>D$5</f>
        <v>0</v>
      </c>
      <c r="E264" s="914"/>
      <c r="F264" s="815">
        <f>SUM(G260:G263)</f>
        <v>6700</v>
      </c>
      <c r="G264" s="821">
        <f>ROUND(D264*F264,2)</f>
        <v>0</v>
      </c>
      <c r="H264" s="782"/>
    </row>
    <row r="265" spans="1:8" hidden="1">
      <c r="A265" s="782"/>
      <c r="B265" s="917"/>
      <c r="C265" s="905" t="s">
        <v>1831</v>
      </c>
      <c r="D265" s="917"/>
      <c r="E265" s="917"/>
      <c r="F265" s="815"/>
      <c r="G265" s="816"/>
      <c r="H265" s="782"/>
    </row>
    <row r="266" spans="1:8" hidden="1">
      <c r="A266" s="782"/>
      <c r="B266" s="917"/>
      <c r="C266" s="820" t="s">
        <v>1762</v>
      </c>
      <c r="D266" s="917"/>
      <c r="E266" s="917"/>
      <c r="F266" s="815"/>
      <c r="G266" s="821">
        <f>SUM(G258:G265)</f>
        <v>34297</v>
      </c>
      <c r="H266" s="782"/>
    </row>
    <row r="267" spans="1:8" hidden="1">
      <c r="A267" s="782"/>
      <c r="B267" s="917"/>
      <c r="C267" s="820" t="s">
        <v>1763</v>
      </c>
      <c r="D267" s="917"/>
      <c r="E267" s="917"/>
      <c r="F267" s="815"/>
      <c r="G267" s="821">
        <f>CEILING(G266/100,0.05)</f>
        <v>343</v>
      </c>
      <c r="H267" s="782"/>
    </row>
    <row r="268" spans="1:8" hidden="1">
      <c r="A268" s="782"/>
      <c r="B268" s="917"/>
      <c r="C268" s="909" t="s">
        <v>1832</v>
      </c>
      <c r="D268" s="909"/>
      <c r="E268" s="917"/>
      <c r="F268" s="815"/>
      <c r="G268" s="816"/>
      <c r="H268" s="782"/>
    </row>
    <row r="269" spans="1:8" hidden="1">
      <c r="A269" s="782"/>
      <c r="B269" s="917"/>
      <c r="C269" s="909"/>
      <c r="D269" s="909"/>
      <c r="E269" s="917"/>
      <c r="F269" s="815"/>
      <c r="G269" s="816"/>
      <c r="H269" s="782"/>
    </row>
    <row r="270" spans="1:8" hidden="1">
      <c r="A270" s="782"/>
      <c r="B270" s="917"/>
      <c r="C270" s="841" t="s">
        <v>1851</v>
      </c>
      <c r="D270" s="909"/>
      <c r="E270" s="917"/>
      <c r="F270" s="815"/>
      <c r="G270" s="816"/>
      <c r="H270" s="782"/>
    </row>
    <row r="271" spans="1:8" ht="25.5" hidden="1" customHeight="1">
      <c r="A271" s="914">
        <f>A251+1</f>
        <v>14</v>
      </c>
      <c r="B271" s="917" t="s">
        <v>1852</v>
      </c>
      <c r="C271" s="905" t="s">
        <v>1262</v>
      </c>
      <c r="D271" s="905"/>
      <c r="E271" s="905"/>
      <c r="F271" s="905"/>
      <c r="G271" s="905"/>
      <c r="H271" s="782"/>
    </row>
    <row r="272" spans="1:8" hidden="1">
      <c r="A272" s="782"/>
      <c r="B272" s="917"/>
      <c r="C272" s="911" t="s">
        <v>1743</v>
      </c>
      <c r="D272" s="917"/>
      <c r="E272" s="917"/>
      <c r="F272" s="815"/>
      <c r="G272" s="816"/>
      <c r="H272" s="782"/>
    </row>
    <row r="273" spans="1:8" hidden="1">
      <c r="A273" s="782"/>
      <c r="B273" s="917"/>
      <c r="C273" s="817" t="s">
        <v>1744</v>
      </c>
      <c r="D273" s="917"/>
      <c r="E273" s="917"/>
      <c r="F273" s="815"/>
      <c r="G273" s="816"/>
      <c r="H273" s="782"/>
    </row>
    <row r="274" spans="1:8" hidden="1">
      <c r="A274" s="782"/>
      <c r="B274" s="917" t="s">
        <v>1821</v>
      </c>
      <c r="C274" s="905" t="s">
        <v>1853</v>
      </c>
      <c r="D274" s="917" t="s">
        <v>1747</v>
      </c>
      <c r="E274" s="917">
        <v>4</v>
      </c>
      <c r="F274" s="815">
        <v>9156</v>
      </c>
      <c r="G274" s="816">
        <f>F274*E274</f>
        <v>36624</v>
      </c>
      <c r="H274" s="782"/>
    </row>
    <row r="275" spans="1:8" hidden="1">
      <c r="A275" s="782"/>
      <c r="B275" s="913" t="s">
        <v>1821</v>
      </c>
      <c r="C275" s="905" t="s">
        <v>1847</v>
      </c>
      <c r="D275" s="917" t="s">
        <v>1747</v>
      </c>
      <c r="E275" s="917">
        <v>1</v>
      </c>
      <c r="F275" s="815">
        <f>F236</f>
        <v>5930</v>
      </c>
      <c r="G275" s="816">
        <f>F275*E275</f>
        <v>5930</v>
      </c>
      <c r="H275" s="782"/>
    </row>
    <row r="276" spans="1:8" hidden="1">
      <c r="A276" s="782"/>
      <c r="B276" s="917"/>
      <c r="C276" s="910"/>
      <c r="D276" s="917"/>
      <c r="E276" s="825"/>
      <c r="F276" s="833"/>
      <c r="G276" s="816">
        <f>SUM(G274:G275)</f>
        <v>42554</v>
      </c>
      <c r="H276" s="782"/>
    </row>
    <row r="277" spans="1:8" hidden="1">
      <c r="A277" s="782"/>
      <c r="B277" s="917"/>
      <c r="C277" s="905" t="s">
        <v>1754</v>
      </c>
      <c r="D277" s="819">
        <f>$D$4</f>
        <v>0</v>
      </c>
      <c r="E277" s="917"/>
      <c r="F277" s="815"/>
      <c r="G277" s="816">
        <f>ROUND(G276*D277,2)</f>
        <v>0</v>
      </c>
      <c r="H277" s="782"/>
    </row>
    <row r="278" spans="1:8" hidden="1">
      <c r="A278" s="782"/>
      <c r="B278" s="917"/>
      <c r="C278" s="910" t="s">
        <v>1755</v>
      </c>
      <c r="D278" s="917"/>
      <c r="E278" s="825"/>
      <c r="F278" s="833"/>
      <c r="G278" s="816">
        <f>SUM(G276:G277)</f>
        <v>42554</v>
      </c>
      <c r="H278" s="782"/>
    </row>
    <row r="279" spans="1:8" hidden="1">
      <c r="A279" s="782"/>
      <c r="B279" s="917"/>
      <c r="C279" s="820" t="s">
        <v>1756</v>
      </c>
      <c r="D279" s="917"/>
      <c r="E279" s="917"/>
      <c r="F279" s="815"/>
      <c r="G279" s="816"/>
      <c r="H279" s="782"/>
    </row>
    <row r="280" spans="1:8" hidden="1">
      <c r="A280" s="782"/>
      <c r="B280" s="913"/>
      <c r="C280" s="905" t="s">
        <v>1848</v>
      </c>
      <c r="D280" s="818" t="s">
        <v>594</v>
      </c>
      <c r="E280" s="917">
        <f>1+1+0.5</f>
        <v>2.5</v>
      </c>
      <c r="F280" s="914">
        <f>$H$3</f>
        <v>620</v>
      </c>
      <c r="G280" s="816">
        <f>F280*E280</f>
        <v>1550</v>
      </c>
      <c r="H280" s="782"/>
    </row>
    <row r="281" spans="1:8" hidden="1">
      <c r="A281" s="782"/>
      <c r="B281" s="913"/>
      <c r="C281" s="905" t="s">
        <v>1849</v>
      </c>
      <c r="D281" s="818" t="s">
        <v>594</v>
      </c>
      <c r="E281" s="917">
        <f>3+3+1.5</f>
        <v>7.5</v>
      </c>
      <c r="F281" s="914">
        <f>$H$4</f>
        <v>515</v>
      </c>
      <c r="G281" s="816">
        <f>F281*E281</f>
        <v>3862.5</v>
      </c>
      <c r="H281" s="782"/>
    </row>
    <row r="282" spans="1:8" hidden="1">
      <c r="A282" s="782"/>
      <c r="B282" s="913"/>
      <c r="C282" s="905" t="s">
        <v>1850</v>
      </c>
      <c r="D282" s="818" t="s">
        <v>594</v>
      </c>
      <c r="E282" s="917">
        <f>1+1+0.5</f>
        <v>2.5</v>
      </c>
      <c r="F282" s="914">
        <f>$H$5</f>
        <v>515</v>
      </c>
      <c r="G282" s="816">
        <f>F282*E282</f>
        <v>1287.5</v>
      </c>
      <c r="H282" s="782"/>
    </row>
    <row r="283" spans="1:8" hidden="1">
      <c r="A283" s="782"/>
      <c r="B283" s="917"/>
      <c r="C283" s="820" t="s">
        <v>1760</v>
      </c>
      <c r="D283" s="771">
        <f>$D$3</f>
        <v>0</v>
      </c>
      <c r="E283" s="914"/>
      <c r="F283" s="815"/>
      <c r="G283" s="821">
        <f>ROUND(D283*(G282+G281+G280),2)</f>
        <v>0</v>
      </c>
      <c r="H283" s="782"/>
    </row>
    <row r="284" spans="1:8" hidden="1">
      <c r="A284" s="782"/>
      <c r="B284" s="917"/>
      <c r="C284" s="905" t="s">
        <v>1761</v>
      </c>
      <c r="D284" s="772">
        <f>D$5</f>
        <v>0</v>
      </c>
      <c r="E284" s="914"/>
      <c r="F284" s="815">
        <f>SUM(G280:G283)</f>
        <v>6700</v>
      </c>
      <c r="G284" s="821">
        <f>ROUND(D284*F284,2)</f>
        <v>0</v>
      </c>
      <c r="H284" s="782"/>
    </row>
    <row r="285" spans="1:8" hidden="1">
      <c r="A285" s="782"/>
      <c r="B285" s="917"/>
      <c r="C285" s="905" t="s">
        <v>1831</v>
      </c>
      <c r="D285" s="917"/>
      <c r="E285" s="917"/>
      <c r="F285" s="815"/>
      <c r="G285" s="816"/>
      <c r="H285" s="782"/>
    </row>
    <row r="286" spans="1:8" hidden="1">
      <c r="A286" s="782"/>
      <c r="B286" s="917"/>
      <c r="C286" s="820" t="s">
        <v>1762</v>
      </c>
      <c r="D286" s="917"/>
      <c r="E286" s="917"/>
      <c r="F286" s="815"/>
      <c r="G286" s="821">
        <f>SUM(G278:G285)</f>
        <v>49254</v>
      </c>
      <c r="H286" s="782"/>
    </row>
    <row r="287" spans="1:8" hidden="1">
      <c r="A287" s="782"/>
      <c r="B287" s="917"/>
      <c r="C287" s="820" t="s">
        <v>1763</v>
      </c>
      <c r="D287" s="917"/>
      <c r="E287" s="917"/>
      <c r="F287" s="815"/>
      <c r="G287" s="821">
        <f>CEILING(G286/100,0.05)</f>
        <v>492.55</v>
      </c>
      <c r="H287" s="782"/>
    </row>
    <row r="288" spans="1:8" hidden="1">
      <c r="A288" s="782"/>
      <c r="B288" s="917"/>
      <c r="C288" s="909" t="s">
        <v>1832</v>
      </c>
      <c r="D288" s="909"/>
      <c r="E288" s="917"/>
      <c r="F288" s="815"/>
      <c r="G288" s="816"/>
      <c r="H288" s="782"/>
    </row>
    <row r="289" spans="1:8" ht="12.75" hidden="1" customHeight="1">
      <c r="A289" s="914">
        <f>A271+1</f>
        <v>15</v>
      </c>
      <c r="B289" s="917" t="s">
        <v>1854</v>
      </c>
      <c r="C289" s="905" t="s">
        <v>2187</v>
      </c>
      <c r="D289" s="905"/>
      <c r="E289" s="905"/>
      <c r="F289" s="905"/>
      <c r="G289" s="905"/>
      <c r="H289" s="782"/>
    </row>
    <row r="290" spans="1:8" hidden="1">
      <c r="A290" s="782"/>
      <c r="B290" s="917"/>
      <c r="C290" s="817" t="s">
        <v>1744</v>
      </c>
      <c r="D290" s="917"/>
      <c r="E290" s="917"/>
      <c r="F290" s="824"/>
      <c r="G290" s="816"/>
      <c r="H290" s="782"/>
    </row>
    <row r="291" spans="1:8" ht="24.6" hidden="1">
      <c r="A291" s="782"/>
      <c r="B291" s="917" t="s">
        <v>2195</v>
      </c>
      <c r="C291" s="905" t="s">
        <v>1855</v>
      </c>
      <c r="D291" s="917" t="s">
        <v>327</v>
      </c>
      <c r="E291" s="917">
        <v>1</v>
      </c>
      <c r="F291" s="824">
        <v>1142</v>
      </c>
      <c r="G291" s="816">
        <f>F291*E291</f>
        <v>1142</v>
      </c>
      <c r="H291" s="782"/>
    </row>
    <row r="292" spans="1:8" hidden="1">
      <c r="A292" s="782"/>
      <c r="B292" s="917" t="s">
        <v>2140</v>
      </c>
      <c r="C292" s="905" t="s">
        <v>1857</v>
      </c>
      <c r="D292" s="917" t="s">
        <v>327</v>
      </c>
      <c r="E292" s="917">
        <v>1</v>
      </c>
      <c r="F292" s="824">
        <v>233</v>
      </c>
      <c r="G292" s="816">
        <f>F292*E292</f>
        <v>233</v>
      </c>
      <c r="H292" s="782"/>
    </row>
    <row r="293" spans="1:8" hidden="1">
      <c r="A293" s="782"/>
      <c r="B293" s="917"/>
      <c r="C293" s="905"/>
      <c r="D293" s="917"/>
      <c r="E293" s="917"/>
      <c r="F293" s="824"/>
      <c r="G293" s="816">
        <f>SUM(G291:G292)</f>
        <v>1375</v>
      </c>
      <c r="H293" s="782"/>
    </row>
    <row r="294" spans="1:8" hidden="1">
      <c r="A294" s="782"/>
      <c r="B294" s="917"/>
      <c r="C294" s="826" t="s">
        <v>1776</v>
      </c>
      <c r="D294" s="827">
        <f>$D$4</f>
        <v>0</v>
      </c>
      <c r="E294" s="917"/>
      <c r="F294" s="824"/>
      <c r="G294" s="816">
        <f>ROUND(G293*D294,2)</f>
        <v>0</v>
      </c>
      <c r="H294" s="782"/>
    </row>
    <row r="295" spans="1:8" hidden="1">
      <c r="A295" s="782"/>
      <c r="B295" s="917"/>
      <c r="C295" s="905" t="s">
        <v>1755</v>
      </c>
      <c r="D295" s="917"/>
      <c r="E295" s="917"/>
      <c r="F295" s="824"/>
      <c r="G295" s="816">
        <f>SUM(G293:G294)</f>
        <v>1375</v>
      </c>
      <c r="H295" s="782"/>
    </row>
    <row r="296" spans="1:8" hidden="1">
      <c r="A296" s="782"/>
      <c r="B296" s="917"/>
      <c r="C296" s="820" t="s">
        <v>1756</v>
      </c>
      <c r="D296" s="917"/>
      <c r="E296" s="917"/>
      <c r="F296" s="824"/>
      <c r="G296" s="816"/>
      <c r="H296" s="782"/>
    </row>
    <row r="297" spans="1:8" hidden="1">
      <c r="A297" s="782"/>
      <c r="B297" s="913" t="s">
        <v>1757</v>
      </c>
      <c r="C297" s="905" t="s">
        <v>1733</v>
      </c>
      <c r="D297" s="917" t="s">
        <v>327</v>
      </c>
      <c r="E297" s="917">
        <v>0.25</v>
      </c>
      <c r="F297" s="839">
        <f>$H$3</f>
        <v>620</v>
      </c>
      <c r="G297" s="816">
        <f>F297*E297</f>
        <v>155</v>
      </c>
      <c r="H297" s="782"/>
    </row>
    <row r="298" spans="1:8" hidden="1">
      <c r="A298" s="782"/>
      <c r="B298" s="913" t="s">
        <v>1758</v>
      </c>
      <c r="C298" s="905" t="s">
        <v>1735</v>
      </c>
      <c r="D298" s="917" t="s">
        <v>327</v>
      </c>
      <c r="E298" s="917">
        <v>0.25</v>
      </c>
      <c r="F298" s="839">
        <f>$H$4</f>
        <v>515</v>
      </c>
      <c r="G298" s="816">
        <f>F298*E298</f>
        <v>128.75</v>
      </c>
      <c r="H298" s="782"/>
    </row>
    <row r="299" spans="1:8" hidden="1">
      <c r="A299" s="782"/>
      <c r="B299" s="913" t="s">
        <v>1759</v>
      </c>
      <c r="C299" s="905" t="s">
        <v>1737</v>
      </c>
      <c r="D299" s="917" t="s">
        <v>327</v>
      </c>
      <c r="E299" s="917">
        <v>0.25</v>
      </c>
      <c r="F299" s="839">
        <f>$H$5</f>
        <v>515</v>
      </c>
      <c r="G299" s="816">
        <f>F299*E299</f>
        <v>128.75</v>
      </c>
      <c r="H299" s="782"/>
    </row>
    <row r="300" spans="1:8" hidden="1">
      <c r="A300" s="782"/>
      <c r="B300" s="917"/>
      <c r="C300" s="826" t="s">
        <v>1760</v>
      </c>
      <c r="D300" s="828">
        <f>$D$3</f>
        <v>0</v>
      </c>
      <c r="E300" s="914"/>
      <c r="F300" s="824"/>
      <c r="G300" s="821">
        <f>ROUND(D300*(G299+G298+G297),2)</f>
        <v>0</v>
      </c>
      <c r="H300" s="782"/>
    </row>
    <row r="301" spans="1:8" hidden="1">
      <c r="A301" s="782"/>
      <c r="B301" s="917"/>
      <c r="C301" s="826" t="s">
        <v>1779</v>
      </c>
      <c r="D301" s="827">
        <f>$D$5</f>
        <v>0</v>
      </c>
      <c r="E301" s="914"/>
      <c r="F301" s="824">
        <f>SUM(G297:G300)</f>
        <v>412.5</v>
      </c>
      <c r="G301" s="821">
        <f>ROUND(D301*F301,2)</f>
        <v>0</v>
      </c>
      <c r="H301" s="782"/>
    </row>
    <row r="302" spans="1:8" hidden="1">
      <c r="A302" s="782"/>
      <c r="B302" s="917"/>
      <c r="C302" s="820" t="s">
        <v>1806</v>
      </c>
      <c r="D302" s="917"/>
      <c r="E302" s="917"/>
      <c r="F302" s="824"/>
      <c r="G302" s="821">
        <f>SUM(G295:G301)</f>
        <v>1787.5</v>
      </c>
      <c r="H302" s="782"/>
    </row>
    <row r="303" spans="1:8" hidden="1">
      <c r="A303" s="782"/>
      <c r="B303" s="917"/>
      <c r="C303" s="905" t="s">
        <v>1859</v>
      </c>
      <c r="D303" s="905"/>
      <c r="E303" s="917"/>
      <c r="F303" s="824"/>
      <c r="G303" s="816"/>
      <c r="H303" s="782"/>
    </row>
    <row r="304" spans="1:8" hidden="1">
      <c r="A304" s="782"/>
      <c r="B304" s="917"/>
      <c r="C304" s="842" t="s">
        <v>1860</v>
      </c>
      <c r="D304" s="917"/>
      <c r="E304" s="917"/>
      <c r="F304" s="824"/>
      <c r="G304" s="816"/>
      <c r="H304" s="782"/>
    </row>
    <row r="305" spans="1:8" hidden="1">
      <c r="A305" s="782"/>
      <c r="B305" s="917"/>
      <c r="C305" s="905" t="s">
        <v>1861</v>
      </c>
      <c r="D305" s="917"/>
      <c r="E305" s="917"/>
      <c r="F305" s="824"/>
      <c r="G305" s="816"/>
      <c r="H305" s="782"/>
    </row>
    <row r="306" spans="1:8" hidden="1">
      <c r="A306" s="782"/>
      <c r="B306" s="917"/>
      <c r="C306" s="905" t="s">
        <v>1862</v>
      </c>
      <c r="D306" s="917"/>
      <c r="E306" s="917"/>
      <c r="F306" s="824"/>
      <c r="G306" s="816"/>
      <c r="H306" s="782"/>
    </row>
    <row r="307" spans="1:8">
      <c r="A307" s="782"/>
      <c r="B307" s="917"/>
      <c r="C307" s="905"/>
      <c r="D307" s="917"/>
      <c r="E307" s="917"/>
      <c r="F307" s="824"/>
      <c r="G307" s="816"/>
      <c r="H307" s="782"/>
    </row>
    <row r="308" spans="1:8" ht="73.8">
      <c r="A308" s="914">
        <v>15</v>
      </c>
      <c r="B308" s="917" t="s">
        <v>1863</v>
      </c>
      <c r="C308" s="905" t="s">
        <v>1423</v>
      </c>
      <c r="D308" s="905"/>
      <c r="E308" s="905"/>
      <c r="F308" s="905"/>
      <c r="G308" s="905"/>
      <c r="H308" s="782"/>
    </row>
    <row r="309" spans="1:8" ht="24.6">
      <c r="A309" s="782"/>
      <c r="B309" s="917" t="s">
        <v>112</v>
      </c>
      <c r="C309" s="820" t="s">
        <v>1864</v>
      </c>
      <c r="D309" s="917"/>
      <c r="E309" s="917"/>
      <c r="F309" s="815"/>
      <c r="G309" s="816"/>
      <c r="H309" s="782"/>
    </row>
    <row r="310" spans="1:8">
      <c r="A310" s="782"/>
      <c r="B310" s="917"/>
      <c r="C310" s="911" t="s">
        <v>1804</v>
      </c>
      <c r="D310" s="917"/>
      <c r="E310" s="917"/>
      <c r="F310" s="815"/>
      <c r="G310" s="816"/>
      <c r="H310" s="782"/>
    </row>
    <row r="311" spans="1:8">
      <c r="A311" s="782"/>
      <c r="B311" s="917"/>
      <c r="C311" s="817" t="s">
        <v>1744</v>
      </c>
      <c r="D311" s="917"/>
      <c r="E311" s="917"/>
      <c r="F311" s="815"/>
      <c r="G311" s="816"/>
      <c r="H311" s="782"/>
    </row>
    <row r="312" spans="1:8" ht="24.6">
      <c r="A312" s="782"/>
      <c r="B312" s="917" t="s">
        <v>1867</v>
      </c>
      <c r="C312" s="905" t="s">
        <v>1866</v>
      </c>
      <c r="D312" s="917" t="s">
        <v>331</v>
      </c>
      <c r="E312" s="917">
        <v>1</v>
      </c>
      <c r="F312" s="815">
        <v>1654</v>
      </c>
      <c r="G312" s="816">
        <f>F312*E312</f>
        <v>1654</v>
      </c>
      <c r="H312" s="782"/>
    </row>
    <row r="313" spans="1:8">
      <c r="A313" s="782"/>
      <c r="B313" s="917" t="s">
        <v>2141</v>
      </c>
      <c r="C313" s="905" t="s">
        <v>1868</v>
      </c>
      <c r="D313" s="917" t="s">
        <v>331</v>
      </c>
      <c r="E313" s="917">
        <v>1</v>
      </c>
      <c r="F313" s="815">
        <v>550</v>
      </c>
      <c r="G313" s="816">
        <f>F313*E313</f>
        <v>550</v>
      </c>
      <c r="H313" s="782"/>
    </row>
    <row r="314" spans="1:8">
      <c r="A314" s="782"/>
      <c r="B314" s="917" t="s">
        <v>2140</v>
      </c>
      <c r="C314" s="905" t="s">
        <v>1869</v>
      </c>
      <c r="D314" s="917" t="s">
        <v>331</v>
      </c>
      <c r="E314" s="917">
        <v>6</v>
      </c>
      <c r="F314" s="815">
        <v>256</v>
      </c>
      <c r="G314" s="816">
        <f>F314*E314</f>
        <v>1536</v>
      </c>
      <c r="H314" s="782"/>
    </row>
    <row r="315" spans="1:8">
      <c r="A315" s="782"/>
      <c r="B315" s="917"/>
      <c r="C315" s="905"/>
      <c r="D315" s="917"/>
      <c r="E315" s="917"/>
      <c r="F315" s="815"/>
      <c r="G315" s="816">
        <f>SUM(G312:G314)</f>
        <v>3740</v>
      </c>
      <c r="H315" s="782"/>
    </row>
    <row r="316" spans="1:8">
      <c r="A316" s="782"/>
      <c r="B316" s="917"/>
      <c r="C316" s="905" t="s">
        <v>1870</v>
      </c>
      <c r="D316" s="818">
        <f>$D$4</f>
        <v>0</v>
      </c>
      <c r="E316" s="917"/>
      <c r="F316" s="815"/>
      <c r="G316" s="816">
        <f>ROUND(G315*D316,2)</f>
        <v>0</v>
      </c>
      <c r="H316" s="782"/>
    </row>
    <row r="317" spans="1:8">
      <c r="A317" s="782"/>
      <c r="B317" s="917"/>
      <c r="C317" s="905" t="s">
        <v>1755</v>
      </c>
      <c r="D317" s="917"/>
      <c r="E317" s="917"/>
      <c r="F317" s="815"/>
      <c r="G317" s="816">
        <f>SUM(G315:G316)</f>
        <v>3740</v>
      </c>
      <c r="H317" s="782"/>
    </row>
    <row r="318" spans="1:8">
      <c r="A318" s="782"/>
      <c r="B318" s="917"/>
      <c r="C318" s="820" t="s">
        <v>1756</v>
      </c>
      <c r="D318" s="917"/>
      <c r="E318" s="917"/>
      <c r="F318" s="815"/>
      <c r="G318" s="816"/>
      <c r="H318" s="782"/>
    </row>
    <row r="319" spans="1:8">
      <c r="A319" s="782"/>
      <c r="B319" s="913"/>
      <c r="C319" s="905" t="s">
        <v>1733</v>
      </c>
      <c r="D319" s="818" t="s">
        <v>594</v>
      </c>
      <c r="E319" s="917">
        <v>0.5</v>
      </c>
      <c r="F319" s="914">
        <f>$H$3</f>
        <v>620</v>
      </c>
      <c r="G319" s="816">
        <f>F319*E319</f>
        <v>310</v>
      </c>
      <c r="H319" s="782"/>
    </row>
    <row r="320" spans="1:8">
      <c r="A320" s="782"/>
      <c r="B320" s="913"/>
      <c r="C320" s="905" t="s">
        <v>1823</v>
      </c>
      <c r="D320" s="818" t="s">
        <v>594</v>
      </c>
      <c r="E320" s="917">
        <v>0.5</v>
      </c>
      <c r="F320" s="914">
        <f>$H$4</f>
        <v>515</v>
      </c>
      <c r="G320" s="816">
        <f>F320*E320</f>
        <v>257.5</v>
      </c>
      <c r="H320" s="782"/>
    </row>
    <row r="321" spans="1:8">
      <c r="A321" s="782"/>
      <c r="B321" s="913"/>
      <c r="C321" s="905" t="s">
        <v>1737</v>
      </c>
      <c r="D321" s="818" t="s">
        <v>594</v>
      </c>
      <c r="E321" s="917">
        <v>1</v>
      </c>
      <c r="F321" s="914">
        <f>$H$5</f>
        <v>515</v>
      </c>
      <c r="G321" s="816">
        <f>F321*E321</f>
        <v>515</v>
      </c>
      <c r="H321" s="782"/>
    </row>
    <row r="322" spans="1:8">
      <c r="A322" s="782"/>
      <c r="B322" s="917"/>
      <c r="C322" s="820" t="s">
        <v>1760</v>
      </c>
      <c r="D322" s="771">
        <f>$D$3</f>
        <v>0</v>
      </c>
      <c r="E322" s="914"/>
      <c r="F322" s="815"/>
      <c r="G322" s="821">
        <f>ROUND(D322*(G321+G320+G319),2)</f>
        <v>0</v>
      </c>
      <c r="H322" s="782"/>
    </row>
    <row r="323" spans="1:8">
      <c r="A323" s="782"/>
      <c r="B323" s="917"/>
      <c r="C323" s="905" t="s">
        <v>1871</v>
      </c>
      <c r="D323" s="771">
        <f>$D$5</f>
        <v>0</v>
      </c>
      <c r="E323" s="914"/>
      <c r="F323" s="815">
        <f>SUM(G319:G322)</f>
        <v>1082.5</v>
      </c>
      <c r="G323" s="821">
        <f>ROUND(D323*F323,2)</f>
        <v>0</v>
      </c>
      <c r="H323" s="782"/>
    </row>
    <row r="324" spans="1:8">
      <c r="A324" s="782"/>
      <c r="B324" s="917"/>
      <c r="C324" s="820" t="s">
        <v>1806</v>
      </c>
      <c r="D324" s="917"/>
      <c r="E324" s="917"/>
      <c r="F324" s="815"/>
      <c r="G324" s="821">
        <f>SUM(G317:G323)</f>
        <v>4822.5</v>
      </c>
      <c r="H324" s="782"/>
    </row>
    <row r="325" spans="1:8">
      <c r="A325" s="782"/>
      <c r="B325" s="917"/>
      <c r="C325" s="909" t="s">
        <v>1872</v>
      </c>
      <c r="D325" s="909"/>
      <c r="E325" s="917"/>
      <c r="F325" s="815"/>
      <c r="G325" s="816"/>
      <c r="H325" s="782"/>
    </row>
    <row r="326" spans="1:8" hidden="1">
      <c r="A326" s="782"/>
      <c r="B326" s="917"/>
      <c r="C326" s="909"/>
      <c r="D326" s="909"/>
      <c r="E326" s="917"/>
      <c r="F326" s="815"/>
      <c r="G326" s="816"/>
      <c r="H326" s="782"/>
    </row>
    <row r="327" spans="1:8" ht="73.8" hidden="1">
      <c r="A327" s="914">
        <f>A308+1</f>
        <v>16</v>
      </c>
      <c r="B327" s="917" t="s">
        <v>1873</v>
      </c>
      <c r="C327" s="905" t="s">
        <v>2142</v>
      </c>
      <c r="D327" s="905"/>
      <c r="E327" s="905"/>
      <c r="F327" s="905"/>
      <c r="G327" s="905"/>
      <c r="H327" s="782"/>
    </row>
    <row r="328" spans="1:8" ht="24.6" hidden="1">
      <c r="A328" s="782"/>
      <c r="B328" s="917" t="s">
        <v>646</v>
      </c>
      <c r="C328" s="820" t="s">
        <v>1874</v>
      </c>
      <c r="D328" s="917"/>
      <c r="E328" s="917"/>
      <c r="F328" s="815"/>
      <c r="G328" s="816"/>
      <c r="H328" s="782"/>
    </row>
    <row r="329" spans="1:8" hidden="1">
      <c r="A329" s="782"/>
      <c r="B329" s="917"/>
      <c r="C329" s="911" t="s">
        <v>1804</v>
      </c>
      <c r="D329" s="917"/>
      <c r="E329" s="917"/>
      <c r="F329" s="815"/>
      <c r="G329" s="816"/>
      <c r="H329" s="782"/>
    </row>
    <row r="330" spans="1:8" hidden="1">
      <c r="A330" s="782"/>
      <c r="B330" s="917"/>
      <c r="C330" s="817" t="s">
        <v>1744</v>
      </c>
      <c r="D330" s="917"/>
      <c r="E330" s="917"/>
      <c r="F330" s="815"/>
      <c r="G330" s="816"/>
      <c r="H330" s="782"/>
    </row>
    <row r="331" spans="1:8" ht="24.6" hidden="1">
      <c r="A331" s="782"/>
      <c r="B331" s="917" t="s">
        <v>1865</v>
      </c>
      <c r="C331" s="905" t="s">
        <v>1875</v>
      </c>
      <c r="D331" s="917" t="s">
        <v>331</v>
      </c>
      <c r="E331" s="917">
        <v>1</v>
      </c>
      <c r="F331" s="815">
        <v>3153</v>
      </c>
      <c r="G331" s="816">
        <f>F331*E331</f>
        <v>3153</v>
      </c>
      <c r="H331" s="782"/>
    </row>
    <row r="332" spans="1:8" hidden="1">
      <c r="A332" s="782"/>
      <c r="B332" s="917" t="s">
        <v>2143</v>
      </c>
      <c r="C332" s="905" t="s">
        <v>1876</v>
      </c>
      <c r="D332" s="917" t="s">
        <v>331</v>
      </c>
      <c r="E332" s="917">
        <v>1</v>
      </c>
      <c r="F332" s="815">
        <v>943</v>
      </c>
      <c r="G332" s="816">
        <f>F332*E332</f>
        <v>943</v>
      </c>
      <c r="H332" s="782"/>
    </row>
    <row r="333" spans="1:8" hidden="1">
      <c r="A333" s="782"/>
      <c r="B333" s="917" t="s">
        <v>2140</v>
      </c>
      <c r="C333" s="905" t="s">
        <v>1877</v>
      </c>
      <c r="D333" s="917" t="s">
        <v>331</v>
      </c>
      <c r="E333" s="917">
        <v>12</v>
      </c>
      <c r="F333" s="815">
        <f>F314</f>
        <v>256</v>
      </c>
      <c r="G333" s="816">
        <f>F333*E333</f>
        <v>3072</v>
      </c>
      <c r="H333" s="782"/>
    </row>
    <row r="334" spans="1:8" hidden="1">
      <c r="A334" s="782"/>
      <c r="B334" s="917"/>
      <c r="C334" s="905"/>
      <c r="D334" s="917"/>
      <c r="E334" s="917"/>
      <c r="F334" s="815"/>
      <c r="G334" s="816">
        <f>SUM(G331:G333)</f>
        <v>7168</v>
      </c>
      <c r="H334" s="782"/>
    </row>
    <row r="335" spans="1:8" hidden="1">
      <c r="A335" s="782"/>
      <c r="B335" s="917"/>
      <c r="C335" s="905" t="s">
        <v>1870</v>
      </c>
      <c r="D335" s="818">
        <f>$D$4</f>
        <v>0</v>
      </c>
      <c r="E335" s="917"/>
      <c r="F335" s="815"/>
      <c r="G335" s="816">
        <f>ROUND(G334*D335,2)</f>
        <v>0</v>
      </c>
      <c r="H335" s="782"/>
    </row>
    <row r="336" spans="1:8" hidden="1">
      <c r="A336" s="782"/>
      <c r="B336" s="917"/>
      <c r="C336" s="905" t="s">
        <v>1755</v>
      </c>
      <c r="D336" s="917"/>
      <c r="E336" s="917"/>
      <c r="F336" s="815"/>
      <c r="G336" s="816">
        <f>SUM(G334:G335)</f>
        <v>7168</v>
      </c>
      <c r="H336" s="782"/>
    </row>
    <row r="337" spans="1:8" hidden="1">
      <c r="A337" s="782"/>
      <c r="B337" s="917"/>
      <c r="C337" s="820" t="s">
        <v>1756</v>
      </c>
      <c r="D337" s="917"/>
      <c r="E337" s="917"/>
      <c r="F337" s="815"/>
      <c r="G337" s="816"/>
      <c r="H337" s="782"/>
    </row>
    <row r="338" spans="1:8" hidden="1">
      <c r="A338" s="782"/>
      <c r="B338" s="913"/>
      <c r="C338" s="905" t="s">
        <v>1733</v>
      </c>
      <c r="D338" s="818" t="s">
        <v>594</v>
      </c>
      <c r="E338" s="917">
        <v>0.5</v>
      </c>
      <c r="F338" s="914">
        <f>$H$3</f>
        <v>620</v>
      </c>
      <c r="G338" s="816">
        <f>F338*E338</f>
        <v>310</v>
      </c>
      <c r="H338" s="782"/>
    </row>
    <row r="339" spans="1:8" hidden="1">
      <c r="A339" s="782"/>
      <c r="B339" s="913"/>
      <c r="C339" s="905" t="s">
        <v>1823</v>
      </c>
      <c r="D339" s="818" t="s">
        <v>594</v>
      </c>
      <c r="E339" s="917">
        <v>1</v>
      </c>
      <c r="F339" s="914">
        <f>$H$4</f>
        <v>515</v>
      </c>
      <c r="G339" s="816">
        <f>F339*E339</f>
        <v>515</v>
      </c>
      <c r="H339" s="782"/>
    </row>
    <row r="340" spans="1:8" hidden="1">
      <c r="A340" s="782"/>
      <c r="B340" s="913"/>
      <c r="C340" s="905" t="s">
        <v>1737</v>
      </c>
      <c r="D340" s="818" t="s">
        <v>594</v>
      </c>
      <c r="E340" s="917">
        <v>1</v>
      </c>
      <c r="F340" s="914">
        <f>$H$5</f>
        <v>515</v>
      </c>
      <c r="G340" s="816">
        <f>F340*E340</f>
        <v>515</v>
      </c>
      <c r="H340" s="782"/>
    </row>
    <row r="341" spans="1:8" hidden="1">
      <c r="A341" s="782"/>
      <c r="B341" s="917"/>
      <c r="C341" s="820" t="s">
        <v>1760</v>
      </c>
      <c r="D341" s="771">
        <f>$D$3</f>
        <v>0</v>
      </c>
      <c r="E341" s="914"/>
      <c r="F341" s="815"/>
      <c r="G341" s="821">
        <f>ROUND(D341*(G340+G339+G338),2)</f>
        <v>0</v>
      </c>
      <c r="H341" s="782"/>
    </row>
    <row r="342" spans="1:8" hidden="1">
      <c r="A342" s="782"/>
      <c r="B342" s="917"/>
      <c r="C342" s="905" t="s">
        <v>1761</v>
      </c>
      <c r="D342" s="772">
        <f>D$5</f>
        <v>0</v>
      </c>
      <c r="E342" s="914"/>
      <c r="F342" s="815">
        <f>SUM(G338:G341)</f>
        <v>1340</v>
      </c>
      <c r="G342" s="821">
        <f>ROUND(D342*F342,2)</f>
        <v>0</v>
      </c>
      <c r="H342" s="782"/>
    </row>
    <row r="343" spans="1:8" hidden="1">
      <c r="A343" s="782"/>
      <c r="B343" s="917"/>
      <c r="C343" s="820" t="s">
        <v>1806</v>
      </c>
      <c r="D343" s="917"/>
      <c r="E343" s="917"/>
      <c r="F343" s="815"/>
      <c r="G343" s="821">
        <f>SUM(G336:G342)</f>
        <v>8508</v>
      </c>
      <c r="H343" s="782"/>
    </row>
    <row r="344" spans="1:8" hidden="1">
      <c r="A344" s="782"/>
      <c r="B344" s="917"/>
      <c r="C344" s="909" t="s">
        <v>1872</v>
      </c>
      <c r="D344" s="909"/>
      <c r="E344" s="917"/>
      <c r="F344" s="815"/>
      <c r="G344" s="816"/>
      <c r="H344" s="782"/>
    </row>
    <row r="345" spans="1:8" hidden="1">
      <c r="A345" s="782"/>
      <c r="B345" s="917"/>
      <c r="C345" s="909"/>
      <c r="D345" s="909"/>
      <c r="E345" s="917"/>
      <c r="F345" s="815"/>
      <c r="G345" s="816"/>
      <c r="H345" s="782"/>
    </row>
    <row r="346" spans="1:8" ht="73.8" hidden="1">
      <c r="A346" s="914">
        <f>A327+1</f>
        <v>17</v>
      </c>
      <c r="B346" s="917" t="s">
        <v>1878</v>
      </c>
      <c r="C346" s="905" t="s">
        <v>1879</v>
      </c>
      <c r="D346" s="905"/>
      <c r="E346" s="905"/>
      <c r="F346" s="905"/>
      <c r="G346" s="905"/>
      <c r="H346" s="782"/>
    </row>
    <row r="347" spans="1:8" ht="24.6" hidden="1">
      <c r="A347" s="782"/>
      <c r="B347" s="917" t="s">
        <v>112</v>
      </c>
      <c r="C347" s="820" t="s">
        <v>1880</v>
      </c>
      <c r="D347" s="917"/>
      <c r="E347" s="917"/>
      <c r="F347" s="815"/>
      <c r="G347" s="816"/>
      <c r="H347" s="782"/>
    </row>
    <row r="348" spans="1:8" hidden="1">
      <c r="A348" s="782"/>
      <c r="B348" s="917"/>
      <c r="C348" s="911" t="s">
        <v>1804</v>
      </c>
      <c r="D348" s="917"/>
      <c r="E348" s="917"/>
      <c r="F348" s="815"/>
      <c r="G348" s="816"/>
      <c r="H348" s="782"/>
    </row>
    <row r="349" spans="1:8" hidden="1">
      <c r="A349" s="782"/>
      <c r="B349" s="917"/>
      <c r="C349" s="817" t="s">
        <v>1744</v>
      </c>
      <c r="D349" s="917"/>
      <c r="E349" s="917"/>
      <c r="F349" s="824"/>
      <c r="G349" s="816"/>
      <c r="H349" s="782"/>
    </row>
    <row r="350" spans="1:8" ht="24.6" hidden="1">
      <c r="A350" s="782"/>
      <c r="B350" s="917" t="str">
        <f>B331</f>
        <v>ELEC-2.16.1</v>
      </c>
      <c r="C350" s="905" t="s">
        <v>1875</v>
      </c>
      <c r="D350" s="917" t="s">
        <v>331</v>
      </c>
      <c r="E350" s="917">
        <v>1</v>
      </c>
      <c r="F350" s="815">
        <f>F331</f>
        <v>3153</v>
      </c>
      <c r="G350" s="816">
        <f>F350*E350</f>
        <v>3153</v>
      </c>
      <c r="H350" s="782"/>
    </row>
    <row r="351" spans="1:8" hidden="1">
      <c r="A351" s="782"/>
      <c r="B351" s="917" t="s">
        <v>1856</v>
      </c>
      <c r="C351" s="905" t="s">
        <v>2144</v>
      </c>
      <c r="D351" s="917" t="s">
        <v>331</v>
      </c>
      <c r="E351" s="917">
        <v>1</v>
      </c>
      <c r="F351" s="815">
        <v>1031</v>
      </c>
      <c r="G351" s="816">
        <f>F351*E351</f>
        <v>1031</v>
      </c>
      <c r="H351" s="782"/>
    </row>
    <row r="352" spans="1:8" hidden="1">
      <c r="A352" s="782"/>
      <c r="B352" s="917" t="str">
        <f>B333</f>
        <v>ELEC-2.13.1</v>
      </c>
      <c r="C352" s="905" t="s">
        <v>1877</v>
      </c>
      <c r="D352" s="917" t="s">
        <v>331</v>
      </c>
      <c r="E352" s="917">
        <v>12</v>
      </c>
      <c r="F352" s="815">
        <f>F333</f>
        <v>256</v>
      </c>
      <c r="G352" s="816">
        <f>F352*E352</f>
        <v>3072</v>
      </c>
      <c r="H352" s="782"/>
    </row>
    <row r="353" spans="1:8" hidden="1">
      <c r="A353" s="782"/>
      <c r="B353" s="917"/>
      <c r="C353" s="905"/>
      <c r="D353" s="917"/>
      <c r="E353" s="917"/>
      <c r="F353" s="815"/>
      <c r="G353" s="816">
        <f>SUM(G350:G352)</f>
        <v>7256</v>
      </c>
      <c r="H353" s="782"/>
    </row>
    <row r="354" spans="1:8" hidden="1">
      <c r="A354" s="782"/>
      <c r="B354" s="917"/>
      <c r="C354" s="905" t="s">
        <v>1870</v>
      </c>
      <c r="D354" s="818">
        <f>$D$4</f>
        <v>0</v>
      </c>
      <c r="E354" s="917"/>
      <c r="F354" s="815"/>
      <c r="G354" s="816">
        <f>ROUND(G353*D354,2)</f>
        <v>0</v>
      </c>
      <c r="H354" s="782"/>
    </row>
    <row r="355" spans="1:8" hidden="1">
      <c r="A355" s="782"/>
      <c r="B355" s="917"/>
      <c r="C355" s="905" t="s">
        <v>1755</v>
      </c>
      <c r="D355" s="917"/>
      <c r="E355" s="917"/>
      <c r="F355" s="815"/>
      <c r="G355" s="816">
        <f>SUM(G353:G354)</f>
        <v>7256</v>
      </c>
      <c r="H355" s="782"/>
    </row>
    <row r="356" spans="1:8" hidden="1">
      <c r="A356" s="782"/>
      <c r="B356" s="917"/>
      <c r="C356" s="820" t="s">
        <v>1756</v>
      </c>
      <c r="D356" s="917"/>
      <c r="E356" s="917"/>
      <c r="F356" s="815"/>
      <c r="G356" s="816"/>
      <c r="H356" s="782"/>
    </row>
    <row r="357" spans="1:8" hidden="1">
      <c r="A357" s="782"/>
      <c r="B357" s="913"/>
      <c r="C357" s="905" t="s">
        <v>1733</v>
      </c>
      <c r="D357" s="818" t="s">
        <v>594</v>
      </c>
      <c r="E357" s="917">
        <v>0.5</v>
      </c>
      <c r="F357" s="914">
        <f>$H$3</f>
        <v>620</v>
      </c>
      <c r="G357" s="816">
        <f>F357*E357</f>
        <v>310</v>
      </c>
      <c r="H357" s="782"/>
    </row>
    <row r="358" spans="1:8" hidden="1">
      <c r="A358" s="782"/>
      <c r="B358" s="913"/>
      <c r="C358" s="905" t="s">
        <v>1823</v>
      </c>
      <c r="D358" s="818" t="s">
        <v>594</v>
      </c>
      <c r="E358" s="917">
        <v>1</v>
      </c>
      <c r="F358" s="914">
        <f>$H$4</f>
        <v>515</v>
      </c>
      <c r="G358" s="816">
        <f>F358*E358</f>
        <v>515</v>
      </c>
      <c r="H358" s="782"/>
    </row>
    <row r="359" spans="1:8" hidden="1">
      <c r="A359" s="782"/>
      <c r="B359" s="913"/>
      <c r="C359" s="905" t="s">
        <v>1737</v>
      </c>
      <c r="D359" s="818" t="s">
        <v>594</v>
      </c>
      <c r="E359" s="917">
        <v>1</v>
      </c>
      <c r="F359" s="914">
        <f>$H$5</f>
        <v>515</v>
      </c>
      <c r="G359" s="816">
        <f>F359*E359</f>
        <v>515</v>
      </c>
      <c r="H359" s="782"/>
    </row>
    <row r="360" spans="1:8" hidden="1">
      <c r="A360" s="782"/>
      <c r="B360" s="917"/>
      <c r="C360" s="820" t="s">
        <v>1760</v>
      </c>
      <c r="D360" s="771">
        <f>$D$3</f>
        <v>0</v>
      </c>
      <c r="E360" s="914"/>
      <c r="F360" s="815"/>
      <c r="G360" s="821">
        <f>ROUND(D360*(G359+G358+G357),2)</f>
        <v>0</v>
      </c>
      <c r="H360" s="782"/>
    </row>
    <row r="361" spans="1:8" hidden="1">
      <c r="A361" s="782"/>
      <c r="B361" s="917"/>
      <c r="C361" s="905" t="s">
        <v>1761</v>
      </c>
      <c r="D361" s="772">
        <f>D$5</f>
        <v>0</v>
      </c>
      <c r="E361" s="914"/>
      <c r="F361" s="815">
        <f>SUM(G357:G360)</f>
        <v>1340</v>
      </c>
      <c r="G361" s="821">
        <f>ROUND(D361*F361,2)</f>
        <v>0</v>
      </c>
      <c r="H361" s="782"/>
    </row>
    <row r="362" spans="1:8" hidden="1">
      <c r="A362" s="782"/>
      <c r="B362" s="917"/>
      <c r="C362" s="820" t="s">
        <v>1806</v>
      </c>
      <c r="D362" s="917"/>
      <c r="E362" s="917"/>
      <c r="F362" s="815"/>
      <c r="G362" s="821">
        <f>SUM(G355:G361)</f>
        <v>8596</v>
      </c>
      <c r="H362" s="782"/>
    </row>
    <row r="363" spans="1:8" hidden="1">
      <c r="A363" s="782"/>
      <c r="B363" s="917"/>
      <c r="C363" s="909" t="s">
        <v>1872</v>
      </c>
      <c r="D363" s="909"/>
      <c r="E363" s="917"/>
      <c r="F363" s="815"/>
      <c r="G363" s="816"/>
      <c r="H363" s="782"/>
    </row>
    <row r="364" spans="1:8" s="1125" customFormat="1" hidden="1">
      <c r="A364" s="914"/>
      <c r="B364" s="917"/>
      <c r="C364" s="914"/>
      <c r="D364" s="914"/>
      <c r="E364" s="914"/>
      <c r="F364" s="774"/>
      <c r="G364" s="832"/>
      <c r="H364" s="914"/>
    </row>
    <row r="365" spans="1:8" ht="12.75" hidden="1" customHeight="1">
      <c r="A365" s="914">
        <v>17</v>
      </c>
      <c r="B365" s="917" t="s">
        <v>1881</v>
      </c>
      <c r="C365" s="911" t="s">
        <v>1426</v>
      </c>
      <c r="D365" s="911"/>
      <c r="E365" s="911"/>
      <c r="F365" s="911"/>
      <c r="G365" s="911"/>
      <c r="H365" s="782"/>
    </row>
    <row r="366" spans="1:8" hidden="1">
      <c r="A366" s="782"/>
      <c r="B366" s="917"/>
      <c r="C366" s="817" t="s">
        <v>1882</v>
      </c>
      <c r="D366" s="917"/>
      <c r="E366" s="917"/>
      <c r="F366" s="815"/>
      <c r="G366" s="816"/>
      <c r="H366" s="782"/>
    </row>
    <row r="367" spans="1:8" hidden="1">
      <c r="A367" s="782"/>
      <c r="B367" s="917"/>
      <c r="C367" s="817" t="s">
        <v>1744</v>
      </c>
      <c r="D367" s="917"/>
      <c r="E367" s="917"/>
      <c r="F367" s="815"/>
      <c r="G367" s="816"/>
      <c r="H367" s="782"/>
    </row>
    <row r="368" spans="1:8" ht="24.6" hidden="1">
      <c r="A368" s="782"/>
      <c r="B368" s="917" t="s">
        <v>2145</v>
      </c>
      <c r="C368" s="905" t="s">
        <v>1883</v>
      </c>
      <c r="D368" s="917" t="s">
        <v>327</v>
      </c>
      <c r="E368" s="917">
        <v>1</v>
      </c>
      <c r="F368" s="806">
        <v>10275</v>
      </c>
      <c r="G368" s="816">
        <f>F368*E368</f>
        <v>10275</v>
      </c>
      <c r="H368" s="782"/>
    </row>
    <row r="369" spans="1:8" hidden="1">
      <c r="A369" s="782"/>
      <c r="B369" s="917" t="s">
        <v>1884</v>
      </c>
      <c r="C369" s="905" t="s">
        <v>1885</v>
      </c>
      <c r="D369" s="917" t="s">
        <v>327</v>
      </c>
      <c r="E369" s="917">
        <v>1</v>
      </c>
      <c r="F369" s="815">
        <v>9870</v>
      </c>
      <c r="G369" s="816">
        <f>F369*E369</f>
        <v>9870</v>
      </c>
      <c r="H369" s="782"/>
    </row>
    <row r="370" spans="1:8" hidden="1">
      <c r="A370" s="782"/>
      <c r="B370" s="917" t="s">
        <v>2146</v>
      </c>
      <c r="C370" s="905" t="s">
        <v>1886</v>
      </c>
      <c r="D370" s="917" t="s">
        <v>327</v>
      </c>
      <c r="E370" s="917">
        <v>8</v>
      </c>
      <c r="F370" s="815">
        <v>1632</v>
      </c>
      <c r="G370" s="816">
        <f>F370*E370</f>
        <v>13056</v>
      </c>
      <c r="H370" s="782"/>
    </row>
    <row r="371" spans="1:8" hidden="1">
      <c r="A371" s="782"/>
      <c r="B371" s="917"/>
      <c r="C371" s="905"/>
      <c r="D371" s="917"/>
      <c r="E371" s="917"/>
      <c r="F371" s="815"/>
      <c r="G371" s="816">
        <f>SUM(G368:G370)</f>
        <v>33201</v>
      </c>
      <c r="H371" s="782"/>
    </row>
    <row r="372" spans="1:8" hidden="1">
      <c r="A372" s="782"/>
      <c r="B372" s="917"/>
      <c r="C372" s="905" t="s">
        <v>1754</v>
      </c>
      <c r="D372" s="819">
        <f>$D$4</f>
        <v>0</v>
      </c>
      <c r="E372" s="917"/>
      <c r="F372" s="815"/>
      <c r="G372" s="816">
        <f>ROUND(G371*D372,2)</f>
        <v>0</v>
      </c>
      <c r="H372" s="782"/>
    </row>
    <row r="373" spans="1:8" hidden="1">
      <c r="A373" s="782"/>
      <c r="B373" s="917"/>
      <c r="C373" s="905" t="s">
        <v>1755</v>
      </c>
      <c r="D373" s="917"/>
      <c r="E373" s="917"/>
      <c r="F373" s="815"/>
      <c r="G373" s="816">
        <f>SUM(G371:G372)</f>
        <v>33201</v>
      </c>
      <c r="H373" s="782"/>
    </row>
    <row r="374" spans="1:8" hidden="1">
      <c r="A374" s="782"/>
      <c r="B374" s="917"/>
      <c r="C374" s="820" t="s">
        <v>1756</v>
      </c>
      <c r="D374" s="917"/>
      <c r="E374" s="917"/>
      <c r="F374" s="815"/>
      <c r="G374" s="816"/>
      <c r="H374" s="782"/>
    </row>
    <row r="375" spans="1:8" hidden="1">
      <c r="A375" s="782"/>
      <c r="B375" s="913"/>
      <c r="C375" s="905" t="s">
        <v>1733</v>
      </c>
      <c r="D375" s="818" t="s">
        <v>594</v>
      </c>
      <c r="E375" s="917">
        <v>1</v>
      </c>
      <c r="F375" s="914">
        <f>$H$3</f>
        <v>620</v>
      </c>
      <c r="G375" s="816">
        <f>F375*E375</f>
        <v>620</v>
      </c>
      <c r="H375" s="782"/>
    </row>
    <row r="376" spans="1:8" hidden="1">
      <c r="A376" s="782"/>
      <c r="B376" s="913"/>
      <c r="C376" s="905" t="s">
        <v>1823</v>
      </c>
      <c r="D376" s="818" t="s">
        <v>594</v>
      </c>
      <c r="E376" s="917">
        <v>1</v>
      </c>
      <c r="F376" s="914">
        <f>$H$4</f>
        <v>515</v>
      </c>
      <c r="G376" s="816">
        <f>F376*E376</f>
        <v>515</v>
      </c>
      <c r="H376" s="782"/>
    </row>
    <row r="377" spans="1:8" hidden="1">
      <c r="A377" s="782"/>
      <c r="B377" s="913"/>
      <c r="C377" s="905" t="s">
        <v>1737</v>
      </c>
      <c r="D377" s="818" t="s">
        <v>594</v>
      </c>
      <c r="E377" s="917">
        <v>1</v>
      </c>
      <c r="F377" s="914">
        <f>$H$5</f>
        <v>515</v>
      </c>
      <c r="G377" s="816">
        <f>F377*E377</f>
        <v>515</v>
      </c>
      <c r="H377" s="782"/>
    </row>
    <row r="378" spans="1:8" hidden="1">
      <c r="A378" s="782"/>
      <c r="B378" s="917"/>
      <c r="C378" s="820" t="s">
        <v>1760</v>
      </c>
      <c r="D378" s="771">
        <f>$D$3</f>
        <v>0</v>
      </c>
      <c r="E378" s="914"/>
      <c r="F378" s="815"/>
      <c r="G378" s="821">
        <f>ROUND(D378*(G377+G376+G375),2)</f>
        <v>0</v>
      </c>
      <c r="H378" s="782"/>
    </row>
    <row r="379" spans="1:8" hidden="1">
      <c r="A379" s="782"/>
      <c r="B379" s="917"/>
      <c r="C379" s="905" t="s">
        <v>1761</v>
      </c>
      <c r="D379" s="772">
        <f>D$5</f>
        <v>0</v>
      </c>
      <c r="E379" s="914"/>
      <c r="F379" s="815">
        <f>SUM(G375:G378)</f>
        <v>1650</v>
      </c>
      <c r="G379" s="821">
        <f>ROUND(D379*F379,2)</f>
        <v>0</v>
      </c>
      <c r="H379" s="782"/>
    </row>
    <row r="380" spans="1:8" hidden="1">
      <c r="A380" s="782"/>
      <c r="B380" s="917"/>
      <c r="C380" s="820" t="s">
        <v>1806</v>
      </c>
      <c r="D380" s="917"/>
      <c r="E380" s="917"/>
      <c r="F380" s="815"/>
      <c r="G380" s="821">
        <f>SUM(G373:G379)</f>
        <v>34851</v>
      </c>
      <c r="H380" s="782"/>
    </row>
    <row r="381" spans="1:8" hidden="1">
      <c r="A381" s="782"/>
      <c r="B381" s="917"/>
      <c r="C381" s="905" t="s">
        <v>1887</v>
      </c>
      <c r="D381" s="905"/>
      <c r="E381" s="917"/>
      <c r="F381" s="823" t="s">
        <v>467</v>
      </c>
      <c r="G381" s="821">
        <f>CEILING(G380,0.05)</f>
        <v>34851</v>
      </c>
      <c r="H381" s="782"/>
    </row>
    <row r="382" spans="1:8" ht="12.75" hidden="1" customHeight="1">
      <c r="A382" s="782"/>
      <c r="B382" s="917"/>
      <c r="C382" s="905" t="s">
        <v>1888</v>
      </c>
      <c r="D382" s="905"/>
      <c r="E382" s="917"/>
      <c r="F382" s="815"/>
      <c r="G382" s="816"/>
      <c r="H382" s="782"/>
    </row>
    <row r="383" spans="1:8" hidden="1">
      <c r="A383" s="782"/>
      <c r="B383" s="917"/>
      <c r="C383" s="905" t="s">
        <v>1889</v>
      </c>
      <c r="D383" s="917"/>
      <c r="E383" s="917"/>
      <c r="F383" s="815"/>
      <c r="G383" s="816"/>
      <c r="H383" s="782"/>
    </row>
    <row r="384" spans="1:8" hidden="1">
      <c r="A384" s="782"/>
      <c r="B384" s="917"/>
      <c r="C384" s="905" t="s">
        <v>1890</v>
      </c>
      <c r="D384" s="917"/>
      <c r="E384" s="917"/>
      <c r="F384" s="815"/>
      <c r="G384" s="816"/>
      <c r="H384" s="782"/>
    </row>
    <row r="385" spans="1:14" hidden="1">
      <c r="A385" s="782"/>
      <c r="B385" s="917"/>
      <c r="C385" s="905"/>
      <c r="D385" s="917"/>
      <c r="E385" s="917"/>
      <c r="F385" s="815"/>
      <c r="G385" s="816"/>
      <c r="H385" s="782"/>
    </row>
    <row r="386" spans="1:14">
      <c r="A386" s="782"/>
      <c r="B386" s="917"/>
      <c r="C386" s="820" t="s">
        <v>1891</v>
      </c>
      <c r="D386" s="917"/>
      <c r="E386" s="917"/>
      <c r="F386" s="815"/>
      <c r="G386" s="816"/>
      <c r="H386" s="782"/>
    </row>
    <row r="387" spans="1:14" ht="83.25" customHeight="1">
      <c r="A387" s="914">
        <f>A365+1</f>
        <v>18</v>
      </c>
      <c r="B387" s="917" t="s">
        <v>1892</v>
      </c>
      <c r="C387" s="911" t="s">
        <v>2196</v>
      </c>
      <c r="D387" s="911"/>
      <c r="E387" s="911"/>
      <c r="F387" s="911"/>
      <c r="G387" s="911"/>
      <c r="H387" s="782"/>
    </row>
    <row r="388" spans="1:14">
      <c r="A388" s="782"/>
      <c r="B388" s="917"/>
      <c r="C388" s="817" t="s">
        <v>1744</v>
      </c>
      <c r="D388" s="917"/>
      <c r="E388" s="917"/>
      <c r="F388" s="815"/>
      <c r="G388" s="816"/>
      <c r="H388" s="782"/>
    </row>
    <row r="389" spans="1:14" ht="25.8">
      <c r="A389" s="782"/>
      <c r="B389" s="1182" t="s">
        <v>2197</v>
      </c>
      <c r="C389" s="1183" t="s">
        <v>2198</v>
      </c>
      <c r="D389" s="1182" t="s">
        <v>268</v>
      </c>
      <c r="E389" s="1182">
        <v>1</v>
      </c>
      <c r="F389" s="1184">
        <v>4863</v>
      </c>
      <c r="G389" s="816">
        <f t="shared" ref="G389" si="1">F389*E389</f>
        <v>4863</v>
      </c>
      <c r="H389" s="782"/>
    </row>
    <row r="390" spans="1:14">
      <c r="A390" s="782"/>
      <c r="B390" s="917"/>
      <c r="C390" s="905" t="s">
        <v>1755</v>
      </c>
      <c r="D390" s="1185"/>
      <c r="E390" s="917"/>
      <c r="F390" s="815"/>
      <c r="G390" s="816">
        <f>G389</f>
        <v>4863</v>
      </c>
      <c r="H390" s="782"/>
    </row>
    <row r="391" spans="1:14">
      <c r="A391" s="782"/>
      <c r="B391" s="917"/>
      <c r="C391" s="905" t="s">
        <v>1761</v>
      </c>
      <c r="D391" s="772">
        <f>D$5</f>
        <v>0</v>
      </c>
      <c r="E391" s="914"/>
      <c r="F391" s="815">
        <f>G390</f>
        <v>4863</v>
      </c>
      <c r="G391" s="821">
        <f>ROUND(D391*F391,2)</f>
        <v>0</v>
      </c>
      <c r="H391" s="782"/>
    </row>
    <row r="392" spans="1:14">
      <c r="A392" s="782"/>
      <c r="B392" s="917"/>
      <c r="C392" s="905" t="s">
        <v>2147</v>
      </c>
      <c r="D392" s="917"/>
      <c r="E392" s="917"/>
      <c r="F392" s="815"/>
      <c r="G392" s="816"/>
      <c r="H392" s="782"/>
    </row>
    <row r="393" spans="1:14">
      <c r="A393" s="782"/>
      <c r="B393" s="917"/>
      <c r="C393" s="820" t="s">
        <v>1806</v>
      </c>
      <c r="D393" s="917"/>
      <c r="E393" s="917"/>
      <c r="F393" s="815"/>
      <c r="G393" s="821">
        <f>SUM(G390:G392)</f>
        <v>4863</v>
      </c>
      <c r="H393" s="782"/>
    </row>
    <row r="394" spans="1:14">
      <c r="A394" s="782"/>
      <c r="B394" s="917"/>
      <c r="C394" s="820"/>
      <c r="D394" s="917"/>
      <c r="E394" s="917"/>
      <c r="F394" s="823" t="s">
        <v>1893</v>
      </c>
      <c r="G394" s="821">
        <f>CEILING(G393,0.05)</f>
        <v>4863</v>
      </c>
      <c r="H394" s="782"/>
    </row>
    <row r="395" spans="1:14" hidden="1">
      <c r="A395" s="782"/>
      <c r="B395" s="917"/>
      <c r="C395" s="820"/>
      <c r="D395" s="917"/>
      <c r="E395" s="917"/>
      <c r="F395" s="823"/>
      <c r="G395" s="821"/>
      <c r="H395" s="782"/>
    </row>
    <row r="396" spans="1:14" ht="105" hidden="1" customHeight="1">
      <c r="A396" s="914">
        <f>A387+1</f>
        <v>19</v>
      </c>
      <c r="B396" s="788" t="s">
        <v>1894</v>
      </c>
      <c r="C396" s="912" t="s">
        <v>2199</v>
      </c>
      <c r="D396" s="912"/>
      <c r="E396" s="912"/>
      <c r="F396" s="912"/>
      <c r="G396" s="912"/>
      <c r="H396" s="782"/>
    </row>
    <row r="397" spans="1:14" hidden="1">
      <c r="A397" s="782"/>
      <c r="B397" s="788"/>
      <c r="C397" s="843" t="s">
        <v>1744</v>
      </c>
      <c r="D397" s="784"/>
      <c r="E397" s="784"/>
      <c r="F397" s="844"/>
      <c r="G397" s="844"/>
      <c r="H397" s="782"/>
    </row>
    <row r="398" spans="1:14" ht="25.8" hidden="1">
      <c r="A398" s="782"/>
      <c r="B398" s="1182" t="s">
        <v>2200</v>
      </c>
      <c r="C398" s="1186" t="s">
        <v>1895</v>
      </c>
      <c r="D398" s="1187" t="s">
        <v>268</v>
      </c>
      <c r="E398" s="1188">
        <v>1</v>
      </c>
      <c r="F398" s="1189">
        <v>13230</v>
      </c>
      <c r="G398" s="845">
        <f t="shared" ref="G398" si="2">F398*E398</f>
        <v>13230</v>
      </c>
      <c r="H398" s="782"/>
      <c r="I398" s="783">
        <v>1.27</v>
      </c>
      <c r="J398" s="783">
        <v>220</v>
      </c>
      <c r="K398" s="783">
        <v>279.39999999999998</v>
      </c>
      <c r="L398" s="782"/>
      <c r="M398" s="782"/>
      <c r="N398" s="782"/>
    </row>
    <row r="399" spans="1:14" hidden="1">
      <c r="A399" s="782"/>
      <c r="B399" s="788"/>
      <c r="C399" s="907"/>
      <c r="D399" s="784"/>
      <c r="E399" s="784"/>
      <c r="F399" s="845"/>
      <c r="G399" s="845">
        <f>G398</f>
        <v>13230</v>
      </c>
      <c r="H399" s="782"/>
    </row>
    <row r="400" spans="1:14" hidden="1">
      <c r="A400" s="782"/>
      <c r="B400" s="917"/>
      <c r="C400" s="826" t="s">
        <v>1779</v>
      </c>
      <c r="D400" s="827">
        <f>$D$5</f>
        <v>0</v>
      </c>
      <c r="E400" s="914"/>
      <c r="F400" s="824">
        <f>G399</f>
        <v>13230</v>
      </c>
      <c r="G400" s="821">
        <f>ROUND(D400*F400,2)</f>
        <v>0</v>
      </c>
      <c r="H400" s="782"/>
    </row>
    <row r="401" spans="1:8" hidden="1">
      <c r="A401" s="782"/>
      <c r="B401" s="917"/>
      <c r="C401" s="820" t="s">
        <v>1806</v>
      </c>
      <c r="D401" s="917"/>
      <c r="E401" s="917"/>
      <c r="F401" s="824"/>
      <c r="G401" s="821">
        <f>SUM(G399:G400)</f>
        <v>13230</v>
      </c>
      <c r="H401" s="782"/>
    </row>
    <row r="402" spans="1:8" hidden="1">
      <c r="A402" s="782"/>
      <c r="B402" s="917"/>
      <c r="C402" s="820"/>
      <c r="D402" s="917"/>
      <c r="E402" s="917"/>
      <c r="F402" s="847" t="s">
        <v>1893</v>
      </c>
      <c r="G402" s="821">
        <f>CEILING(G401,0.05)</f>
        <v>13230</v>
      </c>
      <c r="H402" s="782"/>
    </row>
    <row r="403" spans="1:8" s="1125" customFormat="1" hidden="1">
      <c r="A403" s="914"/>
      <c r="B403" s="917"/>
      <c r="C403" s="836"/>
      <c r="D403" s="917"/>
      <c r="E403" s="825"/>
      <c r="F403" s="833"/>
      <c r="G403" s="835"/>
      <c r="H403" s="917"/>
    </row>
    <row r="404" spans="1:8" ht="12.75" hidden="1" customHeight="1">
      <c r="A404" s="914">
        <v>19</v>
      </c>
      <c r="B404" s="914" t="s">
        <v>1896</v>
      </c>
      <c r="C404" s="905" t="s">
        <v>1263</v>
      </c>
      <c r="D404" s="905"/>
      <c r="E404" s="905"/>
      <c r="F404" s="905"/>
      <c r="G404" s="905"/>
      <c r="H404" s="782"/>
    </row>
    <row r="405" spans="1:8" hidden="1">
      <c r="A405" s="782"/>
      <c r="B405" s="914"/>
      <c r="C405" s="820" t="s">
        <v>1897</v>
      </c>
      <c r="D405" s="917"/>
      <c r="E405" s="917"/>
      <c r="F405" s="815"/>
      <c r="G405" s="816"/>
      <c r="H405" s="782"/>
    </row>
    <row r="406" spans="1:8" hidden="1">
      <c r="A406" s="782"/>
      <c r="B406" s="917" t="s">
        <v>1898</v>
      </c>
      <c r="C406" s="905" t="s">
        <v>1899</v>
      </c>
      <c r="D406" s="917" t="s">
        <v>236</v>
      </c>
      <c r="E406" s="917">
        <v>118</v>
      </c>
      <c r="F406" s="815">
        <v>80</v>
      </c>
      <c r="G406" s="816">
        <f>E406*F406</f>
        <v>9440</v>
      </c>
      <c r="H406" s="782"/>
    </row>
    <row r="407" spans="1:8" hidden="1">
      <c r="A407" s="782"/>
      <c r="B407" s="917"/>
      <c r="C407" s="905" t="s">
        <v>1870</v>
      </c>
      <c r="D407" s="818">
        <f>$D$4</f>
        <v>0</v>
      </c>
      <c r="E407" s="917"/>
      <c r="F407" s="815"/>
      <c r="G407" s="816">
        <f>ROUND(G406*D407,2)</f>
        <v>0</v>
      </c>
      <c r="H407" s="782"/>
    </row>
    <row r="408" spans="1:8" hidden="1">
      <c r="A408" s="782"/>
      <c r="B408" s="917"/>
      <c r="C408" s="905" t="s">
        <v>1755</v>
      </c>
      <c r="D408" s="917"/>
      <c r="E408" s="917"/>
      <c r="F408" s="815"/>
      <c r="G408" s="816">
        <f>SUM(G406:G407)</f>
        <v>9440</v>
      </c>
      <c r="H408" s="782"/>
    </row>
    <row r="409" spans="1:8" hidden="1">
      <c r="A409" s="782"/>
      <c r="B409" s="914"/>
      <c r="C409" s="820" t="s">
        <v>1778</v>
      </c>
      <c r="D409" s="917"/>
      <c r="E409" s="917"/>
      <c r="F409" s="815"/>
      <c r="G409" s="816"/>
      <c r="H409" s="782"/>
    </row>
    <row r="410" spans="1:8" hidden="1">
      <c r="A410" s="782"/>
      <c r="B410" s="914"/>
      <c r="C410" s="840" t="s">
        <v>1900</v>
      </c>
      <c r="D410" s="917" t="s">
        <v>594</v>
      </c>
      <c r="E410" s="917">
        <v>2</v>
      </c>
      <c r="F410" s="914">
        <f>$H$3</f>
        <v>620</v>
      </c>
      <c r="G410" s="816">
        <f>E410*F410</f>
        <v>1240</v>
      </c>
      <c r="H410" s="782"/>
    </row>
    <row r="411" spans="1:8" hidden="1">
      <c r="A411" s="782"/>
      <c r="B411" s="914"/>
      <c r="C411" s="840" t="s">
        <v>1901</v>
      </c>
      <c r="D411" s="917" t="s">
        <v>594</v>
      </c>
      <c r="E411" s="917">
        <v>2</v>
      </c>
      <c r="F411" s="839">
        <f>$H$5</f>
        <v>515</v>
      </c>
      <c r="G411" s="816">
        <f>E411*F411</f>
        <v>1030</v>
      </c>
      <c r="H411" s="782"/>
    </row>
    <row r="412" spans="1:8" hidden="1">
      <c r="A412" s="782"/>
      <c r="B412" s="914"/>
      <c r="C412" s="820" t="s">
        <v>1760</v>
      </c>
      <c r="D412" s="771">
        <f>$D$3</f>
        <v>0</v>
      </c>
      <c r="E412" s="914"/>
      <c r="F412" s="839"/>
      <c r="G412" s="821">
        <f>ROUND(D412*(G411+G410),2)</f>
        <v>0</v>
      </c>
      <c r="H412" s="782"/>
    </row>
    <row r="413" spans="1:8" hidden="1">
      <c r="A413" s="782"/>
      <c r="B413" s="914"/>
      <c r="C413" s="905" t="s">
        <v>1871</v>
      </c>
      <c r="D413" s="771">
        <f>$D$5</f>
        <v>0</v>
      </c>
      <c r="E413" s="914"/>
      <c r="F413" s="815">
        <f>SUM(G409:G412)</f>
        <v>2270</v>
      </c>
      <c r="G413" s="821">
        <f>ROUND(D413*F413,2)</f>
        <v>0</v>
      </c>
      <c r="H413" s="782"/>
    </row>
    <row r="414" spans="1:8" hidden="1">
      <c r="A414" s="782"/>
      <c r="B414" s="914"/>
      <c r="C414" s="905" t="s">
        <v>1902</v>
      </c>
      <c r="D414" s="917"/>
      <c r="E414" s="917"/>
      <c r="F414" s="815"/>
      <c r="G414" s="816"/>
      <c r="H414" s="782"/>
    </row>
    <row r="415" spans="1:8" hidden="1">
      <c r="A415" s="782"/>
      <c r="B415" s="914"/>
      <c r="C415" s="905" t="s">
        <v>1903</v>
      </c>
      <c r="D415" s="917" t="s">
        <v>222</v>
      </c>
      <c r="E415" s="917"/>
      <c r="F415" s="815"/>
      <c r="G415" s="821">
        <f>CEILING(SUM(G408:G414),0.05)</f>
        <v>11710</v>
      </c>
      <c r="H415" s="782"/>
    </row>
    <row r="416" spans="1:8" hidden="1">
      <c r="A416" s="782"/>
      <c r="B416" s="917"/>
      <c r="C416" s="820" t="s">
        <v>1806</v>
      </c>
      <c r="D416" s="917" t="s">
        <v>222</v>
      </c>
      <c r="E416" s="917"/>
      <c r="F416" s="824"/>
      <c r="G416" s="821">
        <f>G415/100</f>
        <v>117.1</v>
      </c>
      <c r="H416" s="782"/>
    </row>
    <row r="417" spans="1:8" hidden="1">
      <c r="A417" s="782"/>
      <c r="B417" s="917"/>
      <c r="C417" s="820"/>
      <c r="D417" s="917"/>
      <c r="E417" s="917"/>
      <c r="F417" s="847" t="s">
        <v>1893</v>
      </c>
      <c r="G417" s="821">
        <f>CEILING(G416,0.05)</f>
        <v>117.10000000000001</v>
      </c>
      <c r="H417" s="782"/>
    </row>
    <row r="418" spans="1:8" hidden="1">
      <c r="A418" s="782"/>
      <c r="B418" s="914"/>
      <c r="C418" s="905"/>
      <c r="D418" s="917"/>
      <c r="E418" s="917"/>
      <c r="F418" s="815"/>
      <c r="G418" s="816"/>
      <c r="H418" s="782"/>
    </row>
    <row r="419" spans="1:8" ht="12.75" hidden="1" customHeight="1">
      <c r="A419" s="914">
        <f>A404+1</f>
        <v>20</v>
      </c>
      <c r="B419" s="914" t="s">
        <v>1904</v>
      </c>
      <c r="C419" s="905" t="s">
        <v>1264</v>
      </c>
      <c r="D419" s="905"/>
      <c r="E419" s="905"/>
      <c r="F419" s="905"/>
      <c r="G419" s="905"/>
      <c r="H419" s="782"/>
    </row>
    <row r="420" spans="1:8" hidden="1">
      <c r="A420" s="782"/>
      <c r="B420" s="914"/>
      <c r="C420" s="820" t="s">
        <v>1897</v>
      </c>
      <c r="D420" s="917"/>
      <c r="E420" s="917"/>
      <c r="F420" s="815"/>
      <c r="G420" s="816"/>
      <c r="H420" s="782"/>
    </row>
    <row r="421" spans="1:8" hidden="1">
      <c r="A421" s="782"/>
      <c r="B421" s="917" t="s">
        <v>1898</v>
      </c>
      <c r="C421" s="905" t="s">
        <v>1899</v>
      </c>
      <c r="D421" s="917" t="s">
        <v>236</v>
      </c>
      <c r="E421" s="917">
        <v>236</v>
      </c>
      <c r="F421" s="815">
        <v>80</v>
      </c>
      <c r="G421" s="816">
        <f>E421*F421</f>
        <v>18880</v>
      </c>
      <c r="H421" s="782"/>
    </row>
    <row r="422" spans="1:8" hidden="1">
      <c r="A422" s="782"/>
      <c r="B422" s="917"/>
      <c r="C422" s="905" t="s">
        <v>1870</v>
      </c>
      <c r="D422" s="818">
        <f>$D$4</f>
        <v>0</v>
      </c>
      <c r="E422" s="917"/>
      <c r="F422" s="815"/>
      <c r="G422" s="816">
        <f>ROUND(G421*D422,2)</f>
        <v>0</v>
      </c>
      <c r="H422" s="782"/>
    </row>
    <row r="423" spans="1:8" hidden="1">
      <c r="A423" s="782"/>
      <c r="B423" s="917"/>
      <c r="C423" s="905" t="s">
        <v>1755</v>
      </c>
      <c r="D423" s="917"/>
      <c r="E423" s="917"/>
      <c r="F423" s="815"/>
      <c r="G423" s="816">
        <f>SUM(G421:G422)</f>
        <v>18880</v>
      </c>
      <c r="H423" s="782"/>
    </row>
    <row r="424" spans="1:8" hidden="1">
      <c r="A424" s="782"/>
      <c r="B424" s="914"/>
      <c r="C424" s="820" t="s">
        <v>1778</v>
      </c>
      <c r="D424" s="917"/>
      <c r="E424" s="917"/>
      <c r="F424" s="815"/>
      <c r="G424" s="816"/>
      <c r="H424" s="782"/>
    </row>
    <row r="425" spans="1:8" hidden="1">
      <c r="A425" s="782"/>
      <c r="B425" s="914"/>
      <c r="C425" s="840" t="s">
        <v>1900</v>
      </c>
      <c r="D425" s="917" t="s">
        <v>594</v>
      </c>
      <c r="E425" s="917">
        <v>2</v>
      </c>
      <c r="F425" s="914">
        <f>$H$3</f>
        <v>620</v>
      </c>
      <c r="G425" s="816">
        <f>E425*F425</f>
        <v>1240</v>
      </c>
      <c r="H425" s="782"/>
    </row>
    <row r="426" spans="1:8" hidden="1">
      <c r="A426" s="782"/>
      <c r="B426" s="914"/>
      <c r="C426" s="840" t="s">
        <v>1901</v>
      </c>
      <c r="D426" s="917" t="s">
        <v>594</v>
      </c>
      <c r="E426" s="917">
        <v>2</v>
      </c>
      <c r="F426" s="914">
        <f>$H$5</f>
        <v>515</v>
      </c>
      <c r="G426" s="816">
        <f>E426*F426</f>
        <v>1030</v>
      </c>
      <c r="H426" s="782"/>
    </row>
    <row r="427" spans="1:8" hidden="1">
      <c r="A427" s="782"/>
      <c r="B427" s="914"/>
      <c r="C427" s="820" t="s">
        <v>1760</v>
      </c>
      <c r="D427" s="771">
        <f>$D$3</f>
        <v>0</v>
      </c>
      <c r="E427" s="914"/>
      <c r="F427" s="815"/>
      <c r="G427" s="821">
        <f>ROUND(D427*(G426+G425),2)</f>
        <v>0</v>
      </c>
      <c r="H427" s="782"/>
    </row>
    <row r="428" spans="1:8" hidden="1">
      <c r="A428" s="782"/>
      <c r="B428" s="914"/>
      <c r="C428" s="905" t="s">
        <v>1871</v>
      </c>
      <c r="D428" s="771">
        <f>$D$5</f>
        <v>0</v>
      </c>
      <c r="E428" s="914"/>
      <c r="F428" s="815">
        <f>SUM(G424:G427)</f>
        <v>2270</v>
      </c>
      <c r="G428" s="821">
        <f>ROUND(D428*F428,2)</f>
        <v>0</v>
      </c>
      <c r="H428" s="782"/>
    </row>
    <row r="429" spans="1:8" hidden="1">
      <c r="A429" s="782"/>
      <c r="B429" s="914"/>
      <c r="C429" s="905" t="s">
        <v>1902</v>
      </c>
      <c r="D429" s="917"/>
      <c r="E429" s="917"/>
      <c r="F429" s="815"/>
      <c r="G429" s="816"/>
      <c r="H429" s="782"/>
    </row>
    <row r="430" spans="1:8" hidden="1">
      <c r="A430" s="782"/>
      <c r="B430" s="914"/>
      <c r="C430" s="905" t="s">
        <v>1903</v>
      </c>
      <c r="D430" s="917" t="s">
        <v>222</v>
      </c>
      <c r="E430" s="917"/>
      <c r="F430" s="815"/>
      <c r="G430" s="821">
        <f>CEILING(SUM(G423:G429),0.05)</f>
        <v>21150</v>
      </c>
      <c r="H430" s="782"/>
    </row>
    <row r="431" spans="1:8" hidden="1">
      <c r="A431" s="782"/>
      <c r="B431" s="917"/>
      <c r="C431" s="820" t="s">
        <v>1806</v>
      </c>
      <c r="D431" s="917" t="s">
        <v>222</v>
      </c>
      <c r="E431" s="917"/>
      <c r="F431" s="824"/>
      <c r="G431" s="821">
        <f>G430/100</f>
        <v>211.5</v>
      </c>
      <c r="H431" s="782"/>
    </row>
    <row r="432" spans="1:8" hidden="1">
      <c r="A432" s="782"/>
      <c r="B432" s="917"/>
      <c r="C432" s="820"/>
      <c r="D432" s="917"/>
      <c r="E432" s="917"/>
      <c r="F432" s="847" t="s">
        <v>1893</v>
      </c>
      <c r="G432" s="821">
        <f>CEILING(G431,0.05)</f>
        <v>211.5</v>
      </c>
      <c r="H432" s="782"/>
    </row>
    <row r="433" spans="1:8" ht="12.75" hidden="1" customHeight="1">
      <c r="A433" s="914">
        <f>A419+1</f>
        <v>21</v>
      </c>
      <c r="B433" s="914"/>
      <c r="C433" s="905" t="s">
        <v>2149</v>
      </c>
      <c r="D433" s="905"/>
      <c r="E433" s="905"/>
      <c r="F433" s="905"/>
      <c r="G433" s="905"/>
      <c r="H433" s="782"/>
    </row>
    <row r="434" spans="1:8" hidden="1">
      <c r="A434" s="782"/>
      <c r="B434" s="914"/>
      <c r="C434" s="820" t="s">
        <v>1897</v>
      </c>
      <c r="D434" s="917"/>
      <c r="E434" s="917"/>
      <c r="F434" s="815"/>
      <c r="G434" s="816"/>
      <c r="H434" s="782"/>
    </row>
    <row r="435" spans="1:8" hidden="1">
      <c r="A435" s="782"/>
      <c r="B435" s="917" t="s">
        <v>2148</v>
      </c>
      <c r="C435" s="905" t="s">
        <v>2150</v>
      </c>
      <c r="D435" s="917" t="s">
        <v>236</v>
      </c>
      <c r="E435" s="917">
        <v>66.3</v>
      </c>
      <c r="F435" s="815">
        <v>714</v>
      </c>
      <c r="G435" s="816">
        <f>E435*F435</f>
        <v>47338.2</v>
      </c>
      <c r="H435" s="782"/>
    </row>
    <row r="436" spans="1:8" hidden="1">
      <c r="A436" s="782"/>
      <c r="B436" s="917"/>
      <c r="C436" s="905" t="s">
        <v>1870</v>
      </c>
      <c r="D436" s="818">
        <f>$D$4</f>
        <v>0</v>
      </c>
      <c r="E436" s="917"/>
      <c r="F436" s="815"/>
      <c r="G436" s="816">
        <f>ROUND(G435*D436,2)</f>
        <v>0</v>
      </c>
      <c r="H436" s="782"/>
    </row>
    <row r="437" spans="1:8" hidden="1">
      <c r="A437" s="782"/>
      <c r="B437" s="917"/>
      <c r="C437" s="905" t="s">
        <v>1755</v>
      </c>
      <c r="D437" s="917"/>
      <c r="E437" s="917"/>
      <c r="F437" s="815"/>
      <c r="G437" s="816">
        <f>SUM(G435:G436)</f>
        <v>47338.2</v>
      </c>
      <c r="H437" s="782"/>
    </row>
    <row r="438" spans="1:8" hidden="1">
      <c r="A438" s="782"/>
      <c r="B438" s="914"/>
      <c r="C438" s="820" t="s">
        <v>1778</v>
      </c>
      <c r="D438" s="917"/>
      <c r="E438" s="917"/>
      <c r="F438" s="815"/>
      <c r="G438" s="816"/>
      <c r="H438" s="782"/>
    </row>
    <row r="439" spans="1:8" hidden="1">
      <c r="A439" s="782"/>
      <c r="B439" s="914"/>
      <c r="C439" s="840" t="s">
        <v>1900</v>
      </c>
      <c r="D439" s="917" t="s">
        <v>594</v>
      </c>
      <c r="E439" s="917">
        <v>1</v>
      </c>
      <c r="F439" s="914">
        <f>$H$3</f>
        <v>620</v>
      </c>
      <c r="G439" s="816">
        <f>E439*F439</f>
        <v>620</v>
      </c>
      <c r="H439" s="782"/>
    </row>
    <row r="440" spans="1:8" hidden="1">
      <c r="A440" s="782"/>
      <c r="B440" s="914"/>
      <c r="C440" s="840" t="s">
        <v>1901</v>
      </c>
      <c r="D440" s="917" t="s">
        <v>594</v>
      </c>
      <c r="E440" s="917">
        <v>1.5</v>
      </c>
      <c r="F440" s="914">
        <f>$H$5</f>
        <v>515</v>
      </c>
      <c r="G440" s="816">
        <f>E440*F440</f>
        <v>772.5</v>
      </c>
      <c r="H440" s="782"/>
    </row>
    <row r="441" spans="1:8" hidden="1">
      <c r="A441" s="782"/>
      <c r="B441" s="914"/>
      <c r="C441" s="820" t="s">
        <v>1760</v>
      </c>
      <c r="D441" s="771">
        <f>$D$3</f>
        <v>0</v>
      </c>
      <c r="E441" s="914"/>
      <c r="F441" s="815"/>
      <c r="G441" s="821">
        <f>ROUND(D441*(G440+G439),2)</f>
        <v>0</v>
      </c>
      <c r="H441" s="782"/>
    </row>
    <row r="442" spans="1:8" hidden="1">
      <c r="A442" s="782"/>
      <c r="B442" s="914"/>
      <c r="C442" s="905" t="s">
        <v>1871</v>
      </c>
      <c r="D442" s="771">
        <f>$D$5</f>
        <v>0</v>
      </c>
      <c r="E442" s="914"/>
      <c r="F442" s="815">
        <f>SUM(G438:G441)</f>
        <v>1392.5</v>
      </c>
      <c r="G442" s="821">
        <f>ROUND(D442*F442,2)</f>
        <v>0</v>
      </c>
      <c r="H442" s="782"/>
    </row>
    <row r="443" spans="1:8" hidden="1">
      <c r="A443" s="782"/>
      <c r="B443" s="914"/>
      <c r="C443" s="905" t="s">
        <v>1902</v>
      </c>
      <c r="D443" s="917"/>
      <c r="E443" s="917"/>
      <c r="F443" s="815"/>
      <c r="G443" s="816"/>
      <c r="H443" s="782"/>
    </row>
    <row r="444" spans="1:8" hidden="1">
      <c r="A444" s="782"/>
      <c r="B444" s="914"/>
      <c r="C444" s="905" t="s">
        <v>1903</v>
      </c>
      <c r="D444" s="917" t="s">
        <v>222</v>
      </c>
      <c r="E444" s="917"/>
      <c r="F444" s="815"/>
      <c r="G444" s="821">
        <f>CEILING(SUM(G437:G443),0.05)</f>
        <v>48730.700000000004</v>
      </c>
      <c r="H444" s="782"/>
    </row>
    <row r="445" spans="1:8" hidden="1">
      <c r="A445" s="782"/>
      <c r="B445" s="917"/>
      <c r="C445" s="820" t="s">
        <v>1806</v>
      </c>
      <c r="D445" s="917" t="s">
        <v>222</v>
      </c>
      <c r="E445" s="917"/>
      <c r="F445" s="824"/>
      <c r="G445" s="821">
        <f>G444/100</f>
        <v>487.30700000000002</v>
      </c>
      <c r="H445" s="782"/>
    </row>
    <row r="446" spans="1:8" hidden="1">
      <c r="A446" s="782"/>
      <c r="B446" s="917"/>
      <c r="C446" s="820"/>
      <c r="D446" s="917"/>
      <c r="E446" s="917"/>
      <c r="F446" s="847" t="s">
        <v>1893</v>
      </c>
      <c r="G446" s="821">
        <f>CEILING(G445,0.05)</f>
        <v>487.35</v>
      </c>
      <c r="H446" s="782"/>
    </row>
    <row r="447" spans="1:8" hidden="1">
      <c r="A447" s="782"/>
      <c r="B447" s="917"/>
      <c r="C447" s="820"/>
      <c r="D447" s="917"/>
      <c r="E447" s="917"/>
      <c r="F447" s="815"/>
      <c r="G447" s="816"/>
      <c r="H447" s="782"/>
    </row>
    <row r="448" spans="1:8" ht="12.75" hidden="1" customHeight="1">
      <c r="A448" s="914">
        <v>21</v>
      </c>
      <c r="B448" s="917" t="s">
        <v>1905</v>
      </c>
      <c r="C448" s="905" t="s">
        <v>1906</v>
      </c>
      <c r="D448" s="905"/>
      <c r="E448" s="905"/>
      <c r="F448" s="905"/>
      <c r="G448" s="905"/>
      <c r="H448" s="782"/>
    </row>
    <row r="449" spans="1:10" hidden="1">
      <c r="A449" s="782"/>
      <c r="B449" s="917"/>
      <c r="C449" s="817" t="s">
        <v>1744</v>
      </c>
      <c r="D449" s="917"/>
      <c r="E449" s="917"/>
      <c r="F449" s="815"/>
      <c r="G449" s="816"/>
      <c r="H449" s="782"/>
    </row>
    <row r="450" spans="1:10" hidden="1">
      <c r="A450" s="782"/>
      <c r="B450" s="917" t="s">
        <v>1898</v>
      </c>
      <c r="C450" s="905" t="s">
        <v>1907</v>
      </c>
      <c r="D450" s="913" t="s">
        <v>328</v>
      </c>
      <c r="E450" s="917">
        <v>10.4</v>
      </c>
      <c r="F450" s="815">
        <v>80</v>
      </c>
      <c r="G450" s="816">
        <f>F450*E450</f>
        <v>832</v>
      </c>
      <c r="H450" s="782"/>
    </row>
    <row r="451" spans="1:10" hidden="1">
      <c r="A451" s="782"/>
      <c r="B451" s="917" t="s">
        <v>1766</v>
      </c>
      <c r="C451" s="822" t="s">
        <v>1767</v>
      </c>
      <c r="D451" s="917" t="s">
        <v>1908</v>
      </c>
      <c r="E451" s="917">
        <v>1.5</v>
      </c>
      <c r="F451" s="815">
        <v>0.36</v>
      </c>
      <c r="G451" s="816">
        <f>F451*E451</f>
        <v>0.54</v>
      </c>
      <c r="H451" s="782"/>
    </row>
    <row r="452" spans="1:10" hidden="1">
      <c r="A452" s="782"/>
      <c r="B452" s="917"/>
      <c r="C452" s="822"/>
      <c r="D452" s="917"/>
      <c r="E452" s="917"/>
      <c r="F452" s="815"/>
      <c r="G452" s="816">
        <f>SUM(G450:G451)</f>
        <v>832.54</v>
      </c>
      <c r="H452" s="782"/>
    </row>
    <row r="453" spans="1:10" hidden="1">
      <c r="A453" s="782"/>
      <c r="B453" s="917"/>
      <c r="C453" s="905" t="s">
        <v>1754</v>
      </c>
      <c r="D453" s="819">
        <f>$D$4</f>
        <v>0</v>
      </c>
      <c r="E453" s="917"/>
      <c r="F453" s="815"/>
      <c r="G453" s="816">
        <f>ROUND(G452*D453,2)</f>
        <v>0</v>
      </c>
      <c r="H453" s="782"/>
    </row>
    <row r="454" spans="1:10" hidden="1">
      <c r="A454" s="782"/>
      <c r="B454" s="917"/>
      <c r="C454" s="905" t="s">
        <v>1777</v>
      </c>
      <c r="D454" s="917"/>
      <c r="E454" s="917"/>
      <c r="F454" s="914"/>
      <c r="G454" s="816">
        <f>SUM(G452:G453)</f>
        <v>832.54</v>
      </c>
      <c r="H454" s="782"/>
      <c r="J454" s="914"/>
    </row>
    <row r="455" spans="1:10" hidden="1">
      <c r="A455" s="782"/>
      <c r="B455" s="917"/>
      <c r="C455" s="820" t="s">
        <v>1909</v>
      </c>
      <c r="D455" s="917"/>
      <c r="E455" s="917"/>
      <c r="F455" s="914"/>
      <c r="G455" s="816"/>
      <c r="H455" s="782"/>
      <c r="J455" s="914"/>
    </row>
    <row r="456" spans="1:10" hidden="1">
      <c r="A456" s="782"/>
      <c r="B456" s="913" t="s">
        <v>1759</v>
      </c>
      <c r="C456" s="905" t="s">
        <v>1910</v>
      </c>
      <c r="D456" s="917" t="s">
        <v>594</v>
      </c>
      <c r="E456" s="917">
        <v>2</v>
      </c>
      <c r="F456" s="914">
        <f>$H$5</f>
        <v>515</v>
      </c>
      <c r="G456" s="816">
        <f>F456*E456</f>
        <v>1030</v>
      </c>
      <c r="H456" s="782"/>
      <c r="J456" s="914"/>
    </row>
    <row r="457" spans="1:10" hidden="1">
      <c r="A457" s="782"/>
      <c r="B457" s="917"/>
      <c r="C457" s="905"/>
      <c r="D457" s="917"/>
      <c r="E457" s="917"/>
      <c r="F457" s="815"/>
      <c r="G457" s="816"/>
      <c r="H457" s="782"/>
    </row>
    <row r="458" spans="1:10" hidden="1">
      <c r="A458" s="782"/>
      <c r="B458" s="917"/>
      <c r="C458" s="820" t="s">
        <v>1760</v>
      </c>
      <c r="D458" s="771">
        <f>$D$3</f>
        <v>0</v>
      </c>
      <c r="E458" s="914"/>
      <c r="F458" s="815"/>
      <c r="G458" s="821">
        <f>ROUND(D458*(G456),2)</f>
        <v>0</v>
      </c>
      <c r="H458" s="782"/>
    </row>
    <row r="459" spans="1:10" hidden="1">
      <c r="A459" s="782"/>
      <c r="B459" s="917"/>
      <c r="C459" s="905" t="s">
        <v>1761</v>
      </c>
      <c r="D459" s="772">
        <f>D$5</f>
        <v>0</v>
      </c>
      <c r="E459" s="914"/>
      <c r="F459" s="815">
        <f>SUM(G455:G458)</f>
        <v>1030</v>
      </c>
      <c r="G459" s="821">
        <f>ROUND(D459*F459,2)</f>
        <v>0</v>
      </c>
      <c r="H459" s="782"/>
    </row>
    <row r="460" spans="1:10" hidden="1">
      <c r="A460" s="782"/>
      <c r="B460" s="917"/>
      <c r="C460" s="820" t="s">
        <v>1911</v>
      </c>
      <c r="D460" s="917"/>
      <c r="E460" s="917"/>
      <c r="F460" s="815"/>
      <c r="G460" s="821">
        <f>SUM(G454:G459)</f>
        <v>1862.54</v>
      </c>
      <c r="H460" s="782"/>
    </row>
    <row r="461" spans="1:10" hidden="1">
      <c r="A461" s="782"/>
      <c r="B461" s="917"/>
      <c r="C461" s="820" t="s">
        <v>1912</v>
      </c>
      <c r="D461" s="917"/>
      <c r="E461" s="917"/>
      <c r="F461" s="815"/>
      <c r="G461" s="821">
        <f>CEILING(G460/100,0.05)</f>
        <v>18.650000000000002</v>
      </c>
      <c r="H461" s="782"/>
    </row>
    <row r="462" spans="1:10" s="1125" customFormat="1">
      <c r="A462" s="914"/>
      <c r="B462" s="917"/>
      <c r="C462" s="914"/>
      <c r="D462" s="914"/>
      <c r="E462" s="914"/>
      <c r="F462" s="774"/>
      <c r="G462" s="832"/>
      <c r="H462" s="914"/>
    </row>
    <row r="463" spans="1:10" ht="112.5" customHeight="1">
      <c r="A463" s="914">
        <f>A448+1</f>
        <v>22</v>
      </c>
      <c r="B463" s="917"/>
      <c r="C463" s="907" t="s">
        <v>1287</v>
      </c>
      <c r="D463" s="907"/>
      <c r="E463" s="907"/>
      <c r="F463" s="907"/>
      <c r="G463" s="907"/>
      <c r="H463" s="782"/>
    </row>
    <row r="464" spans="1:10">
      <c r="A464" s="782"/>
      <c r="B464" s="917"/>
      <c r="C464" s="817" t="s">
        <v>1744</v>
      </c>
      <c r="D464" s="917"/>
      <c r="E464" s="917"/>
      <c r="F464" s="815"/>
      <c r="G464" s="816"/>
      <c r="H464" s="782"/>
    </row>
    <row r="465" spans="1:8">
      <c r="A465" s="782"/>
      <c r="B465" s="917"/>
      <c r="C465" s="817" t="s">
        <v>1744</v>
      </c>
      <c r="D465" s="917"/>
      <c r="E465" s="917"/>
      <c r="F465" s="815"/>
      <c r="G465" s="816"/>
      <c r="H465" s="782"/>
    </row>
    <row r="466" spans="1:8">
      <c r="A466" s="782"/>
      <c r="B466" s="917" t="s">
        <v>1913</v>
      </c>
      <c r="C466" s="905" t="s">
        <v>1914</v>
      </c>
      <c r="D466" s="917" t="s">
        <v>331</v>
      </c>
      <c r="E466" s="917">
        <v>1</v>
      </c>
      <c r="F466" s="815">
        <v>693</v>
      </c>
      <c r="G466" s="816">
        <f>F466*E466</f>
        <v>693</v>
      </c>
      <c r="H466" s="782"/>
    </row>
    <row r="467" spans="1:8" ht="24.6">
      <c r="A467" s="782"/>
      <c r="B467" s="917" t="s">
        <v>1915</v>
      </c>
      <c r="C467" s="905" t="s">
        <v>1916</v>
      </c>
      <c r="D467" s="917" t="s">
        <v>331</v>
      </c>
      <c r="E467" s="917">
        <v>1</v>
      </c>
      <c r="F467" s="815">
        <v>37</v>
      </c>
      <c r="G467" s="816">
        <f>F467*E467</f>
        <v>37</v>
      </c>
      <c r="H467" s="782"/>
    </row>
    <row r="468" spans="1:8">
      <c r="A468" s="782"/>
      <c r="B468" s="917"/>
      <c r="C468" s="905"/>
      <c r="D468" s="917"/>
      <c r="E468" s="917"/>
      <c r="F468" s="815"/>
      <c r="G468" s="816">
        <f>SUM(G466:G467)</f>
        <v>730</v>
      </c>
      <c r="H468" s="782"/>
    </row>
    <row r="469" spans="1:8">
      <c r="A469" s="782"/>
      <c r="B469" s="917"/>
      <c r="C469" s="905" t="s">
        <v>1754</v>
      </c>
      <c r="D469" s="819">
        <f>$D$4</f>
        <v>0</v>
      </c>
      <c r="E469" s="917"/>
      <c r="F469" s="815"/>
      <c r="G469" s="816">
        <f>ROUND(G468*D469,2)</f>
        <v>0</v>
      </c>
      <c r="H469" s="782"/>
    </row>
    <row r="470" spans="1:8">
      <c r="A470" s="782"/>
      <c r="B470" s="917"/>
      <c r="C470" s="905" t="s">
        <v>1777</v>
      </c>
      <c r="D470" s="917"/>
      <c r="E470" s="917"/>
      <c r="F470" s="815"/>
      <c r="G470" s="848">
        <f>SUM(G468:G469)</f>
        <v>730</v>
      </c>
      <c r="H470" s="782"/>
    </row>
    <row r="471" spans="1:8">
      <c r="A471" s="782"/>
      <c r="B471" s="917"/>
      <c r="C471" s="820" t="s">
        <v>1806</v>
      </c>
      <c r="D471" s="917"/>
      <c r="E471" s="917"/>
      <c r="F471" s="815"/>
      <c r="G471" s="821">
        <f>SUM(G470:G470)</f>
        <v>730</v>
      </c>
      <c r="H471" s="782"/>
    </row>
    <row r="472" spans="1:8" ht="12.75" customHeight="1">
      <c r="A472" s="914">
        <f>A463+1</f>
        <v>23</v>
      </c>
      <c r="B472" s="917"/>
      <c r="C472" s="905" t="s">
        <v>2422</v>
      </c>
      <c r="D472" s="905"/>
      <c r="E472" s="905"/>
      <c r="F472" s="905"/>
      <c r="G472" s="905"/>
      <c r="H472" s="782"/>
    </row>
    <row r="473" spans="1:8">
      <c r="A473" s="782"/>
      <c r="B473" s="917"/>
      <c r="C473" s="911" t="s">
        <v>1804</v>
      </c>
      <c r="D473" s="917"/>
      <c r="E473" s="917"/>
      <c r="F473" s="815"/>
      <c r="G473" s="816"/>
      <c r="H473" s="782"/>
    </row>
    <row r="474" spans="1:8">
      <c r="A474" s="782"/>
      <c r="B474" s="917"/>
      <c r="C474" s="817" t="s">
        <v>1744</v>
      </c>
      <c r="D474" s="917"/>
      <c r="E474" s="917"/>
      <c r="F474" s="815"/>
      <c r="G474" s="816"/>
      <c r="H474" s="782"/>
    </row>
    <row r="475" spans="1:8">
      <c r="A475" s="782"/>
      <c r="B475" s="917" t="s">
        <v>1917</v>
      </c>
      <c r="C475" s="905" t="s">
        <v>1918</v>
      </c>
      <c r="D475" s="917" t="s">
        <v>331</v>
      </c>
      <c r="E475" s="917">
        <v>1</v>
      </c>
      <c r="F475" s="815">
        <v>21</v>
      </c>
      <c r="G475" s="816">
        <f>E475*F475</f>
        <v>21</v>
      </c>
      <c r="H475" s="782"/>
    </row>
    <row r="476" spans="1:8">
      <c r="A476" s="782"/>
      <c r="B476" s="917" t="s">
        <v>2151</v>
      </c>
      <c r="C476" s="905" t="s">
        <v>1919</v>
      </c>
      <c r="D476" s="917" t="s">
        <v>331</v>
      </c>
      <c r="E476" s="917">
        <v>1</v>
      </c>
      <c r="F476" s="815">
        <v>103</v>
      </c>
      <c r="G476" s="816">
        <f>E476*F476</f>
        <v>103</v>
      </c>
      <c r="H476" s="782"/>
    </row>
    <row r="477" spans="1:8">
      <c r="A477" s="782"/>
      <c r="B477" s="917" t="s">
        <v>2152</v>
      </c>
      <c r="C477" s="905" t="s">
        <v>1920</v>
      </c>
      <c r="D477" s="917" t="s">
        <v>331</v>
      </c>
      <c r="E477" s="917">
        <v>-1</v>
      </c>
      <c r="F477" s="815">
        <v>19</v>
      </c>
      <c r="G477" s="848">
        <f>E477*F477</f>
        <v>-19</v>
      </c>
      <c r="H477" s="782"/>
    </row>
    <row r="478" spans="1:8">
      <c r="A478" s="782"/>
      <c r="B478" s="917"/>
      <c r="C478" s="905"/>
      <c r="D478" s="917"/>
      <c r="E478" s="917"/>
      <c r="F478" s="815"/>
      <c r="G478" s="848">
        <f>SUM(G475:G477)</f>
        <v>105</v>
      </c>
      <c r="H478" s="782"/>
    </row>
    <row r="479" spans="1:8">
      <c r="A479" s="782"/>
      <c r="B479" s="917"/>
      <c r="C479" s="905" t="s">
        <v>1754</v>
      </c>
      <c r="D479" s="819">
        <f>$D$4</f>
        <v>0</v>
      </c>
      <c r="E479" s="917"/>
      <c r="F479" s="815"/>
      <c r="G479" s="816">
        <f>ROUND(G478*D479,2)</f>
        <v>0</v>
      </c>
      <c r="H479" s="782"/>
    </row>
    <row r="480" spans="1:8">
      <c r="A480" s="782"/>
      <c r="B480" s="917"/>
      <c r="C480" s="905" t="s">
        <v>1777</v>
      </c>
      <c r="D480" s="917"/>
      <c r="E480" s="917"/>
      <c r="F480" s="815"/>
      <c r="G480" s="848">
        <f>SUM(G478:G479)</f>
        <v>105</v>
      </c>
      <c r="H480" s="782"/>
    </row>
    <row r="481" spans="1:11">
      <c r="A481" s="782"/>
      <c r="B481" s="917"/>
      <c r="C481" s="820" t="s">
        <v>1756</v>
      </c>
      <c r="D481" s="917"/>
      <c r="E481" s="917"/>
      <c r="F481" s="815"/>
      <c r="G481" s="816"/>
      <c r="H481" s="782"/>
      <c r="K481" s="914">
        <f>$H$3</f>
        <v>620</v>
      </c>
    </row>
    <row r="482" spans="1:11">
      <c r="A482" s="782"/>
      <c r="B482" s="913"/>
      <c r="C482" s="905" t="s">
        <v>1733</v>
      </c>
      <c r="D482" s="818" t="s">
        <v>594</v>
      </c>
      <c r="E482" s="917">
        <v>0.05</v>
      </c>
      <c r="F482" s="914">
        <f>$H$3</f>
        <v>620</v>
      </c>
      <c r="G482" s="816">
        <f>F482*E482</f>
        <v>31</v>
      </c>
      <c r="H482" s="782"/>
      <c r="K482" s="914">
        <f>$H$4</f>
        <v>515</v>
      </c>
    </row>
    <row r="483" spans="1:11">
      <c r="A483" s="782"/>
      <c r="B483" s="913"/>
      <c r="C483" s="905" t="s">
        <v>1737</v>
      </c>
      <c r="D483" s="818" t="s">
        <v>594</v>
      </c>
      <c r="E483" s="917">
        <v>0.05</v>
      </c>
      <c r="F483" s="914">
        <f>$H$5</f>
        <v>515</v>
      </c>
      <c r="G483" s="816">
        <f>F483*E483</f>
        <v>25.75</v>
      </c>
      <c r="H483" s="782"/>
      <c r="K483" s="914">
        <f>$H$5</f>
        <v>515</v>
      </c>
    </row>
    <row r="484" spans="1:11">
      <c r="A484" s="782"/>
      <c r="B484" s="917"/>
      <c r="C484" s="820" t="s">
        <v>1760</v>
      </c>
      <c r="D484" s="771">
        <f>$D$3</f>
        <v>0</v>
      </c>
      <c r="E484" s="914"/>
      <c r="F484" s="815"/>
      <c r="G484" s="821">
        <f>ROUND(D484*(G483+G482),2)</f>
        <v>0</v>
      </c>
      <c r="H484" s="782"/>
    </row>
    <row r="485" spans="1:11">
      <c r="A485" s="782"/>
      <c r="B485" s="917"/>
      <c r="C485" s="905" t="s">
        <v>1761</v>
      </c>
      <c r="D485" s="772">
        <f>D$5</f>
        <v>0</v>
      </c>
      <c r="E485" s="914"/>
      <c r="F485" s="815">
        <f>SUM(G481:G484)</f>
        <v>56.75</v>
      </c>
      <c r="G485" s="821">
        <f>ROUND(D485*F485,2)</f>
        <v>0</v>
      </c>
      <c r="H485" s="782"/>
    </row>
    <row r="486" spans="1:11">
      <c r="A486" s="782"/>
      <c r="B486" s="917"/>
      <c r="C486" s="820" t="s">
        <v>1806</v>
      </c>
      <c r="D486" s="917"/>
      <c r="E486" s="917"/>
      <c r="F486" s="815"/>
      <c r="G486" s="821">
        <f>SUM(G480:G485)</f>
        <v>161.75</v>
      </c>
      <c r="H486" s="782"/>
    </row>
    <row r="487" spans="1:11" ht="24.6">
      <c r="A487" s="782"/>
      <c r="B487" s="917"/>
      <c r="C487" s="849" t="s">
        <v>1921</v>
      </c>
      <c r="D487" s="849"/>
      <c r="E487" s="917"/>
      <c r="F487" s="815"/>
      <c r="G487" s="816"/>
      <c r="H487" s="782"/>
    </row>
    <row r="488" spans="1:11">
      <c r="A488" s="782"/>
      <c r="B488" s="917"/>
      <c r="C488" s="905" t="s">
        <v>1922</v>
      </c>
      <c r="D488" s="905"/>
      <c r="E488" s="917"/>
      <c r="F488" s="815"/>
      <c r="G488" s="816"/>
      <c r="H488" s="782"/>
    </row>
    <row r="489" spans="1:11">
      <c r="A489" s="782"/>
      <c r="B489" s="917"/>
      <c r="C489" s="905"/>
      <c r="D489" s="905"/>
      <c r="E489" s="917"/>
      <c r="F489" s="815"/>
      <c r="G489" s="816"/>
      <c r="H489" s="782"/>
    </row>
    <row r="490" spans="1:11" s="1125" customFormat="1" ht="12.75" hidden="1" customHeight="1">
      <c r="A490" s="914">
        <f>A472+1</f>
        <v>24</v>
      </c>
      <c r="B490" s="917">
        <v>31</v>
      </c>
      <c r="C490" s="905" t="s">
        <v>13</v>
      </c>
      <c r="D490" s="905"/>
      <c r="E490" s="905"/>
      <c r="F490" s="905"/>
      <c r="G490" s="905"/>
      <c r="H490" s="914"/>
    </row>
    <row r="491" spans="1:11" s="1125" customFormat="1" hidden="1">
      <c r="A491" s="914"/>
      <c r="B491" s="789"/>
      <c r="C491" s="911" t="s">
        <v>1804</v>
      </c>
      <c r="D491" s="917"/>
      <c r="E491" s="917"/>
      <c r="F491" s="913"/>
      <c r="G491" s="782"/>
      <c r="H491" s="914"/>
    </row>
    <row r="492" spans="1:11" s="1125" customFormat="1" hidden="1">
      <c r="A492" s="914"/>
      <c r="B492" s="789"/>
      <c r="C492" s="817" t="s">
        <v>1744</v>
      </c>
      <c r="D492" s="917"/>
      <c r="E492" s="917"/>
      <c r="F492" s="913"/>
      <c r="G492" s="782"/>
      <c r="H492" s="914"/>
    </row>
    <row r="493" spans="1:11" s="1125" customFormat="1" hidden="1">
      <c r="A493" s="914"/>
      <c r="B493" s="789" t="s">
        <v>2153</v>
      </c>
      <c r="C493" s="905" t="s">
        <v>1923</v>
      </c>
      <c r="D493" s="917" t="s">
        <v>331</v>
      </c>
      <c r="E493" s="917">
        <v>1</v>
      </c>
      <c r="F493" s="913">
        <v>95</v>
      </c>
      <c r="G493" s="782">
        <f>F493*E493</f>
        <v>95</v>
      </c>
      <c r="H493" s="914"/>
    </row>
    <row r="494" spans="1:11" s="1125" customFormat="1" hidden="1">
      <c r="A494" s="914"/>
      <c r="B494" s="789" t="s">
        <v>2154</v>
      </c>
      <c r="C494" s="905" t="s">
        <v>1924</v>
      </c>
      <c r="D494" s="917" t="s">
        <v>331</v>
      </c>
      <c r="E494" s="917">
        <v>1</v>
      </c>
      <c r="F494" s="913">
        <v>44</v>
      </c>
      <c r="G494" s="782">
        <f>F494*E494</f>
        <v>44</v>
      </c>
      <c r="H494" s="914"/>
    </row>
    <row r="495" spans="1:11" s="1125" customFormat="1" hidden="1">
      <c r="A495" s="914"/>
      <c r="B495" s="826"/>
      <c r="C495" s="905"/>
      <c r="D495" s="917"/>
      <c r="E495" s="917"/>
      <c r="F495" s="913"/>
      <c r="G495" s="782">
        <f>SUM(G493:G494)</f>
        <v>139</v>
      </c>
      <c r="H495" s="914"/>
    </row>
    <row r="496" spans="1:11" s="1125" customFormat="1" hidden="1">
      <c r="A496" s="914"/>
      <c r="B496" s="826"/>
      <c r="C496" s="905" t="s">
        <v>1754</v>
      </c>
      <c r="D496" s="819">
        <f>$D$4</f>
        <v>0</v>
      </c>
      <c r="E496" s="917"/>
      <c r="F496" s="815"/>
      <c r="G496" s="816">
        <f>ROUND(G495*D496,2)</f>
        <v>0</v>
      </c>
      <c r="H496" s="914"/>
    </row>
    <row r="497" spans="1:8" s="1125" customFormat="1" hidden="1">
      <c r="A497" s="914"/>
      <c r="B497" s="826"/>
      <c r="C497" s="905" t="s">
        <v>1755</v>
      </c>
      <c r="D497" s="917"/>
      <c r="E497" s="917"/>
      <c r="F497" s="913"/>
      <c r="G497" s="782">
        <f>SUM(G495:G496)</f>
        <v>139</v>
      </c>
      <c r="H497" s="914"/>
    </row>
    <row r="498" spans="1:8" s="1125" customFormat="1" hidden="1">
      <c r="A498" s="914"/>
      <c r="B498" s="789"/>
      <c r="C498" s="820" t="s">
        <v>1756</v>
      </c>
      <c r="D498" s="917"/>
      <c r="E498" s="917"/>
      <c r="F498" s="913"/>
      <c r="G498" s="782"/>
      <c r="H498" s="914"/>
    </row>
    <row r="499" spans="1:8" s="1125" customFormat="1" hidden="1">
      <c r="A499" s="914"/>
      <c r="B499" s="913"/>
      <c r="C499" s="905" t="s">
        <v>1733</v>
      </c>
      <c r="D499" s="818" t="s">
        <v>594</v>
      </c>
      <c r="E499" s="917">
        <v>6.2E-2</v>
      </c>
      <c r="F499" s="914">
        <f>$H$3</f>
        <v>620</v>
      </c>
      <c r="G499" s="782">
        <f>ROUND(F499*E499,2)</f>
        <v>38.44</v>
      </c>
      <c r="H499" s="914"/>
    </row>
    <row r="500" spans="1:8" s="1125" customFormat="1" hidden="1">
      <c r="A500" s="914"/>
      <c r="B500" s="913"/>
      <c r="C500" s="905" t="s">
        <v>1737</v>
      </c>
      <c r="D500" s="818" t="s">
        <v>594</v>
      </c>
      <c r="E500" s="917">
        <v>6.2E-2</v>
      </c>
      <c r="F500" s="914">
        <f>$H$5</f>
        <v>515</v>
      </c>
      <c r="G500" s="782">
        <f>ROUND(F500*E500,2)</f>
        <v>31.93</v>
      </c>
      <c r="H500" s="914"/>
    </row>
    <row r="501" spans="1:8" s="1125" customFormat="1" hidden="1">
      <c r="A501" s="914"/>
      <c r="B501" s="789"/>
      <c r="C501" s="820" t="s">
        <v>1760</v>
      </c>
      <c r="D501" s="771">
        <f>$D$3</f>
        <v>0</v>
      </c>
      <c r="E501" s="914"/>
      <c r="F501" s="815"/>
      <c r="G501" s="821">
        <f>ROUND(D501*(G500+G499),2)</f>
        <v>0</v>
      </c>
      <c r="H501" s="914"/>
    </row>
    <row r="502" spans="1:8" s="1125" customFormat="1" hidden="1">
      <c r="A502" s="914"/>
      <c r="B502" s="789"/>
      <c r="C502" s="905" t="s">
        <v>1761</v>
      </c>
      <c r="D502" s="772">
        <f>D$5</f>
        <v>0</v>
      </c>
      <c r="E502" s="914"/>
      <c r="F502" s="815">
        <f>SUM(G498:G501)</f>
        <v>70.37</v>
      </c>
      <c r="G502" s="821">
        <f>ROUND(D502*F502,2)</f>
        <v>0</v>
      </c>
      <c r="H502" s="914"/>
    </row>
    <row r="503" spans="1:8" s="1120" customFormat="1" hidden="1">
      <c r="A503" s="917"/>
      <c r="B503" s="789"/>
      <c r="C503" s="905" t="s">
        <v>1925</v>
      </c>
      <c r="D503" s="917"/>
      <c r="E503" s="917"/>
      <c r="F503" s="913"/>
      <c r="G503" s="848">
        <f>CEILING(SUM(G497:G502),0.05)</f>
        <v>209.4</v>
      </c>
      <c r="H503" s="917"/>
    </row>
    <row r="504" spans="1:8" ht="124.5" customHeight="1">
      <c r="A504" s="914">
        <v>24</v>
      </c>
      <c r="B504" s="917"/>
      <c r="C504" s="905" t="s">
        <v>2201</v>
      </c>
      <c r="D504" s="905"/>
      <c r="E504" s="905"/>
      <c r="F504" s="905"/>
      <c r="G504" s="905"/>
      <c r="H504" s="850"/>
    </row>
    <row r="505" spans="1:8">
      <c r="A505" s="782"/>
      <c r="B505" s="917"/>
      <c r="C505" s="817" t="s">
        <v>1744</v>
      </c>
      <c r="D505" s="917"/>
      <c r="E505" s="917"/>
      <c r="F505" s="815"/>
      <c r="G505" s="816"/>
      <c r="H505" s="850"/>
    </row>
    <row r="506" spans="1:8">
      <c r="A506" s="782"/>
      <c r="B506" s="917" t="s">
        <v>2155</v>
      </c>
      <c r="C506" s="905" t="s">
        <v>1926</v>
      </c>
      <c r="D506" s="917" t="s">
        <v>331</v>
      </c>
      <c r="E506" s="917">
        <v>1</v>
      </c>
      <c r="F506" s="815">
        <v>2825</v>
      </c>
      <c r="G506" s="782">
        <f>F506*E506</f>
        <v>2825</v>
      </c>
      <c r="H506" s="850"/>
    </row>
    <row r="507" spans="1:8">
      <c r="A507" s="782"/>
      <c r="B507" s="917"/>
      <c r="C507" s="905" t="s">
        <v>1927</v>
      </c>
      <c r="D507" s="917"/>
      <c r="E507" s="917">
        <v>0.01</v>
      </c>
      <c r="F507" s="815">
        <f>+F506/100</f>
        <v>28.25</v>
      </c>
      <c r="G507" s="816">
        <f>F507</f>
        <v>28.25</v>
      </c>
      <c r="H507" s="782"/>
    </row>
    <row r="508" spans="1:8">
      <c r="A508" s="782"/>
      <c r="B508" s="917"/>
      <c r="C508" s="905"/>
      <c r="D508" s="917"/>
      <c r="E508" s="917"/>
      <c r="F508" s="815"/>
      <c r="G508" s="816">
        <f>SUM(G506:G507)</f>
        <v>2853.25</v>
      </c>
      <c r="H508" s="782"/>
    </row>
    <row r="509" spans="1:8">
      <c r="A509" s="782"/>
      <c r="B509" s="917"/>
      <c r="C509" s="905" t="s">
        <v>1754</v>
      </c>
      <c r="D509" s="819">
        <f>$D$4</f>
        <v>0</v>
      </c>
      <c r="E509" s="917"/>
      <c r="F509" s="815"/>
      <c r="G509" s="816">
        <f>ROUND(G508*D509,2)</f>
        <v>0</v>
      </c>
      <c r="H509" s="782"/>
    </row>
    <row r="510" spans="1:8">
      <c r="A510" s="782"/>
      <c r="B510" s="917"/>
      <c r="C510" s="905" t="s">
        <v>1755</v>
      </c>
      <c r="D510" s="917"/>
      <c r="E510" s="917"/>
      <c r="F510" s="815"/>
      <c r="G510" s="821">
        <f>SUM(G508:G509)</f>
        <v>2853.25</v>
      </c>
      <c r="H510" s="782"/>
    </row>
    <row r="511" spans="1:8">
      <c r="A511" s="782"/>
      <c r="B511" s="917"/>
      <c r="C511" s="905"/>
      <c r="D511" s="905"/>
      <c r="E511" s="917"/>
      <c r="F511" s="815"/>
      <c r="G511" s="816"/>
      <c r="H511" s="782"/>
    </row>
    <row r="512" spans="1:8" s="1125" customFormat="1" ht="12.75" customHeight="1">
      <c r="A512" s="914">
        <f>A504+1</f>
        <v>25</v>
      </c>
      <c r="B512" s="917"/>
      <c r="C512" s="905" t="s">
        <v>1432</v>
      </c>
      <c r="D512" s="905"/>
      <c r="E512" s="905"/>
      <c r="F512" s="905"/>
      <c r="G512" s="905"/>
      <c r="H512" s="914"/>
    </row>
    <row r="513" spans="1:10" s="1125" customFormat="1">
      <c r="A513" s="914"/>
      <c r="B513" s="917"/>
      <c r="C513" s="817" t="s">
        <v>1744</v>
      </c>
      <c r="D513" s="917"/>
      <c r="E513" s="917"/>
      <c r="F513" s="815"/>
      <c r="G513" s="816"/>
      <c r="H513" s="914"/>
    </row>
    <row r="514" spans="1:10" s="1125" customFormat="1">
      <c r="A514" s="914"/>
      <c r="B514" s="917" t="s">
        <v>2156</v>
      </c>
      <c r="C514" s="905" t="s">
        <v>2157</v>
      </c>
      <c r="D514" s="917" t="s">
        <v>329</v>
      </c>
      <c r="E514" s="917">
        <v>1</v>
      </c>
      <c r="F514" s="815">
        <v>515</v>
      </c>
      <c r="G514" s="816">
        <f>F514*E514</f>
        <v>515</v>
      </c>
      <c r="H514" s="914"/>
    </row>
    <row r="515" spans="1:10" s="1125" customFormat="1">
      <c r="A515" s="914"/>
      <c r="B515" s="917"/>
      <c r="C515" s="905" t="s">
        <v>1870</v>
      </c>
      <c r="D515" s="818">
        <f>$D$4</f>
        <v>0</v>
      </c>
      <c r="E515" s="917"/>
      <c r="F515" s="815"/>
      <c r="G515" s="816">
        <f>ROUND(G514*D515,2)</f>
        <v>0</v>
      </c>
      <c r="H515" s="914"/>
    </row>
    <row r="516" spans="1:10" s="1125" customFormat="1">
      <c r="A516" s="914"/>
      <c r="B516" s="917"/>
      <c r="C516" s="905" t="s">
        <v>1755</v>
      </c>
      <c r="D516" s="917"/>
      <c r="E516" s="917"/>
      <c r="F516" s="815"/>
      <c r="G516" s="816">
        <f>SUM(G514:G515)</f>
        <v>515</v>
      </c>
      <c r="H516" s="914"/>
      <c r="J516" s="914">
        <f>$H$3</f>
        <v>620</v>
      </c>
    </row>
    <row r="517" spans="1:10" s="1125" customFormat="1">
      <c r="A517" s="914"/>
      <c r="B517" s="917"/>
      <c r="C517" s="820" t="s">
        <v>1928</v>
      </c>
      <c r="D517" s="917"/>
      <c r="E517" s="917"/>
      <c r="F517" s="815"/>
      <c r="G517" s="816"/>
      <c r="H517" s="914"/>
      <c r="J517" s="914">
        <f>$H$4</f>
        <v>515</v>
      </c>
    </row>
    <row r="518" spans="1:10" s="1125" customFormat="1">
      <c r="A518" s="914"/>
      <c r="B518" s="913"/>
      <c r="C518" s="905" t="s">
        <v>1929</v>
      </c>
      <c r="D518" s="917" t="s">
        <v>594</v>
      </c>
      <c r="E518" s="917">
        <v>0.1</v>
      </c>
      <c r="F518" s="914">
        <f>$H$4</f>
        <v>515</v>
      </c>
      <c r="G518" s="816">
        <f>F518*E518</f>
        <v>51.5</v>
      </c>
      <c r="H518" s="914"/>
      <c r="J518" s="914">
        <f>$H$5</f>
        <v>515</v>
      </c>
    </row>
    <row r="519" spans="1:10" s="1125" customFormat="1">
      <c r="A519" s="914"/>
      <c r="B519" s="913"/>
      <c r="C519" s="905" t="s">
        <v>1930</v>
      </c>
      <c r="D519" s="818"/>
      <c r="E519" s="917"/>
      <c r="F519" s="913"/>
      <c r="G519" s="816">
        <v>0</v>
      </c>
      <c r="H519" s="773"/>
    </row>
    <row r="520" spans="1:10" s="1125" customFormat="1">
      <c r="A520" s="914"/>
      <c r="B520" s="917"/>
      <c r="C520" s="820" t="s">
        <v>1760</v>
      </c>
      <c r="D520" s="771">
        <f>$D$3</f>
        <v>0</v>
      </c>
      <c r="E520" s="914"/>
      <c r="F520" s="815"/>
      <c r="G520" s="821">
        <f>ROUND(D520*(G519+G518),2)</f>
        <v>0</v>
      </c>
      <c r="H520" s="773"/>
    </row>
    <row r="521" spans="1:10" s="1125" customFormat="1">
      <c r="A521" s="914"/>
      <c r="B521" s="917"/>
      <c r="C521" s="905" t="s">
        <v>1871</v>
      </c>
      <c r="D521" s="771">
        <f>$D$5</f>
        <v>0</v>
      </c>
      <c r="E521" s="914"/>
      <c r="F521" s="815">
        <v>37.5</v>
      </c>
      <c r="G521" s="821">
        <f>ROUND(D521*F521,2)</f>
        <v>0</v>
      </c>
      <c r="H521" s="773"/>
    </row>
    <row r="522" spans="1:10" s="1125" customFormat="1">
      <c r="A522" s="914"/>
      <c r="B522" s="917"/>
      <c r="C522" s="905" t="s">
        <v>1931</v>
      </c>
      <c r="D522" s="917"/>
      <c r="E522" s="917"/>
      <c r="F522" s="815"/>
      <c r="G522" s="821">
        <f>CEILING(SUM(G516:G521),0.05)</f>
        <v>566.5</v>
      </c>
      <c r="H522" s="914"/>
    </row>
    <row r="523" spans="1:10" s="1125" customFormat="1">
      <c r="A523" s="914"/>
      <c r="B523" s="917"/>
      <c r="C523" s="820" t="s">
        <v>1932</v>
      </c>
      <c r="D523" s="917"/>
      <c r="E523" s="917"/>
      <c r="F523" s="815"/>
      <c r="G523" s="816"/>
      <c r="H523" s="914"/>
    </row>
    <row r="524" spans="1:10" s="1125" customFormat="1">
      <c r="A524" s="914"/>
      <c r="B524" s="917"/>
      <c r="C524" s="914"/>
      <c r="D524" s="914"/>
      <c r="E524" s="914"/>
      <c r="F524" s="774"/>
      <c r="G524" s="832"/>
      <c r="H524" s="914"/>
    </row>
    <row r="525" spans="1:10" s="1125" customFormat="1" ht="12.75" customHeight="1">
      <c r="A525" s="914">
        <f>A512+1</f>
        <v>26</v>
      </c>
      <c r="B525" s="917"/>
      <c r="C525" s="905" t="s">
        <v>1433</v>
      </c>
      <c r="D525" s="905"/>
      <c r="E525" s="905"/>
      <c r="F525" s="905"/>
      <c r="G525" s="905"/>
      <c r="H525" s="914"/>
    </row>
    <row r="526" spans="1:10" s="1125" customFormat="1">
      <c r="A526" s="914"/>
      <c r="B526" s="917"/>
      <c r="C526" s="817" t="s">
        <v>1744</v>
      </c>
      <c r="D526" s="917"/>
      <c r="E526" s="917"/>
      <c r="F526" s="815"/>
      <c r="G526" s="816"/>
      <c r="H526" s="914"/>
    </row>
    <row r="527" spans="1:10" s="1125" customFormat="1">
      <c r="A527" s="914"/>
      <c r="B527" s="917" t="s">
        <v>1933</v>
      </c>
      <c r="C527" s="905" t="s">
        <v>1934</v>
      </c>
      <c r="D527" s="917" t="s">
        <v>1935</v>
      </c>
      <c r="E527" s="917">
        <v>1</v>
      </c>
      <c r="F527" s="815">
        <v>1176</v>
      </c>
      <c r="G527" s="816">
        <f>F527/100</f>
        <v>11.76</v>
      </c>
      <c r="H527" s="914"/>
    </row>
    <row r="528" spans="1:10" s="1125" customFormat="1" ht="24.6">
      <c r="A528" s="914"/>
      <c r="B528" s="917"/>
      <c r="C528" s="905" t="s">
        <v>1936</v>
      </c>
      <c r="D528" s="917" t="s">
        <v>1858</v>
      </c>
      <c r="E528" s="917">
        <v>1</v>
      </c>
      <c r="F528" s="815">
        <v>0</v>
      </c>
      <c r="G528" s="816">
        <f>E528*F528</f>
        <v>0</v>
      </c>
      <c r="H528" s="914"/>
    </row>
    <row r="529" spans="1:11" s="1125" customFormat="1">
      <c r="A529" s="914"/>
      <c r="B529" s="917"/>
      <c r="C529" s="905"/>
      <c r="D529" s="917"/>
      <c r="E529" s="917"/>
      <c r="F529" s="815"/>
      <c r="G529" s="816">
        <f>SUM(G527:G528)</f>
        <v>11.76</v>
      </c>
      <c r="H529" s="914"/>
    </row>
    <row r="530" spans="1:11" s="1125" customFormat="1">
      <c r="A530" s="914"/>
      <c r="B530" s="917"/>
      <c r="C530" s="905" t="s">
        <v>1754</v>
      </c>
      <c r="D530" s="819">
        <f>$D$4</f>
        <v>0</v>
      </c>
      <c r="E530" s="917"/>
      <c r="F530" s="815"/>
      <c r="G530" s="816">
        <f>ROUND(G529*D530,2)</f>
        <v>0</v>
      </c>
      <c r="H530" s="914"/>
    </row>
    <row r="531" spans="1:11" s="1125" customFormat="1">
      <c r="A531" s="914"/>
      <c r="B531" s="917"/>
      <c r="C531" s="905" t="s">
        <v>1777</v>
      </c>
      <c r="D531" s="917"/>
      <c r="E531" s="917"/>
      <c r="F531" s="815"/>
      <c r="G531" s="816">
        <f>SUM(G529:G530)</f>
        <v>11.76</v>
      </c>
      <c r="H531" s="914"/>
    </row>
    <row r="532" spans="1:11" s="1125" customFormat="1">
      <c r="A532" s="914"/>
      <c r="B532" s="917"/>
      <c r="C532" s="820" t="s">
        <v>1928</v>
      </c>
      <c r="D532" s="917"/>
      <c r="E532" s="917"/>
      <c r="F532" s="815"/>
      <c r="G532" s="816"/>
      <c r="H532" s="914"/>
      <c r="K532" s="914">
        <f>$H$3</f>
        <v>620</v>
      </c>
    </row>
    <row r="533" spans="1:11" s="1125" customFormat="1">
      <c r="A533" s="914"/>
      <c r="B533" s="913"/>
      <c r="C533" s="905" t="s">
        <v>1733</v>
      </c>
      <c r="D533" s="917" t="s">
        <v>594</v>
      </c>
      <c r="E533" s="917">
        <v>0.125</v>
      </c>
      <c r="F533" s="914">
        <f>$H$3</f>
        <v>620</v>
      </c>
      <c r="G533" s="816">
        <f>F533*E533</f>
        <v>77.5</v>
      </c>
      <c r="H533" s="914"/>
      <c r="K533" s="914">
        <f>$H$4</f>
        <v>515</v>
      </c>
    </row>
    <row r="534" spans="1:11" s="1125" customFormat="1">
      <c r="A534" s="914"/>
      <c r="B534" s="913"/>
      <c r="C534" s="905" t="s">
        <v>330</v>
      </c>
      <c r="D534" s="917" t="s">
        <v>594</v>
      </c>
      <c r="E534" s="917">
        <v>0.125</v>
      </c>
      <c r="F534" s="914">
        <f>$H$5</f>
        <v>515</v>
      </c>
      <c r="G534" s="816">
        <f>F534*E534</f>
        <v>64.375</v>
      </c>
      <c r="H534" s="914"/>
      <c r="K534" s="914">
        <f>$H$5</f>
        <v>515</v>
      </c>
    </row>
    <row r="535" spans="1:11" s="1125" customFormat="1">
      <c r="A535" s="914"/>
      <c r="B535" s="917"/>
      <c r="C535" s="820" t="s">
        <v>1760</v>
      </c>
      <c r="D535" s="771">
        <f>$D$3</f>
        <v>0</v>
      </c>
      <c r="E535" s="914"/>
      <c r="F535" s="815"/>
      <c r="G535" s="821">
        <f>ROUND(D535*(G534+G533),2)</f>
        <v>0</v>
      </c>
      <c r="H535" s="914"/>
    </row>
    <row r="536" spans="1:11" s="1125" customFormat="1">
      <c r="A536" s="914"/>
      <c r="B536" s="917"/>
      <c r="C536" s="905" t="s">
        <v>1761</v>
      </c>
      <c r="D536" s="772">
        <f>D$5</f>
        <v>0</v>
      </c>
      <c r="E536" s="914"/>
      <c r="F536" s="815">
        <f>SUM(G532:G535)</f>
        <v>141.875</v>
      </c>
      <c r="G536" s="821">
        <f>ROUND(D536*F536,2)</f>
        <v>0</v>
      </c>
      <c r="H536" s="914"/>
    </row>
    <row r="537" spans="1:11" s="1125" customFormat="1">
      <c r="A537" s="914"/>
      <c r="B537" s="917"/>
      <c r="C537" s="905" t="s">
        <v>1931</v>
      </c>
      <c r="D537" s="917"/>
      <c r="E537" s="917"/>
      <c r="F537" s="815"/>
      <c r="G537" s="821">
        <f>CEILING(SUM(G531:G536),0.05)</f>
        <v>153.65</v>
      </c>
      <c r="H537" s="914"/>
    </row>
    <row r="538" spans="1:11" s="1125" customFormat="1">
      <c r="A538" s="914"/>
      <c r="B538" s="917"/>
      <c r="C538" s="820" t="s">
        <v>1937</v>
      </c>
      <c r="D538" s="917"/>
      <c r="E538" s="917"/>
      <c r="F538" s="773"/>
      <c r="G538" s="821"/>
      <c r="H538" s="914"/>
    </row>
    <row r="539" spans="1:11" s="1125" customFormat="1" ht="12.75" hidden="1" customHeight="1">
      <c r="A539" s="914">
        <f>A525+1</f>
        <v>27</v>
      </c>
      <c r="B539" s="917"/>
      <c r="C539" s="910" t="s">
        <v>1938</v>
      </c>
      <c r="D539" s="910"/>
      <c r="E539" s="910"/>
      <c r="F539" s="910"/>
      <c r="G539" s="910"/>
      <c r="H539" s="914"/>
    </row>
    <row r="540" spans="1:11" s="1125" customFormat="1" hidden="1">
      <c r="A540" s="914"/>
      <c r="B540" s="917"/>
      <c r="C540" s="817" t="s">
        <v>1744</v>
      </c>
      <c r="D540" s="917"/>
      <c r="E540" s="917"/>
      <c r="F540" s="824"/>
      <c r="G540" s="816"/>
      <c r="H540" s="914"/>
    </row>
    <row r="541" spans="1:11" s="1125" customFormat="1" ht="24.6" hidden="1">
      <c r="A541" s="914"/>
      <c r="B541" s="784" t="s">
        <v>1939</v>
      </c>
      <c r="C541" s="905" t="s">
        <v>1940</v>
      </c>
      <c r="D541" s="917" t="s">
        <v>1941</v>
      </c>
      <c r="E541" s="917">
        <v>1</v>
      </c>
      <c r="F541" s="824">
        <v>95</v>
      </c>
      <c r="G541" s="816">
        <f>F541*E541</f>
        <v>95</v>
      </c>
      <c r="H541" s="914"/>
    </row>
    <row r="542" spans="1:11" s="1125" customFormat="1" ht="24.6" hidden="1">
      <c r="A542" s="914"/>
      <c r="B542" s="917"/>
      <c r="C542" s="905" t="s">
        <v>1942</v>
      </c>
      <c r="D542" s="917" t="s">
        <v>1941</v>
      </c>
      <c r="E542" s="917">
        <v>-0.23</v>
      </c>
      <c r="F542" s="824">
        <v>95</v>
      </c>
      <c r="G542" s="816">
        <f>F542*E542</f>
        <v>-21.85</v>
      </c>
      <c r="H542" s="914"/>
    </row>
    <row r="543" spans="1:11" s="1125" customFormat="1" hidden="1">
      <c r="A543" s="914"/>
      <c r="B543" s="917"/>
      <c r="C543" s="905"/>
      <c r="D543" s="917"/>
      <c r="E543" s="917"/>
      <c r="F543" s="824"/>
      <c r="G543" s="816">
        <f>SUM(G541:G542)</f>
        <v>73.150000000000006</v>
      </c>
      <c r="H543" s="914"/>
    </row>
    <row r="544" spans="1:11" s="1125" customFormat="1" hidden="1">
      <c r="A544" s="914"/>
      <c r="B544" s="917"/>
      <c r="C544" s="826" t="s">
        <v>1776</v>
      </c>
      <c r="D544" s="827">
        <f>$D$4</f>
        <v>0</v>
      </c>
      <c r="E544" s="917"/>
      <c r="F544" s="824"/>
      <c r="G544" s="816">
        <f>ROUND(G543*D544,2)</f>
        <v>0</v>
      </c>
      <c r="H544" s="914"/>
    </row>
    <row r="545" spans="1:10" s="1125" customFormat="1" hidden="1">
      <c r="A545" s="914"/>
      <c r="B545" s="917"/>
      <c r="C545" s="905" t="s">
        <v>1777</v>
      </c>
      <c r="D545" s="917"/>
      <c r="E545" s="917"/>
      <c r="F545" s="824"/>
      <c r="G545" s="816">
        <f>SUM(G543:G544)</f>
        <v>73.150000000000006</v>
      </c>
      <c r="H545" s="914"/>
    </row>
    <row r="546" spans="1:10" s="1125" customFormat="1" hidden="1">
      <c r="A546" s="914"/>
      <c r="B546" s="917"/>
      <c r="C546" s="820" t="s">
        <v>1928</v>
      </c>
      <c r="D546" s="917"/>
      <c r="E546" s="917"/>
      <c r="F546" s="824"/>
      <c r="G546" s="816"/>
      <c r="H546" s="914"/>
      <c r="J546" s="914">
        <f>$H$3</f>
        <v>620</v>
      </c>
    </row>
    <row r="547" spans="1:10" s="1125" customFormat="1" hidden="1">
      <c r="A547" s="914"/>
      <c r="B547" s="913" t="s">
        <v>1943</v>
      </c>
      <c r="C547" s="905" t="s">
        <v>1733</v>
      </c>
      <c r="D547" s="917" t="s">
        <v>594</v>
      </c>
      <c r="E547" s="917">
        <v>0</v>
      </c>
      <c r="F547" s="839">
        <f>$H$3</f>
        <v>620</v>
      </c>
      <c r="G547" s="816">
        <f>F547*E547</f>
        <v>0</v>
      </c>
      <c r="H547" s="914"/>
      <c r="J547" s="914">
        <f>$H$4</f>
        <v>515</v>
      </c>
    </row>
    <row r="548" spans="1:10" s="1125" customFormat="1" hidden="1">
      <c r="A548" s="914"/>
      <c r="B548" s="913" t="s">
        <v>1944</v>
      </c>
      <c r="C548" s="905" t="s">
        <v>330</v>
      </c>
      <c r="D548" s="917" t="s">
        <v>594</v>
      </c>
      <c r="E548" s="917">
        <v>0.1</v>
      </c>
      <c r="F548" s="839">
        <f>$H$5</f>
        <v>515</v>
      </c>
      <c r="G548" s="816">
        <f>F548*E548</f>
        <v>51.5</v>
      </c>
      <c r="H548" s="914"/>
      <c r="J548" s="914">
        <f>$H$5</f>
        <v>515</v>
      </c>
    </row>
    <row r="549" spans="1:10" s="1125" customFormat="1" hidden="1">
      <c r="A549" s="914"/>
      <c r="B549" s="917"/>
      <c r="C549" s="826" t="s">
        <v>1760</v>
      </c>
      <c r="D549" s="828">
        <f>$D$3</f>
        <v>0</v>
      </c>
      <c r="E549" s="914"/>
      <c r="F549" s="824"/>
      <c r="G549" s="821">
        <f>ROUND(D549*(G548+G547),2)</f>
        <v>0</v>
      </c>
      <c r="H549" s="914"/>
    </row>
    <row r="550" spans="1:10" s="1125" customFormat="1" hidden="1">
      <c r="A550" s="914"/>
      <c r="B550" s="917"/>
      <c r="C550" s="826" t="s">
        <v>1779</v>
      </c>
      <c r="D550" s="827">
        <f>$D$5</f>
        <v>0</v>
      </c>
      <c r="E550" s="914"/>
      <c r="F550" s="824">
        <f>SUM(G546:G549)</f>
        <v>51.5</v>
      </c>
      <c r="G550" s="821">
        <f>ROUND(D550*F550,2)</f>
        <v>0</v>
      </c>
      <c r="H550" s="914"/>
    </row>
    <row r="551" spans="1:10" s="1125" customFormat="1" hidden="1">
      <c r="A551" s="914"/>
      <c r="B551" s="917"/>
      <c r="C551" s="905" t="s">
        <v>1931</v>
      </c>
      <c r="D551" s="917"/>
      <c r="E551" s="917"/>
      <c r="F551" s="824"/>
      <c r="G551" s="816">
        <f>CEILING(SUM(G545:G550),0.05)</f>
        <v>124.65</v>
      </c>
      <c r="H551" s="914"/>
    </row>
    <row r="552" spans="1:10" s="1125" customFormat="1" hidden="1">
      <c r="A552" s="914"/>
      <c r="B552" s="917"/>
      <c r="C552" s="820" t="s">
        <v>1937</v>
      </c>
      <c r="D552" s="917"/>
      <c r="E552" s="917"/>
      <c r="F552" s="839"/>
      <c r="G552" s="821"/>
      <c r="H552" s="914"/>
    </row>
    <row r="553" spans="1:10" hidden="1">
      <c r="A553" s="782"/>
      <c r="B553" s="917"/>
      <c r="C553" s="905"/>
      <c r="D553" s="905"/>
      <c r="E553" s="917"/>
      <c r="F553" s="815"/>
      <c r="G553" s="816"/>
      <c r="H553" s="782"/>
    </row>
    <row r="554" spans="1:10" s="1125" customFormat="1" ht="12.75" hidden="1" customHeight="1">
      <c r="A554" s="914">
        <f>A539+1</f>
        <v>28</v>
      </c>
      <c r="B554" s="917"/>
      <c r="C554" s="905" t="s">
        <v>1265</v>
      </c>
      <c r="D554" s="905"/>
      <c r="E554" s="905"/>
      <c r="F554" s="905"/>
      <c r="G554" s="905"/>
      <c r="H554" s="914"/>
    </row>
    <row r="555" spans="1:10" s="1125" customFormat="1" hidden="1">
      <c r="A555" s="914"/>
      <c r="B555" s="917"/>
      <c r="C555" s="817" t="s">
        <v>1744</v>
      </c>
      <c r="D555" s="917"/>
      <c r="E555" s="917"/>
      <c r="F555" s="824"/>
      <c r="G555" s="816"/>
      <c r="H555" s="914"/>
    </row>
    <row r="556" spans="1:10" s="1125" customFormat="1" hidden="1">
      <c r="A556" s="914"/>
      <c r="B556" s="788" t="s">
        <v>1945</v>
      </c>
      <c r="C556" s="905" t="s">
        <v>1946</v>
      </c>
      <c r="D556" s="917" t="s">
        <v>331</v>
      </c>
      <c r="E556" s="917">
        <v>1</v>
      </c>
      <c r="F556" s="824">
        <v>1423</v>
      </c>
      <c r="G556" s="816">
        <f>F556*E556</f>
        <v>1423</v>
      </c>
      <c r="H556" s="914"/>
    </row>
    <row r="557" spans="1:10" s="1125" customFormat="1" hidden="1">
      <c r="A557" s="914"/>
      <c r="B557" s="917"/>
      <c r="C557" s="905" t="s">
        <v>1927</v>
      </c>
      <c r="D557" s="917"/>
      <c r="E557" s="917">
        <v>0.01</v>
      </c>
      <c r="F557" s="824">
        <f>F556/100</f>
        <v>14.23</v>
      </c>
      <c r="G557" s="816">
        <f>F557</f>
        <v>14.23</v>
      </c>
      <c r="H557" s="914"/>
    </row>
    <row r="558" spans="1:10" s="1125" customFormat="1" hidden="1">
      <c r="A558" s="914"/>
      <c r="B558" s="917"/>
      <c r="C558" s="905" t="s">
        <v>1931</v>
      </c>
      <c r="D558" s="917"/>
      <c r="E558" s="917"/>
      <c r="F558" s="824"/>
      <c r="G558" s="816">
        <f>SUM(G555:G557)</f>
        <v>1437.23</v>
      </c>
      <c r="H558" s="914"/>
    </row>
    <row r="559" spans="1:10" s="1125" customFormat="1" hidden="1">
      <c r="A559" s="914"/>
      <c r="B559" s="917"/>
      <c r="C559" s="826" t="s">
        <v>1776</v>
      </c>
      <c r="D559" s="827">
        <f>$D$4</f>
        <v>0</v>
      </c>
      <c r="E559" s="917"/>
      <c r="F559" s="824"/>
      <c r="G559" s="816">
        <f>ROUND(G558*D559,2)</f>
        <v>0</v>
      </c>
      <c r="H559" s="914"/>
    </row>
    <row r="560" spans="1:10" s="1125" customFormat="1" hidden="1">
      <c r="A560" s="914"/>
      <c r="B560" s="917"/>
      <c r="C560" s="905" t="s">
        <v>1777</v>
      </c>
      <c r="D560" s="917"/>
      <c r="E560" s="917"/>
      <c r="F560" s="824"/>
      <c r="G560" s="821">
        <f>SUM(G558:G559)</f>
        <v>1437.23</v>
      </c>
      <c r="H560" s="914"/>
    </row>
    <row r="561" spans="1:8" s="1125" customFormat="1" hidden="1">
      <c r="A561" s="914"/>
      <c r="B561" s="917"/>
      <c r="C561" s="905"/>
      <c r="D561" s="917"/>
      <c r="E561" s="917"/>
      <c r="F561" s="824"/>
      <c r="G561" s="816"/>
      <c r="H561" s="914"/>
    </row>
    <row r="562" spans="1:8" s="1125" customFormat="1" ht="12.75" hidden="1" customHeight="1">
      <c r="A562" s="914">
        <f>A554+1</f>
        <v>29</v>
      </c>
      <c r="B562" s="917"/>
      <c r="C562" s="905" t="s">
        <v>2188</v>
      </c>
      <c r="D562" s="905"/>
      <c r="E562" s="905"/>
      <c r="F562" s="905"/>
      <c r="G562" s="905"/>
      <c r="H562" s="914"/>
    </row>
    <row r="563" spans="1:8" s="1125" customFormat="1" hidden="1">
      <c r="A563" s="914"/>
      <c r="B563" s="917"/>
      <c r="C563" s="817" t="s">
        <v>1744</v>
      </c>
      <c r="D563" s="917"/>
      <c r="E563" s="917"/>
      <c r="F563" s="815"/>
      <c r="G563" s="816"/>
      <c r="H563" s="914"/>
    </row>
    <row r="564" spans="1:8" s="1125" customFormat="1" hidden="1">
      <c r="A564" s="914"/>
      <c r="B564" s="917" t="s">
        <v>1947</v>
      </c>
      <c r="C564" s="905" t="s">
        <v>1948</v>
      </c>
      <c r="D564" s="917" t="s">
        <v>331</v>
      </c>
      <c r="E564" s="917">
        <v>1</v>
      </c>
      <c r="F564" s="815">
        <v>3121</v>
      </c>
      <c r="G564" s="816">
        <f>F564*E564</f>
        <v>3121</v>
      </c>
      <c r="H564" s="914"/>
    </row>
    <row r="565" spans="1:8" s="1125" customFormat="1" hidden="1">
      <c r="A565" s="914"/>
      <c r="B565" s="917"/>
      <c r="C565" s="905" t="s">
        <v>1927</v>
      </c>
      <c r="D565" s="917"/>
      <c r="E565" s="917">
        <v>0.01</v>
      </c>
      <c r="F565" s="815">
        <f>F564/100</f>
        <v>31.21</v>
      </c>
      <c r="G565" s="816">
        <f>F565</f>
        <v>31.21</v>
      </c>
      <c r="H565" s="914"/>
    </row>
    <row r="566" spans="1:8" s="1125" customFormat="1" hidden="1">
      <c r="A566" s="914"/>
      <c r="B566" s="917"/>
      <c r="C566" s="905" t="s">
        <v>1931</v>
      </c>
      <c r="D566" s="917"/>
      <c r="E566" s="917"/>
      <c r="F566" s="815"/>
      <c r="G566" s="816">
        <f>SUM(G563:G565)</f>
        <v>3152.21</v>
      </c>
      <c r="H566" s="914"/>
    </row>
    <row r="567" spans="1:8" s="1125" customFormat="1" hidden="1">
      <c r="A567" s="914"/>
      <c r="B567" s="917"/>
      <c r="C567" s="905" t="s">
        <v>1754</v>
      </c>
      <c r="D567" s="819">
        <f>$D$4</f>
        <v>0</v>
      </c>
      <c r="E567" s="917"/>
      <c r="F567" s="815"/>
      <c r="G567" s="816">
        <f>ROUND(G566*D567,2)</f>
        <v>0</v>
      </c>
      <c r="H567" s="914"/>
    </row>
    <row r="568" spans="1:8" s="1125" customFormat="1" hidden="1">
      <c r="A568" s="914"/>
      <c r="B568" s="917"/>
      <c r="C568" s="905" t="s">
        <v>1777</v>
      </c>
      <c r="D568" s="917"/>
      <c r="E568" s="917"/>
      <c r="F568" s="815"/>
      <c r="G568" s="821">
        <f>SUM(G566:G567)</f>
        <v>3152.21</v>
      </c>
      <c r="H568" s="914"/>
    </row>
    <row r="569" spans="1:8" s="1125" customFormat="1" hidden="1">
      <c r="A569" s="914"/>
      <c r="B569" s="917"/>
      <c r="C569" s="905"/>
      <c r="D569" s="917"/>
      <c r="E569" s="917"/>
      <c r="F569" s="815"/>
      <c r="G569" s="816"/>
      <c r="H569" s="914"/>
    </row>
    <row r="570" spans="1:8" ht="12.75" hidden="1" customHeight="1">
      <c r="A570" s="914">
        <f>A562+1</f>
        <v>30</v>
      </c>
      <c r="B570" s="917"/>
      <c r="C570" s="905" t="s">
        <v>393</v>
      </c>
      <c r="D570" s="905"/>
      <c r="E570" s="905"/>
      <c r="F570" s="905"/>
      <c r="G570" s="905"/>
      <c r="H570" s="782"/>
    </row>
    <row r="571" spans="1:8" hidden="1">
      <c r="A571" s="782"/>
      <c r="B571" s="917"/>
      <c r="C571" s="817" t="s">
        <v>1744</v>
      </c>
      <c r="D571" s="917"/>
      <c r="E571" s="917"/>
      <c r="F571" s="815"/>
      <c r="G571" s="816"/>
      <c r="H571" s="782"/>
    </row>
    <row r="572" spans="1:8" hidden="1">
      <c r="A572" s="782"/>
      <c r="B572" s="917" t="s">
        <v>1933</v>
      </c>
      <c r="C572" s="905" t="s">
        <v>1949</v>
      </c>
      <c r="D572" s="917" t="s">
        <v>1935</v>
      </c>
      <c r="E572" s="917">
        <v>1</v>
      </c>
      <c r="F572" s="815">
        <v>980</v>
      </c>
      <c r="G572" s="816">
        <f>F572/100</f>
        <v>9.8000000000000007</v>
      </c>
      <c r="H572" s="782"/>
    </row>
    <row r="573" spans="1:8" hidden="1">
      <c r="A573" s="782"/>
      <c r="B573" s="917" t="s">
        <v>2158</v>
      </c>
      <c r="C573" s="905" t="s">
        <v>235</v>
      </c>
      <c r="D573" s="917" t="s">
        <v>236</v>
      </c>
      <c r="E573" s="917">
        <v>1</v>
      </c>
      <c r="F573" s="815">
        <v>0</v>
      </c>
      <c r="G573" s="816">
        <f>F573*E573</f>
        <v>0</v>
      </c>
      <c r="H573" s="782"/>
    </row>
    <row r="574" spans="1:8" hidden="1">
      <c r="A574" s="782"/>
      <c r="B574" s="917"/>
      <c r="C574" s="905"/>
      <c r="D574" s="917"/>
      <c r="E574" s="917"/>
      <c r="F574" s="815"/>
      <c r="G574" s="816">
        <f>SUM(G572:G573)</f>
        <v>9.8000000000000007</v>
      </c>
      <c r="H574" s="782"/>
    </row>
    <row r="575" spans="1:8" hidden="1">
      <c r="A575" s="782"/>
      <c r="B575" s="917"/>
      <c r="C575" s="905" t="s">
        <v>1754</v>
      </c>
      <c r="D575" s="819">
        <f>$D$4</f>
        <v>0</v>
      </c>
      <c r="E575" s="917"/>
      <c r="F575" s="815"/>
      <c r="G575" s="816">
        <f>ROUND(G574*D575,2)</f>
        <v>0</v>
      </c>
      <c r="H575" s="782"/>
    </row>
    <row r="576" spans="1:8" hidden="1">
      <c r="A576" s="782"/>
      <c r="B576" s="917"/>
      <c r="C576" s="905" t="s">
        <v>1777</v>
      </c>
      <c r="D576" s="917"/>
      <c r="E576" s="917"/>
      <c r="F576" s="815"/>
      <c r="G576" s="816">
        <f>SUM(G574:G575)</f>
        <v>9.8000000000000007</v>
      </c>
      <c r="H576" s="782"/>
    </row>
    <row r="577" spans="1:11" hidden="1">
      <c r="A577" s="782"/>
      <c r="B577" s="917"/>
      <c r="C577" s="820" t="s">
        <v>1928</v>
      </c>
      <c r="D577" s="917"/>
      <c r="E577" s="917"/>
      <c r="F577" s="815"/>
      <c r="G577" s="816"/>
      <c r="H577" s="782"/>
      <c r="K577" s="914">
        <f>$H$3</f>
        <v>620</v>
      </c>
    </row>
    <row r="578" spans="1:11" hidden="1">
      <c r="A578" s="782"/>
      <c r="B578" s="913"/>
      <c r="C578" s="905" t="s">
        <v>1733</v>
      </c>
      <c r="D578" s="917" t="s">
        <v>594</v>
      </c>
      <c r="E578" s="917">
        <v>0.25</v>
      </c>
      <c r="F578" s="914">
        <f>$H$3</f>
        <v>620</v>
      </c>
      <c r="G578" s="816">
        <f>F578*E578</f>
        <v>155</v>
      </c>
      <c r="H578" s="782"/>
      <c r="K578" s="914">
        <f>$H$4</f>
        <v>515</v>
      </c>
    </row>
    <row r="579" spans="1:11" hidden="1">
      <c r="A579" s="782"/>
      <c r="B579" s="913"/>
      <c r="C579" s="905" t="s">
        <v>330</v>
      </c>
      <c r="D579" s="917" t="s">
        <v>594</v>
      </c>
      <c r="E579" s="917">
        <v>0.25</v>
      </c>
      <c r="F579" s="914">
        <f>$H$5</f>
        <v>515</v>
      </c>
      <c r="G579" s="816">
        <f>F579*E579</f>
        <v>128.75</v>
      </c>
      <c r="H579" s="782"/>
      <c r="K579" s="914">
        <f>$H$5</f>
        <v>515</v>
      </c>
    </row>
    <row r="580" spans="1:11" hidden="1">
      <c r="A580" s="782"/>
      <c r="B580" s="913"/>
      <c r="C580" s="905" t="s">
        <v>394</v>
      </c>
      <c r="D580" s="917" t="s">
        <v>594</v>
      </c>
      <c r="E580" s="917">
        <v>0.25</v>
      </c>
      <c r="F580" s="815">
        <f>'[5]C-data'!E10</f>
        <v>470</v>
      </c>
      <c r="G580" s="816">
        <f>F580*E580</f>
        <v>117.5</v>
      </c>
      <c r="H580" s="782"/>
    </row>
    <row r="581" spans="1:11" hidden="1">
      <c r="A581" s="782"/>
      <c r="B581" s="917"/>
      <c r="C581" s="820" t="s">
        <v>1760</v>
      </c>
      <c r="D581" s="771">
        <f>$D$3</f>
        <v>0</v>
      </c>
      <c r="E581" s="914"/>
      <c r="F581" s="815"/>
      <c r="G581" s="821">
        <f>ROUND(D581*(G580+G579+G578),2)</f>
        <v>0</v>
      </c>
      <c r="H581" s="782"/>
    </row>
    <row r="582" spans="1:11" hidden="1">
      <c r="A582" s="782"/>
      <c r="B582" s="917"/>
      <c r="C582" s="905" t="s">
        <v>1761</v>
      </c>
      <c r="D582" s="772">
        <f>D$5</f>
        <v>0</v>
      </c>
      <c r="E582" s="914"/>
      <c r="F582" s="815">
        <f>SUM(G578:G581)</f>
        <v>401.25</v>
      </c>
      <c r="G582" s="821">
        <f>ROUND(D582*F582,2)</f>
        <v>0</v>
      </c>
      <c r="H582" s="782"/>
    </row>
    <row r="583" spans="1:11" hidden="1">
      <c r="A583" s="782"/>
      <c r="B583" s="917"/>
      <c r="C583" s="905" t="s">
        <v>1950</v>
      </c>
      <c r="D583" s="917" t="s">
        <v>1858</v>
      </c>
      <c r="E583" s="917">
        <v>1</v>
      </c>
      <c r="F583" s="815">
        <v>0</v>
      </c>
      <c r="G583" s="816">
        <f>E583*F583</f>
        <v>0</v>
      </c>
      <c r="H583" s="782"/>
    </row>
    <row r="584" spans="1:11" hidden="1">
      <c r="A584" s="782"/>
      <c r="B584" s="917"/>
      <c r="C584" s="820" t="s">
        <v>1931</v>
      </c>
      <c r="D584" s="917"/>
      <c r="E584" s="917"/>
      <c r="F584" s="815"/>
      <c r="G584" s="821">
        <f>SUM(G576:G583)</f>
        <v>411.05</v>
      </c>
      <c r="H584" s="782"/>
    </row>
    <row r="585" spans="1:11" hidden="1">
      <c r="A585" s="782"/>
      <c r="B585" s="917"/>
      <c r="C585" s="820" t="s">
        <v>1951</v>
      </c>
      <c r="D585" s="917"/>
      <c r="E585" s="917"/>
      <c r="F585" s="815"/>
      <c r="G585" s="816"/>
      <c r="H585" s="782"/>
    </row>
    <row r="586" spans="1:11" hidden="1">
      <c r="A586" s="782"/>
      <c r="B586" s="917"/>
      <c r="C586" s="905" t="s">
        <v>1952</v>
      </c>
      <c r="D586" s="917"/>
      <c r="E586" s="917"/>
      <c r="F586" s="815"/>
      <c r="G586" s="816"/>
      <c r="H586" s="782"/>
    </row>
    <row r="587" spans="1:11" ht="24.6" hidden="1">
      <c r="A587" s="782"/>
      <c r="B587" s="917"/>
      <c r="C587" s="905" t="s">
        <v>1953</v>
      </c>
      <c r="D587" s="905"/>
      <c r="E587" s="917"/>
      <c r="F587" s="815"/>
      <c r="G587" s="816"/>
      <c r="H587" s="782"/>
    </row>
    <row r="588" spans="1:11">
      <c r="A588" s="782"/>
      <c r="B588" s="917"/>
      <c r="C588" s="905"/>
      <c r="D588" s="905"/>
      <c r="E588" s="917"/>
      <c r="F588" s="815"/>
      <c r="G588" s="816"/>
      <c r="H588" s="782"/>
    </row>
    <row r="589" spans="1:11" ht="12.75" customHeight="1">
      <c r="A589" s="914">
        <f>A570+1</f>
        <v>31</v>
      </c>
      <c r="B589" s="917"/>
      <c r="C589" s="905" t="s">
        <v>2423</v>
      </c>
      <c r="D589" s="905"/>
      <c r="E589" s="905"/>
      <c r="F589" s="905"/>
      <c r="G589" s="905"/>
      <c r="H589" s="782"/>
    </row>
    <row r="590" spans="1:11">
      <c r="A590" s="782"/>
      <c r="B590" s="917"/>
      <c r="C590" s="817" t="s">
        <v>1744</v>
      </c>
      <c r="D590" s="917"/>
      <c r="E590" s="917"/>
      <c r="F590" s="815"/>
      <c r="G590" s="816"/>
      <c r="H590" s="782"/>
    </row>
    <row r="591" spans="1:11" ht="36.9">
      <c r="A591" s="782"/>
      <c r="B591" s="917" t="s">
        <v>1954</v>
      </c>
      <c r="C591" s="905" t="s">
        <v>1955</v>
      </c>
      <c r="D591" s="917" t="s">
        <v>331</v>
      </c>
      <c r="E591" s="917">
        <v>1</v>
      </c>
      <c r="F591" s="815">
        <v>2546</v>
      </c>
      <c r="G591" s="816">
        <f>F591*E591</f>
        <v>2546</v>
      </c>
      <c r="H591" s="782"/>
    </row>
    <row r="592" spans="1:11">
      <c r="A592" s="782"/>
      <c r="B592" s="917" t="s">
        <v>1956</v>
      </c>
      <c r="C592" s="905" t="s">
        <v>1957</v>
      </c>
      <c r="D592" s="917" t="s">
        <v>331</v>
      </c>
      <c r="E592" s="917">
        <v>1</v>
      </c>
      <c r="F592" s="815">
        <v>600</v>
      </c>
      <c r="G592" s="816">
        <f>F592*E592</f>
        <v>600</v>
      </c>
      <c r="H592" s="782"/>
    </row>
    <row r="593" spans="1:11" ht="24.6">
      <c r="A593" s="782"/>
      <c r="B593" s="917" t="s">
        <v>2202</v>
      </c>
      <c r="C593" s="905" t="s">
        <v>1958</v>
      </c>
      <c r="D593" s="917" t="s">
        <v>1959</v>
      </c>
      <c r="E593" s="917">
        <v>1</v>
      </c>
      <c r="F593" s="815">
        <v>399</v>
      </c>
      <c r="G593" s="816">
        <f>F593*E593</f>
        <v>399</v>
      </c>
      <c r="H593" s="782"/>
    </row>
    <row r="594" spans="1:11">
      <c r="A594" s="782"/>
      <c r="B594" s="917" t="s">
        <v>1821</v>
      </c>
      <c r="C594" s="905" t="s">
        <v>1960</v>
      </c>
      <c r="D594" s="917" t="s">
        <v>1935</v>
      </c>
      <c r="E594" s="917">
        <v>4</v>
      </c>
      <c r="F594" s="815">
        <v>3047</v>
      </c>
      <c r="G594" s="816">
        <f>F594*E594/100</f>
        <v>121.88</v>
      </c>
      <c r="H594" s="782"/>
    </row>
    <row r="595" spans="1:11">
      <c r="A595" s="782"/>
      <c r="B595" s="917"/>
      <c r="C595" s="905"/>
      <c r="D595" s="917"/>
      <c r="E595" s="917"/>
      <c r="F595" s="815"/>
      <c r="G595" s="816">
        <f>SUM(G591:G594)</f>
        <v>3666.88</v>
      </c>
      <c r="H595" s="782"/>
    </row>
    <row r="596" spans="1:11">
      <c r="A596" s="782"/>
      <c r="B596" s="917"/>
      <c r="C596" s="905" t="s">
        <v>1754</v>
      </c>
      <c r="D596" s="819">
        <f>$D$4</f>
        <v>0</v>
      </c>
      <c r="E596" s="917"/>
      <c r="F596" s="815"/>
      <c r="G596" s="816">
        <f>ROUND(G595*D596,2)</f>
        <v>0</v>
      </c>
      <c r="H596" s="782"/>
    </row>
    <row r="597" spans="1:11">
      <c r="A597" s="782"/>
      <c r="B597" s="917"/>
      <c r="C597" s="905"/>
      <c r="D597" s="917"/>
      <c r="E597" s="917"/>
      <c r="F597" s="815"/>
      <c r="G597" s="816">
        <f>SUM(G595:G596)</f>
        <v>3666.88</v>
      </c>
      <c r="H597" s="782"/>
    </row>
    <row r="598" spans="1:11" ht="24.6">
      <c r="A598" s="782"/>
      <c r="B598" s="917"/>
      <c r="C598" s="820" t="s">
        <v>1961</v>
      </c>
      <c r="D598" s="917"/>
      <c r="E598" s="917"/>
      <c r="F598" s="815"/>
      <c r="G598" s="816"/>
      <c r="H598" s="782"/>
    </row>
    <row r="599" spans="1:11">
      <c r="A599" s="782"/>
      <c r="B599" s="913"/>
      <c r="C599" s="905" t="s">
        <v>1733</v>
      </c>
      <c r="D599" s="917" t="s">
        <v>594</v>
      </c>
      <c r="E599" s="917">
        <v>0.25</v>
      </c>
      <c r="F599" s="914">
        <f>$H$3</f>
        <v>620</v>
      </c>
      <c r="G599" s="816">
        <f>F599*E599</f>
        <v>155</v>
      </c>
      <c r="H599" s="782"/>
      <c r="K599" s="914">
        <f>$H$3</f>
        <v>620</v>
      </c>
    </row>
    <row r="600" spans="1:11">
      <c r="A600" s="782"/>
      <c r="B600" s="913"/>
      <c r="C600" s="905" t="s">
        <v>1962</v>
      </c>
      <c r="D600" s="917" t="s">
        <v>594</v>
      </c>
      <c r="E600" s="917">
        <v>0.25</v>
      </c>
      <c r="F600" s="815">
        <f>F601</f>
        <v>515</v>
      </c>
      <c r="G600" s="816">
        <f>F600*E600</f>
        <v>128.75</v>
      </c>
      <c r="H600" s="782"/>
      <c r="K600" s="914">
        <f>$H$4</f>
        <v>515</v>
      </c>
    </row>
    <row r="601" spans="1:11">
      <c r="A601" s="782"/>
      <c r="B601" s="913"/>
      <c r="C601" s="905" t="s">
        <v>330</v>
      </c>
      <c r="D601" s="917" t="s">
        <v>594</v>
      </c>
      <c r="E601" s="917">
        <v>0.25</v>
      </c>
      <c r="F601" s="914">
        <f>$H$5</f>
        <v>515</v>
      </c>
      <c r="G601" s="816">
        <f>F601*E601</f>
        <v>128.75</v>
      </c>
      <c r="H601" s="782"/>
      <c r="K601" s="914">
        <f>$H$5</f>
        <v>515</v>
      </c>
    </row>
    <row r="602" spans="1:11">
      <c r="A602" s="782"/>
      <c r="B602" s="917"/>
      <c r="C602" s="905" t="s">
        <v>1963</v>
      </c>
      <c r="D602" s="917" t="s">
        <v>594</v>
      </c>
      <c r="E602" s="917">
        <v>0.25</v>
      </c>
      <c r="F602" s="815">
        <v>555</v>
      </c>
      <c r="G602" s="816">
        <f>F602*E602</f>
        <v>138.75</v>
      </c>
      <c r="H602" s="782"/>
    </row>
    <row r="603" spans="1:11">
      <c r="A603" s="782"/>
      <c r="B603" s="917"/>
      <c r="C603" s="820" t="s">
        <v>1760</v>
      </c>
      <c r="D603" s="771">
        <f>$D$3</f>
        <v>0</v>
      </c>
      <c r="E603" s="914"/>
      <c r="F603" s="815"/>
      <c r="G603" s="821">
        <f>ROUND(D603*(G602+G601+G600+G599),2)</f>
        <v>0</v>
      </c>
      <c r="H603" s="782"/>
    </row>
    <row r="604" spans="1:11">
      <c r="A604" s="782"/>
      <c r="B604" s="917"/>
      <c r="C604" s="905" t="s">
        <v>1761</v>
      </c>
      <c r="D604" s="772">
        <f>D$5</f>
        <v>0</v>
      </c>
      <c r="E604" s="914"/>
      <c r="F604" s="815">
        <f>SUM(G600:G603)</f>
        <v>396.25</v>
      </c>
      <c r="G604" s="821">
        <f>ROUND(D604*F604,2)</f>
        <v>0</v>
      </c>
      <c r="H604" s="782"/>
    </row>
    <row r="605" spans="1:11">
      <c r="A605" s="782"/>
      <c r="B605" s="917"/>
      <c r="C605" s="905"/>
      <c r="D605" s="771"/>
      <c r="E605" s="914"/>
      <c r="F605" s="815"/>
      <c r="G605" s="821">
        <f>SUM(G597:G604)</f>
        <v>4218.13</v>
      </c>
      <c r="H605" s="782"/>
    </row>
    <row r="606" spans="1:11">
      <c r="A606" s="782"/>
      <c r="B606" s="917"/>
      <c r="C606" s="905" t="s">
        <v>1806</v>
      </c>
      <c r="D606" s="917"/>
      <c r="E606" s="917"/>
      <c r="F606" s="815"/>
      <c r="G606" s="816">
        <f>G605/1</f>
        <v>4218.13</v>
      </c>
      <c r="H606" s="782"/>
    </row>
    <row r="607" spans="1:11">
      <c r="A607" s="782"/>
      <c r="B607" s="917"/>
      <c r="C607" s="909" t="s">
        <v>1964</v>
      </c>
      <c r="D607" s="909"/>
      <c r="E607" s="917"/>
      <c r="F607" s="823" t="s">
        <v>467</v>
      </c>
      <c r="G607" s="821">
        <f>CEILING(G606,0.05)</f>
        <v>4218.1500000000005</v>
      </c>
      <c r="H607" s="782"/>
    </row>
    <row r="608" spans="1:11">
      <c r="A608" s="782"/>
      <c r="B608" s="917"/>
      <c r="C608" s="905"/>
      <c r="D608" s="905"/>
      <c r="E608" s="917"/>
      <c r="F608" s="815"/>
      <c r="G608" s="816"/>
      <c r="H608" s="782"/>
    </row>
    <row r="609" spans="1:8" s="1125" customFormat="1">
      <c r="A609" s="914"/>
      <c r="B609" s="917"/>
      <c r="C609" s="914"/>
      <c r="D609" s="914"/>
      <c r="E609" s="914"/>
      <c r="F609" s="774"/>
      <c r="G609" s="832"/>
      <c r="H609" s="914"/>
    </row>
    <row r="610" spans="1:8" s="1125" customFormat="1" hidden="1">
      <c r="A610" s="914"/>
      <c r="B610" s="917"/>
      <c r="C610" s="836" t="s">
        <v>1965</v>
      </c>
      <c r="D610" s="914"/>
      <c r="E610" s="914"/>
      <c r="F610" s="774"/>
      <c r="G610" s="832"/>
      <c r="H610" s="914"/>
    </row>
    <row r="611" spans="1:8" ht="12.75" hidden="1" customHeight="1">
      <c r="A611" s="914">
        <f>A589+1</f>
        <v>32</v>
      </c>
      <c r="B611" s="917"/>
      <c r="C611" s="905" t="s">
        <v>1266</v>
      </c>
      <c r="D611" s="905"/>
      <c r="E611" s="905"/>
      <c r="F611" s="905"/>
      <c r="G611" s="905"/>
      <c r="H611" s="782"/>
    </row>
    <row r="612" spans="1:8" hidden="1">
      <c r="A612" s="782"/>
      <c r="B612" s="917"/>
      <c r="C612" s="911" t="s">
        <v>1743</v>
      </c>
      <c r="D612" s="917"/>
      <c r="E612" s="917"/>
      <c r="F612" s="815"/>
      <c r="G612" s="816"/>
      <c r="H612" s="782"/>
    </row>
    <row r="613" spans="1:8" hidden="1">
      <c r="A613" s="782"/>
      <c r="B613" s="917"/>
      <c r="C613" s="817" t="s">
        <v>1744</v>
      </c>
      <c r="D613" s="917"/>
      <c r="E613" s="917"/>
      <c r="F613" s="815"/>
      <c r="G613" s="816"/>
      <c r="H613" s="782"/>
    </row>
    <row r="614" spans="1:8" hidden="1">
      <c r="A614" s="782"/>
      <c r="B614" s="917" t="s">
        <v>1966</v>
      </c>
      <c r="C614" s="905" t="s">
        <v>1967</v>
      </c>
      <c r="D614" s="917" t="s">
        <v>1747</v>
      </c>
      <c r="E614" s="917">
        <v>1</v>
      </c>
      <c r="F614" s="815">
        <v>910</v>
      </c>
      <c r="G614" s="816">
        <f>F614*E614</f>
        <v>910</v>
      </c>
      <c r="H614" s="782"/>
    </row>
    <row r="615" spans="1:8" hidden="1">
      <c r="A615" s="782"/>
      <c r="B615" s="917"/>
      <c r="C615" s="905" t="s">
        <v>1754</v>
      </c>
      <c r="D615" s="819">
        <f>$D$4</f>
        <v>0</v>
      </c>
      <c r="E615" s="917"/>
      <c r="F615" s="815"/>
      <c r="G615" s="816">
        <f>ROUND(G614*D615,2)</f>
        <v>0</v>
      </c>
      <c r="H615" s="782"/>
    </row>
    <row r="616" spans="1:8" hidden="1">
      <c r="A616" s="782"/>
      <c r="B616" s="917"/>
      <c r="C616" s="905" t="s">
        <v>1777</v>
      </c>
      <c r="D616" s="917"/>
      <c r="E616" s="917"/>
      <c r="F616" s="815"/>
      <c r="G616" s="816">
        <f>SUM(G614:G615)</f>
        <v>910</v>
      </c>
      <c r="H616" s="782"/>
    </row>
    <row r="617" spans="1:8" hidden="1">
      <c r="A617" s="782"/>
      <c r="B617" s="917"/>
      <c r="C617" s="820" t="s">
        <v>1756</v>
      </c>
      <c r="D617" s="917"/>
      <c r="E617" s="917"/>
      <c r="F617" s="815"/>
      <c r="G617" s="816"/>
      <c r="H617" s="782"/>
    </row>
    <row r="618" spans="1:8" hidden="1">
      <c r="A618" s="782"/>
      <c r="B618" s="913"/>
      <c r="C618" s="905" t="s">
        <v>1733</v>
      </c>
      <c r="D618" s="818" t="s">
        <v>594</v>
      </c>
      <c r="E618" s="917">
        <v>0.34</v>
      </c>
      <c r="F618" s="914">
        <f>$H$3</f>
        <v>620</v>
      </c>
      <c r="G618" s="816">
        <f>F618*E618</f>
        <v>210.8</v>
      </c>
      <c r="H618" s="782"/>
    </row>
    <row r="619" spans="1:8" hidden="1">
      <c r="A619" s="782"/>
      <c r="B619" s="913"/>
      <c r="C619" s="905" t="s">
        <v>1823</v>
      </c>
      <c r="D619" s="818" t="s">
        <v>594</v>
      </c>
      <c r="E619" s="917">
        <v>1</v>
      </c>
      <c r="F619" s="914">
        <f>$H$4</f>
        <v>515</v>
      </c>
      <c r="G619" s="816">
        <f>F619*E619</f>
        <v>515</v>
      </c>
      <c r="H619" s="782"/>
    </row>
    <row r="620" spans="1:8" hidden="1">
      <c r="A620" s="782"/>
      <c r="B620" s="913"/>
      <c r="C620" s="905" t="s">
        <v>1737</v>
      </c>
      <c r="D620" s="818" t="s">
        <v>594</v>
      </c>
      <c r="E620" s="917">
        <v>0.34</v>
      </c>
      <c r="F620" s="914">
        <f>$H$5</f>
        <v>515</v>
      </c>
      <c r="G620" s="816">
        <f>F620*E620</f>
        <v>175.10000000000002</v>
      </c>
      <c r="H620" s="782"/>
    </row>
    <row r="621" spans="1:8" hidden="1">
      <c r="A621" s="782"/>
      <c r="B621" s="917"/>
      <c r="C621" s="820" t="s">
        <v>1760</v>
      </c>
      <c r="D621" s="771">
        <f>$D$3</f>
        <v>0</v>
      </c>
      <c r="E621" s="914"/>
      <c r="F621" s="815"/>
      <c r="G621" s="821">
        <f>ROUND(D621*(G620+G619+G618),2)</f>
        <v>0</v>
      </c>
      <c r="H621" s="782"/>
    </row>
    <row r="622" spans="1:8" hidden="1">
      <c r="A622" s="782"/>
      <c r="B622" s="917"/>
      <c r="C622" s="905" t="s">
        <v>1761</v>
      </c>
      <c r="D622" s="772">
        <f>D$5</f>
        <v>0</v>
      </c>
      <c r="E622" s="914"/>
      <c r="F622" s="815">
        <f>SUM(G618:G621)</f>
        <v>900.9</v>
      </c>
      <c r="G622" s="816">
        <f>ROUND(D622*F622,2)</f>
        <v>0</v>
      </c>
      <c r="H622" s="782"/>
    </row>
    <row r="623" spans="1:8" hidden="1">
      <c r="A623" s="782"/>
      <c r="B623" s="917"/>
      <c r="C623" s="905" t="s">
        <v>1831</v>
      </c>
      <c r="D623" s="917"/>
      <c r="E623" s="917"/>
      <c r="F623" s="815"/>
      <c r="G623" s="816"/>
      <c r="H623" s="782"/>
    </row>
    <row r="624" spans="1:8" hidden="1">
      <c r="A624" s="782"/>
      <c r="B624" s="917"/>
      <c r="C624" s="905"/>
      <c r="D624" s="917"/>
      <c r="E624" s="917"/>
      <c r="F624" s="815"/>
      <c r="G624" s="816"/>
      <c r="H624" s="782"/>
    </row>
    <row r="625" spans="1:8" hidden="1">
      <c r="A625" s="782"/>
      <c r="B625" s="917"/>
      <c r="C625" s="905" t="s">
        <v>1762</v>
      </c>
      <c r="D625" s="917"/>
      <c r="E625" s="917"/>
      <c r="F625" s="815"/>
      <c r="G625" s="816">
        <f>SUM(G616:G624)</f>
        <v>1810.9</v>
      </c>
      <c r="H625" s="782"/>
    </row>
    <row r="626" spans="1:8" hidden="1">
      <c r="A626" s="782"/>
      <c r="B626" s="917"/>
      <c r="C626" s="905" t="s">
        <v>1763</v>
      </c>
      <c r="D626" s="917"/>
      <c r="E626" s="917"/>
      <c r="F626" s="815"/>
      <c r="G626" s="821">
        <f>CEILING(G625/100,0.05)</f>
        <v>18.150000000000002</v>
      </c>
      <c r="H626" s="782"/>
    </row>
    <row r="627" spans="1:8" hidden="1">
      <c r="A627" s="782"/>
      <c r="B627" s="917"/>
      <c r="C627" s="909" t="s">
        <v>1824</v>
      </c>
      <c r="D627" s="909"/>
      <c r="E627" s="917"/>
      <c r="F627" s="815"/>
      <c r="G627" s="816"/>
      <c r="H627" s="782"/>
    </row>
    <row r="628" spans="1:8" hidden="1">
      <c r="A628" s="782"/>
      <c r="B628" s="917"/>
      <c r="C628" s="909"/>
      <c r="D628" s="909"/>
      <c r="E628" s="917"/>
      <c r="F628" s="815"/>
      <c r="G628" s="816"/>
      <c r="H628" s="782"/>
    </row>
    <row r="629" spans="1:8" s="1125" customFormat="1" ht="12.75" hidden="1" customHeight="1">
      <c r="A629" s="914">
        <f>A611+1</f>
        <v>33</v>
      </c>
      <c r="B629" s="917"/>
      <c r="C629" s="905" t="s">
        <v>1042</v>
      </c>
      <c r="D629" s="905"/>
      <c r="E629" s="905"/>
      <c r="F629" s="905"/>
      <c r="G629" s="905"/>
      <c r="H629" s="914"/>
    </row>
    <row r="630" spans="1:8" s="1125" customFormat="1" hidden="1">
      <c r="A630" s="914"/>
      <c r="B630" s="917"/>
      <c r="C630" s="911" t="s">
        <v>1743</v>
      </c>
      <c r="D630" s="917"/>
      <c r="E630" s="917"/>
      <c r="F630" s="815"/>
      <c r="G630" s="816"/>
      <c r="H630" s="914"/>
    </row>
    <row r="631" spans="1:8" s="1125" customFormat="1" hidden="1">
      <c r="A631" s="914"/>
      <c r="B631" s="917"/>
      <c r="C631" s="817" t="s">
        <v>1744</v>
      </c>
      <c r="D631" s="917"/>
      <c r="E631" s="917"/>
      <c r="F631" s="815"/>
      <c r="G631" s="816"/>
      <c r="H631" s="914"/>
    </row>
    <row r="632" spans="1:8" s="1125" customFormat="1" hidden="1">
      <c r="A632" s="914"/>
      <c r="B632" s="917" t="s">
        <v>1968</v>
      </c>
      <c r="C632" s="905" t="s">
        <v>1969</v>
      </c>
      <c r="D632" s="917" t="s">
        <v>1747</v>
      </c>
      <c r="E632" s="917">
        <v>1</v>
      </c>
      <c r="F632" s="815">
        <v>2100</v>
      </c>
      <c r="G632" s="816">
        <f>F632*E632</f>
        <v>2100</v>
      </c>
      <c r="H632" s="914"/>
    </row>
    <row r="633" spans="1:8" s="1125" customFormat="1" hidden="1">
      <c r="A633" s="914"/>
      <c r="B633" s="917"/>
      <c r="C633" s="905" t="s">
        <v>1754</v>
      </c>
      <c r="D633" s="819">
        <f>$D$4</f>
        <v>0</v>
      </c>
      <c r="E633" s="917"/>
      <c r="F633" s="815"/>
      <c r="G633" s="816">
        <f>ROUND(G632*D633,2)</f>
        <v>0</v>
      </c>
      <c r="H633" s="914"/>
    </row>
    <row r="634" spans="1:8" s="1125" customFormat="1" hidden="1">
      <c r="A634" s="914"/>
      <c r="B634" s="917"/>
      <c r="C634" s="905" t="s">
        <v>1777</v>
      </c>
      <c r="D634" s="917"/>
      <c r="E634" s="917"/>
      <c r="F634" s="815"/>
      <c r="G634" s="816">
        <f>SUM(G632:G633)</f>
        <v>2100</v>
      </c>
      <c r="H634" s="914"/>
    </row>
    <row r="635" spans="1:8" s="1125" customFormat="1" hidden="1">
      <c r="A635" s="914"/>
      <c r="B635" s="917"/>
      <c r="C635" s="820" t="s">
        <v>1756</v>
      </c>
      <c r="D635" s="917"/>
      <c r="E635" s="917"/>
      <c r="F635" s="815"/>
      <c r="G635" s="816"/>
      <c r="H635" s="914"/>
    </row>
    <row r="636" spans="1:8" s="1125" customFormat="1" hidden="1">
      <c r="A636" s="914"/>
      <c r="B636" s="913"/>
      <c r="C636" s="905" t="s">
        <v>1733</v>
      </c>
      <c r="D636" s="818" t="s">
        <v>594</v>
      </c>
      <c r="E636" s="917">
        <v>0.34</v>
      </c>
      <c r="F636" s="914">
        <f>$H$3</f>
        <v>620</v>
      </c>
      <c r="G636" s="816">
        <f>F636*E636</f>
        <v>210.8</v>
      </c>
      <c r="H636" s="914"/>
    </row>
    <row r="637" spans="1:8" s="1125" customFormat="1" hidden="1">
      <c r="A637" s="914"/>
      <c r="B637" s="913"/>
      <c r="C637" s="905" t="s">
        <v>1823</v>
      </c>
      <c r="D637" s="818" t="s">
        <v>594</v>
      </c>
      <c r="E637" s="917">
        <v>1</v>
      </c>
      <c r="F637" s="914">
        <f>$H$4</f>
        <v>515</v>
      </c>
      <c r="G637" s="816">
        <f>F637*E637</f>
        <v>515</v>
      </c>
      <c r="H637" s="914"/>
    </row>
    <row r="638" spans="1:8" s="1125" customFormat="1" hidden="1">
      <c r="A638" s="914"/>
      <c r="B638" s="913"/>
      <c r="C638" s="905" t="s">
        <v>1737</v>
      </c>
      <c r="D638" s="818" t="s">
        <v>594</v>
      </c>
      <c r="E638" s="917">
        <v>0.34</v>
      </c>
      <c r="F638" s="914">
        <f>$H$5</f>
        <v>515</v>
      </c>
      <c r="G638" s="816">
        <f>F638*E638</f>
        <v>175.10000000000002</v>
      </c>
      <c r="H638" s="914"/>
    </row>
    <row r="639" spans="1:8" s="1125" customFormat="1" hidden="1">
      <c r="A639" s="914"/>
      <c r="B639" s="917"/>
      <c r="C639" s="820" t="s">
        <v>1760</v>
      </c>
      <c r="D639" s="771">
        <f>$D$3</f>
        <v>0</v>
      </c>
      <c r="E639" s="914"/>
      <c r="F639" s="815"/>
      <c r="G639" s="821">
        <f>ROUND(D639*(G638+G637+G636),2)</f>
        <v>0</v>
      </c>
      <c r="H639" s="914"/>
    </row>
    <row r="640" spans="1:8" s="1125" customFormat="1" hidden="1">
      <c r="A640" s="914"/>
      <c r="B640" s="917"/>
      <c r="C640" s="905" t="s">
        <v>1761</v>
      </c>
      <c r="D640" s="772">
        <f>D$5</f>
        <v>0</v>
      </c>
      <c r="E640" s="914"/>
      <c r="F640" s="815">
        <f>SUM(G636:G639)</f>
        <v>900.9</v>
      </c>
      <c r="G640" s="821">
        <f>ROUND(D640*F640,2)</f>
        <v>0</v>
      </c>
      <c r="H640" s="914"/>
    </row>
    <row r="641" spans="1:8" s="1125" customFormat="1" hidden="1">
      <c r="A641" s="914"/>
      <c r="B641" s="917"/>
      <c r="C641" s="905" t="s">
        <v>1831</v>
      </c>
      <c r="D641" s="917"/>
      <c r="E641" s="917"/>
      <c r="F641" s="815"/>
      <c r="G641" s="816"/>
      <c r="H641" s="914"/>
    </row>
    <row r="642" spans="1:8" s="1125" customFormat="1" hidden="1">
      <c r="A642" s="914"/>
      <c r="B642" s="917"/>
      <c r="C642" s="905" t="s">
        <v>1762</v>
      </c>
      <c r="D642" s="917"/>
      <c r="E642" s="917"/>
      <c r="F642" s="815"/>
      <c r="G642" s="816">
        <f>SUM(G634:G641)</f>
        <v>3000.9</v>
      </c>
      <c r="H642" s="914"/>
    </row>
    <row r="643" spans="1:8" s="1125" customFormat="1" hidden="1">
      <c r="A643" s="914"/>
      <c r="B643" s="917"/>
      <c r="C643" s="905" t="s">
        <v>1763</v>
      </c>
      <c r="D643" s="917"/>
      <c r="E643" s="917"/>
      <c r="F643" s="815"/>
      <c r="G643" s="816">
        <f>CEILING(G642/100,0.05)</f>
        <v>30.05</v>
      </c>
      <c r="H643" s="914"/>
    </row>
    <row r="644" spans="1:8" s="1125" customFormat="1" hidden="1">
      <c r="A644" s="914"/>
      <c r="B644" s="917"/>
      <c r="C644" s="909" t="s">
        <v>1824</v>
      </c>
      <c r="D644" s="909"/>
      <c r="E644" s="917"/>
      <c r="F644" s="815"/>
      <c r="G644" s="816"/>
      <c r="H644" s="914"/>
    </row>
    <row r="645" spans="1:8" hidden="1">
      <c r="A645" s="782"/>
      <c r="B645" s="917"/>
      <c r="C645" s="909"/>
      <c r="D645" s="909"/>
      <c r="E645" s="917"/>
      <c r="F645" s="815"/>
      <c r="G645" s="816"/>
      <c r="H645" s="782"/>
    </row>
    <row r="646" spans="1:8" ht="12.75" hidden="1" customHeight="1">
      <c r="A646" s="914">
        <f>A629+1</f>
        <v>34</v>
      </c>
      <c r="B646" s="917"/>
      <c r="C646" s="905" t="s">
        <v>2189</v>
      </c>
      <c r="D646" s="905"/>
      <c r="E646" s="905"/>
      <c r="F646" s="905"/>
      <c r="G646" s="905"/>
      <c r="H646" s="782"/>
    </row>
    <row r="647" spans="1:8" hidden="1">
      <c r="A647" s="782"/>
      <c r="B647" s="917"/>
      <c r="C647" s="911" t="s">
        <v>1743</v>
      </c>
      <c r="D647" s="917"/>
      <c r="E647" s="917"/>
      <c r="F647" s="815"/>
      <c r="G647" s="816"/>
      <c r="H647" s="782"/>
    </row>
    <row r="648" spans="1:8" hidden="1">
      <c r="A648" s="782"/>
      <c r="B648" s="917"/>
      <c r="C648" s="817" t="s">
        <v>1744</v>
      </c>
      <c r="D648" s="917"/>
      <c r="E648" s="917"/>
      <c r="F648" s="815"/>
      <c r="G648" s="816"/>
      <c r="H648" s="782"/>
    </row>
    <row r="649" spans="1:8" hidden="1">
      <c r="A649" s="782"/>
      <c r="B649" s="917" t="s">
        <v>1792</v>
      </c>
      <c r="C649" s="905" t="s">
        <v>2159</v>
      </c>
      <c r="D649" s="917"/>
      <c r="E649" s="917">
        <v>1</v>
      </c>
      <c r="F649" s="815">
        <v>44</v>
      </c>
      <c r="G649" s="816">
        <f>F649*E649</f>
        <v>44</v>
      </c>
      <c r="H649" s="782"/>
    </row>
    <row r="650" spans="1:8" hidden="1">
      <c r="A650" s="782"/>
      <c r="B650" s="917" t="s">
        <v>1790</v>
      </c>
      <c r="C650" s="905" t="s">
        <v>1970</v>
      </c>
      <c r="D650" s="917"/>
      <c r="E650" s="917">
        <v>1</v>
      </c>
      <c r="F650" s="815">
        <v>58</v>
      </c>
      <c r="G650" s="816">
        <f>F650*E650</f>
        <v>58</v>
      </c>
      <c r="H650" s="782"/>
    </row>
    <row r="651" spans="1:8" hidden="1">
      <c r="A651" s="782"/>
      <c r="B651" s="917" t="s">
        <v>1971</v>
      </c>
      <c r="C651" s="905" t="s">
        <v>1972</v>
      </c>
      <c r="D651" s="917"/>
      <c r="E651" s="917">
        <v>1</v>
      </c>
      <c r="F651" s="815">
        <v>14</v>
      </c>
      <c r="G651" s="816">
        <f>E651*F651</f>
        <v>14</v>
      </c>
      <c r="H651" s="782"/>
    </row>
    <row r="652" spans="1:8" hidden="1">
      <c r="A652" s="782"/>
      <c r="B652" s="917"/>
      <c r="C652" s="905"/>
      <c r="D652" s="917"/>
      <c r="E652" s="917"/>
      <c r="F652" s="815"/>
      <c r="G652" s="816">
        <f>SUM(G649:G651)</f>
        <v>116</v>
      </c>
      <c r="H652" s="782"/>
    </row>
    <row r="653" spans="1:8" hidden="1">
      <c r="A653" s="782"/>
      <c r="B653" s="917"/>
      <c r="C653" s="905" t="s">
        <v>1754</v>
      </c>
      <c r="D653" s="819">
        <f>$D$4</f>
        <v>0</v>
      </c>
      <c r="E653" s="917"/>
      <c r="F653" s="815"/>
      <c r="G653" s="816">
        <f>ROUND(G652*D653,2)</f>
        <v>0</v>
      </c>
      <c r="H653" s="782"/>
    </row>
    <row r="654" spans="1:8" hidden="1">
      <c r="A654" s="782"/>
      <c r="B654" s="917"/>
      <c r="C654" s="905" t="s">
        <v>1777</v>
      </c>
      <c r="D654" s="917"/>
      <c r="E654" s="917"/>
      <c r="F654" s="815"/>
      <c r="G654" s="816">
        <f>SUM(G652:G653)</f>
        <v>116</v>
      </c>
      <c r="H654" s="782"/>
    </row>
    <row r="655" spans="1:8" hidden="1">
      <c r="A655" s="782"/>
      <c r="B655" s="917"/>
      <c r="C655" s="820" t="s">
        <v>1756</v>
      </c>
      <c r="D655" s="917"/>
      <c r="E655" s="917"/>
      <c r="F655" s="815"/>
      <c r="G655" s="816"/>
      <c r="H655" s="782"/>
    </row>
    <row r="656" spans="1:8" hidden="1">
      <c r="A656" s="782"/>
      <c r="B656" s="913"/>
      <c r="C656" s="905" t="s">
        <v>1733</v>
      </c>
      <c r="D656" s="818" t="s">
        <v>594</v>
      </c>
      <c r="E656" s="917">
        <v>0.1</v>
      </c>
      <c r="F656" s="914">
        <f>$H$3</f>
        <v>620</v>
      </c>
      <c r="G656" s="816">
        <f>F656*E656</f>
        <v>62</v>
      </c>
      <c r="H656" s="782"/>
    </row>
    <row r="657" spans="1:8" hidden="1">
      <c r="A657" s="782"/>
      <c r="B657" s="913"/>
      <c r="C657" s="905" t="s">
        <v>1823</v>
      </c>
      <c r="D657" s="818" t="s">
        <v>594</v>
      </c>
      <c r="E657" s="917">
        <v>0.1</v>
      </c>
      <c r="F657" s="914">
        <f>$H$4</f>
        <v>515</v>
      </c>
      <c r="G657" s="816">
        <f>F657*E657</f>
        <v>51.5</v>
      </c>
      <c r="H657" s="782"/>
    </row>
    <row r="658" spans="1:8" hidden="1">
      <c r="A658" s="782"/>
      <c r="B658" s="913"/>
      <c r="C658" s="905" t="s">
        <v>1737</v>
      </c>
      <c r="D658" s="818" t="s">
        <v>594</v>
      </c>
      <c r="E658" s="917">
        <v>0.1</v>
      </c>
      <c r="F658" s="914">
        <f>$H$5</f>
        <v>515</v>
      </c>
      <c r="G658" s="816">
        <f>F658*E658</f>
        <v>51.5</v>
      </c>
      <c r="H658" s="782"/>
    </row>
    <row r="659" spans="1:8" hidden="1">
      <c r="A659" s="782"/>
      <c r="B659" s="917"/>
      <c r="C659" s="820" t="s">
        <v>1760</v>
      </c>
      <c r="D659" s="771">
        <f>$D$3</f>
        <v>0</v>
      </c>
      <c r="E659" s="914"/>
      <c r="F659" s="815"/>
      <c r="G659" s="821">
        <f>ROUND(D659*(G658+G657+G656),2)</f>
        <v>0</v>
      </c>
      <c r="H659" s="782"/>
    </row>
    <row r="660" spans="1:8" hidden="1">
      <c r="A660" s="782"/>
      <c r="B660" s="917"/>
      <c r="C660" s="905" t="s">
        <v>1761</v>
      </c>
      <c r="D660" s="772">
        <f>D$5</f>
        <v>0</v>
      </c>
      <c r="E660" s="914"/>
      <c r="F660" s="815">
        <f>SUM(G656:G659)</f>
        <v>165</v>
      </c>
      <c r="G660" s="821">
        <f>ROUND(D660*F660,2)</f>
        <v>0</v>
      </c>
      <c r="H660" s="782"/>
    </row>
    <row r="661" spans="1:8" hidden="1">
      <c r="A661" s="782"/>
      <c r="B661" s="917"/>
      <c r="C661" s="905" t="s">
        <v>1831</v>
      </c>
      <c r="D661" s="917"/>
      <c r="E661" s="917"/>
      <c r="F661" s="815"/>
      <c r="G661" s="816"/>
      <c r="H661" s="782"/>
    </row>
    <row r="662" spans="1:8" hidden="1">
      <c r="A662" s="782"/>
      <c r="B662" s="917"/>
      <c r="C662" s="905" t="s">
        <v>1973</v>
      </c>
      <c r="D662" s="917"/>
      <c r="E662" s="917"/>
      <c r="F662" s="815"/>
      <c r="G662" s="821">
        <f>CEILING(SUM(G654:G661),0.05)</f>
        <v>281</v>
      </c>
      <c r="H662" s="782"/>
    </row>
    <row r="663" spans="1:8" hidden="1">
      <c r="A663" s="782"/>
      <c r="B663" s="917"/>
      <c r="C663" s="905"/>
      <c r="D663" s="917"/>
      <c r="E663" s="917"/>
      <c r="F663" s="815"/>
      <c r="G663" s="816"/>
      <c r="H663" s="782"/>
    </row>
    <row r="664" spans="1:8" hidden="1">
      <c r="A664" s="782"/>
      <c r="B664" s="917"/>
      <c r="C664" s="905"/>
      <c r="D664" s="917"/>
      <c r="E664" s="917"/>
      <c r="F664" s="815"/>
      <c r="G664" s="816"/>
      <c r="H664" s="782"/>
    </row>
    <row r="665" spans="1:8" s="1125" customFormat="1" ht="12.75" hidden="1" customHeight="1">
      <c r="A665" s="914">
        <f>A646+1</f>
        <v>35</v>
      </c>
      <c r="B665" s="917"/>
      <c r="C665" s="905" t="s">
        <v>1267</v>
      </c>
      <c r="D665" s="905"/>
      <c r="E665" s="905"/>
      <c r="F665" s="905"/>
      <c r="G665" s="905"/>
      <c r="H665" s="914"/>
    </row>
    <row r="666" spans="1:8" s="1125" customFormat="1" hidden="1">
      <c r="A666" s="914"/>
      <c r="B666" s="917"/>
      <c r="C666" s="817" t="s">
        <v>1744</v>
      </c>
      <c r="D666" s="917"/>
      <c r="E666" s="917"/>
      <c r="F666" s="815"/>
      <c r="G666" s="816"/>
      <c r="H666" s="914"/>
    </row>
    <row r="667" spans="1:8" s="1125" customFormat="1" hidden="1">
      <c r="A667" s="914"/>
      <c r="B667" s="917" t="s">
        <v>1974</v>
      </c>
      <c r="C667" s="905" t="s">
        <v>1975</v>
      </c>
      <c r="D667" s="917"/>
      <c r="E667" s="917">
        <v>1</v>
      </c>
      <c r="F667" s="815">
        <v>305</v>
      </c>
      <c r="G667" s="816">
        <f>F667*E667</f>
        <v>305</v>
      </c>
      <c r="H667" s="914"/>
    </row>
    <row r="668" spans="1:8" s="1125" customFormat="1" hidden="1">
      <c r="A668" s="914"/>
      <c r="B668" s="917" t="s">
        <v>1976</v>
      </c>
      <c r="C668" s="905" t="s">
        <v>1970</v>
      </c>
      <c r="D668" s="917"/>
      <c r="E668" s="917">
        <v>1</v>
      </c>
      <c r="F668" s="815">
        <f>F650</f>
        <v>58</v>
      </c>
      <c r="G668" s="816">
        <f>F668*E668</f>
        <v>58</v>
      </c>
      <c r="H668" s="914"/>
    </row>
    <row r="669" spans="1:8" s="1125" customFormat="1" hidden="1">
      <c r="A669" s="914"/>
      <c r="B669" s="917"/>
      <c r="C669" s="905"/>
      <c r="D669" s="917"/>
      <c r="E669" s="917"/>
      <c r="F669" s="815"/>
      <c r="G669" s="816">
        <f>E669*F669</f>
        <v>0</v>
      </c>
      <c r="H669" s="914"/>
    </row>
    <row r="670" spans="1:8" s="1125" customFormat="1" hidden="1">
      <c r="A670" s="914"/>
      <c r="B670" s="917"/>
      <c r="C670" s="905"/>
      <c r="D670" s="917"/>
      <c r="E670" s="917"/>
      <c r="F670" s="815"/>
      <c r="G670" s="816">
        <f>SUM(G667:G669)</f>
        <v>363</v>
      </c>
      <c r="H670" s="914"/>
    </row>
    <row r="671" spans="1:8" s="1125" customFormat="1" hidden="1">
      <c r="A671" s="914"/>
      <c r="B671" s="917"/>
      <c r="C671" s="905" t="s">
        <v>1754</v>
      </c>
      <c r="D671" s="819">
        <f>$D$4</f>
        <v>0</v>
      </c>
      <c r="E671" s="917"/>
      <c r="F671" s="815"/>
      <c r="G671" s="816">
        <f>ROUND(G670*D671,2)</f>
        <v>0</v>
      </c>
      <c r="H671" s="914"/>
    </row>
    <row r="672" spans="1:8" s="1125" customFormat="1" hidden="1">
      <c r="A672" s="914"/>
      <c r="B672" s="917"/>
      <c r="C672" s="905" t="s">
        <v>1777</v>
      </c>
      <c r="D672" s="917"/>
      <c r="E672" s="917"/>
      <c r="F672" s="815"/>
      <c r="G672" s="816">
        <f>SUM(G670:G671)</f>
        <v>363</v>
      </c>
      <c r="H672" s="914"/>
    </row>
    <row r="673" spans="1:8" s="1125" customFormat="1" hidden="1">
      <c r="A673" s="914"/>
      <c r="B673" s="917"/>
      <c r="C673" s="820" t="s">
        <v>1756</v>
      </c>
      <c r="D673" s="917"/>
      <c r="E673" s="917"/>
      <c r="F673" s="815"/>
      <c r="G673" s="816"/>
      <c r="H673" s="914"/>
    </row>
    <row r="674" spans="1:8" s="1125" customFormat="1" hidden="1">
      <c r="A674" s="914"/>
      <c r="B674" s="913"/>
      <c r="C674" s="905" t="s">
        <v>1733</v>
      </c>
      <c r="D674" s="818" t="s">
        <v>594</v>
      </c>
      <c r="E674" s="917">
        <v>0.2</v>
      </c>
      <c r="F674" s="914">
        <f>$H$3</f>
        <v>620</v>
      </c>
      <c r="G674" s="816">
        <f>F674*E674</f>
        <v>124</v>
      </c>
      <c r="H674" s="914"/>
    </row>
    <row r="675" spans="1:8" s="1125" customFormat="1" hidden="1">
      <c r="A675" s="914"/>
      <c r="B675" s="913"/>
      <c r="C675" s="905" t="s">
        <v>1823</v>
      </c>
      <c r="D675" s="818" t="s">
        <v>594</v>
      </c>
      <c r="E675" s="917">
        <v>0.2</v>
      </c>
      <c r="F675" s="914">
        <f>$H$4</f>
        <v>515</v>
      </c>
      <c r="G675" s="816">
        <f>F675*E675</f>
        <v>103</v>
      </c>
      <c r="H675" s="914"/>
    </row>
    <row r="676" spans="1:8" s="1125" customFormat="1" hidden="1">
      <c r="A676" s="914"/>
      <c r="B676" s="913"/>
      <c r="C676" s="905" t="s">
        <v>1737</v>
      </c>
      <c r="D676" s="818" t="s">
        <v>594</v>
      </c>
      <c r="E676" s="917">
        <v>0.12</v>
      </c>
      <c r="F676" s="914">
        <f>$H$5</f>
        <v>515</v>
      </c>
      <c r="G676" s="816">
        <f>F676*E676</f>
        <v>61.8</v>
      </c>
      <c r="H676" s="914"/>
    </row>
    <row r="677" spans="1:8" s="1125" customFormat="1" hidden="1">
      <c r="A677" s="914"/>
      <c r="B677" s="917"/>
      <c r="C677" s="820" t="s">
        <v>1760</v>
      </c>
      <c r="D677" s="771">
        <f>$D$3</f>
        <v>0</v>
      </c>
      <c r="E677" s="914"/>
      <c r="F677" s="815"/>
      <c r="G677" s="821">
        <f>ROUND(D677*(G676+G675+G674),2)</f>
        <v>0</v>
      </c>
      <c r="H677" s="914"/>
    </row>
    <row r="678" spans="1:8" s="1125" customFormat="1" hidden="1">
      <c r="A678" s="914"/>
      <c r="B678" s="917"/>
      <c r="C678" s="905" t="s">
        <v>1761</v>
      </c>
      <c r="D678" s="772">
        <f>D$5</f>
        <v>0</v>
      </c>
      <c r="E678" s="914"/>
      <c r="F678" s="815">
        <f>SUM(G674:G677)</f>
        <v>288.8</v>
      </c>
      <c r="G678" s="821">
        <f>ROUND(D678*F678,2)</f>
        <v>0</v>
      </c>
      <c r="H678" s="914"/>
    </row>
    <row r="679" spans="1:8" s="1125" customFormat="1" hidden="1">
      <c r="A679" s="914"/>
      <c r="B679" s="917"/>
      <c r="C679" s="905" t="s">
        <v>1831</v>
      </c>
      <c r="D679" s="917"/>
      <c r="E679" s="917"/>
      <c r="F679" s="815"/>
      <c r="G679" s="816"/>
      <c r="H679" s="914"/>
    </row>
    <row r="680" spans="1:8" s="1125" customFormat="1" hidden="1">
      <c r="A680" s="914"/>
      <c r="B680" s="917"/>
      <c r="C680" s="905" t="s">
        <v>1973</v>
      </c>
      <c r="D680" s="917"/>
      <c r="E680" s="917"/>
      <c r="F680" s="815"/>
      <c r="G680" s="821">
        <f>CEILING(SUM(G672:G679),0.05)</f>
        <v>651.80000000000007</v>
      </c>
      <c r="H680" s="914"/>
    </row>
    <row r="681" spans="1:8" s="1125" customFormat="1" hidden="1">
      <c r="A681" s="914"/>
      <c r="B681" s="917"/>
      <c r="C681" s="914"/>
      <c r="D681" s="914"/>
      <c r="E681" s="914"/>
      <c r="F681" s="774"/>
      <c r="G681" s="832"/>
      <c r="H681" s="914"/>
    </row>
    <row r="682" spans="1:8" hidden="1">
      <c r="A682" s="782"/>
      <c r="B682" s="917"/>
      <c r="C682" s="909"/>
      <c r="D682" s="909"/>
      <c r="E682" s="917"/>
      <c r="F682" s="815"/>
      <c r="G682" s="816"/>
      <c r="H682" s="782"/>
    </row>
    <row r="683" spans="1:8" ht="12.75" hidden="1" customHeight="1">
      <c r="A683" s="914">
        <f>A665+1</f>
        <v>36</v>
      </c>
      <c r="B683" s="917">
        <v>39</v>
      </c>
      <c r="C683" s="905" t="s">
        <v>1268</v>
      </c>
      <c r="D683" s="905"/>
      <c r="E683" s="905"/>
      <c r="F683" s="905"/>
      <c r="G683" s="905"/>
      <c r="H683" s="782"/>
    </row>
    <row r="684" spans="1:8" hidden="1">
      <c r="A684" s="782"/>
      <c r="B684" s="917"/>
      <c r="C684" s="817" t="s">
        <v>1744</v>
      </c>
      <c r="D684" s="917"/>
      <c r="E684" s="917"/>
      <c r="F684" s="815"/>
      <c r="G684" s="816"/>
      <c r="H684" s="782"/>
    </row>
    <row r="685" spans="1:8" ht="24.6" hidden="1">
      <c r="A685" s="782"/>
      <c r="B685" s="917" t="s">
        <v>1977</v>
      </c>
      <c r="C685" s="905" t="s">
        <v>1978</v>
      </c>
      <c r="D685" s="917" t="s">
        <v>331</v>
      </c>
      <c r="E685" s="917">
        <v>1</v>
      </c>
      <c r="F685" s="815">
        <v>200</v>
      </c>
      <c r="G685" s="816">
        <f>F685*E685</f>
        <v>200</v>
      </c>
      <c r="H685" s="782"/>
    </row>
    <row r="686" spans="1:8" hidden="1">
      <c r="A686" s="782"/>
      <c r="B686" s="917"/>
      <c r="C686" s="905"/>
      <c r="D686" s="917"/>
      <c r="E686" s="917"/>
      <c r="F686" s="815"/>
      <c r="G686" s="816">
        <f>SUM(G685:G685)</f>
        <v>200</v>
      </c>
      <c r="H686" s="782"/>
    </row>
    <row r="687" spans="1:8" hidden="1">
      <c r="A687" s="782"/>
      <c r="B687" s="917"/>
      <c r="C687" s="905" t="s">
        <v>1754</v>
      </c>
      <c r="D687" s="819">
        <f>$D$4</f>
        <v>0</v>
      </c>
      <c r="E687" s="917"/>
      <c r="F687" s="815"/>
      <c r="G687" s="816">
        <f>ROUND(G686*D687,2)</f>
        <v>0</v>
      </c>
      <c r="H687" s="782"/>
    </row>
    <row r="688" spans="1:8" hidden="1">
      <c r="A688" s="782"/>
      <c r="B688" s="917"/>
      <c r="C688" s="905" t="s">
        <v>1777</v>
      </c>
      <c r="D688" s="917"/>
      <c r="E688" s="917"/>
      <c r="F688" s="815"/>
      <c r="G688" s="816">
        <f>SUM(G686:G687)</f>
        <v>200</v>
      </c>
      <c r="H688" s="782"/>
    </row>
    <row r="689" spans="1:8" hidden="1">
      <c r="A689" s="782"/>
      <c r="B689" s="917"/>
      <c r="C689" s="905" t="s">
        <v>1806</v>
      </c>
      <c r="D689" s="917"/>
      <c r="E689" s="917"/>
      <c r="F689" s="815"/>
      <c r="G689" s="816">
        <f>G688</f>
        <v>200</v>
      </c>
      <c r="H689" s="782"/>
    </row>
    <row r="690" spans="1:8" hidden="1">
      <c r="A690" s="782"/>
      <c r="B690" s="917"/>
      <c r="C690" s="909"/>
      <c r="D690" s="909"/>
      <c r="E690" s="917"/>
      <c r="F690" s="815"/>
      <c r="G690" s="816"/>
      <c r="H690" s="782"/>
    </row>
    <row r="691" spans="1:8" ht="12.75" hidden="1" customHeight="1">
      <c r="A691" s="914">
        <f>A683+1</f>
        <v>37</v>
      </c>
      <c r="B691" s="917">
        <v>39</v>
      </c>
      <c r="C691" s="905" t="s">
        <v>1979</v>
      </c>
      <c r="D691" s="905"/>
      <c r="E691" s="905"/>
      <c r="F691" s="905"/>
      <c r="G691" s="905"/>
      <c r="H691" s="782"/>
    </row>
    <row r="692" spans="1:8" hidden="1">
      <c r="A692" s="782"/>
      <c r="B692" s="917"/>
      <c r="C692" s="817" t="s">
        <v>1744</v>
      </c>
      <c r="D692" s="917"/>
      <c r="E692" s="917"/>
      <c r="F692" s="815"/>
      <c r="G692" s="816"/>
      <c r="H692" s="782"/>
    </row>
    <row r="693" spans="1:8" ht="24.6" hidden="1">
      <c r="A693" s="782"/>
      <c r="B693" s="917" t="s">
        <v>1977</v>
      </c>
      <c r="C693" s="905" t="s">
        <v>1980</v>
      </c>
      <c r="D693" s="917" t="s">
        <v>331</v>
      </c>
      <c r="E693" s="917">
        <v>1</v>
      </c>
      <c r="F693" s="815">
        <v>180</v>
      </c>
      <c r="G693" s="816">
        <f>F693*E693</f>
        <v>180</v>
      </c>
      <c r="H693" s="782"/>
    </row>
    <row r="694" spans="1:8" hidden="1">
      <c r="A694" s="782"/>
      <c r="B694" s="917"/>
      <c r="C694" s="905"/>
      <c r="D694" s="917"/>
      <c r="E694" s="917"/>
      <c r="F694" s="815"/>
      <c r="G694" s="816">
        <f>SUM(G693:G693)</f>
        <v>180</v>
      </c>
      <c r="H694" s="782"/>
    </row>
    <row r="695" spans="1:8" hidden="1">
      <c r="A695" s="782"/>
      <c r="B695" s="917"/>
      <c r="C695" s="905" t="s">
        <v>1754</v>
      </c>
      <c r="D695" s="819">
        <f>$D$4</f>
        <v>0</v>
      </c>
      <c r="E695" s="917"/>
      <c r="F695" s="815"/>
      <c r="G695" s="816">
        <f>ROUND(G694*D695,2)</f>
        <v>0</v>
      </c>
      <c r="H695" s="782"/>
    </row>
    <row r="696" spans="1:8" hidden="1">
      <c r="A696" s="782"/>
      <c r="B696" s="917"/>
      <c r="C696" s="905" t="s">
        <v>1777</v>
      </c>
      <c r="D696" s="917"/>
      <c r="E696" s="917"/>
      <c r="F696" s="815"/>
      <c r="G696" s="816">
        <f>SUM(G694:G695)</f>
        <v>180</v>
      </c>
      <c r="H696" s="782"/>
    </row>
    <row r="697" spans="1:8" hidden="1">
      <c r="A697" s="782"/>
      <c r="B697" s="917"/>
      <c r="C697" s="905" t="s">
        <v>1806</v>
      </c>
      <c r="D697" s="917"/>
      <c r="E697" s="917"/>
      <c r="F697" s="815"/>
      <c r="G697" s="816">
        <f>G696</f>
        <v>180</v>
      </c>
      <c r="H697" s="782"/>
    </row>
    <row r="698" spans="1:8" hidden="1">
      <c r="A698" s="782"/>
      <c r="B698" s="917"/>
      <c r="C698" s="909"/>
      <c r="D698" s="909"/>
      <c r="E698" s="917"/>
      <c r="F698" s="815"/>
      <c r="G698" s="816"/>
      <c r="H698" s="782"/>
    </row>
    <row r="699" spans="1:8" ht="12.75" hidden="1" customHeight="1">
      <c r="A699" s="914">
        <f>A691+1</f>
        <v>38</v>
      </c>
      <c r="B699" s="917"/>
      <c r="C699" s="905" t="s">
        <v>1981</v>
      </c>
      <c r="D699" s="905"/>
      <c r="E699" s="905"/>
      <c r="F699" s="905"/>
      <c r="G699" s="905"/>
      <c r="H699" s="782"/>
    </row>
    <row r="700" spans="1:8" hidden="1">
      <c r="A700" s="782"/>
      <c r="B700" s="917"/>
      <c r="C700" s="911" t="s">
        <v>1743</v>
      </c>
      <c r="D700" s="917"/>
      <c r="E700" s="917"/>
      <c r="F700" s="815"/>
      <c r="G700" s="816"/>
      <c r="H700" s="782"/>
    </row>
    <row r="701" spans="1:8" hidden="1">
      <c r="A701" s="782"/>
      <c r="B701" s="917"/>
      <c r="C701" s="817" t="s">
        <v>1744</v>
      </c>
      <c r="D701" s="917"/>
      <c r="E701" s="917"/>
      <c r="F701" s="815"/>
      <c r="G701" s="816"/>
      <c r="H701" s="782"/>
    </row>
    <row r="702" spans="1:8" hidden="1">
      <c r="A702" s="782"/>
      <c r="B702" s="917" t="s">
        <v>1982</v>
      </c>
      <c r="C702" s="905" t="s">
        <v>1983</v>
      </c>
      <c r="D702" s="784" t="s">
        <v>331</v>
      </c>
      <c r="E702" s="917">
        <v>1</v>
      </c>
      <c r="F702" s="815">
        <v>5800</v>
      </c>
      <c r="G702" s="816">
        <f>F702*E702</f>
        <v>5800</v>
      </c>
      <c r="H702" s="782"/>
    </row>
    <row r="703" spans="1:8" hidden="1">
      <c r="A703" s="782"/>
      <c r="B703" s="917"/>
      <c r="C703" s="905" t="s">
        <v>1754</v>
      </c>
      <c r="D703" s="819">
        <f>$D$4</f>
        <v>0</v>
      </c>
      <c r="E703" s="917"/>
      <c r="F703" s="815"/>
      <c r="G703" s="816">
        <f>ROUND(G702*D703,2)</f>
        <v>0</v>
      </c>
      <c r="H703" s="782"/>
    </row>
    <row r="704" spans="1:8" hidden="1">
      <c r="A704" s="782"/>
      <c r="B704" s="917"/>
      <c r="C704" s="905" t="s">
        <v>1777</v>
      </c>
      <c r="D704" s="917"/>
      <c r="E704" s="917"/>
      <c r="F704" s="815"/>
      <c r="G704" s="816">
        <f>SUM(G702:G703)</f>
        <v>5800</v>
      </c>
      <c r="H704" s="782"/>
    </row>
    <row r="705" spans="1:8" hidden="1">
      <c r="A705" s="782"/>
      <c r="B705" s="917"/>
      <c r="C705" s="820" t="s">
        <v>1756</v>
      </c>
      <c r="D705" s="917"/>
      <c r="E705" s="917"/>
      <c r="F705" s="815"/>
      <c r="G705" s="816"/>
      <c r="H705" s="782"/>
    </row>
    <row r="706" spans="1:8" hidden="1">
      <c r="A706" s="782"/>
      <c r="B706" s="913"/>
      <c r="C706" s="905" t="s">
        <v>1733</v>
      </c>
      <c r="D706" s="818" t="s">
        <v>594</v>
      </c>
      <c r="E706" s="917">
        <v>0.3</v>
      </c>
      <c r="F706" s="914">
        <f>$H$3</f>
        <v>620</v>
      </c>
      <c r="G706" s="816">
        <f>F706*E706</f>
        <v>186</v>
      </c>
      <c r="H706" s="782"/>
    </row>
    <row r="707" spans="1:8" ht="12.75" hidden="1" customHeight="1">
      <c r="A707" s="782"/>
      <c r="B707" s="913"/>
      <c r="C707" s="905" t="s">
        <v>1823</v>
      </c>
      <c r="D707" s="818" t="s">
        <v>594</v>
      </c>
      <c r="E707" s="917">
        <v>0</v>
      </c>
      <c r="F707" s="914">
        <f>$H$4</f>
        <v>515</v>
      </c>
      <c r="G707" s="816">
        <f>F707*E707</f>
        <v>0</v>
      </c>
      <c r="H707" s="782"/>
    </row>
    <row r="708" spans="1:8" hidden="1">
      <c r="A708" s="782"/>
      <c r="B708" s="913"/>
      <c r="C708" s="905" t="s">
        <v>1737</v>
      </c>
      <c r="D708" s="818" t="s">
        <v>594</v>
      </c>
      <c r="E708" s="917">
        <v>0.4</v>
      </c>
      <c r="F708" s="914">
        <f>$H$5</f>
        <v>515</v>
      </c>
      <c r="G708" s="816">
        <f>F708*E708</f>
        <v>206</v>
      </c>
      <c r="H708" s="782"/>
    </row>
    <row r="709" spans="1:8" hidden="1">
      <c r="A709" s="782"/>
      <c r="B709" s="917"/>
      <c r="C709" s="820" t="s">
        <v>1760</v>
      </c>
      <c r="D709" s="771">
        <f>$D$3</f>
        <v>0</v>
      </c>
      <c r="E709" s="914"/>
      <c r="F709" s="815"/>
      <c r="G709" s="821">
        <f>ROUND(D709*(G708+G707+G706),2)</f>
        <v>0</v>
      </c>
      <c r="H709" s="782"/>
    </row>
    <row r="710" spans="1:8" hidden="1">
      <c r="A710" s="782"/>
      <c r="B710" s="917"/>
      <c r="C710" s="905" t="s">
        <v>1761</v>
      </c>
      <c r="D710" s="772">
        <f>D$5</f>
        <v>0</v>
      </c>
      <c r="E710" s="914"/>
      <c r="F710" s="815">
        <f>SUM(G706:G709)</f>
        <v>392</v>
      </c>
      <c r="G710" s="821">
        <f>ROUND(D710*F710,2)</f>
        <v>0</v>
      </c>
      <c r="H710" s="782"/>
    </row>
    <row r="711" spans="1:8" hidden="1">
      <c r="A711" s="782"/>
      <c r="B711" s="917"/>
      <c r="C711" s="905" t="s">
        <v>1831</v>
      </c>
      <c r="D711" s="917"/>
      <c r="E711" s="917"/>
      <c r="F711" s="815"/>
      <c r="G711" s="816"/>
      <c r="H711" s="782"/>
    </row>
    <row r="712" spans="1:8" hidden="1">
      <c r="A712" s="782"/>
      <c r="B712" s="917"/>
      <c r="C712" s="820" t="s">
        <v>1806</v>
      </c>
      <c r="D712" s="917"/>
      <c r="E712" s="917"/>
      <c r="F712" s="815"/>
      <c r="G712" s="821">
        <f>CEILING(SUM(G704:G711),0.05)</f>
        <v>6192</v>
      </c>
      <c r="H712" s="782"/>
    </row>
    <row r="713" spans="1:8" hidden="1">
      <c r="A713" s="782"/>
      <c r="B713" s="917"/>
      <c r="C713" s="905" t="s">
        <v>1984</v>
      </c>
      <c r="D713" s="905"/>
      <c r="E713" s="917"/>
      <c r="F713" s="815"/>
      <c r="G713" s="816"/>
      <c r="H713" s="782"/>
    </row>
    <row r="714" spans="1:8" hidden="1">
      <c r="A714" s="782"/>
      <c r="B714" s="917"/>
      <c r="C714" s="909"/>
      <c r="D714" s="909"/>
      <c r="E714" s="917"/>
      <c r="F714" s="815"/>
      <c r="G714" s="816"/>
      <c r="H714" s="782"/>
    </row>
    <row r="715" spans="1:8" ht="12.75" hidden="1" customHeight="1">
      <c r="A715" s="914">
        <f>A699+1</f>
        <v>39</v>
      </c>
      <c r="B715" s="917"/>
      <c r="C715" s="905" t="s">
        <v>1269</v>
      </c>
      <c r="D715" s="905"/>
      <c r="E715" s="905"/>
      <c r="F715" s="905"/>
      <c r="G715" s="905"/>
      <c r="H715" s="782"/>
    </row>
    <row r="716" spans="1:8" hidden="1">
      <c r="A716" s="782"/>
      <c r="B716" s="917"/>
      <c r="C716" s="911" t="s">
        <v>1743</v>
      </c>
      <c r="D716" s="917"/>
      <c r="E716" s="917"/>
      <c r="F716" s="815"/>
      <c r="G716" s="816"/>
      <c r="H716" s="782"/>
    </row>
    <row r="717" spans="1:8" hidden="1">
      <c r="A717" s="782"/>
      <c r="B717" s="917"/>
      <c r="C717" s="817" t="s">
        <v>1744</v>
      </c>
      <c r="D717" s="917"/>
      <c r="E717" s="917"/>
      <c r="F717" s="815"/>
      <c r="G717" s="816"/>
      <c r="H717" s="782"/>
    </row>
    <row r="718" spans="1:8" ht="36.9" hidden="1">
      <c r="A718" s="782"/>
      <c r="B718" s="917" t="s">
        <v>1985</v>
      </c>
      <c r="C718" s="905" t="s">
        <v>1986</v>
      </c>
      <c r="D718" s="784" t="s">
        <v>331</v>
      </c>
      <c r="E718" s="917">
        <v>1</v>
      </c>
      <c r="F718" s="815">
        <v>970</v>
      </c>
      <c r="G718" s="816">
        <f>F718*E718</f>
        <v>970</v>
      </c>
      <c r="H718" s="782"/>
    </row>
    <row r="719" spans="1:8" hidden="1">
      <c r="A719" s="782"/>
      <c r="B719" s="917"/>
      <c r="C719" s="905" t="s">
        <v>1754</v>
      </c>
      <c r="D719" s="819">
        <f>$D$4</f>
        <v>0</v>
      </c>
      <c r="E719" s="917"/>
      <c r="F719" s="815"/>
      <c r="G719" s="816">
        <f>ROUND(G718*D719,2)</f>
        <v>0</v>
      </c>
      <c r="H719" s="782"/>
    </row>
    <row r="720" spans="1:8" hidden="1">
      <c r="A720" s="782"/>
      <c r="B720" s="917"/>
      <c r="C720" s="905" t="s">
        <v>1777</v>
      </c>
      <c r="D720" s="917"/>
      <c r="E720" s="917"/>
      <c r="F720" s="815"/>
      <c r="G720" s="816">
        <f>SUM(G718:G719)</f>
        <v>970</v>
      </c>
      <c r="H720" s="782"/>
    </row>
    <row r="721" spans="1:8" hidden="1">
      <c r="A721" s="782"/>
      <c r="B721" s="917"/>
      <c r="C721" s="820" t="s">
        <v>1756</v>
      </c>
      <c r="D721" s="917"/>
      <c r="E721" s="917"/>
      <c r="F721" s="815"/>
      <c r="G721" s="816"/>
      <c r="H721" s="782"/>
    </row>
    <row r="722" spans="1:8" hidden="1">
      <c r="A722" s="782"/>
      <c r="B722" s="913"/>
      <c r="C722" s="905" t="s">
        <v>1733</v>
      </c>
      <c r="D722" s="818" t="s">
        <v>594</v>
      </c>
      <c r="E722" s="917">
        <v>0.3</v>
      </c>
      <c r="F722" s="914">
        <f>$H$3</f>
        <v>620</v>
      </c>
      <c r="G722" s="816">
        <f>F722*E722</f>
        <v>186</v>
      </c>
      <c r="H722" s="782"/>
    </row>
    <row r="723" spans="1:8" hidden="1">
      <c r="A723" s="782"/>
      <c r="B723" s="913"/>
      <c r="C723" s="905" t="s">
        <v>1823</v>
      </c>
      <c r="D723" s="818" t="s">
        <v>594</v>
      </c>
      <c r="E723" s="917">
        <v>0</v>
      </c>
      <c r="F723" s="914">
        <f>$H$4</f>
        <v>515</v>
      </c>
      <c r="G723" s="816">
        <f>F723*E723</f>
        <v>0</v>
      </c>
      <c r="H723" s="782"/>
    </row>
    <row r="724" spans="1:8" hidden="1">
      <c r="A724" s="782"/>
      <c r="B724" s="913"/>
      <c r="C724" s="905" t="s">
        <v>1737</v>
      </c>
      <c r="D724" s="818" t="s">
        <v>594</v>
      </c>
      <c r="E724" s="917">
        <v>0.4</v>
      </c>
      <c r="F724" s="914">
        <f>$H$5</f>
        <v>515</v>
      </c>
      <c r="G724" s="816">
        <f>F724*E724</f>
        <v>206</v>
      </c>
      <c r="H724" s="782"/>
    </row>
    <row r="725" spans="1:8" hidden="1">
      <c r="A725" s="782"/>
      <c r="B725" s="917"/>
      <c r="C725" s="820" t="s">
        <v>1760</v>
      </c>
      <c r="D725" s="771">
        <f>$D$3</f>
        <v>0</v>
      </c>
      <c r="E725" s="914"/>
      <c r="F725" s="815"/>
      <c r="G725" s="821">
        <f>ROUND(D725*(G724+G723+G722),2)</f>
        <v>0</v>
      </c>
      <c r="H725" s="782"/>
    </row>
    <row r="726" spans="1:8" hidden="1">
      <c r="A726" s="782"/>
      <c r="B726" s="917"/>
      <c r="C726" s="905" t="s">
        <v>1761</v>
      </c>
      <c r="D726" s="772">
        <f>D$5</f>
        <v>0</v>
      </c>
      <c r="E726" s="914"/>
      <c r="F726" s="815">
        <f>SUM(G722:G725)</f>
        <v>392</v>
      </c>
      <c r="G726" s="821">
        <f>ROUND(D726*F726,2)</f>
        <v>0</v>
      </c>
      <c r="H726" s="782"/>
    </row>
    <row r="727" spans="1:8" hidden="1">
      <c r="A727" s="782"/>
      <c r="B727" s="917"/>
      <c r="C727" s="905" t="s">
        <v>1831</v>
      </c>
      <c r="D727" s="917"/>
      <c r="E727" s="917"/>
      <c r="F727" s="815"/>
      <c r="G727" s="816"/>
      <c r="H727" s="782"/>
    </row>
    <row r="728" spans="1:8" hidden="1">
      <c r="A728" s="782"/>
      <c r="B728" s="917"/>
      <c r="C728" s="820" t="s">
        <v>1806</v>
      </c>
      <c r="D728" s="917"/>
      <c r="E728" s="917"/>
      <c r="F728" s="815"/>
      <c r="G728" s="821">
        <f>CEILING(SUM(G720:G727),0.05)</f>
        <v>1362</v>
      </c>
      <c r="H728" s="782"/>
    </row>
    <row r="729" spans="1:8" hidden="1">
      <c r="A729" s="782"/>
      <c r="B729" s="917"/>
      <c r="C729" s="905" t="s">
        <v>1984</v>
      </c>
      <c r="D729" s="905"/>
      <c r="E729" s="917"/>
      <c r="F729" s="815"/>
      <c r="G729" s="816"/>
      <c r="H729" s="782"/>
    </row>
    <row r="730" spans="1:8" hidden="1">
      <c r="A730" s="782"/>
      <c r="B730" s="917"/>
      <c r="C730" s="909"/>
      <c r="D730" s="909"/>
      <c r="E730" s="917"/>
      <c r="F730" s="815"/>
      <c r="G730" s="816"/>
      <c r="H730" s="782"/>
    </row>
    <row r="731" spans="1:8" ht="12.75" hidden="1" customHeight="1">
      <c r="A731" s="914">
        <f>A715+1</f>
        <v>40</v>
      </c>
      <c r="B731" s="917"/>
      <c r="C731" s="905" t="s">
        <v>1270</v>
      </c>
      <c r="D731" s="905"/>
      <c r="E731" s="905"/>
      <c r="F731" s="905"/>
      <c r="G731" s="905"/>
      <c r="H731" s="782"/>
    </row>
    <row r="732" spans="1:8" hidden="1">
      <c r="A732" s="782"/>
      <c r="B732" s="917"/>
      <c r="C732" s="911" t="s">
        <v>1743</v>
      </c>
      <c r="D732" s="917"/>
      <c r="E732" s="917"/>
      <c r="F732" s="815"/>
      <c r="G732" s="816"/>
      <c r="H732" s="782"/>
    </row>
    <row r="733" spans="1:8" hidden="1">
      <c r="A733" s="782"/>
      <c r="B733" s="917"/>
      <c r="C733" s="817" t="s">
        <v>1744</v>
      </c>
      <c r="D733" s="917"/>
      <c r="E733" s="917"/>
      <c r="F733" s="815"/>
      <c r="G733" s="816"/>
      <c r="H733" s="782"/>
    </row>
    <row r="734" spans="1:8" hidden="1">
      <c r="A734" s="782"/>
      <c r="B734" s="917" t="s">
        <v>2203</v>
      </c>
      <c r="C734" s="905" t="s">
        <v>1987</v>
      </c>
      <c r="D734" s="784" t="s">
        <v>331</v>
      </c>
      <c r="E734" s="917">
        <v>1</v>
      </c>
      <c r="F734" s="815">
        <v>5555</v>
      </c>
      <c r="G734" s="816">
        <f>F734*E734</f>
        <v>5555</v>
      </c>
      <c r="H734" s="782"/>
    </row>
    <row r="735" spans="1:8" hidden="1">
      <c r="A735" s="782"/>
      <c r="B735" s="917"/>
      <c r="C735" s="905" t="s">
        <v>1754</v>
      </c>
      <c r="D735" s="819">
        <f>$D$4</f>
        <v>0</v>
      </c>
      <c r="E735" s="917"/>
      <c r="F735" s="815"/>
      <c r="G735" s="816">
        <f>ROUND(G734*D735,2)</f>
        <v>0</v>
      </c>
      <c r="H735" s="782"/>
    </row>
    <row r="736" spans="1:8" hidden="1">
      <c r="A736" s="782"/>
      <c r="B736" s="917"/>
      <c r="C736" s="905" t="s">
        <v>1777</v>
      </c>
      <c r="D736" s="917"/>
      <c r="E736" s="917"/>
      <c r="F736" s="815"/>
      <c r="G736" s="816">
        <f>SUM(G734:G735)</f>
        <v>5555</v>
      </c>
      <c r="H736" s="782"/>
    </row>
    <row r="737" spans="1:8" hidden="1">
      <c r="A737" s="782"/>
      <c r="B737" s="917"/>
      <c r="C737" s="820" t="s">
        <v>1756</v>
      </c>
      <c r="D737" s="917"/>
      <c r="E737" s="917"/>
      <c r="F737" s="815"/>
      <c r="G737" s="816"/>
      <c r="H737" s="782"/>
    </row>
    <row r="738" spans="1:8" hidden="1">
      <c r="A738" s="782"/>
      <c r="B738" s="913"/>
      <c r="C738" s="905" t="s">
        <v>1733</v>
      </c>
      <c r="D738" s="818" t="s">
        <v>594</v>
      </c>
      <c r="E738" s="917">
        <v>0.3</v>
      </c>
      <c r="F738" s="914">
        <f>$H$3</f>
        <v>620</v>
      </c>
      <c r="G738" s="816">
        <f>F738*E738</f>
        <v>186</v>
      </c>
      <c r="H738" s="782"/>
    </row>
    <row r="739" spans="1:8" hidden="1">
      <c r="A739" s="782"/>
      <c r="B739" s="913"/>
      <c r="C739" s="905" t="s">
        <v>1823</v>
      </c>
      <c r="D739" s="818" t="s">
        <v>594</v>
      </c>
      <c r="E739" s="917">
        <v>0</v>
      </c>
      <c r="F739" s="914">
        <f>$H$4</f>
        <v>515</v>
      </c>
      <c r="G739" s="816">
        <f>F739*E739</f>
        <v>0</v>
      </c>
      <c r="H739" s="782"/>
    </row>
    <row r="740" spans="1:8" hidden="1">
      <c r="A740" s="782"/>
      <c r="B740" s="913"/>
      <c r="C740" s="905" t="s">
        <v>1737</v>
      </c>
      <c r="D740" s="818" t="s">
        <v>594</v>
      </c>
      <c r="E740" s="917">
        <v>0.4</v>
      </c>
      <c r="F740" s="914">
        <f>$H$5</f>
        <v>515</v>
      </c>
      <c r="G740" s="816">
        <f>F740*E740</f>
        <v>206</v>
      </c>
      <c r="H740" s="782"/>
    </row>
    <row r="741" spans="1:8" hidden="1">
      <c r="A741" s="782"/>
      <c r="B741" s="917"/>
      <c r="C741" s="820" t="s">
        <v>1760</v>
      </c>
      <c r="D741" s="771">
        <f>$D$3</f>
        <v>0</v>
      </c>
      <c r="E741" s="914"/>
      <c r="F741" s="815"/>
      <c r="G741" s="821">
        <f>ROUND(D741*(G740+G739+G738),2)</f>
        <v>0</v>
      </c>
      <c r="H741" s="782"/>
    </row>
    <row r="742" spans="1:8" hidden="1">
      <c r="A742" s="782"/>
      <c r="B742" s="917"/>
      <c r="C742" s="905" t="s">
        <v>1761</v>
      </c>
      <c r="D742" s="772">
        <f>D$5</f>
        <v>0</v>
      </c>
      <c r="E742" s="914"/>
      <c r="F742" s="815">
        <f>SUM(G738:G741)</f>
        <v>392</v>
      </c>
      <c r="G742" s="821">
        <f>ROUND(D742*F742,2)</f>
        <v>0</v>
      </c>
      <c r="H742" s="782"/>
    </row>
    <row r="743" spans="1:8" hidden="1">
      <c r="A743" s="782"/>
      <c r="B743" s="917"/>
      <c r="C743" s="905" t="s">
        <v>1831</v>
      </c>
      <c r="D743" s="917"/>
      <c r="E743" s="917"/>
      <c r="F743" s="815"/>
      <c r="G743" s="816"/>
      <c r="H743" s="782"/>
    </row>
    <row r="744" spans="1:8" hidden="1">
      <c r="A744" s="782"/>
      <c r="B744" s="917"/>
      <c r="C744" s="820" t="s">
        <v>1806</v>
      </c>
      <c r="D744" s="917"/>
      <c r="E744" s="917"/>
      <c r="F744" s="815"/>
      <c r="G744" s="821">
        <f>CEILING(SUM(G736:G743),0.05)</f>
        <v>5947</v>
      </c>
      <c r="H744" s="782"/>
    </row>
    <row r="745" spans="1:8" hidden="1">
      <c r="A745" s="782"/>
      <c r="B745" s="917"/>
      <c r="C745" s="905" t="s">
        <v>1984</v>
      </c>
      <c r="D745" s="905"/>
      <c r="E745" s="917"/>
      <c r="F745" s="815"/>
      <c r="G745" s="816"/>
      <c r="H745" s="782"/>
    </row>
    <row r="746" spans="1:8" hidden="1">
      <c r="A746" s="782"/>
      <c r="B746" s="917"/>
      <c r="C746" s="909"/>
      <c r="D746" s="909"/>
      <c r="E746" s="917"/>
      <c r="F746" s="815"/>
      <c r="G746" s="816"/>
      <c r="H746" s="782"/>
    </row>
    <row r="747" spans="1:8" ht="12.75" hidden="1" customHeight="1">
      <c r="A747" s="914">
        <f>A731+1</f>
        <v>41</v>
      </c>
      <c r="B747" s="917"/>
      <c r="C747" s="905" t="s">
        <v>1271</v>
      </c>
      <c r="D747" s="905"/>
      <c r="E747" s="905"/>
      <c r="F747" s="905"/>
      <c r="G747" s="905"/>
      <c r="H747" s="782"/>
    </row>
    <row r="748" spans="1:8" hidden="1">
      <c r="A748" s="782"/>
      <c r="B748" s="917"/>
      <c r="C748" s="911" t="s">
        <v>1743</v>
      </c>
      <c r="D748" s="917"/>
      <c r="E748" s="917"/>
      <c r="F748" s="815"/>
      <c r="G748" s="816"/>
      <c r="H748" s="782"/>
    </row>
    <row r="749" spans="1:8" hidden="1">
      <c r="A749" s="782"/>
      <c r="B749" s="917"/>
      <c r="C749" s="817" t="s">
        <v>1744</v>
      </c>
      <c r="D749" s="917"/>
      <c r="E749" s="917"/>
      <c r="F749" s="815"/>
      <c r="G749" s="816"/>
      <c r="H749" s="782"/>
    </row>
    <row r="750" spans="1:8" hidden="1">
      <c r="A750" s="782"/>
      <c r="B750" s="917" t="s">
        <v>2160</v>
      </c>
      <c r="C750" s="905" t="s">
        <v>1988</v>
      </c>
      <c r="D750" s="784" t="s">
        <v>331</v>
      </c>
      <c r="E750" s="917">
        <v>1</v>
      </c>
      <c r="F750" s="815">
        <v>7671</v>
      </c>
      <c r="G750" s="816">
        <f>F750*E750</f>
        <v>7671</v>
      </c>
      <c r="H750" s="782"/>
    </row>
    <row r="751" spans="1:8" hidden="1">
      <c r="A751" s="782"/>
      <c r="B751" s="917"/>
      <c r="C751" s="905" t="s">
        <v>1754</v>
      </c>
      <c r="D751" s="819">
        <f>$D$4</f>
        <v>0</v>
      </c>
      <c r="E751" s="917"/>
      <c r="F751" s="815"/>
      <c r="G751" s="816">
        <f>ROUND(G750*D751,2)</f>
        <v>0</v>
      </c>
      <c r="H751" s="782"/>
    </row>
    <row r="752" spans="1:8" hidden="1">
      <c r="A752" s="782"/>
      <c r="B752" s="917"/>
      <c r="C752" s="905" t="s">
        <v>1777</v>
      </c>
      <c r="D752" s="917"/>
      <c r="E752" s="917"/>
      <c r="F752" s="815"/>
      <c r="G752" s="816">
        <f>SUM(G750:G751)</f>
        <v>7671</v>
      </c>
      <c r="H752" s="782"/>
    </row>
    <row r="753" spans="1:8" hidden="1">
      <c r="A753" s="782"/>
      <c r="B753" s="917"/>
      <c r="C753" s="820" t="s">
        <v>1756</v>
      </c>
      <c r="D753" s="917"/>
      <c r="E753" s="917"/>
      <c r="F753" s="815"/>
      <c r="G753" s="816"/>
      <c r="H753" s="782"/>
    </row>
    <row r="754" spans="1:8" hidden="1">
      <c r="A754" s="782"/>
      <c r="B754" s="913"/>
      <c r="C754" s="905" t="s">
        <v>1733</v>
      </c>
      <c r="D754" s="818" t="s">
        <v>594</v>
      </c>
      <c r="E754" s="917">
        <v>0.3</v>
      </c>
      <c r="F754" s="914">
        <f>$H$3</f>
        <v>620</v>
      </c>
      <c r="G754" s="816">
        <f>F754*E754</f>
        <v>186</v>
      </c>
      <c r="H754" s="782"/>
    </row>
    <row r="755" spans="1:8" hidden="1">
      <c r="A755" s="782"/>
      <c r="B755" s="913"/>
      <c r="C755" s="905" t="s">
        <v>1823</v>
      </c>
      <c r="D755" s="818" t="s">
        <v>594</v>
      </c>
      <c r="E755" s="917">
        <v>0</v>
      </c>
      <c r="F755" s="914">
        <f>$H$4</f>
        <v>515</v>
      </c>
      <c r="G755" s="816">
        <f>F755*E755</f>
        <v>0</v>
      </c>
      <c r="H755" s="782"/>
    </row>
    <row r="756" spans="1:8" hidden="1">
      <c r="A756" s="782"/>
      <c r="B756" s="913"/>
      <c r="C756" s="905" t="s">
        <v>1737</v>
      </c>
      <c r="D756" s="818" t="s">
        <v>594</v>
      </c>
      <c r="E756" s="917">
        <v>0.4</v>
      </c>
      <c r="F756" s="914">
        <f>$H$5</f>
        <v>515</v>
      </c>
      <c r="G756" s="816">
        <f>F756*E756</f>
        <v>206</v>
      </c>
      <c r="H756" s="782"/>
    </row>
    <row r="757" spans="1:8" hidden="1">
      <c r="A757" s="782"/>
      <c r="B757" s="917"/>
      <c r="C757" s="820" t="s">
        <v>1760</v>
      </c>
      <c r="D757" s="771">
        <f>$D$3</f>
        <v>0</v>
      </c>
      <c r="E757" s="914"/>
      <c r="F757" s="815"/>
      <c r="G757" s="821">
        <f>ROUND(D757*(G756+G755+G754),2)</f>
        <v>0</v>
      </c>
      <c r="H757" s="782"/>
    </row>
    <row r="758" spans="1:8" hidden="1">
      <c r="A758" s="782"/>
      <c r="B758" s="917"/>
      <c r="C758" s="905" t="s">
        <v>1761</v>
      </c>
      <c r="D758" s="772">
        <f>D$5</f>
        <v>0</v>
      </c>
      <c r="E758" s="914"/>
      <c r="F758" s="815">
        <f>SUM(G754:G757)</f>
        <v>392</v>
      </c>
      <c r="G758" s="821">
        <f>ROUND(D758*F758,2)</f>
        <v>0</v>
      </c>
      <c r="H758" s="782"/>
    </row>
    <row r="759" spans="1:8" hidden="1">
      <c r="A759" s="782"/>
      <c r="B759" s="917"/>
      <c r="C759" s="905" t="s">
        <v>1831</v>
      </c>
      <c r="D759" s="917"/>
      <c r="E759" s="917"/>
      <c r="F759" s="815"/>
      <c r="G759" s="816"/>
      <c r="H759" s="782"/>
    </row>
    <row r="760" spans="1:8" hidden="1">
      <c r="A760" s="782"/>
      <c r="B760" s="917"/>
      <c r="C760" s="820" t="s">
        <v>1806</v>
      </c>
      <c r="D760" s="917"/>
      <c r="E760" s="917"/>
      <c r="F760" s="815"/>
      <c r="G760" s="821">
        <f>CEILING(SUM(G752:G759),0.05)</f>
        <v>8063</v>
      </c>
      <c r="H760" s="782"/>
    </row>
    <row r="761" spans="1:8" hidden="1">
      <c r="A761" s="782"/>
      <c r="B761" s="917"/>
      <c r="C761" s="905" t="s">
        <v>1984</v>
      </c>
      <c r="D761" s="905"/>
      <c r="E761" s="917"/>
      <c r="F761" s="815"/>
      <c r="G761" s="816"/>
      <c r="H761" s="782"/>
    </row>
    <row r="762" spans="1:8" hidden="1">
      <c r="A762" s="782"/>
      <c r="B762" s="917"/>
      <c r="C762" s="909"/>
      <c r="D762" s="909"/>
      <c r="E762" s="917"/>
      <c r="F762" s="815"/>
      <c r="G762" s="816"/>
      <c r="H762" s="782"/>
    </row>
    <row r="763" spans="1:8" ht="12.75" hidden="1" customHeight="1">
      <c r="A763" s="914">
        <f>A747+1</f>
        <v>42</v>
      </c>
      <c r="B763" s="917"/>
      <c r="C763" s="905" t="s">
        <v>1272</v>
      </c>
      <c r="D763" s="905"/>
      <c r="E763" s="905"/>
      <c r="F763" s="905"/>
      <c r="G763" s="905"/>
      <c r="H763" s="782"/>
    </row>
    <row r="764" spans="1:8" hidden="1">
      <c r="A764" s="782"/>
      <c r="B764" s="917"/>
      <c r="C764" s="911" t="s">
        <v>1743</v>
      </c>
      <c r="D764" s="917"/>
      <c r="E764" s="917"/>
      <c r="F764" s="815"/>
      <c r="G764" s="816"/>
      <c r="H764" s="782"/>
    </row>
    <row r="765" spans="1:8" hidden="1">
      <c r="A765" s="782"/>
      <c r="B765" s="917"/>
      <c r="C765" s="817" t="s">
        <v>1744</v>
      </c>
      <c r="D765" s="917"/>
      <c r="E765" s="917"/>
      <c r="F765" s="815"/>
      <c r="G765" s="816"/>
      <c r="H765" s="782"/>
    </row>
    <row r="766" spans="1:8" hidden="1">
      <c r="A766" s="782"/>
      <c r="B766" s="917" t="s">
        <v>1989</v>
      </c>
      <c r="C766" s="905" t="s">
        <v>1990</v>
      </c>
      <c r="D766" s="784" t="s">
        <v>331</v>
      </c>
      <c r="E766" s="917">
        <v>1</v>
      </c>
      <c r="F766" s="815">
        <v>6000</v>
      </c>
      <c r="G766" s="816">
        <f>F766*E766</f>
        <v>6000</v>
      </c>
      <c r="H766" s="782"/>
    </row>
    <row r="767" spans="1:8" hidden="1">
      <c r="A767" s="782"/>
      <c r="B767" s="917"/>
      <c r="C767" s="905" t="s">
        <v>1754</v>
      </c>
      <c r="D767" s="819">
        <f>$D$4</f>
        <v>0</v>
      </c>
      <c r="E767" s="917"/>
      <c r="F767" s="815"/>
      <c r="G767" s="816">
        <f>ROUND(G766*D767,2)</f>
        <v>0</v>
      </c>
      <c r="H767" s="782"/>
    </row>
    <row r="768" spans="1:8" hidden="1">
      <c r="A768" s="782"/>
      <c r="B768" s="917"/>
      <c r="C768" s="905" t="s">
        <v>1777</v>
      </c>
      <c r="D768" s="917"/>
      <c r="E768" s="917"/>
      <c r="F768" s="815"/>
      <c r="G768" s="816">
        <f>SUM(G766:G767)</f>
        <v>6000</v>
      </c>
      <c r="H768" s="782"/>
    </row>
    <row r="769" spans="1:8" hidden="1">
      <c r="A769" s="782"/>
      <c r="B769" s="917"/>
      <c r="C769" s="820" t="s">
        <v>1756</v>
      </c>
      <c r="D769" s="917"/>
      <c r="E769" s="917"/>
      <c r="F769" s="815"/>
      <c r="G769" s="816"/>
      <c r="H769" s="782"/>
    </row>
    <row r="770" spans="1:8" hidden="1">
      <c r="A770" s="782"/>
      <c r="B770" s="913"/>
      <c r="C770" s="905" t="s">
        <v>1733</v>
      </c>
      <c r="D770" s="818" t="s">
        <v>594</v>
      </c>
      <c r="E770" s="917">
        <v>0.3</v>
      </c>
      <c r="F770" s="914">
        <f>$H$3</f>
        <v>620</v>
      </c>
      <c r="G770" s="816">
        <f>F770*E770</f>
        <v>186</v>
      </c>
      <c r="H770" s="782"/>
    </row>
    <row r="771" spans="1:8" hidden="1">
      <c r="A771" s="782"/>
      <c r="B771" s="913"/>
      <c r="C771" s="905" t="s">
        <v>1823</v>
      </c>
      <c r="D771" s="818" t="s">
        <v>594</v>
      </c>
      <c r="E771" s="917">
        <v>0</v>
      </c>
      <c r="F771" s="914">
        <f>$H$4</f>
        <v>515</v>
      </c>
      <c r="G771" s="816">
        <f>F771*E771</f>
        <v>0</v>
      </c>
      <c r="H771" s="782"/>
    </row>
    <row r="772" spans="1:8" hidden="1">
      <c r="A772" s="782"/>
      <c r="B772" s="913"/>
      <c r="C772" s="905" t="s">
        <v>1737</v>
      </c>
      <c r="D772" s="818" t="s">
        <v>594</v>
      </c>
      <c r="E772" s="917">
        <v>0.4</v>
      </c>
      <c r="F772" s="914">
        <f>$H$5</f>
        <v>515</v>
      </c>
      <c r="G772" s="816">
        <f>F772*E772</f>
        <v>206</v>
      </c>
      <c r="H772" s="782"/>
    </row>
    <row r="773" spans="1:8" hidden="1">
      <c r="A773" s="782"/>
      <c r="B773" s="917"/>
      <c r="C773" s="820" t="s">
        <v>1760</v>
      </c>
      <c r="D773" s="771">
        <f>$D$3</f>
        <v>0</v>
      </c>
      <c r="E773" s="914"/>
      <c r="F773" s="815"/>
      <c r="G773" s="821">
        <f>ROUND(D773*(G772+G771+G770),2)</f>
        <v>0</v>
      </c>
      <c r="H773" s="782"/>
    </row>
    <row r="774" spans="1:8" hidden="1">
      <c r="A774" s="782"/>
      <c r="B774" s="917"/>
      <c r="C774" s="905" t="s">
        <v>1761</v>
      </c>
      <c r="D774" s="772">
        <f>D$5</f>
        <v>0</v>
      </c>
      <c r="E774" s="914"/>
      <c r="F774" s="815">
        <f>SUM(G770:G773)</f>
        <v>392</v>
      </c>
      <c r="G774" s="821">
        <f>ROUND(D774*F774,2)</f>
        <v>0</v>
      </c>
      <c r="H774" s="782"/>
    </row>
    <row r="775" spans="1:8" hidden="1">
      <c r="A775" s="782"/>
      <c r="B775" s="917"/>
      <c r="C775" s="905" t="s">
        <v>1831</v>
      </c>
      <c r="D775" s="917"/>
      <c r="E775" s="917"/>
      <c r="F775" s="815"/>
      <c r="G775" s="816"/>
      <c r="H775" s="782"/>
    </row>
    <row r="776" spans="1:8" hidden="1">
      <c r="A776" s="782"/>
      <c r="B776" s="917"/>
      <c r="C776" s="820" t="s">
        <v>1806</v>
      </c>
      <c r="D776" s="917"/>
      <c r="E776" s="917"/>
      <c r="F776" s="815"/>
      <c r="G776" s="821">
        <f>CEILING(SUM(G768:G775),0.05)</f>
        <v>6392</v>
      </c>
      <c r="H776" s="782"/>
    </row>
    <row r="777" spans="1:8" hidden="1">
      <c r="A777" s="782"/>
      <c r="B777" s="917"/>
      <c r="C777" s="905" t="s">
        <v>1984</v>
      </c>
      <c r="D777" s="905"/>
      <c r="E777" s="917"/>
      <c r="F777" s="815"/>
      <c r="G777" s="816"/>
      <c r="H777" s="782"/>
    </row>
    <row r="778" spans="1:8" hidden="1">
      <c r="A778" s="782"/>
      <c r="B778" s="917"/>
      <c r="C778" s="909"/>
      <c r="D778" s="909"/>
      <c r="E778" s="917"/>
      <c r="F778" s="815"/>
      <c r="G778" s="816"/>
      <c r="H778" s="782"/>
    </row>
    <row r="779" spans="1:8" hidden="1">
      <c r="A779" s="782"/>
      <c r="B779" s="917"/>
      <c r="C779" s="841" t="s">
        <v>1273</v>
      </c>
      <c r="D779" s="909"/>
      <c r="E779" s="917"/>
      <c r="F779" s="815"/>
      <c r="G779" s="816"/>
      <c r="H779" s="782"/>
    </row>
    <row r="780" spans="1:8" s="1125" customFormat="1" ht="12.75" hidden="1" customHeight="1">
      <c r="A780" s="914">
        <f>A763+1</f>
        <v>43</v>
      </c>
      <c r="B780" s="789"/>
      <c r="C780" s="907" t="s">
        <v>1274</v>
      </c>
      <c r="D780" s="907"/>
      <c r="E780" s="907"/>
      <c r="F780" s="907"/>
      <c r="G780" s="907"/>
      <c r="H780" s="907"/>
    </row>
    <row r="781" spans="1:8" s="1125" customFormat="1" hidden="1">
      <c r="A781" s="914"/>
      <c r="B781" s="789"/>
      <c r="C781" s="905" t="s">
        <v>1991</v>
      </c>
      <c r="D781" s="905"/>
      <c r="E781" s="913"/>
      <c r="F781" s="789"/>
      <c r="G781" s="782"/>
      <c r="H781" s="914"/>
    </row>
    <row r="782" spans="1:8" s="1125" customFormat="1" hidden="1">
      <c r="A782" s="914"/>
      <c r="B782" s="789"/>
      <c r="C782" s="905" t="s">
        <v>597</v>
      </c>
      <c r="D782" s="905"/>
      <c r="E782" s="913"/>
      <c r="F782" s="789"/>
      <c r="G782" s="782"/>
      <c r="H782" s="914"/>
    </row>
    <row r="783" spans="1:8" s="1125" customFormat="1" hidden="1">
      <c r="A783" s="914"/>
      <c r="B783" s="789"/>
      <c r="C783" s="905" t="s">
        <v>1992</v>
      </c>
      <c r="D783" s="905"/>
      <c r="E783" s="913"/>
      <c r="F783" s="789"/>
      <c r="G783" s="782"/>
      <c r="H783" s="914"/>
    </row>
    <row r="784" spans="1:8" s="1125" customFormat="1" hidden="1">
      <c r="A784" s="914"/>
      <c r="B784" s="789"/>
      <c r="C784" s="905" t="s">
        <v>1993</v>
      </c>
      <c r="D784" s="905"/>
      <c r="E784" s="913"/>
      <c r="F784" s="789"/>
      <c r="G784" s="782"/>
      <c r="H784" s="914"/>
    </row>
    <row r="785" spans="1:8" s="1125" customFormat="1" ht="49.2" hidden="1">
      <c r="A785" s="914"/>
      <c r="B785" s="775" t="s">
        <v>1994</v>
      </c>
      <c r="C785" s="905" t="s">
        <v>1995</v>
      </c>
      <c r="D785" s="905"/>
      <c r="E785" s="913">
        <v>1</v>
      </c>
      <c r="F785" s="806">
        <v>18182</v>
      </c>
      <c r="G785" s="782">
        <f>F785*E785</f>
        <v>18182</v>
      </c>
      <c r="H785" s="914"/>
    </row>
    <row r="786" spans="1:8" s="1125" customFormat="1" hidden="1">
      <c r="A786" s="914"/>
      <c r="B786" s="789"/>
      <c r="C786" s="905" t="s">
        <v>598</v>
      </c>
      <c r="D786" s="905"/>
      <c r="E786" s="913"/>
      <c r="F786" s="789"/>
      <c r="G786" s="782"/>
      <c r="H786" s="914"/>
    </row>
    <row r="787" spans="1:8" s="1125" customFormat="1" hidden="1">
      <c r="A787" s="914"/>
      <c r="B787" s="789" t="s">
        <v>2161</v>
      </c>
      <c r="C787" s="905" t="s">
        <v>1996</v>
      </c>
      <c r="D787" s="905"/>
      <c r="E787" s="913">
        <v>1</v>
      </c>
      <c r="F787" s="789">
        <v>2000</v>
      </c>
      <c r="G787" s="782">
        <f t="shared" ref="G787:G794" si="3">F787*E787</f>
        <v>2000</v>
      </c>
      <c r="H787" s="914"/>
    </row>
    <row r="788" spans="1:8" s="1125" customFormat="1" hidden="1">
      <c r="A788" s="914"/>
      <c r="B788" s="789" t="s">
        <v>2162</v>
      </c>
      <c r="C788" s="905" t="s">
        <v>1997</v>
      </c>
      <c r="D788" s="905"/>
      <c r="E788" s="913">
        <v>1</v>
      </c>
      <c r="F788" s="789">
        <v>175</v>
      </c>
      <c r="G788" s="782">
        <f t="shared" si="3"/>
        <v>175</v>
      </c>
      <c r="H788" s="914"/>
    </row>
    <row r="789" spans="1:8" s="1125" customFormat="1" hidden="1">
      <c r="A789" s="914"/>
      <c r="B789" s="789" t="s">
        <v>2161</v>
      </c>
      <c r="C789" s="905" t="s">
        <v>1998</v>
      </c>
      <c r="D789" s="905"/>
      <c r="E789" s="913">
        <v>1</v>
      </c>
      <c r="F789" s="789">
        <v>2000</v>
      </c>
      <c r="G789" s="782">
        <f t="shared" si="3"/>
        <v>2000</v>
      </c>
      <c r="H789" s="914"/>
    </row>
    <row r="790" spans="1:8" s="1125" customFormat="1" hidden="1">
      <c r="A790" s="914"/>
      <c r="B790" s="789" t="s">
        <v>2162</v>
      </c>
      <c r="C790" s="905" t="s">
        <v>1999</v>
      </c>
      <c r="D790" s="905"/>
      <c r="E790" s="913">
        <v>1</v>
      </c>
      <c r="F790" s="789">
        <v>175</v>
      </c>
      <c r="G790" s="782">
        <f t="shared" si="3"/>
        <v>175</v>
      </c>
      <c r="H790" s="914"/>
    </row>
    <row r="791" spans="1:8" s="1125" customFormat="1" hidden="1">
      <c r="A791" s="914"/>
      <c r="B791" s="789" t="s">
        <v>2162</v>
      </c>
      <c r="C791" s="905" t="s">
        <v>2000</v>
      </c>
      <c r="D791" s="905"/>
      <c r="E791" s="913">
        <v>3</v>
      </c>
      <c r="F791" s="789">
        <v>135</v>
      </c>
      <c r="G791" s="782">
        <f t="shared" si="3"/>
        <v>405</v>
      </c>
      <c r="H791" s="914"/>
    </row>
    <row r="792" spans="1:8" s="1125" customFormat="1" hidden="1">
      <c r="A792" s="914"/>
      <c r="B792" s="789" t="s">
        <v>2163</v>
      </c>
      <c r="C792" s="905" t="s">
        <v>2001</v>
      </c>
      <c r="D792" s="905"/>
      <c r="E792" s="913">
        <v>6</v>
      </c>
      <c r="F792" s="789">
        <v>440</v>
      </c>
      <c r="G792" s="782">
        <f t="shared" si="3"/>
        <v>2640</v>
      </c>
      <c r="H792" s="914"/>
    </row>
    <row r="793" spans="1:8" s="1125" customFormat="1" hidden="1">
      <c r="A793" s="914"/>
      <c r="B793" s="789" t="s">
        <v>2002</v>
      </c>
      <c r="C793" s="905" t="s">
        <v>2003</v>
      </c>
      <c r="D793" s="905"/>
      <c r="E793" s="913">
        <v>3</v>
      </c>
      <c r="F793" s="789">
        <v>92</v>
      </c>
      <c r="G793" s="782">
        <f t="shared" si="3"/>
        <v>276</v>
      </c>
      <c r="H793" s="914"/>
    </row>
    <row r="794" spans="1:8" s="1125" customFormat="1" hidden="1">
      <c r="A794" s="914"/>
      <c r="B794" s="789" t="s">
        <v>2004</v>
      </c>
      <c r="C794" s="905" t="s">
        <v>2005</v>
      </c>
      <c r="D794" s="905"/>
      <c r="E794" s="913"/>
      <c r="F794" s="789">
        <v>47</v>
      </c>
      <c r="G794" s="782">
        <f t="shared" si="3"/>
        <v>0</v>
      </c>
      <c r="H794" s="914"/>
    </row>
    <row r="795" spans="1:8" s="1125" customFormat="1" hidden="1">
      <c r="A795" s="914"/>
      <c r="B795" s="789"/>
      <c r="C795" s="905" t="s">
        <v>2006</v>
      </c>
      <c r="D795" s="820"/>
      <c r="E795" s="913"/>
      <c r="F795" s="789"/>
      <c r="G795" s="782"/>
      <c r="H795" s="914"/>
    </row>
    <row r="796" spans="1:8" s="1125" customFormat="1" ht="49.2" hidden="1">
      <c r="A796" s="914"/>
      <c r="B796" s="789" t="s">
        <v>1994</v>
      </c>
      <c r="C796" s="905" t="s">
        <v>2007</v>
      </c>
      <c r="D796" s="820"/>
      <c r="E796" s="913">
        <v>6</v>
      </c>
      <c r="F796" s="806">
        <v>8162</v>
      </c>
      <c r="G796" s="782">
        <f>F796*E796</f>
        <v>48972</v>
      </c>
      <c r="H796" s="914"/>
    </row>
    <row r="797" spans="1:8" s="1125" customFormat="1" ht="49.2" hidden="1">
      <c r="A797" s="914"/>
      <c r="B797" s="789" t="s">
        <v>1994</v>
      </c>
      <c r="C797" s="905" t="s">
        <v>2008</v>
      </c>
      <c r="D797" s="820"/>
      <c r="E797" s="913">
        <v>4</v>
      </c>
      <c r="F797" s="806">
        <v>6876</v>
      </c>
      <c r="G797" s="782">
        <f>F797*E797</f>
        <v>27504</v>
      </c>
      <c r="H797" s="914"/>
    </row>
    <row r="798" spans="1:8" s="1125" customFormat="1" hidden="1">
      <c r="A798" s="914"/>
      <c r="B798" s="789"/>
      <c r="C798" s="905"/>
      <c r="D798" s="905"/>
      <c r="E798" s="913"/>
      <c r="F798" s="851"/>
      <c r="G798" s="782"/>
      <c r="H798" s="914"/>
    </row>
    <row r="799" spans="1:8" s="1125" customFormat="1" hidden="1">
      <c r="A799" s="914"/>
      <c r="B799" s="789"/>
      <c r="C799" s="851" t="s">
        <v>2009</v>
      </c>
      <c r="D799" s="782"/>
      <c r="E799" s="913"/>
      <c r="F799" s="789"/>
      <c r="G799" s="837">
        <f>SUM(G785:G797)</f>
        <v>102329</v>
      </c>
      <c r="H799" s="914"/>
    </row>
    <row r="800" spans="1:8" s="1125" customFormat="1" hidden="1">
      <c r="A800" s="914"/>
      <c r="B800" s="789"/>
      <c r="C800" s="905" t="s">
        <v>2010</v>
      </c>
      <c r="D800" s="782"/>
      <c r="E800" s="782"/>
      <c r="F800" s="782"/>
      <c r="G800" s="852">
        <f>G799*25%</f>
        <v>25582.25</v>
      </c>
      <c r="H800" s="914"/>
    </row>
    <row r="801" spans="1:8" s="1125" customFormat="1" hidden="1">
      <c r="A801" s="914"/>
      <c r="B801" s="789"/>
      <c r="C801" s="905" t="s">
        <v>2011</v>
      </c>
      <c r="D801" s="782"/>
      <c r="E801" s="782"/>
      <c r="F801" s="782"/>
      <c r="G801" s="852">
        <f>G799*45%</f>
        <v>46048.05</v>
      </c>
      <c r="H801" s="914"/>
    </row>
    <row r="802" spans="1:8" s="1125" customFormat="1" hidden="1">
      <c r="A802" s="914"/>
      <c r="B802" s="789"/>
      <c r="C802" s="782"/>
      <c r="D802" s="782"/>
      <c r="E802" s="913"/>
      <c r="F802" s="789"/>
      <c r="G802" s="782"/>
      <c r="H802" s="914"/>
    </row>
    <row r="803" spans="1:8" s="1125" customFormat="1" hidden="1">
      <c r="A803" s="914"/>
      <c r="B803" s="789"/>
      <c r="C803" s="905" t="s">
        <v>2012</v>
      </c>
      <c r="D803" s="782"/>
      <c r="E803" s="782"/>
      <c r="F803" s="782"/>
      <c r="G803" s="852">
        <f>G799*10%</f>
        <v>10232.900000000001</v>
      </c>
      <c r="H803" s="914"/>
    </row>
    <row r="804" spans="1:8" s="1125" customFormat="1" hidden="1">
      <c r="A804" s="914"/>
      <c r="B804" s="789"/>
      <c r="C804" s="905"/>
      <c r="D804" s="782"/>
      <c r="E804" s="782"/>
      <c r="F804" s="782"/>
      <c r="G804" s="852"/>
      <c r="H804" s="914"/>
    </row>
    <row r="805" spans="1:8" s="1125" customFormat="1" ht="49.2" hidden="1">
      <c r="A805" s="914"/>
      <c r="B805" s="789"/>
      <c r="C805" s="905" t="s">
        <v>2013</v>
      </c>
      <c r="D805" s="782" t="s">
        <v>2014</v>
      </c>
      <c r="E805" s="782"/>
      <c r="F805" s="782"/>
      <c r="G805" s="852">
        <f>G799*5%</f>
        <v>5116.4500000000007</v>
      </c>
      <c r="H805" s="839"/>
    </row>
    <row r="806" spans="1:8" s="1125" customFormat="1" hidden="1">
      <c r="A806" s="914"/>
      <c r="B806" s="789"/>
      <c r="C806" s="836"/>
      <c r="D806" s="914"/>
      <c r="E806" s="853"/>
      <c r="F806" s="851"/>
      <c r="G806" s="848">
        <f>SUM(G799:G805)</f>
        <v>189308.65</v>
      </c>
      <c r="H806" s="914"/>
    </row>
    <row r="807" spans="1:8" s="1125" customFormat="1" hidden="1">
      <c r="A807" s="914"/>
      <c r="B807" s="789"/>
      <c r="C807" s="905" t="s">
        <v>1761</v>
      </c>
      <c r="D807" s="772">
        <f>D$5</f>
        <v>0</v>
      </c>
      <c r="E807" s="917"/>
      <c r="F807" s="815"/>
      <c r="G807" s="816">
        <f>ROUND(G806*D807,2)</f>
        <v>0</v>
      </c>
      <c r="H807" s="914"/>
    </row>
    <row r="808" spans="1:8" s="1125" customFormat="1" hidden="1">
      <c r="A808" s="914"/>
      <c r="B808" s="789"/>
      <c r="C808" s="910" t="s">
        <v>1755</v>
      </c>
      <c r="D808" s="914"/>
      <c r="E808" s="853"/>
      <c r="F808" s="851"/>
      <c r="G808" s="848">
        <f>CEILING(SUM(G806:G807),1)</f>
        <v>189309</v>
      </c>
      <c r="H808" s="914"/>
    </row>
    <row r="809" spans="1:8" s="1125" customFormat="1" hidden="1">
      <c r="A809" s="914"/>
      <c r="B809" s="789"/>
      <c r="C809" s="910"/>
      <c r="D809" s="914"/>
      <c r="E809" s="853"/>
      <c r="F809" s="851"/>
      <c r="G809" s="848"/>
      <c r="H809" s="914"/>
    </row>
    <row r="810" spans="1:8" s="1125" customFormat="1" hidden="1">
      <c r="A810" s="914"/>
      <c r="B810" s="789"/>
      <c r="C810" s="910"/>
      <c r="D810" s="914"/>
      <c r="E810" s="853"/>
      <c r="F810" s="851"/>
      <c r="G810" s="848"/>
      <c r="H810" s="914"/>
    </row>
    <row r="811" spans="1:8" ht="12.75" hidden="1" customHeight="1">
      <c r="A811" s="914">
        <v>35</v>
      </c>
      <c r="B811" s="917">
        <v>47</v>
      </c>
      <c r="C811" s="905" t="s">
        <v>2190</v>
      </c>
      <c r="D811" s="905"/>
      <c r="E811" s="905"/>
      <c r="F811" s="905"/>
      <c r="G811" s="905"/>
      <c r="H811" s="782"/>
    </row>
    <row r="812" spans="1:8" hidden="1">
      <c r="A812" s="782"/>
      <c r="B812" s="917"/>
      <c r="C812" s="910"/>
      <c r="D812" s="910"/>
      <c r="E812" s="910"/>
      <c r="F812" s="910"/>
      <c r="G812" s="910"/>
      <c r="H812" s="782"/>
    </row>
    <row r="813" spans="1:8" hidden="1">
      <c r="A813" s="782"/>
      <c r="B813" s="784" t="s">
        <v>2015</v>
      </c>
      <c r="C813" s="905" t="s">
        <v>1275</v>
      </c>
      <c r="D813" s="917" t="s">
        <v>222</v>
      </c>
      <c r="E813" s="917">
        <v>1</v>
      </c>
      <c r="F813" s="815">
        <v>740</v>
      </c>
      <c r="G813" s="816">
        <v>740</v>
      </c>
      <c r="H813" s="782"/>
    </row>
    <row r="814" spans="1:8" hidden="1">
      <c r="A814" s="782"/>
      <c r="B814" s="917"/>
      <c r="C814" s="905" t="s">
        <v>1754</v>
      </c>
      <c r="D814" s="819">
        <f>$D$4</f>
        <v>0</v>
      </c>
      <c r="E814" s="917"/>
      <c r="F814" s="815"/>
      <c r="G814" s="816">
        <f>ROUND(G813*D814,2)</f>
        <v>0</v>
      </c>
      <c r="H814" s="782"/>
    </row>
    <row r="815" spans="1:8" hidden="1">
      <c r="A815" s="782"/>
      <c r="B815" s="917"/>
      <c r="C815" s="905" t="s">
        <v>1777</v>
      </c>
      <c r="D815" s="917"/>
      <c r="E815" s="917"/>
      <c r="F815" s="815"/>
      <c r="G815" s="816">
        <f>SUM(G813:G814)</f>
        <v>740</v>
      </c>
      <c r="H815" s="782"/>
    </row>
    <row r="816" spans="1:8" hidden="1">
      <c r="A816" s="782"/>
      <c r="B816" s="917"/>
      <c r="C816" s="905"/>
      <c r="D816" s="917"/>
      <c r="E816" s="917"/>
      <c r="F816" s="815"/>
      <c r="G816" s="816"/>
      <c r="H816" s="782"/>
    </row>
    <row r="817" spans="1:8" hidden="1">
      <c r="A817" s="782"/>
      <c r="B817" s="784" t="s">
        <v>2015</v>
      </c>
      <c r="C817" s="905" t="s">
        <v>2016</v>
      </c>
      <c r="D817" s="917" t="s">
        <v>222</v>
      </c>
      <c r="E817" s="917">
        <v>1</v>
      </c>
      <c r="F817" s="815">
        <v>602</v>
      </c>
      <c r="G817" s="816">
        <v>602</v>
      </c>
      <c r="H817" s="782"/>
    </row>
    <row r="818" spans="1:8" hidden="1">
      <c r="A818" s="782"/>
      <c r="B818" s="917"/>
      <c r="C818" s="905" t="s">
        <v>1754</v>
      </c>
      <c r="D818" s="819">
        <f>$D$4</f>
        <v>0</v>
      </c>
      <c r="E818" s="917"/>
      <c r="F818" s="815"/>
      <c r="G818" s="816">
        <f>ROUND(G817*D818,2)</f>
        <v>0</v>
      </c>
      <c r="H818" s="782"/>
    </row>
    <row r="819" spans="1:8" hidden="1">
      <c r="A819" s="782"/>
      <c r="B819" s="917"/>
      <c r="C819" s="905" t="s">
        <v>1777</v>
      </c>
      <c r="D819" s="917"/>
      <c r="E819" s="917"/>
      <c r="F819" s="815"/>
      <c r="G819" s="816">
        <f>SUM(G817:G818)</f>
        <v>602</v>
      </c>
      <c r="H819" s="782"/>
    </row>
    <row r="820" spans="1:8" hidden="1">
      <c r="A820" s="782"/>
      <c r="B820" s="917"/>
      <c r="C820" s="905"/>
      <c r="D820" s="917"/>
      <c r="E820" s="917"/>
      <c r="F820" s="815"/>
      <c r="G820" s="816"/>
      <c r="H820" s="782"/>
    </row>
    <row r="821" spans="1:8" hidden="1">
      <c r="A821" s="782"/>
      <c r="B821" s="784" t="s">
        <v>2015</v>
      </c>
      <c r="C821" s="905" t="s">
        <v>1276</v>
      </c>
      <c r="D821" s="917" t="s">
        <v>222</v>
      </c>
      <c r="E821" s="917">
        <v>1</v>
      </c>
      <c r="F821" s="815">
        <v>463</v>
      </c>
      <c r="G821" s="816">
        <f>E821*F821</f>
        <v>463</v>
      </c>
      <c r="H821" s="782"/>
    </row>
    <row r="822" spans="1:8" hidden="1">
      <c r="A822" s="782"/>
      <c r="B822" s="917"/>
      <c r="C822" s="905" t="s">
        <v>1754</v>
      </c>
      <c r="D822" s="819">
        <f>$D$4</f>
        <v>0</v>
      </c>
      <c r="E822" s="917"/>
      <c r="F822" s="815"/>
      <c r="G822" s="816">
        <f>ROUND(G821*D822,2)</f>
        <v>0</v>
      </c>
      <c r="H822" s="782"/>
    </row>
    <row r="823" spans="1:8" hidden="1">
      <c r="A823" s="782"/>
      <c r="B823" s="917"/>
      <c r="C823" s="905" t="s">
        <v>1777</v>
      </c>
      <c r="D823" s="917"/>
      <c r="E823" s="917"/>
      <c r="F823" s="815"/>
      <c r="G823" s="816">
        <f>SUM(G821:G822)</f>
        <v>463</v>
      </c>
      <c r="H823" s="782"/>
    </row>
    <row r="824" spans="1:8" hidden="1">
      <c r="A824" s="782"/>
      <c r="B824" s="917"/>
      <c r="C824" s="905"/>
      <c r="D824" s="917"/>
      <c r="E824" s="917"/>
      <c r="F824" s="815"/>
      <c r="G824" s="816"/>
      <c r="H824" s="782"/>
    </row>
    <row r="825" spans="1:8" hidden="1">
      <c r="A825" s="782"/>
      <c r="B825" s="784" t="s">
        <v>2017</v>
      </c>
      <c r="C825" s="905" t="s">
        <v>659</v>
      </c>
      <c r="D825" s="917" t="s">
        <v>222</v>
      </c>
      <c r="E825" s="917">
        <v>1</v>
      </c>
      <c r="F825" s="815">
        <v>359</v>
      </c>
      <c r="G825" s="816">
        <f>E825*F825</f>
        <v>359</v>
      </c>
      <c r="H825" s="782"/>
    </row>
    <row r="826" spans="1:8" hidden="1">
      <c r="A826" s="782"/>
      <c r="B826" s="917"/>
      <c r="C826" s="905" t="s">
        <v>1870</v>
      </c>
      <c r="D826" s="818">
        <f>$D$4</f>
        <v>0</v>
      </c>
      <c r="E826" s="917"/>
      <c r="F826" s="815"/>
      <c r="G826" s="816">
        <f>ROUND(G825*D826,2)</f>
        <v>0</v>
      </c>
      <c r="H826" s="782"/>
    </row>
    <row r="827" spans="1:8" hidden="1">
      <c r="A827" s="782"/>
      <c r="B827" s="917"/>
      <c r="C827" s="905" t="s">
        <v>1777</v>
      </c>
      <c r="D827" s="917"/>
      <c r="E827" s="917"/>
      <c r="F827" s="815"/>
      <c r="G827" s="816">
        <f>SUM(G825:G826)</f>
        <v>359</v>
      </c>
      <c r="H827" s="782"/>
    </row>
    <row r="828" spans="1:8" hidden="1">
      <c r="A828" s="782"/>
      <c r="B828" s="917"/>
      <c r="C828" s="905"/>
      <c r="D828" s="917"/>
      <c r="E828" s="917"/>
      <c r="F828" s="815"/>
      <c r="G828" s="821"/>
      <c r="H828" s="782"/>
    </row>
    <row r="829" spans="1:8" hidden="1">
      <c r="A829" s="782"/>
      <c r="B829" s="784" t="s">
        <v>2017</v>
      </c>
      <c r="C829" s="905" t="s">
        <v>561</v>
      </c>
      <c r="D829" s="917" t="s">
        <v>222</v>
      </c>
      <c r="E829" s="917">
        <v>1</v>
      </c>
      <c r="F829" s="815">
        <v>272</v>
      </c>
      <c r="G829" s="816">
        <f>E829*F829</f>
        <v>272</v>
      </c>
      <c r="H829" s="782"/>
    </row>
    <row r="830" spans="1:8" hidden="1">
      <c r="A830" s="782"/>
      <c r="B830" s="917"/>
      <c r="C830" s="905" t="s">
        <v>1870</v>
      </c>
      <c r="D830" s="818">
        <f>$D$4</f>
        <v>0</v>
      </c>
      <c r="E830" s="917"/>
      <c r="F830" s="815"/>
      <c r="G830" s="816">
        <f>ROUND(G829*D830,2)</f>
        <v>0</v>
      </c>
      <c r="H830" s="782"/>
    </row>
    <row r="831" spans="1:8" hidden="1">
      <c r="A831" s="782"/>
      <c r="B831" s="917"/>
      <c r="C831" s="820" t="s">
        <v>1777</v>
      </c>
      <c r="D831" s="917"/>
      <c r="E831" s="917"/>
      <c r="F831" s="815"/>
      <c r="G831" s="821">
        <f>SUM(G829:G830)</f>
        <v>272</v>
      </c>
      <c r="H831" s="782"/>
    </row>
    <row r="832" spans="1:8" hidden="1">
      <c r="A832" s="782"/>
      <c r="B832" s="917"/>
      <c r="C832" s="905"/>
      <c r="D832" s="917"/>
      <c r="E832" s="917"/>
      <c r="F832" s="815"/>
      <c r="G832" s="816"/>
      <c r="H832" s="782"/>
    </row>
    <row r="833" spans="1:8" hidden="1">
      <c r="A833" s="782"/>
      <c r="B833" s="784" t="s">
        <v>2017</v>
      </c>
      <c r="C833" s="905" t="s">
        <v>315</v>
      </c>
      <c r="D833" s="917" t="s">
        <v>222</v>
      </c>
      <c r="E833" s="917">
        <v>1</v>
      </c>
      <c r="F833" s="815">
        <v>227</v>
      </c>
      <c r="G833" s="816">
        <f>E833*F833</f>
        <v>227</v>
      </c>
      <c r="H833" s="782"/>
    </row>
    <row r="834" spans="1:8" hidden="1">
      <c r="A834" s="782"/>
      <c r="B834" s="917"/>
      <c r="C834" s="905" t="s">
        <v>1870</v>
      </c>
      <c r="D834" s="818">
        <f>$D$4</f>
        <v>0</v>
      </c>
      <c r="E834" s="917"/>
      <c r="F834" s="815"/>
      <c r="G834" s="816">
        <f>ROUND(G833*D834,2)</f>
        <v>0</v>
      </c>
      <c r="H834" s="782"/>
    </row>
    <row r="835" spans="1:8" hidden="1">
      <c r="A835" s="782"/>
      <c r="B835" s="917"/>
      <c r="C835" s="820" t="s">
        <v>1777</v>
      </c>
      <c r="D835" s="917"/>
      <c r="E835" s="917"/>
      <c r="F835" s="815"/>
      <c r="G835" s="821">
        <f>SUM(G833:G834)</f>
        <v>227</v>
      </c>
      <c r="H835" s="782"/>
    </row>
    <row r="836" spans="1:8" hidden="1">
      <c r="A836" s="782"/>
      <c r="B836" s="917"/>
      <c r="C836" s="905"/>
      <c r="D836" s="917"/>
      <c r="E836" s="917"/>
      <c r="F836" s="815"/>
      <c r="G836" s="816"/>
      <c r="H836" s="782"/>
    </row>
    <row r="837" spans="1:8" hidden="1">
      <c r="A837" s="782"/>
      <c r="B837" s="784" t="s">
        <v>2164</v>
      </c>
      <c r="C837" s="905" t="s">
        <v>2165</v>
      </c>
      <c r="D837" s="917" t="s">
        <v>222</v>
      </c>
      <c r="E837" s="917">
        <v>1</v>
      </c>
      <c r="F837" s="815">
        <v>178</v>
      </c>
      <c r="G837" s="816">
        <f>E837*F837</f>
        <v>178</v>
      </c>
      <c r="H837" s="782"/>
    </row>
    <row r="838" spans="1:8" hidden="1">
      <c r="A838" s="782"/>
      <c r="B838" s="917"/>
      <c r="C838" s="905" t="s">
        <v>1870</v>
      </c>
      <c r="D838" s="818">
        <f>$D$4</f>
        <v>0</v>
      </c>
      <c r="E838" s="917"/>
      <c r="F838" s="815"/>
      <c r="G838" s="816">
        <f>ROUND(G837*D838,2)</f>
        <v>0</v>
      </c>
      <c r="H838" s="782"/>
    </row>
    <row r="839" spans="1:8" hidden="1">
      <c r="A839" s="782"/>
      <c r="B839" s="917"/>
      <c r="C839" s="820" t="s">
        <v>1777</v>
      </c>
      <c r="D839" s="917"/>
      <c r="E839" s="917"/>
      <c r="F839" s="815"/>
      <c r="G839" s="821">
        <f>SUM(G837:G838)</f>
        <v>178</v>
      </c>
      <c r="H839" s="782"/>
    </row>
    <row r="840" spans="1:8" s="1125" customFormat="1" hidden="1">
      <c r="A840" s="914"/>
      <c r="B840" s="917"/>
      <c r="C840" s="914"/>
      <c r="D840" s="914"/>
      <c r="E840" s="914"/>
      <c r="F840" s="774"/>
      <c r="G840" s="832"/>
      <c r="H840" s="914"/>
    </row>
    <row r="841" spans="1:8" s="1125" customFormat="1" hidden="1">
      <c r="A841" s="914"/>
      <c r="B841" s="917"/>
      <c r="C841" s="905"/>
      <c r="D841" s="917"/>
      <c r="E841" s="917"/>
      <c r="F841" s="815"/>
      <c r="G841" s="816"/>
      <c r="H841" s="914"/>
    </row>
    <row r="842" spans="1:8" s="1125" customFormat="1" ht="12.75" hidden="1" customHeight="1">
      <c r="A842" s="914">
        <f>A811+1</f>
        <v>36</v>
      </c>
      <c r="B842" s="917" t="s">
        <v>2018</v>
      </c>
      <c r="C842" s="905" t="s">
        <v>1277</v>
      </c>
      <c r="D842" s="905"/>
      <c r="E842" s="905"/>
      <c r="F842" s="905"/>
      <c r="G842" s="905"/>
      <c r="H842" s="914"/>
    </row>
    <row r="843" spans="1:8" s="1125" customFormat="1" hidden="1">
      <c r="A843" s="914"/>
      <c r="B843" s="913"/>
      <c r="C843" s="817" t="s">
        <v>1744</v>
      </c>
      <c r="D843" s="917"/>
      <c r="E843" s="917"/>
      <c r="F843" s="815"/>
      <c r="G843" s="816"/>
      <c r="H843" s="914"/>
    </row>
    <row r="844" spans="1:8" s="1125" customFormat="1" hidden="1">
      <c r="A844" s="914"/>
      <c r="B844" s="917" t="s">
        <v>2019</v>
      </c>
      <c r="C844" s="905" t="s">
        <v>2020</v>
      </c>
      <c r="D844" s="917" t="s">
        <v>644</v>
      </c>
      <c r="E844" s="917">
        <v>27</v>
      </c>
      <c r="F844" s="815">
        <v>250</v>
      </c>
      <c r="G844" s="816">
        <f>F844*E844</f>
        <v>6750</v>
      </c>
      <c r="H844" s="917"/>
    </row>
    <row r="845" spans="1:8" s="1125" customFormat="1" hidden="1">
      <c r="A845" s="914"/>
      <c r="B845" s="917" t="s">
        <v>2021</v>
      </c>
      <c r="C845" s="849" t="s">
        <v>2022</v>
      </c>
      <c r="D845" s="917" t="s">
        <v>2023</v>
      </c>
      <c r="E845" s="917">
        <v>0.92</v>
      </c>
      <c r="F845" s="815">
        <v>4000</v>
      </c>
      <c r="G845" s="816">
        <f>F845*E845</f>
        <v>3680</v>
      </c>
      <c r="H845" s="917"/>
    </row>
    <row r="846" spans="1:8" s="1125" customFormat="1" hidden="1">
      <c r="A846" s="914"/>
      <c r="B846" s="917" t="s">
        <v>2024</v>
      </c>
      <c r="C846" s="849" t="s">
        <v>2025</v>
      </c>
      <c r="D846" s="917" t="s">
        <v>644</v>
      </c>
      <c r="E846" s="917">
        <v>6</v>
      </c>
      <c r="F846" s="815">
        <v>600</v>
      </c>
      <c r="G846" s="816">
        <f>F846*E846</f>
        <v>3600</v>
      </c>
      <c r="H846" s="917"/>
    </row>
    <row r="847" spans="1:8" s="1125" customFormat="1" hidden="1">
      <c r="A847" s="914"/>
      <c r="B847" s="917" t="s">
        <v>1771</v>
      </c>
      <c r="C847" s="849" t="s">
        <v>2026</v>
      </c>
      <c r="D847" s="917" t="s">
        <v>328</v>
      </c>
      <c r="E847" s="917">
        <v>25</v>
      </c>
      <c r="F847" s="815">
        <v>8</v>
      </c>
      <c r="G847" s="816">
        <f>F847*E847</f>
        <v>200</v>
      </c>
      <c r="H847" s="917"/>
    </row>
    <row r="848" spans="1:8" s="1125" customFormat="1" hidden="1">
      <c r="A848" s="914"/>
      <c r="B848" s="917" t="s">
        <v>2027</v>
      </c>
      <c r="C848" s="849" t="s">
        <v>2028</v>
      </c>
      <c r="D848" s="917" t="s">
        <v>331</v>
      </c>
      <c r="E848" s="917">
        <v>12</v>
      </c>
      <c r="F848" s="815">
        <v>102</v>
      </c>
      <c r="G848" s="816">
        <f>F848*E848</f>
        <v>1224</v>
      </c>
      <c r="H848" s="917"/>
    </row>
    <row r="849" spans="1:10" s="1125" customFormat="1" hidden="1">
      <c r="A849" s="914"/>
      <c r="B849" s="917"/>
      <c r="C849" s="849"/>
      <c r="D849" s="917"/>
      <c r="E849" s="917"/>
      <c r="F849" s="815"/>
      <c r="G849" s="816">
        <f>SUM(G844:G848)</f>
        <v>15454</v>
      </c>
      <c r="H849" s="917"/>
    </row>
    <row r="850" spans="1:10" s="1125" customFormat="1" hidden="1">
      <c r="A850" s="914"/>
      <c r="B850" s="917"/>
      <c r="C850" s="905" t="s">
        <v>1754</v>
      </c>
      <c r="D850" s="819">
        <f>$D$4</f>
        <v>0</v>
      </c>
      <c r="E850" s="917"/>
      <c r="F850" s="815"/>
      <c r="G850" s="816">
        <f>ROUND(G849*D850,2)</f>
        <v>0</v>
      </c>
      <c r="H850" s="917"/>
    </row>
    <row r="851" spans="1:10" s="1125" customFormat="1" hidden="1">
      <c r="A851" s="914"/>
      <c r="B851" s="917"/>
      <c r="C851" s="905" t="s">
        <v>1777</v>
      </c>
      <c r="D851" s="917"/>
      <c r="E851" s="917"/>
      <c r="F851" s="815"/>
      <c r="G851" s="816">
        <f>SUM(G849:G850)</f>
        <v>15454</v>
      </c>
      <c r="H851" s="917"/>
    </row>
    <row r="852" spans="1:10" s="1125" customFormat="1" hidden="1">
      <c r="A852" s="914"/>
      <c r="B852" s="917"/>
      <c r="C852" s="820" t="s">
        <v>2029</v>
      </c>
      <c r="D852" s="917"/>
      <c r="E852" s="917"/>
      <c r="F852" s="815"/>
      <c r="G852" s="816"/>
      <c r="H852" s="917"/>
    </row>
    <row r="853" spans="1:10" s="1125" customFormat="1" ht="24.6" hidden="1">
      <c r="A853" s="914"/>
      <c r="B853" s="917"/>
      <c r="C853" s="911" t="s">
        <v>2030</v>
      </c>
      <c r="D853" s="917" t="s">
        <v>331</v>
      </c>
      <c r="E853" s="917">
        <v>2.5</v>
      </c>
      <c r="F853" s="815">
        <f>F855</f>
        <v>515</v>
      </c>
      <c r="G853" s="816">
        <f>F853*E853</f>
        <v>1287.5</v>
      </c>
      <c r="H853" s="917"/>
    </row>
    <row r="854" spans="1:10" s="1125" customFormat="1" hidden="1">
      <c r="A854" s="914"/>
      <c r="B854" s="913"/>
      <c r="C854" s="782" t="s">
        <v>1733</v>
      </c>
      <c r="D854" s="917" t="s">
        <v>594</v>
      </c>
      <c r="E854" s="917">
        <v>1.6</v>
      </c>
      <c r="F854" s="914">
        <f>H3</f>
        <v>620</v>
      </c>
      <c r="G854" s="816">
        <f>F854*E854</f>
        <v>992</v>
      </c>
      <c r="H854" s="917"/>
      <c r="J854" s="914">
        <f>$H$3</f>
        <v>620</v>
      </c>
    </row>
    <row r="855" spans="1:10" s="1125" customFormat="1" hidden="1">
      <c r="A855" s="914"/>
      <c r="B855" s="913"/>
      <c r="C855" s="782" t="s">
        <v>330</v>
      </c>
      <c r="D855" s="917" t="s">
        <v>594</v>
      </c>
      <c r="E855" s="917">
        <v>3.3</v>
      </c>
      <c r="F855" s="914">
        <f>H5</f>
        <v>515</v>
      </c>
      <c r="G855" s="816">
        <f>F855*E855</f>
        <v>1699.5</v>
      </c>
      <c r="H855" s="914"/>
      <c r="J855" s="914">
        <f>$H$4</f>
        <v>515</v>
      </c>
    </row>
    <row r="856" spans="1:10" s="1125" customFormat="1" ht="24.6" hidden="1">
      <c r="A856" s="914"/>
      <c r="B856" s="917"/>
      <c r="C856" s="911" t="s">
        <v>2031</v>
      </c>
      <c r="D856" s="917" t="s">
        <v>594</v>
      </c>
      <c r="E856" s="917">
        <v>2</v>
      </c>
      <c r="F856" s="815">
        <f>F855</f>
        <v>515</v>
      </c>
      <c r="G856" s="816">
        <f>F856*E856</f>
        <v>1030</v>
      </c>
      <c r="H856" s="914"/>
      <c r="J856" s="914">
        <f>$H$5</f>
        <v>515</v>
      </c>
    </row>
    <row r="857" spans="1:10" s="1125" customFormat="1" hidden="1">
      <c r="A857" s="914"/>
      <c r="B857" s="917"/>
      <c r="C857" s="820" t="s">
        <v>1760</v>
      </c>
      <c r="D857" s="771">
        <f>$D$3</f>
        <v>0</v>
      </c>
      <c r="E857" s="914"/>
      <c r="F857" s="815"/>
      <c r="G857" s="821">
        <f>ROUND(D857*(G856+G855+G854+G853),2)</f>
        <v>0</v>
      </c>
      <c r="H857" s="914"/>
    </row>
    <row r="858" spans="1:10" s="1125" customFormat="1" hidden="1">
      <c r="A858" s="914"/>
      <c r="B858" s="914"/>
      <c r="C858" s="905" t="s">
        <v>1761</v>
      </c>
      <c r="D858" s="772">
        <f>D$5</f>
        <v>0</v>
      </c>
      <c r="E858" s="914"/>
      <c r="F858" s="815">
        <v>1720</v>
      </c>
      <c r="G858" s="821">
        <f>ROUND(D858*F858,2)</f>
        <v>0</v>
      </c>
      <c r="H858" s="914"/>
    </row>
    <row r="859" spans="1:10" s="1125" customFormat="1" hidden="1">
      <c r="A859" s="914"/>
      <c r="B859" s="913"/>
      <c r="C859" s="849" t="s">
        <v>2032</v>
      </c>
      <c r="D859" s="917"/>
      <c r="E859" s="917"/>
      <c r="F859" s="815"/>
      <c r="G859" s="816"/>
      <c r="H859" s="914"/>
    </row>
    <row r="860" spans="1:10" s="1125" customFormat="1" hidden="1">
      <c r="A860" s="914"/>
      <c r="B860" s="914"/>
      <c r="C860" s="820" t="s">
        <v>2033</v>
      </c>
      <c r="D860" s="917"/>
      <c r="E860" s="917"/>
      <c r="F860" s="815"/>
      <c r="G860" s="816">
        <f>SUM(G851:G859)</f>
        <v>20463</v>
      </c>
      <c r="H860" s="914"/>
    </row>
    <row r="861" spans="1:10" s="1125" customFormat="1" hidden="1">
      <c r="A861" s="914"/>
      <c r="B861" s="917"/>
      <c r="C861" s="820" t="s">
        <v>2034</v>
      </c>
      <c r="D861" s="917"/>
      <c r="E861" s="917"/>
      <c r="F861" s="815"/>
      <c r="G861" s="821">
        <f>CEILING(G860/60,0.05)</f>
        <v>341.05</v>
      </c>
      <c r="H861" s="914"/>
    </row>
    <row r="862" spans="1:10" s="1125" customFormat="1" hidden="1">
      <c r="A862" s="914"/>
      <c r="B862" s="917"/>
      <c r="C862" s="914"/>
      <c r="D862" s="914"/>
      <c r="E862" s="914"/>
      <c r="F862" s="774"/>
      <c r="G862" s="832"/>
      <c r="H862" s="914"/>
    </row>
    <row r="863" spans="1:10" s="1125" customFormat="1" ht="12.75" hidden="1" customHeight="1">
      <c r="A863" s="914">
        <v>36</v>
      </c>
      <c r="B863" s="917">
        <v>48</v>
      </c>
      <c r="C863" s="905" t="s">
        <v>2035</v>
      </c>
      <c r="D863" s="905"/>
      <c r="E863" s="905"/>
      <c r="F863" s="905"/>
      <c r="G863" s="905"/>
      <c r="H863" s="914"/>
    </row>
    <row r="864" spans="1:10" s="1125" customFormat="1" hidden="1">
      <c r="A864" s="914"/>
      <c r="B864" s="913"/>
      <c r="C864" s="844" t="s">
        <v>1744</v>
      </c>
      <c r="D864" s="917"/>
      <c r="E864" s="917"/>
      <c r="F864" s="815"/>
      <c r="G864" s="816"/>
      <c r="H864" s="914"/>
    </row>
    <row r="865" spans="1:10" s="1125" customFormat="1" hidden="1">
      <c r="A865" s="914"/>
      <c r="B865" s="917" t="s">
        <v>2019</v>
      </c>
      <c r="C865" s="905" t="s">
        <v>2036</v>
      </c>
      <c r="D865" s="917" t="s">
        <v>644</v>
      </c>
      <c r="E865" s="917">
        <v>27</v>
      </c>
      <c r="F865" s="815">
        <v>250</v>
      </c>
      <c r="G865" s="816">
        <f>F865*E865</f>
        <v>6750</v>
      </c>
      <c r="H865" s="917"/>
    </row>
    <row r="866" spans="1:10" s="1125" customFormat="1" hidden="1">
      <c r="A866" s="914"/>
      <c r="B866" s="917" t="s">
        <v>2021</v>
      </c>
      <c r="C866" s="849" t="s">
        <v>2037</v>
      </c>
      <c r="D866" s="917" t="s">
        <v>2023</v>
      </c>
      <c r="E866" s="917">
        <v>0.92</v>
      </c>
      <c r="F866" s="815">
        <v>4000</v>
      </c>
      <c r="G866" s="816">
        <f>F866*E866</f>
        <v>3680</v>
      </c>
      <c r="H866" s="917"/>
    </row>
    <row r="867" spans="1:10" s="1125" customFormat="1" hidden="1">
      <c r="A867" s="914"/>
      <c r="B867" s="917" t="s">
        <v>2024</v>
      </c>
      <c r="C867" s="849" t="s">
        <v>2038</v>
      </c>
      <c r="D867" s="917" t="s">
        <v>644</v>
      </c>
      <c r="E867" s="917">
        <v>6</v>
      </c>
      <c r="F867" s="815">
        <v>600</v>
      </c>
      <c r="G867" s="816">
        <f>F867*E867</f>
        <v>3600</v>
      </c>
      <c r="H867" s="917"/>
    </row>
    <row r="868" spans="1:10" s="1125" customFormat="1" hidden="1">
      <c r="A868" s="914"/>
      <c r="B868" s="917" t="s">
        <v>1771</v>
      </c>
      <c r="C868" s="849" t="s">
        <v>2026</v>
      </c>
      <c r="D868" s="917" t="s">
        <v>328</v>
      </c>
      <c r="E868" s="917">
        <v>25</v>
      </c>
      <c r="F868" s="815">
        <v>8</v>
      </c>
      <c r="G868" s="816">
        <f>F868*E868</f>
        <v>200</v>
      </c>
      <c r="H868" s="917"/>
    </row>
    <row r="869" spans="1:10" s="1125" customFormat="1" hidden="1">
      <c r="A869" s="914"/>
      <c r="B869" s="917" t="s">
        <v>2027</v>
      </c>
      <c r="C869" s="849" t="s">
        <v>2028</v>
      </c>
      <c r="D869" s="917" t="s">
        <v>331</v>
      </c>
      <c r="E869" s="917">
        <v>12</v>
      </c>
      <c r="F869" s="815">
        <v>102</v>
      </c>
      <c r="G869" s="816">
        <f>F869*E869</f>
        <v>1224</v>
      </c>
      <c r="H869" s="917"/>
    </row>
    <row r="870" spans="1:10" s="1125" customFormat="1" hidden="1">
      <c r="A870" s="914"/>
      <c r="B870" s="917"/>
      <c r="C870" s="849"/>
      <c r="D870" s="917"/>
      <c r="E870" s="917"/>
      <c r="F870" s="815"/>
      <c r="G870" s="816">
        <f>SUM(G865:G869)</f>
        <v>15454</v>
      </c>
      <c r="H870" s="917"/>
    </row>
    <row r="871" spans="1:10" s="1125" customFormat="1" hidden="1">
      <c r="A871" s="914"/>
      <c r="B871" s="917"/>
      <c r="C871" s="905" t="s">
        <v>1754</v>
      </c>
      <c r="D871" s="819">
        <f>$D$4</f>
        <v>0</v>
      </c>
      <c r="E871" s="917"/>
      <c r="F871" s="815"/>
      <c r="G871" s="816">
        <f>ROUND(G870*D871,2)</f>
        <v>0</v>
      </c>
      <c r="H871" s="917"/>
    </row>
    <row r="872" spans="1:10" s="1125" customFormat="1" hidden="1">
      <c r="A872" s="914"/>
      <c r="B872" s="917"/>
      <c r="C872" s="905" t="s">
        <v>1777</v>
      </c>
      <c r="D872" s="917"/>
      <c r="E872" s="917"/>
      <c r="F872" s="815"/>
      <c r="G872" s="816">
        <f>SUM(G870:G871)</f>
        <v>15454</v>
      </c>
      <c r="H872" s="917"/>
    </row>
    <row r="873" spans="1:10" s="1125" customFormat="1" hidden="1">
      <c r="A873" s="914"/>
      <c r="B873" s="917"/>
      <c r="C873" s="820" t="s">
        <v>2029</v>
      </c>
      <c r="D873" s="917"/>
      <c r="E873" s="917"/>
      <c r="F873" s="815"/>
      <c r="G873" s="816"/>
      <c r="H873" s="917"/>
    </row>
    <row r="874" spans="1:10" s="1125" customFormat="1" ht="24.6" hidden="1">
      <c r="A874" s="914"/>
      <c r="B874" s="917"/>
      <c r="C874" s="911" t="s">
        <v>2030</v>
      </c>
      <c r="D874" s="917" t="s">
        <v>331</v>
      </c>
      <c r="E874" s="917">
        <v>2.5</v>
      </c>
      <c r="F874" s="815">
        <f>F876</f>
        <v>515</v>
      </c>
      <c r="G874" s="816">
        <f>F874*E874</f>
        <v>1287.5</v>
      </c>
      <c r="H874" s="917"/>
    </row>
    <row r="875" spans="1:10" s="1125" customFormat="1" hidden="1">
      <c r="A875" s="914"/>
      <c r="B875" s="913"/>
      <c r="C875" s="782" t="s">
        <v>1733</v>
      </c>
      <c r="D875" s="917" t="s">
        <v>594</v>
      </c>
      <c r="E875" s="917">
        <v>1</v>
      </c>
      <c r="F875" s="914">
        <f>H3</f>
        <v>620</v>
      </c>
      <c r="G875" s="816">
        <f>F875*E875</f>
        <v>620</v>
      </c>
      <c r="H875" s="917"/>
      <c r="J875" s="914">
        <f>$H$3</f>
        <v>620</v>
      </c>
    </row>
    <row r="876" spans="1:10" s="1125" customFormat="1" hidden="1">
      <c r="A876" s="914"/>
      <c r="B876" s="913"/>
      <c r="C876" s="782" t="s">
        <v>330</v>
      </c>
      <c r="D876" s="917" t="s">
        <v>594</v>
      </c>
      <c r="E876" s="917">
        <v>2</v>
      </c>
      <c r="F876" s="914">
        <f>H5</f>
        <v>515</v>
      </c>
      <c r="G876" s="816">
        <f>F876*E876</f>
        <v>1030</v>
      </c>
      <c r="H876" s="914"/>
      <c r="J876" s="914">
        <f>$H$4</f>
        <v>515</v>
      </c>
    </row>
    <row r="877" spans="1:10" s="1125" customFormat="1" ht="24.6" hidden="1">
      <c r="A877" s="914"/>
      <c r="B877" s="917"/>
      <c r="C877" s="911" t="s">
        <v>2031</v>
      </c>
      <c r="D877" s="917" t="s">
        <v>594</v>
      </c>
      <c r="E877" s="917">
        <v>2</v>
      </c>
      <c r="F877" s="815">
        <f>F876</f>
        <v>515</v>
      </c>
      <c r="G877" s="816">
        <f>F877*E877</f>
        <v>1030</v>
      </c>
      <c r="H877" s="914"/>
      <c r="J877" s="914">
        <f>$H$5</f>
        <v>515</v>
      </c>
    </row>
    <row r="878" spans="1:10" s="1125" customFormat="1" hidden="1">
      <c r="A878" s="914"/>
      <c r="B878" s="917"/>
      <c r="C878" s="820" t="s">
        <v>1760</v>
      </c>
      <c r="D878" s="771">
        <f>$D$3</f>
        <v>0</v>
      </c>
      <c r="E878" s="914"/>
      <c r="F878" s="815"/>
      <c r="G878" s="821">
        <f>ROUND(D878*(G877+G876+G875+G874),2)</f>
        <v>0</v>
      </c>
      <c r="H878" s="914"/>
    </row>
    <row r="879" spans="1:10" s="1125" customFormat="1" hidden="1">
      <c r="A879" s="914"/>
      <c r="B879" s="914"/>
      <c r="C879" s="905" t="s">
        <v>1761</v>
      </c>
      <c r="D879" s="772">
        <f>D$5</f>
        <v>0</v>
      </c>
      <c r="E879" s="914"/>
      <c r="F879" s="815">
        <v>1720</v>
      </c>
      <c r="G879" s="821">
        <f>ROUND(D879*F879,2)</f>
        <v>0</v>
      </c>
      <c r="H879" s="914"/>
    </row>
    <row r="880" spans="1:10" s="1125" customFormat="1" hidden="1">
      <c r="A880" s="914"/>
      <c r="B880" s="913"/>
      <c r="C880" s="849" t="s">
        <v>2032</v>
      </c>
      <c r="D880" s="917"/>
      <c r="E880" s="917"/>
      <c r="F880" s="815"/>
      <c r="G880" s="816"/>
      <c r="H880" s="914"/>
    </row>
    <row r="881" spans="1:8" s="1125" customFormat="1" hidden="1">
      <c r="A881" s="914"/>
      <c r="B881" s="914"/>
      <c r="C881" s="820" t="s">
        <v>2039</v>
      </c>
      <c r="D881" s="917"/>
      <c r="E881" s="917"/>
      <c r="F881" s="815"/>
      <c r="G881" s="816">
        <f>SUM(G872:G880)</f>
        <v>19421.5</v>
      </c>
      <c r="H881" s="914"/>
    </row>
    <row r="882" spans="1:8" s="1125" customFormat="1" hidden="1">
      <c r="A882" s="914"/>
      <c r="B882" s="917"/>
      <c r="C882" s="820" t="s">
        <v>2034</v>
      </c>
      <c r="D882" s="917"/>
      <c r="E882" s="917"/>
      <c r="F882" s="815"/>
      <c r="G882" s="821">
        <f>CEILING(G881/100,0.05)</f>
        <v>194.25</v>
      </c>
      <c r="H882" s="914"/>
    </row>
    <row r="883" spans="1:8" s="1125" customFormat="1" hidden="1">
      <c r="A883" s="914"/>
      <c r="B883" s="917"/>
      <c r="C883" s="914"/>
      <c r="D883" s="914"/>
      <c r="E883" s="914"/>
      <c r="F883" s="774"/>
      <c r="G883" s="832"/>
      <c r="H883" s="914"/>
    </row>
    <row r="884" spans="1:8" s="1125" customFormat="1" ht="12.75" hidden="1" customHeight="1">
      <c r="A884" s="914">
        <f>A863+1</f>
        <v>37</v>
      </c>
      <c r="B884" s="917">
        <v>49</v>
      </c>
      <c r="C884" s="905" t="s">
        <v>291</v>
      </c>
      <c r="D884" s="905"/>
      <c r="E884" s="905"/>
      <c r="F884" s="905"/>
      <c r="G884" s="905"/>
      <c r="H884" s="914"/>
    </row>
    <row r="885" spans="1:8" s="1125" customFormat="1" hidden="1">
      <c r="A885" s="914"/>
      <c r="B885" s="917"/>
      <c r="C885" s="817" t="s">
        <v>1744</v>
      </c>
      <c r="D885" s="917"/>
      <c r="E885" s="917"/>
      <c r="F885" s="815"/>
      <c r="G885" s="816"/>
      <c r="H885" s="914"/>
    </row>
    <row r="886" spans="1:8" s="1125" customFormat="1" hidden="1">
      <c r="A886" s="914"/>
      <c r="B886" s="917" t="s">
        <v>2040</v>
      </c>
      <c r="C886" s="905" t="s">
        <v>2041</v>
      </c>
      <c r="D886" s="917" t="s">
        <v>607</v>
      </c>
      <c r="E886" s="917">
        <v>100</v>
      </c>
      <c r="F886" s="815">
        <v>2.11</v>
      </c>
      <c r="G886" s="816">
        <f>F886*E886</f>
        <v>211</v>
      </c>
      <c r="H886" s="914"/>
    </row>
    <row r="887" spans="1:8" s="1125" customFormat="1" hidden="1">
      <c r="A887" s="914"/>
      <c r="B887" s="917" t="s">
        <v>2042</v>
      </c>
      <c r="C887" s="905" t="s">
        <v>2043</v>
      </c>
      <c r="D887" s="917" t="s">
        <v>2044</v>
      </c>
      <c r="E887" s="917">
        <v>2</v>
      </c>
      <c r="F887" s="815">
        <v>385</v>
      </c>
      <c r="G887" s="816">
        <f>F887*E887</f>
        <v>770</v>
      </c>
      <c r="H887" s="914"/>
    </row>
    <row r="888" spans="1:8" s="1125" customFormat="1" hidden="1">
      <c r="A888" s="914"/>
      <c r="B888" s="917" t="s">
        <v>2045</v>
      </c>
      <c r="C888" s="905" t="s">
        <v>2046</v>
      </c>
      <c r="D888" s="917" t="s">
        <v>2044</v>
      </c>
      <c r="E888" s="917">
        <v>4</v>
      </c>
      <c r="F888" s="815">
        <v>68</v>
      </c>
      <c r="G888" s="816">
        <f>F888*E888</f>
        <v>272</v>
      </c>
      <c r="H888" s="914"/>
    </row>
    <row r="889" spans="1:8" s="1125" customFormat="1" hidden="1">
      <c r="A889" s="914"/>
      <c r="B889" s="917" t="s">
        <v>1898</v>
      </c>
      <c r="C889" s="905" t="s">
        <v>2047</v>
      </c>
      <c r="D889" s="917" t="s">
        <v>236</v>
      </c>
      <c r="E889" s="917">
        <v>7</v>
      </c>
      <c r="F889" s="815">
        <v>80</v>
      </c>
      <c r="G889" s="816">
        <f>F889*E889</f>
        <v>560</v>
      </c>
      <c r="H889" s="914"/>
    </row>
    <row r="890" spans="1:8" s="1125" customFormat="1" hidden="1">
      <c r="A890" s="914"/>
      <c r="B890" s="917"/>
      <c r="C890" s="905"/>
      <c r="D890" s="917"/>
      <c r="E890" s="917"/>
      <c r="F890" s="815"/>
      <c r="G890" s="816">
        <f>SUM(G886:G889)</f>
        <v>1813</v>
      </c>
      <c r="H890" s="914"/>
    </row>
    <row r="891" spans="1:8" s="1125" customFormat="1" hidden="1">
      <c r="A891" s="914"/>
      <c r="B891" s="917"/>
      <c r="C891" s="905" t="s">
        <v>1754</v>
      </c>
      <c r="D891" s="819">
        <f>$D$4</f>
        <v>0</v>
      </c>
      <c r="E891" s="917"/>
      <c r="F891" s="815"/>
      <c r="G891" s="816">
        <f>ROUND(G890*D891,2)</f>
        <v>0</v>
      </c>
      <c r="H891" s="914"/>
    </row>
    <row r="892" spans="1:8" s="1125" customFormat="1" hidden="1">
      <c r="A892" s="914"/>
      <c r="B892" s="917"/>
      <c r="C892" s="905" t="s">
        <v>1755</v>
      </c>
      <c r="D892" s="917"/>
      <c r="E892" s="917"/>
      <c r="F892" s="815"/>
      <c r="G892" s="816">
        <f>SUM(G890:G891)</f>
        <v>1813</v>
      </c>
      <c r="H892" s="914"/>
    </row>
    <row r="893" spans="1:8" s="1125" customFormat="1" hidden="1">
      <c r="A893" s="914"/>
      <c r="B893" s="917"/>
      <c r="C893" s="820" t="s">
        <v>1778</v>
      </c>
      <c r="D893" s="917"/>
      <c r="E893" s="917"/>
      <c r="F893" s="815"/>
      <c r="G893" s="816"/>
      <c r="H893" s="914"/>
    </row>
    <row r="894" spans="1:8" s="1125" customFormat="1" hidden="1">
      <c r="A894" s="914"/>
      <c r="B894" s="913"/>
      <c r="C894" s="782" t="s">
        <v>1733</v>
      </c>
      <c r="D894" s="917" t="s">
        <v>594</v>
      </c>
      <c r="E894" s="917">
        <v>1</v>
      </c>
      <c r="F894" s="914">
        <f>$H$3</f>
        <v>620</v>
      </c>
      <c r="G894" s="816">
        <f>F894*E894</f>
        <v>620</v>
      </c>
      <c r="H894" s="914"/>
    </row>
    <row r="895" spans="1:8" s="1125" customFormat="1" hidden="1">
      <c r="A895" s="914"/>
      <c r="B895" s="913"/>
      <c r="C895" s="782" t="s">
        <v>330</v>
      </c>
      <c r="D895" s="917" t="s">
        <v>594</v>
      </c>
      <c r="E895" s="917">
        <v>4</v>
      </c>
      <c r="F895" s="914">
        <f>$H$5</f>
        <v>515</v>
      </c>
      <c r="G895" s="816">
        <f>F895*E895</f>
        <v>2060</v>
      </c>
      <c r="H895" s="914"/>
    </row>
    <row r="896" spans="1:8" s="1125" customFormat="1" hidden="1">
      <c r="A896" s="914"/>
      <c r="B896" s="917"/>
      <c r="C896" s="820" t="s">
        <v>1760</v>
      </c>
      <c r="D896" s="771">
        <f>$D$3</f>
        <v>0</v>
      </c>
      <c r="E896" s="914"/>
      <c r="F896" s="815"/>
      <c r="G896" s="821">
        <f>ROUND(D896*(G895+G894),2)</f>
        <v>0</v>
      </c>
      <c r="H896" s="914"/>
    </row>
    <row r="897" spans="1:8" s="1125" customFormat="1" hidden="1">
      <c r="A897" s="914"/>
      <c r="B897" s="917"/>
      <c r="C897" s="905" t="s">
        <v>1761</v>
      </c>
      <c r="D897" s="772">
        <f>D$5</f>
        <v>0</v>
      </c>
      <c r="E897" s="914"/>
      <c r="F897" s="815">
        <f>SUM(G893:G896)</f>
        <v>2680</v>
      </c>
      <c r="G897" s="821">
        <f>ROUND(D897*F897,2)</f>
        <v>0</v>
      </c>
      <c r="H897" s="914"/>
    </row>
    <row r="898" spans="1:8" s="1125" customFormat="1" hidden="1">
      <c r="A898" s="914"/>
      <c r="B898" s="917"/>
      <c r="C898" s="905" t="s">
        <v>2048</v>
      </c>
      <c r="D898" s="917"/>
      <c r="E898" s="917"/>
      <c r="F898" s="815"/>
      <c r="G898" s="816">
        <v>0</v>
      </c>
      <c r="H898" s="914"/>
    </row>
    <row r="899" spans="1:8" s="1125" customFormat="1" hidden="1">
      <c r="A899" s="914"/>
      <c r="B899" s="917"/>
      <c r="C899" s="820" t="s">
        <v>1931</v>
      </c>
      <c r="D899" s="917"/>
      <c r="E899" s="917"/>
      <c r="F899" s="815"/>
      <c r="G899" s="816">
        <f>SUM(G892:G898)</f>
        <v>4493</v>
      </c>
      <c r="H899" s="914"/>
    </row>
    <row r="900" spans="1:8" s="1125" customFormat="1" hidden="1">
      <c r="A900" s="914"/>
      <c r="B900" s="917"/>
      <c r="C900" s="820" t="s">
        <v>2049</v>
      </c>
      <c r="D900" s="917"/>
      <c r="E900" s="917"/>
      <c r="F900" s="815"/>
      <c r="G900" s="821">
        <f>CEILING(G899/100,0.05)</f>
        <v>44.95</v>
      </c>
      <c r="H900" s="914"/>
    </row>
    <row r="901" spans="1:8" s="1125" customFormat="1" hidden="1">
      <c r="A901" s="914"/>
      <c r="B901" s="917"/>
      <c r="C901" s="914"/>
      <c r="D901" s="914"/>
      <c r="E901" s="914"/>
      <c r="F901" s="774"/>
      <c r="G901" s="832"/>
      <c r="H901" s="914"/>
    </row>
    <row r="902" spans="1:8" s="791" customFormat="1" hidden="1">
      <c r="A902" s="776">
        <f>A884+1</f>
        <v>38</v>
      </c>
      <c r="B902" s="784"/>
      <c r="C902" s="908" t="s">
        <v>2050</v>
      </c>
      <c r="D902" s="908"/>
      <c r="E902" s="908"/>
      <c r="F902" s="908"/>
      <c r="G902" s="908"/>
      <c r="H902" s="908"/>
    </row>
    <row r="903" spans="1:8" s="791" customFormat="1" ht="12.75" hidden="1" customHeight="1">
      <c r="A903" s="790" t="s">
        <v>642</v>
      </c>
      <c r="B903" s="787"/>
      <c r="C903" s="905" t="s">
        <v>2166</v>
      </c>
      <c r="D903" s="905"/>
      <c r="E903" s="905"/>
      <c r="F903" s="905"/>
      <c r="G903" s="905"/>
      <c r="H903" s="905"/>
    </row>
    <row r="904" spans="1:8" s="791" customFormat="1" hidden="1">
      <c r="A904" s="790"/>
      <c r="B904" s="784"/>
      <c r="C904" s="854" t="s">
        <v>2052</v>
      </c>
      <c r="D904" s="855"/>
      <c r="E904" s="840"/>
      <c r="F904" s="856"/>
      <c r="G904" s="840"/>
      <c r="H904" s="857"/>
    </row>
    <row r="905" spans="1:8" s="791" customFormat="1" hidden="1">
      <c r="A905" s="790"/>
      <c r="B905" s="784">
        <v>1</v>
      </c>
      <c r="C905" s="840" t="s">
        <v>2053</v>
      </c>
      <c r="D905" s="858">
        <v>2.7E-2</v>
      </c>
      <c r="E905" s="859" t="s">
        <v>594</v>
      </c>
      <c r="F905" s="914">
        <f>$H$3</f>
        <v>620</v>
      </c>
      <c r="G905" s="845">
        <f>F905*D905</f>
        <v>16.739999999999998</v>
      </c>
      <c r="H905" s="860"/>
    </row>
    <row r="906" spans="1:8" s="791" customFormat="1" hidden="1">
      <c r="A906" s="790"/>
      <c r="B906" s="784">
        <v>2</v>
      </c>
      <c r="C906" s="840" t="s">
        <v>2054</v>
      </c>
      <c r="D906" s="858">
        <v>0.02</v>
      </c>
      <c r="E906" s="859" t="s">
        <v>594</v>
      </c>
      <c r="F906" s="914">
        <f>$H$4</f>
        <v>515</v>
      </c>
      <c r="G906" s="845">
        <f>F906*D906</f>
        <v>10.3</v>
      </c>
      <c r="H906" s="860"/>
    </row>
    <row r="907" spans="1:8" s="791" customFormat="1" hidden="1">
      <c r="A907" s="790"/>
      <c r="B907" s="784">
        <v>3</v>
      </c>
      <c r="C907" s="840" t="s">
        <v>1901</v>
      </c>
      <c r="D907" s="858">
        <v>0.02</v>
      </c>
      <c r="E907" s="859" t="s">
        <v>594</v>
      </c>
      <c r="F907" s="914">
        <f>$H$5</f>
        <v>515</v>
      </c>
      <c r="G907" s="845">
        <f>F907*D907</f>
        <v>10.3</v>
      </c>
      <c r="H907" s="860"/>
    </row>
    <row r="908" spans="1:8" s="791" customFormat="1" hidden="1">
      <c r="A908" s="790"/>
      <c r="B908" s="784"/>
      <c r="C908" s="861" t="s">
        <v>2055</v>
      </c>
      <c r="D908" s="855"/>
      <c r="E908" s="859"/>
      <c r="F908" s="857"/>
      <c r="G908" s="845">
        <f>SUM(G905:G907)</f>
        <v>37.340000000000003</v>
      </c>
      <c r="H908" s="857"/>
    </row>
    <row r="909" spans="1:8" s="791" customFormat="1" hidden="1">
      <c r="A909" s="790"/>
      <c r="B909" s="784"/>
      <c r="C909" s="912" t="s">
        <v>1744</v>
      </c>
      <c r="D909" s="855"/>
      <c r="E909" s="859"/>
      <c r="F909" s="857"/>
      <c r="G909" s="845"/>
      <c r="H909" s="857"/>
    </row>
    <row r="910" spans="1:8" s="791" customFormat="1" hidden="1">
      <c r="A910" s="790"/>
      <c r="B910" s="784" t="s">
        <v>2056</v>
      </c>
      <c r="C910" s="907" t="s">
        <v>2167</v>
      </c>
      <c r="D910" s="855">
        <v>1</v>
      </c>
      <c r="E910" s="840" t="s">
        <v>327</v>
      </c>
      <c r="F910" s="857">
        <v>109</v>
      </c>
      <c r="G910" s="845">
        <f>F910*D910</f>
        <v>109</v>
      </c>
      <c r="H910" s="857"/>
    </row>
    <row r="911" spans="1:8" s="791" customFormat="1" hidden="1">
      <c r="A911" s="790"/>
      <c r="B911" s="784" t="s">
        <v>2058</v>
      </c>
      <c r="C911" s="907" t="s">
        <v>2059</v>
      </c>
      <c r="D911" s="855">
        <v>4</v>
      </c>
      <c r="E911" s="840" t="s">
        <v>327</v>
      </c>
      <c r="F911" s="857">
        <v>14</v>
      </c>
      <c r="G911" s="845">
        <f>F911*D911</f>
        <v>56</v>
      </c>
      <c r="H911" s="857"/>
    </row>
    <row r="912" spans="1:8" s="791" customFormat="1" hidden="1">
      <c r="A912" s="790"/>
      <c r="B912" s="784"/>
      <c r="C912" s="907"/>
      <c r="D912" s="855"/>
      <c r="E912" s="840"/>
      <c r="F912" s="862"/>
      <c r="G912" s="863">
        <f>SUM(G910:G911)</f>
        <v>165</v>
      </c>
      <c r="H912" s="857"/>
    </row>
    <row r="913" spans="1:8" s="791" customFormat="1" hidden="1">
      <c r="A913" s="790"/>
      <c r="B913" s="784"/>
      <c r="C913" s="846" t="s">
        <v>2061</v>
      </c>
      <c r="D913" s="855"/>
      <c r="E913" s="907"/>
      <c r="F913" s="862"/>
      <c r="G913" s="864">
        <f>ROUNDDOWN(G912+G908,0)</f>
        <v>202</v>
      </c>
      <c r="H913" s="862"/>
    </row>
    <row r="914" spans="1:8" s="791" customFormat="1" hidden="1">
      <c r="A914" s="790"/>
      <c r="B914" s="788"/>
      <c r="C914" s="865" t="s">
        <v>2062</v>
      </c>
      <c r="D914" s="866">
        <f>$D$5</f>
        <v>0</v>
      </c>
      <c r="E914" s="867"/>
      <c r="F914" s="862" t="s">
        <v>2063</v>
      </c>
      <c r="G914" s="863">
        <f>G913*D914</f>
        <v>0</v>
      </c>
      <c r="H914" s="862"/>
    </row>
    <row r="915" spans="1:8" s="791" customFormat="1" hidden="1">
      <c r="A915" s="790"/>
      <c r="B915" s="788"/>
      <c r="C915" s="868"/>
      <c r="D915" s="869"/>
      <c r="E915" s="867"/>
      <c r="F915" s="870" t="s">
        <v>279</v>
      </c>
      <c r="G915" s="863">
        <f>SUM(G913:G914)</f>
        <v>202</v>
      </c>
      <c r="H915" s="862"/>
    </row>
    <row r="916" spans="1:8" s="791" customFormat="1" hidden="1">
      <c r="A916" s="790"/>
      <c r="B916" s="788"/>
      <c r="C916" s="871" t="s">
        <v>1101</v>
      </c>
      <c r="D916" s="869"/>
      <c r="E916" s="867"/>
      <c r="F916" s="872"/>
      <c r="G916" s="873">
        <f>ROUND(G915,0)</f>
        <v>202</v>
      </c>
      <c r="H916" s="870"/>
    </row>
    <row r="917" spans="1:8" s="791" customFormat="1" hidden="1">
      <c r="A917" s="790"/>
      <c r="B917" s="788"/>
      <c r="C917" s="865"/>
      <c r="D917" s="869"/>
      <c r="E917" s="867"/>
      <c r="F917" s="872"/>
      <c r="G917" s="867"/>
      <c r="H917" s="873"/>
    </row>
    <row r="918" spans="1:8" s="791" customFormat="1" ht="12.75" hidden="1" customHeight="1">
      <c r="A918" s="790" t="s">
        <v>2</v>
      </c>
      <c r="B918" s="787"/>
      <c r="C918" s="905" t="s">
        <v>2051</v>
      </c>
      <c r="D918" s="905"/>
      <c r="E918" s="905"/>
      <c r="F918" s="905"/>
      <c r="G918" s="905"/>
      <c r="H918" s="905"/>
    </row>
    <row r="919" spans="1:8" s="791" customFormat="1" hidden="1">
      <c r="A919" s="790"/>
      <c r="B919" s="784"/>
      <c r="C919" s="854" t="s">
        <v>2052</v>
      </c>
      <c r="D919" s="855"/>
      <c r="E919" s="840"/>
      <c r="F919" s="856"/>
      <c r="G919" s="840"/>
      <c r="H919" s="857"/>
    </row>
    <row r="920" spans="1:8" s="791" customFormat="1" hidden="1">
      <c r="A920" s="790"/>
      <c r="B920" s="784">
        <v>1</v>
      </c>
      <c r="C920" s="840" t="s">
        <v>2053</v>
      </c>
      <c r="D920" s="858">
        <v>2.7E-2</v>
      </c>
      <c r="E920" s="859" t="s">
        <v>594</v>
      </c>
      <c r="F920" s="914">
        <f>$H$3</f>
        <v>620</v>
      </c>
      <c r="G920" s="845">
        <f>F920*D920</f>
        <v>16.739999999999998</v>
      </c>
      <c r="H920" s="860"/>
    </row>
    <row r="921" spans="1:8" s="791" customFormat="1" hidden="1">
      <c r="A921" s="790"/>
      <c r="B921" s="784">
        <v>2</v>
      </c>
      <c r="C921" s="840" t="s">
        <v>2054</v>
      </c>
      <c r="D921" s="858">
        <v>0.02</v>
      </c>
      <c r="E921" s="859" t="s">
        <v>594</v>
      </c>
      <c r="F921" s="914">
        <f>$H$4</f>
        <v>515</v>
      </c>
      <c r="G921" s="845">
        <f>F921*D921</f>
        <v>10.3</v>
      </c>
      <c r="H921" s="860"/>
    </row>
    <row r="922" spans="1:8" s="791" customFormat="1" hidden="1">
      <c r="A922" s="790"/>
      <c r="B922" s="784">
        <v>3</v>
      </c>
      <c r="C922" s="840" t="s">
        <v>1901</v>
      </c>
      <c r="D922" s="858">
        <v>0.02</v>
      </c>
      <c r="E922" s="859" t="s">
        <v>594</v>
      </c>
      <c r="F922" s="914">
        <f>$H$5</f>
        <v>515</v>
      </c>
      <c r="G922" s="845">
        <f>F922*D922</f>
        <v>10.3</v>
      </c>
      <c r="H922" s="860"/>
    </row>
    <row r="923" spans="1:8" s="791" customFormat="1" hidden="1">
      <c r="A923" s="790"/>
      <c r="B923" s="784"/>
      <c r="C923" s="861" t="s">
        <v>2055</v>
      </c>
      <c r="D923" s="855"/>
      <c r="E923" s="859"/>
      <c r="F923" s="857"/>
      <c r="G923" s="845">
        <f>SUM(G920:G922)</f>
        <v>37.340000000000003</v>
      </c>
      <c r="H923" s="857"/>
    </row>
    <row r="924" spans="1:8" s="791" customFormat="1" hidden="1">
      <c r="A924" s="790"/>
      <c r="B924" s="784"/>
      <c r="C924" s="912" t="s">
        <v>1744</v>
      </c>
      <c r="D924" s="855"/>
      <c r="E924" s="859"/>
      <c r="F924" s="857"/>
      <c r="G924" s="845"/>
      <c r="H924" s="857"/>
    </row>
    <row r="925" spans="1:8" s="791" customFormat="1" ht="24.6" hidden="1">
      <c r="A925" s="790"/>
      <c r="B925" s="784" t="s">
        <v>2056</v>
      </c>
      <c r="C925" s="907" t="s">
        <v>2057</v>
      </c>
      <c r="D925" s="855">
        <v>1</v>
      </c>
      <c r="E925" s="840" t="s">
        <v>327</v>
      </c>
      <c r="F925" s="857">
        <v>157</v>
      </c>
      <c r="G925" s="845">
        <f>F925*D925</f>
        <v>157</v>
      </c>
      <c r="H925" s="857"/>
    </row>
    <row r="926" spans="1:8" s="791" customFormat="1" hidden="1">
      <c r="A926" s="790"/>
      <c r="B926" s="784" t="s">
        <v>2058</v>
      </c>
      <c r="C926" s="907" t="s">
        <v>2059</v>
      </c>
      <c r="D926" s="855">
        <v>1</v>
      </c>
      <c r="E926" s="840" t="s">
        <v>327</v>
      </c>
      <c r="F926" s="857">
        <v>14</v>
      </c>
      <c r="G926" s="845">
        <f>F926*D926</f>
        <v>14</v>
      </c>
      <c r="H926" s="857"/>
    </row>
    <row r="927" spans="1:8" s="791" customFormat="1" hidden="1">
      <c r="A927" s="790"/>
      <c r="B927" s="784" t="s">
        <v>2058</v>
      </c>
      <c r="C927" s="907" t="s">
        <v>2060</v>
      </c>
      <c r="D927" s="855">
        <v>3</v>
      </c>
      <c r="E927" s="840" t="s">
        <v>327</v>
      </c>
      <c r="F927" s="857">
        <v>16</v>
      </c>
      <c r="G927" s="845">
        <f>F927*D927</f>
        <v>48</v>
      </c>
      <c r="H927" s="857"/>
    </row>
    <row r="928" spans="1:8" s="791" customFormat="1" hidden="1">
      <c r="A928" s="790"/>
      <c r="B928" s="784"/>
      <c r="C928" s="907"/>
      <c r="D928" s="855"/>
      <c r="E928" s="840"/>
      <c r="F928" s="862"/>
      <c r="G928" s="863">
        <f>SUM(G925:G927)</f>
        <v>219</v>
      </c>
      <c r="H928" s="857"/>
    </row>
    <row r="929" spans="1:8" s="791" customFormat="1" hidden="1">
      <c r="A929" s="790"/>
      <c r="B929" s="784"/>
      <c r="C929" s="846" t="s">
        <v>2061</v>
      </c>
      <c r="D929" s="855"/>
      <c r="E929" s="907"/>
      <c r="F929" s="862"/>
      <c r="G929" s="864">
        <f>ROUNDDOWN(G928+G923,0)</f>
        <v>256</v>
      </c>
      <c r="H929" s="862"/>
    </row>
    <row r="930" spans="1:8" s="791" customFormat="1" hidden="1">
      <c r="A930" s="790"/>
      <c r="B930" s="788"/>
      <c r="C930" s="865" t="s">
        <v>2062</v>
      </c>
      <c r="D930" s="866">
        <f>$D$5</f>
        <v>0</v>
      </c>
      <c r="E930" s="867"/>
      <c r="F930" s="862" t="s">
        <v>2063</v>
      </c>
      <c r="G930" s="863">
        <f>G929*D930</f>
        <v>0</v>
      </c>
      <c r="H930" s="862"/>
    </row>
    <row r="931" spans="1:8" s="791" customFormat="1" hidden="1">
      <c r="A931" s="790"/>
      <c r="B931" s="788"/>
      <c r="C931" s="868"/>
      <c r="D931" s="869"/>
      <c r="E931" s="867"/>
      <c r="F931" s="870" t="s">
        <v>279</v>
      </c>
      <c r="G931" s="863">
        <f>SUM(G929:G930)</f>
        <v>256</v>
      </c>
      <c r="H931" s="862"/>
    </row>
    <row r="932" spans="1:8" s="791" customFormat="1" hidden="1">
      <c r="A932" s="790"/>
      <c r="B932" s="788"/>
      <c r="C932" s="871" t="s">
        <v>1101</v>
      </c>
      <c r="D932" s="869"/>
      <c r="E932" s="867"/>
      <c r="F932" s="872"/>
      <c r="G932" s="873">
        <f>ROUND(G931,0)</f>
        <v>256</v>
      </c>
      <c r="H932" s="870"/>
    </row>
    <row r="933" spans="1:8" s="791" customFormat="1" hidden="1">
      <c r="A933" s="790"/>
      <c r="B933" s="788"/>
      <c r="C933" s="871"/>
      <c r="D933" s="869"/>
      <c r="E933" s="867"/>
      <c r="F933" s="872"/>
      <c r="G933" s="867"/>
      <c r="H933" s="870"/>
    </row>
    <row r="934" spans="1:8" s="791" customFormat="1" ht="12.75" hidden="1" customHeight="1">
      <c r="A934" s="790" t="s">
        <v>3</v>
      </c>
      <c r="B934" s="787"/>
      <c r="C934" s="905" t="s">
        <v>2064</v>
      </c>
      <c r="D934" s="905"/>
      <c r="E934" s="905"/>
      <c r="F934" s="905"/>
      <c r="G934" s="905"/>
      <c r="H934" s="910"/>
    </row>
    <row r="935" spans="1:8" s="791" customFormat="1" hidden="1">
      <c r="A935" s="790"/>
      <c r="B935" s="784"/>
      <c r="C935" s="854" t="s">
        <v>2052</v>
      </c>
      <c r="D935" s="855"/>
      <c r="E935" s="840"/>
      <c r="F935" s="856"/>
      <c r="G935" s="840"/>
      <c r="H935" s="857"/>
    </row>
    <row r="936" spans="1:8" s="791" customFormat="1" hidden="1">
      <c r="A936" s="790"/>
      <c r="B936" s="784">
        <v>1</v>
      </c>
      <c r="C936" s="840" t="s">
        <v>2053</v>
      </c>
      <c r="D936" s="858">
        <v>2.7E-2</v>
      </c>
      <c r="E936" s="859" t="s">
        <v>594</v>
      </c>
      <c r="F936" s="914">
        <f>$H$3</f>
        <v>620</v>
      </c>
      <c r="G936" s="845">
        <f>F936*D936</f>
        <v>16.739999999999998</v>
      </c>
      <c r="H936" s="860"/>
    </row>
    <row r="937" spans="1:8" s="791" customFormat="1" hidden="1">
      <c r="A937" s="790"/>
      <c r="B937" s="784">
        <v>2</v>
      </c>
      <c r="C937" s="840" t="s">
        <v>2054</v>
      </c>
      <c r="D937" s="858">
        <v>0.02</v>
      </c>
      <c r="E937" s="859" t="s">
        <v>594</v>
      </c>
      <c r="F937" s="914">
        <f>$H$4</f>
        <v>515</v>
      </c>
      <c r="G937" s="845">
        <f>F937*D937</f>
        <v>10.3</v>
      </c>
      <c r="H937" s="860"/>
    </row>
    <row r="938" spans="1:8" s="791" customFormat="1" hidden="1">
      <c r="A938" s="790"/>
      <c r="B938" s="784">
        <v>3</v>
      </c>
      <c r="C938" s="840" t="s">
        <v>1901</v>
      </c>
      <c r="D938" s="858">
        <v>0.02</v>
      </c>
      <c r="E938" s="859" t="s">
        <v>594</v>
      </c>
      <c r="F938" s="914">
        <f>$H$5</f>
        <v>515</v>
      </c>
      <c r="G938" s="845">
        <f>F938*D938</f>
        <v>10.3</v>
      </c>
      <c r="H938" s="860"/>
    </row>
    <row r="939" spans="1:8" s="791" customFormat="1" hidden="1">
      <c r="A939" s="790"/>
      <c r="B939" s="784"/>
      <c r="C939" s="861" t="s">
        <v>2055</v>
      </c>
      <c r="D939" s="855"/>
      <c r="E939" s="859"/>
      <c r="F939" s="857"/>
      <c r="G939" s="845">
        <f>SUM(G936:G938)</f>
        <v>37.340000000000003</v>
      </c>
      <c r="H939" s="857"/>
    </row>
    <row r="940" spans="1:8" s="791" customFormat="1" hidden="1">
      <c r="A940" s="790"/>
      <c r="B940" s="784"/>
      <c r="C940" s="912" t="s">
        <v>1744</v>
      </c>
      <c r="D940" s="855"/>
      <c r="E940" s="859"/>
      <c r="F940" s="857"/>
      <c r="G940" s="845"/>
      <c r="H940" s="857"/>
    </row>
    <row r="941" spans="1:8" s="791" customFormat="1" ht="24.6" hidden="1">
      <c r="A941" s="790"/>
      <c r="B941" s="784" t="s">
        <v>2065</v>
      </c>
      <c r="C941" s="907" t="s">
        <v>2057</v>
      </c>
      <c r="D941" s="855">
        <v>1</v>
      </c>
      <c r="E941" s="840" t="s">
        <v>327</v>
      </c>
      <c r="F941" s="857">
        <f>F925</f>
        <v>157</v>
      </c>
      <c r="G941" s="845">
        <f>F941*D941</f>
        <v>157</v>
      </c>
      <c r="H941" s="857"/>
    </row>
    <row r="942" spans="1:8" s="791" customFormat="1" hidden="1">
      <c r="A942" s="790"/>
      <c r="B942" s="784" t="s">
        <v>2058</v>
      </c>
      <c r="C942" s="907" t="s">
        <v>2059</v>
      </c>
      <c r="D942" s="855">
        <v>1</v>
      </c>
      <c r="E942" s="840" t="s">
        <v>327</v>
      </c>
      <c r="F942" s="857">
        <f>F926</f>
        <v>14</v>
      </c>
      <c r="G942" s="845">
        <f>F942*D942</f>
        <v>14</v>
      </c>
      <c r="H942" s="857"/>
    </row>
    <row r="943" spans="1:8" s="791" customFormat="1" hidden="1">
      <c r="A943" s="790"/>
      <c r="B943" s="784" t="s">
        <v>2058</v>
      </c>
      <c r="C943" s="907" t="s">
        <v>2066</v>
      </c>
      <c r="D943" s="855">
        <v>3</v>
      </c>
      <c r="E943" s="840" t="s">
        <v>327</v>
      </c>
      <c r="F943" s="857">
        <v>19</v>
      </c>
      <c r="G943" s="845">
        <f>F943*D943</f>
        <v>57</v>
      </c>
      <c r="H943" s="857"/>
    </row>
    <row r="944" spans="1:8" s="791" customFormat="1" hidden="1">
      <c r="A944" s="790"/>
      <c r="B944" s="784"/>
      <c r="C944" s="907"/>
      <c r="D944" s="855"/>
      <c r="E944" s="840"/>
      <c r="F944" s="862"/>
      <c r="G944" s="863">
        <f>SUM(G941:G943)</f>
        <v>228</v>
      </c>
      <c r="H944" s="857"/>
    </row>
    <row r="945" spans="1:8" s="791" customFormat="1" hidden="1">
      <c r="A945" s="790"/>
      <c r="B945" s="784"/>
      <c r="C945" s="846" t="s">
        <v>2061</v>
      </c>
      <c r="D945" s="855"/>
      <c r="E945" s="907"/>
      <c r="F945" s="862"/>
      <c r="G945" s="870">
        <f>ROUNDDOWN(G944+G939,0)</f>
        <v>265</v>
      </c>
      <c r="H945" s="862"/>
    </row>
    <row r="946" spans="1:8" s="791" customFormat="1" hidden="1">
      <c r="A946" s="790"/>
      <c r="B946" s="788"/>
      <c r="C946" s="865" t="s">
        <v>2062</v>
      </c>
      <c r="D946" s="866">
        <f>$D$5</f>
        <v>0</v>
      </c>
      <c r="E946" s="867"/>
      <c r="F946" s="862" t="s">
        <v>2063</v>
      </c>
      <c r="G946" s="863">
        <f>G945*D946</f>
        <v>0</v>
      </c>
      <c r="H946" s="862"/>
    </row>
    <row r="947" spans="1:8" s="791" customFormat="1" hidden="1">
      <c r="A947" s="790"/>
      <c r="B947" s="788"/>
      <c r="C947" s="868"/>
      <c r="D947" s="869"/>
      <c r="E947" s="867"/>
      <c r="F947" s="870" t="s">
        <v>279</v>
      </c>
      <c r="G947" s="863">
        <f>SUM(G945:G946)</f>
        <v>265</v>
      </c>
      <c r="H947" s="862"/>
    </row>
    <row r="948" spans="1:8" s="791" customFormat="1" hidden="1">
      <c r="A948" s="790"/>
      <c r="B948" s="788"/>
      <c r="C948" s="871" t="s">
        <v>1101</v>
      </c>
      <c r="D948" s="869"/>
      <c r="E948" s="867"/>
      <c r="F948" s="872"/>
      <c r="G948" s="873">
        <f>ROUND(G947,0)</f>
        <v>265</v>
      </c>
      <c r="H948" s="870"/>
    </row>
    <row r="949" spans="1:8" s="791" customFormat="1" hidden="1">
      <c r="A949" s="790"/>
      <c r="B949" s="788"/>
      <c r="C949" s="865"/>
      <c r="D949" s="869"/>
      <c r="E949" s="867"/>
      <c r="F949" s="872"/>
      <c r="G949" s="867"/>
      <c r="H949" s="873"/>
    </row>
    <row r="950" spans="1:8" s="791" customFormat="1" ht="12.75" hidden="1" customHeight="1">
      <c r="A950" s="790" t="s">
        <v>2</v>
      </c>
      <c r="B950" s="787"/>
      <c r="C950" s="905" t="s">
        <v>2067</v>
      </c>
      <c r="D950" s="905"/>
      <c r="E950" s="905"/>
      <c r="F950" s="905"/>
      <c r="G950" s="905"/>
      <c r="H950" s="910"/>
    </row>
    <row r="951" spans="1:8" s="791" customFormat="1" hidden="1">
      <c r="A951" s="790"/>
      <c r="B951" s="784"/>
      <c r="C951" s="854" t="s">
        <v>2052</v>
      </c>
      <c r="D951" s="855"/>
      <c r="E951" s="840"/>
      <c r="F951" s="856"/>
      <c r="G951" s="840"/>
      <c r="H951" s="857"/>
    </row>
    <row r="952" spans="1:8" s="791" customFormat="1" hidden="1">
      <c r="A952" s="790"/>
      <c r="B952" s="784">
        <v>1</v>
      </c>
      <c r="C952" s="840" t="s">
        <v>2053</v>
      </c>
      <c r="D952" s="858">
        <v>0.02</v>
      </c>
      <c r="E952" s="859" t="s">
        <v>594</v>
      </c>
      <c r="F952" s="914">
        <f>$H$3</f>
        <v>620</v>
      </c>
      <c r="G952" s="845">
        <f>F952*D952</f>
        <v>12.4</v>
      </c>
      <c r="H952" s="860"/>
    </row>
    <row r="953" spans="1:8" s="791" customFormat="1" hidden="1">
      <c r="A953" s="790"/>
      <c r="B953" s="784">
        <v>2</v>
      </c>
      <c r="C953" s="840" t="s">
        <v>2054</v>
      </c>
      <c r="D953" s="858">
        <v>0.02</v>
      </c>
      <c r="E953" s="859" t="s">
        <v>594</v>
      </c>
      <c r="F953" s="914">
        <f>$H$4</f>
        <v>515</v>
      </c>
      <c r="G953" s="845">
        <f>F953*D953</f>
        <v>10.3</v>
      </c>
      <c r="H953" s="860"/>
    </row>
    <row r="954" spans="1:8" s="791" customFormat="1" hidden="1">
      <c r="A954" s="790"/>
      <c r="B954" s="784">
        <v>3</v>
      </c>
      <c r="C954" s="840" t="s">
        <v>1901</v>
      </c>
      <c r="D954" s="858">
        <v>2.8000000000000001E-2</v>
      </c>
      <c r="E954" s="859" t="s">
        <v>594</v>
      </c>
      <c r="F954" s="914">
        <f>$H$5</f>
        <v>515</v>
      </c>
      <c r="G954" s="845">
        <f>F954*D954</f>
        <v>14.42</v>
      </c>
      <c r="H954" s="860"/>
    </row>
    <row r="955" spans="1:8" s="791" customFormat="1" hidden="1">
      <c r="A955" s="790"/>
      <c r="B955" s="784"/>
      <c r="C955" s="861" t="s">
        <v>2055</v>
      </c>
      <c r="D955" s="855"/>
      <c r="E955" s="859"/>
      <c r="F955" s="857"/>
      <c r="G955" s="845">
        <f>SUM(G952:G954)</f>
        <v>37.120000000000005</v>
      </c>
      <c r="H955" s="857"/>
    </row>
    <row r="956" spans="1:8" s="791" customFormat="1" hidden="1">
      <c r="A956" s="790"/>
      <c r="B956" s="784"/>
      <c r="C956" s="912" t="s">
        <v>1744</v>
      </c>
      <c r="D956" s="855"/>
      <c r="E956" s="859"/>
      <c r="F956" s="857"/>
      <c r="G956" s="845"/>
      <c r="H956" s="857"/>
    </row>
    <row r="957" spans="1:8" s="791" customFormat="1" ht="24.6" hidden="1">
      <c r="A957" s="790"/>
      <c r="B957" s="784" t="s">
        <v>2056</v>
      </c>
      <c r="C957" s="907" t="s">
        <v>2057</v>
      </c>
      <c r="D957" s="855">
        <v>1</v>
      </c>
      <c r="E957" s="840" t="s">
        <v>327</v>
      </c>
      <c r="F957" s="857">
        <f>F925</f>
        <v>157</v>
      </c>
      <c r="G957" s="845">
        <f>F957*D957</f>
        <v>157</v>
      </c>
      <c r="H957" s="857"/>
    </row>
    <row r="958" spans="1:8" s="791" customFormat="1" hidden="1">
      <c r="A958" s="790"/>
      <c r="B958" s="784" t="s">
        <v>2058</v>
      </c>
      <c r="C958" s="907" t="s">
        <v>2060</v>
      </c>
      <c r="D958" s="855">
        <v>1</v>
      </c>
      <c r="E958" s="840" t="s">
        <v>327</v>
      </c>
      <c r="F958" s="857">
        <f>F927</f>
        <v>16</v>
      </c>
      <c r="G958" s="845">
        <f>F958*D958</f>
        <v>16</v>
      </c>
      <c r="H958" s="857"/>
    </row>
    <row r="959" spans="1:8" s="791" customFormat="1" hidden="1">
      <c r="A959" s="790"/>
      <c r="B959" s="784" t="s">
        <v>2058</v>
      </c>
      <c r="C959" s="907" t="s">
        <v>2068</v>
      </c>
      <c r="D959" s="855">
        <v>3</v>
      </c>
      <c r="E959" s="840" t="s">
        <v>327</v>
      </c>
      <c r="F959" s="857">
        <v>21</v>
      </c>
      <c r="G959" s="845">
        <f>F959*D959</f>
        <v>63</v>
      </c>
      <c r="H959" s="857"/>
    </row>
    <row r="960" spans="1:8" s="791" customFormat="1" hidden="1">
      <c r="A960" s="790"/>
      <c r="B960" s="784"/>
      <c r="C960" s="907"/>
      <c r="D960" s="855"/>
      <c r="E960" s="840"/>
      <c r="F960" s="862"/>
      <c r="G960" s="863">
        <f>SUM(G957:G959)</f>
        <v>236</v>
      </c>
      <c r="H960" s="857"/>
    </row>
    <row r="961" spans="1:8" s="791" customFormat="1" hidden="1">
      <c r="A961" s="790"/>
      <c r="B961" s="784"/>
      <c r="C961" s="846" t="s">
        <v>2061</v>
      </c>
      <c r="D961" s="855"/>
      <c r="E961" s="907"/>
      <c r="F961" s="862"/>
      <c r="G961" s="870">
        <f>ROUNDDOWN(G960+G955,0)</f>
        <v>273</v>
      </c>
      <c r="H961" s="862"/>
    </row>
    <row r="962" spans="1:8" s="791" customFormat="1" hidden="1">
      <c r="A962" s="790"/>
      <c r="B962" s="788"/>
      <c r="C962" s="865" t="s">
        <v>2062</v>
      </c>
      <c r="D962" s="866">
        <f>$D$5</f>
        <v>0</v>
      </c>
      <c r="E962" s="867"/>
      <c r="F962" s="862" t="s">
        <v>2063</v>
      </c>
      <c r="G962" s="863">
        <f>G961*D962</f>
        <v>0</v>
      </c>
      <c r="H962" s="862"/>
    </row>
    <row r="963" spans="1:8" s="791" customFormat="1" hidden="1">
      <c r="A963" s="790"/>
      <c r="B963" s="788"/>
      <c r="C963" s="868"/>
      <c r="D963" s="869"/>
      <c r="E963" s="867"/>
      <c r="F963" s="870" t="s">
        <v>279</v>
      </c>
      <c r="G963" s="863">
        <f>SUM(G961:G962)</f>
        <v>273</v>
      </c>
      <c r="H963" s="862"/>
    </row>
    <row r="964" spans="1:8" s="791" customFormat="1" hidden="1">
      <c r="A964" s="790"/>
      <c r="B964" s="788"/>
      <c r="C964" s="871" t="s">
        <v>1101</v>
      </c>
      <c r="D964" s="869"/>
      <c r="E964" s="867"/>
      <c r="F964" s="872"/>
      <c r="G964" s="873">
        <f>ROUND(G963,0)</f>
        <v>273</v>
      </c>
      <c r="H964" s="870"/>
    </row>
    <row r="965" spans="1:8" s="791" customFormat="1" hidden="1">
      <c r="A965" s="790"/>
      <c r="B965" s="788"/>
      <c r="C965" s="865"/>
      <c r="D965" s="869"/>
      <c r="E965" s="867"/>
      <c r="F965" s="872"/>
      <c r="G965" s="867"/>
      <c r="H965" s="873"/>
    </row>
    <row r="966" spans="1:8" s="791" customFormat="1" ht="12.75" hidden="1" customHeight="1">
      <c r="A966" s="790" t="s">
        <v>42</v>
      </c>
      <c r="B966" s="787"/>
      <c r="C966" s="905" t="s">
        <v>2069</v>
      </c>
      <c r="D966" s="905"/>
      <c r="E966" s="905"/>
      <c r="F966" s="905"/>
      <c r="G966" s="905"/>
      <c r="H966" s="910"/>
    </row>
    <row r="967" spans="1:8" s="791" customFormat="1" hidden="1">
      <c r="A967" s="790"/>
      <c r="B967" s="784"/>
      <c r="C967" s="854" t="s">
        <v>2052</v>
      </c>
      <c r="D967" s="855"/>
      <c r="E967" s="840"/>
      <c r="F967" s="856"/>
      <c r="G967" s="840"/>
      <c r="H967" s="857"/>
    </row>
    <row r="968" spans="1:8" s="791" customFormat="1" hidden="1">
      <c r="A968" s="790"/>
      <c r="B968" s="784">
        <v>1</v>
      </c>
      <c r="C968" s="840" t="s">
        <v>2053</v>
      </c>
      <c r="D968" s="858">
        <v>0.02</v>
      </c>
      <c r="E968" s="859" t="s">
        <v>594</v>
      </c>
      <c r="F968" s="914">
        <f>$H$3</f>
        <v>620</v>
      </c>
      <c r="G968" s="845">
        <f>F968*D968</f>
        <v>12.4</v>
      </c>
      <c r="H968" s="860"/>
    </row>
    <row r="969" spans="1:8" s="791" customFormat="1" hidden="1">
      <c r="A969" s="790"/>
      <c r="B969" s="784">
        <v>2</v>
      </c>
      <c r="C969" s="840" t="s">
        <v>2054</v>
      </c>
      <c r="D969" s="858">
        <v>0.02</v>
      </c>
      <c r="E969" s="859" t="s">
        <v>594</v>
      </c>
      <c r="F969" s="914">
        <f>$H$4</f>
        <v>515</v>
      </c>
      <c r="G969" s="845">
        <f>F969*D969</f>
        <v>10.3</v>
      </c>
      <c r="H969" s="860"/>
    </row>
    <row r="970" spans="1:8" s="791" customFormat="1" hidden="1">
      <c r="A970" s="790"/>
      <c r="B970" s="784">
        <v>3</v>
      </c>
      <c r="C970" s="840" t="s">
        <v>1901</v>
      </c>
      <c r="D970" s="858">
        <v>0.03</v>
      </c>
      <c r="E970" s="859" t="s">
        <v>594</v>
      </c>
      <c r="F970" s="914">
        <f>$H$5</f>
        <v>515</v>
      </c>
      <c r="G970" s="845">
        <f>F970*D970</f>
        <v>15.45</v>
      </c>
      <c r="H970" s="860"/>
    </row>
    <row r="971" spans="1:8" s="791" customFormat="1" hidden="1">
      <c r="A971" s="790"/>
      <c r="B971" s="784"/>
      <c r="C971" s="861" t="s">
        <v>2055</v>
      </c>
      <c r="D971" s="855"/>
      <c r="E971" s="859"/>
      <c r="F971" s="857"/>
      <c r="G971" s="845">
        <f>SUM(G968:G970)</f>
        <v>38.150000000000006</v>
      </c>
      <c r="H971" s="857"/>
    </row>
    <row r="972" spans="1:8" s="791" customFormat="1" hidden="1">
      <c r="A972" s="790"/>
      <c r="B972" s="784"/>
      <c r="C972" s="912" t="s">
        <v>1744</v>
      </c>
      <c r="D972" s="855"/>
      <c r="E972" s="859"/>
      <c r="F972" s="857"/>
      <c r="G972" s="845"/>
      <c r="H972" s="857"/>
    </row>
    <row r="973" spans="1:8" s="791" customFormat="1" ht="24.6" hidden="1">
      <c r="A973" s="790"/>
      <c r="B973" s="784" t="s">
        <v>2056</v>
      </c>
      <c r="C973" s="874" t="s">
        <v>2168</v>
      </c>
      <c r="D973" s="855">
        <v>1</v>
      </c>
      <c r="E973" s="840" t="s">
        <v>327</v>
      </c>
      <c r="F973" s="857">
        <v>242</v>
      </c>
      <c r="G973" s="845">
        <f>F973*D973</f>
        <v>242</v>
      </c>
      <c r="H973" s="857"/>
    </row>
    <row r="974" spans="1:8" s="791" customFormat="1" hidden="1">
      <c r="A974" s="790"/>
      <c r="B974" s="784" t="s">
        <v>2058</v>
      </c>
      <c r="C974" s="907" t="s">
        <v>2066</v>
      </c>
      <c r="D974" s="855">
        <v>1</v>
      </c>
      <c r="E974" s="840" t="s">
        <v>327</v>
      </c>
      <c r="F974" s="857">
        <f>F943</f>
        <v>19</v>
      </c>
      <c r="G974" s="845">
        <f>F974*D974</f>
        <v>19</v>
      </c>
      <c r="H974" s="857"/>
    </row>
    <row r="975" spans="1:8" s="791" customFormat="1" ht="24.6" hidden="1">
      <c r="A975" s="790"/>
      <c r="B975" s="784" t="s">
        <v>2058</v>
      </c>
      <c r="C975" s="907" t="s">
        <v>2070</v>
      </c>
      <c r="D975" s="855">
        <v>3</v>
      </c>
      <c r="E975" s="840" t="s">
        <v>327</v>
      </c>
      <c r="F975" s="857">
        <v>26</v>
      </c>
      <c r="G975" s="845">
        <f>F975*D975</f>
        <v>78</v>
      </c>
      <c r="H975" s="857"/>
    </row>
    <row r="976" spans="1:8" s="791" customFormat="1" hidden="1">
      <c r="A976" s="790"/>
      <c r="B976" s="784"/>
      <c r="C976" s="907"/>
      <c r="D976" s="855"/>
      <c r="E976" s="840"/>
      <c r="F976" s="862"/>
      <c r="G976" s="863">
        <f>SUM(G973:G975)</f>
        <v>339</v>
      </c>
      <c r="H976" s="857"/>
    </row>
    <row r="977" spans="1:8" s="791" customFormat="1" hidden="1">
      <c r="A977" s="790"/>
      <c r="B977" s="784"/>
      <c r="C977" s="846" t="s">
        <v>2061</v>
      </c>
      <c r="D977" s="855"/>
      <c r="E977" s="907"/>
      <c r="F977" s="862"/>
      <c r="G977" s="870">
        <f>ROUNDDOWN(G976+G971,0)</f>
        <v>377</v>
      </c>
      <c r="H977" s="862"/>
    </row>
    <row r="978" spans="1:8" s="791" customFormat="1" hidden="1">
      <c r="A978" s="790"/>
      <c r="B978" s="788"/>
      <c r="C978" s="865" t="s">
        <v>2062</v>
      </c>
      <c r="D978" s="866">
        <f>$D$5</f>
        <v>0</v>
      </c>
      <c r="E978" s="867"/>
      <c r="F978" s="862" t="s">
        <v>2063</v>
      </c>
      <c r="G978" s="863">
        <f>G977*D978</f>
        <v>0</v>
      </c>
      <c r="H978" s="862"/>
    </row>
    <row r="979" spans="1:8" s="791" customFormat="1" hidden="1">
      <c r="A979" s="790"/>
      <c r="B979" s="788"/>
      <c r="C979" s="868"/>
      <c r="D979" s="869"/>
      <c r="E979" s="867"/>
      <c r="F979" s="870" t="s">
        <v>279</v>
      </c>
      <c r="G979" s="863">
        <f>SUM(G977:G978)</f>
        <v>377</v>
      </c>
      <c r="H979" s="862"/>
    </row>
    <row r="980" spans="1:8" s="791" customFormat="1" hidden="1">
      <c r="A980" s="790"/>
      <c r="B980" s="788"/>
      <c r="C980" s="871" t="s">
        <v>1101</v>
      </c>
      <c r="D980" s="869"/>
      <c r="E980" s="867"/>
      <c r="F980" s="872"/>
      <c r="G980" s="873">
        <f>ROUND(G979,0)</f>
        <v>377</v>
      </c>
      <c r="H980" s="870"/>
    </row>
    <row r="981" spans="1:8" s="791" customFormat="1" hidden="1">
      <c r="A981" s="790"/>
      <c r="B981" s="788"/>
      <c r="C981" s="865"/>
      <c r="D981" s="869"/>
      <c r="E981" s="867"/>
      <c r="F981" s="872"/>
      <c r="G981" s="867"/>
      <c r="H981" s="873"/>
    </row>
    <row r="982" spans="1:8" s="791" customFormat="1" ht="12.75" hidden="1" customHeight="1">
      <c r="A982" s="790" t="s">
        <v>1484</v>
      </c>
      <c r="B982" s="787"/>
      <c r="C982" s="905" t="s">
        <v>2071</v>
      </c>
      <c r="D982" s="905"/>
      <c r="E982" s="905"/>
      <c r="F982" s="905"/>
      <c r="G982" s="905"/>
      <c r="H982" s="910"/>
    </row>
    <row r="983" spans="1:8" s="791" customFormat="1" hidden="1">
      <c r="A983" s="790"/>
      <c r="B983" s="784"/>
      <c r="C983" s="854" t="s">
        <v>2052</v>
      </c>
      <c r="D983" s="855"/>
      <c r="E983" s="840"/>
      <c r="F983" s="856"/>
      <c r="G983" s="840"/>
      <c r="H983" s="857"/>
    </row>
    <row r="984" spans="1:8" s="791" customFormat="1" hidden="1">
      <c r="A984" s="790"/>
      <c r="B984" s="784">
        <v>1</v>
      </c>
      <c r="C984" s="840" t="s">
        <v>2053</v>
      </c>
      <c r="D984" s="858">
        <v>0.03</v>
      </c>
      <c r="E984" s="859" t="s">
        <v>594</v>
      </c>
      <c r="F984" s="914">
        <f>$H$3</f>
        <v>620</v>
      </c>
      <c r="G984" s="845">
        <f>F984*D984</f>
        <v>18.599999999999998</v>
      </c>
      <c r="H984" s="860"/>
    </row>
    <row r="985" spans="1:8" s="791" customFormat="1" hidden="1">
      <c r="A985" s="790"/>
      <c r="B985" s="784">
        <v>2</v>
      </c>
      <c r="C985" s="840" t="s">
        <v>2054</v>
      </c>
      <c r="D985" s="858">
        <v>0.03</v>
      </c>
      <c r="E985" s="859" t="s">
        <v>594</v>
      </c>
      <c r="F985" s="914">
        <f>$H$4</f>
        <v>515</v>
      </c>
      <c r="G985" s="845">
        <f>F985*D985</f>
        <v>15.45</v>
      </c>
      <c r="H985" s="860"/>
    </row>
    <row r="986" spans="1:8" s="791" customFormat="1" hidden="1">
      <c r="A986" s="790"/>
      <c r="B986" s="784">
        <v>3</v>
      </c>
      <c r="C986" s="840" t="s">
        <v>1901</v>
      </c>
      <c r="D986" s="858">
        <v>0.04</v>
      </c>
      <c r="E986" s="859" t="s">
        <v>594</v>
      </c>
      <c r="F986" s="914">
        <f>$H$5</f>
        <v>515</v>
      </c>
      <c r="G986" s="845">
        <f>F986*D986</f>
        <v>20.6</v>
      </c>
      <c r="H986" s="860"/>
    </row>
    <row r="987" spans="1:8" s="791" customFormat="1" hidden="1">
      <c r="A987" s="790"/>
      <c r="B987" s="784"/>
      <c r="C987" s="861" t="s">
        <v>2055</v>
      </c>
      <c r="D987" s="855"/>
      <c r="E987" s="859"/>
      <c r="F987" s="857"/>
      <c r="G987" s="845">
        <f>SUM(G984:G986)</f>
        <v>54.65</v>
      </c>
      <c r="H987" s="857"/>
    </row>
    <row r="988" spans="1:8" s="791" customFormat="1" hidden="1">
      <c r="A988" s="790"/>
      <c r="B988" s="784"/>
      <c r="C988" s="912" t="s">
        <v>1744</v>
      </c>
      <c r="D988" s="855"/>
      <c r="E988" s="859"/>
      <c r="F988" s="857"/>
      <c r="G988" s="845"/>
      <c r="H988" s="857"/>
    </row>
    <row r="989" spans="1:8" s="791" customFormat="1" ht="24.6" hidden="1">
      <c r="A989" s="790"/>
      <c r="B989" s="784" t="s">
        <v>2056</v>
      </c>
      <c r="C989" s="907" t="s">
        <v>2072</v>
      </c>
      <c r="D989" s="855">
        <v>1</v>
      </c>
      <c r="E989" s="840" t="s">
        <v>327</v>
      </c>
      <c r="F989" s="857">
        <v>406</v>
      </c>
      <c r="G989" s="845">
        <f>F989*D989</f>
        <v>406</v>
      </c>
      <c r="H989" s="857"/>
    </row>
    <row r="990" spans="1:8" s="791" customFormat="1" hidden="1">
      <c r="A990" s="790"/>
      <c r="B990" s="784" t="s">
        <v>2058</v>
      </c>
      <c r="C990" s="907" t="s">
        <v>2073</v>
      </c>
      <c r="D990" s="855">
        <v>1</v>
      </c>
      <c r="E990" s="840" t="s">
        <v>327</v>
      </c>
      <c r="F990" s="857">
        <f>F975</f>
        <v>26</v>
      </c>
      <c r="G990" s="845">
        <f>F990*D990</f>
        <v>26</v>
      </c>
      <c r="H990" s="857"/>
    </row>
    <row r="991" spans="1:8" s="791" customFormat="1" hidden="1">
      <c r="A991" s="790"/>
      <c r="B991" s="784" t="s">
        <v>2058</v>
      </c>
      <c r="C991" s="907" t="s">
        <v>2074</v>
      </c>
      <c r="D991" s="855">
        <v>3</v>
      </c>
      <c r="E991" s="840" t="s">
        <v>327</v>
      </c>
      <c r="F991" s="857">
        <v>39</v>
      </c>
      <c r="G991" s="845">
        <f>F991*D991</f>
        <v>117</v>
      </c>
      <c r="H991" s="857"/>
    </row>
    <row r="992" spans="1:8" s="791" customFormat="1" hidden="1">
      <c r="A992" s="790"/>
      <c r="B992" s="784"/>
      <c r="C992" s="907"/>
      <c r="D992" s="855"/>
      <c r="E992" s="840"/>
      <c r="F992" s="862"/>
      <c r="G992" s="863">
        <f>SUM(G989:G991)</f>
        <v>549</v>
      </c>
      <c r="H992" s="857"/>
    </row>
    <row r="993" spans="1:8" s="791" customFormat="1" hidden="1">
      <c r="A993" s="790"/>
      <c r="B993" s="784"/>
      <c r="C993" s="846" t="s">
        <v>2061</v>
      </c>
      <c r="D993" s="855"/>
      <c r="E993" s="907"/>
      <c r="F993" s="862"/>
      <c r="G993" s="870">
        <f>ROUNDDOWN(G992+G987,0)</f>
        <v>603</v>
      </c>
      <c r="H993" s="862"/>
    </row>
    <row r="994" spans="1:8" s="791" customFormat="1" hidden="1">
      <c r="A994" s="790"/>
      <c r="B994" s="788"/>
      <c r="C994" s="865" t="s">
        <v>2062</v>
      </c>
      <c r="D994" s="866">
        <f>$D$5</f>
        <v>0</v>
      </c>
      <c r="E994" s="867"/>
      <c r="F994" s="862" t="s">
        <v>2063</v>
      </c>
      <c r="G994" s="863">
        <f>G993*D994</f>
        <v>0</v>
      </c>
      <c r="H994" s="862"/>
    </row>
    <row r="995" spans="1:8" s="791" customFormat="1" hidden="1">
      <c r="A995" s="790"/>
      <c r="B995" s="788"/>
      <c r="C995" s="868"/>
      <c r="D995" s="869"/>
      <c r="E995" s="867"/>
      <c r="F995" s="870" t="s">
        <v>279</v>
      </c>
      <c r="G995" s="863">
        <f>SUM(G993:G994)</f>
        <v>603</v>
      </c>
      <c r="H995" s="862"/>
    </row>
    <row r="996" spans="1:8" s="791" customFormat="1" hidden="1">
      <c r="A996" s="790"/>
      <c r="B996" s="788"/>
      <c r="C996" s="871" t="s">
        <v>1101</v>
      </c>
      <c r="D996" s="869"/>
      <c r="E996" s="867"/>
      <c r="F996" s="872"/>
      <c r="G996" s="873">
        <f>ROUND(G995,0)</f>
        <v>603</v>
      </c>
      <c r="H996" s="870"/>
    </row>
    <row r="997" spans="1:8" s="791" customFormat="1" hidden="1">
      <c r="A997" s="790"/>
      <c r="B997" s="788"/>
      <c r="C997" s="865"/>
      <c r="D997" s="869"/>
      <c r="E997" s="867"/>
      <c r="F997" s="872"/>
      <c r="G997" s="867"/>
      <c r="H997" s="873"/>
    </row>
    <row r="998" spans="1:8" s="791" customFormat="1" ht="57" hidden="1" customHeight="1">
      <c r="A998" s="776">
        <f>A902+1</f>
        <v>39</v>
      </c>
      <c r="B998" s="788"/>
      <c r="C998" s="905" t="s">
        <v>2169</v>
      </c>
      <c r="D998" s="905"/>
      <c r="E998" s="905"/>
      <c r="F998" s="905"/>
      <c r="G998" s="905"/>
      <c r="H998" s="873"/>
    </row>
    <row r="999" spans="1:8" ht="36.9" hidden="1">
      <c r="A999" s="782" t="s">
        <v>642</v>
      </c>
      <c r="B999" s="784" t="s">
        <v>2170</v>
      </c>
      <c r="C999" s="905" t="s">
        <v>2171</v>
      </c>
      <c r="D999" s="917" t="s">
        <v>268</v>
      </c>
      <c r="E999" s="917">
        <v>1</v>
      </c>
      <c r="F999" s="815">
        <v>39847</v>
      </c>
      <c r="G999" s="816">
        <f>E999*F999</f>
        <v>39847</v>
      </c>
      <c r="H999" s="782"/>
    </row>
    <row r="1000" spans="1:8" hidden="1">
      <c r="A1000" s="782"/>
      <c r="B1000" s="784" t="s">
        <v>2172</v>
      </c>
      <c r="C1000" s="905" t="s">
        <v>2173</v>
      </c>
      <c r="D1000" s="917" t="s">
        <v>268</v>
      </c>
      <c r="E1000" s="917">
        <v>1</v>
      </c>
      <c r="F1000" s="815">
        <v>1600</v>
      </c>
      <c r="G1000" s="816">
        <f>E1000*F1000</f>
        <v>1600</v>
      </c>
      <c r="H1000" s="782"/>
    </row>
    <row r="1001" spans="1:8" hidden="1">
      <c r="A1001" s="782"/>
      <c r="B1001" s="784"/>
      <c r="C1001" s="905" t="s">
        <v>2174</v>
      </c>
      <c r="D1001" s="917"/>
      <c r="E1001" s="917"/>
      <c r="F1001" s="815"/>
      <c r="G1001" s="816">
        <f>SUM(G999:G1000)</f>
        <v>41447</v>
      </c>
      <c r="H1001" s="782"/>
    </row>
    <row r="1002" spans="1:8" hidden="1">
      <c r="A1002" s="782"/>
      <c r="B1002" s="917"/>
      <c r="C1002" s="905" t="s">
        <v>1754</v>
      </c>
      <c r="D1002" s="819">
        <f>$D$4</f>
        <v>0</v>
      </c>
      <c r="E1002" s="917"/>
      <c r="F1002" s="815"/>
      <c r="G1002" s="816">
        <f>ROUND(G1001*D1002,2)</f>
        <v>0</v>
      </c>
      <c r="H1002" s="782"/>
    </row>
    <row r="1003" spans="1:8" hidden="1">
      <c r="A1003" s="782"/>
      <c r="B1003" s="917"/>
      <c r="C1003" s="905" t="s">
        <v>1777</v>
      </c>
      <c r="D1003" s="917"/>
      <c r="E1003" s="917"/>
      <c r="F1003" s="815"/>
      <c r="G1003" s="816">
        <f>SUM(G1001:G1002)</f>
        <v>41447</v>
      </c>
      <c r="H1003" s="782"/>
    </row>
    <row r="1004" spans="1:8" s="791" customFormat="1" hidden="1">
      <c r="A1004" s="790"/>
      <c r="B1004" s="788"/>
      <c r="C1004" s="1190" t="s">
        <v>2175</v>
      </c>
      <c r="D1004" s="1191"/>
      <c r="E1004" s="1192"/>
      <c r="F1004" s="46"/>
      <c r="G1004" s="821">
        <f>ROUND(G1003,0)</f>
        <v>41447</v>
      </c>
      <c r="H1004" s="146"/>
    </row>
    <row r="1005" spans="1:8" s="791" customFormat="1" hidden="1">
      <c r="A1005" s="790"/>
      <c r="B1005" s="788"/>
      <c r="C1005" s="865"/>
      <c r="D1005" s="869"/>
      <c r="E1005" s="867"/>
      <c r="F1005" s="872"/>
      <c r="G1005" s="867"/>
      <c r="H1005" s="873"/>
    </row>
    <row r="1006" spans="1:8" ht="36.9" hidden="1">
      <c r="A1006" s="782" t="s">
        <v>2</v>
      </c>
      <c r="B1006" s="784" t="s">
        <v>2170</v>
      </c>
      <c r="C1006" s="905" t="s">
        <v>2176</v>
      </c>
      <c r="D1006" s="917" t="s">
        <v>268</v>
      </c>
      <c r="E1006" s="917">
        <v>1</v>
      </c>
      <c r="F1006" s="815">
        <v>48510</v>
      </c>
      <c r="G1006" s="816">
        <f>E1006*F1006</f>
        <v>48510</v>
      </c>
      <c r="H1006" s="782"/>
    </row>
    <row r="1007" spans="1:8" hidden="1">
      <c r="A1007" s="782"/>
      <c r="B1007" s="784" t="s">
        <v>2172</v>
      </c>
      <c r="C1007" s="905" t="s">
        <v>2173</v>
      </c>
      <c r="D1007" s="917" t="s">
        <v>268</v>
      </c>
      <c r="E1007" s="917">
        <v>1</v>
      </c>
      <c r="F1007" s="815">
        <v>1600</v>
      </c>
      <c r="G1007" s="816">
        <f>E1007*F1007</f>
        <v>1600</v>
      </c>
      <c r="H1007" s="782"/>
    </row>
    <row r="1008" spans="1:8" hidden="1">
      <c r="A1008" s="782"/>
      <c r="B1008" s="784"/>
      <c r="C1008" s="905" t="s">
        <v>2174</v>
      </c>
      <c r="D1008" s="917"/>
      <c r="E1008" s="917"/>
      <c r="F1008" s="815"/>
      <c r="G1008" s="816">
        <f>SUM(G1006:G1007)</f>
        <v>50110</v>
      </c>
      <c r="H1008" s="782"/>
    </row>
    <row r="1009" spans="1:8" hidden="1">
      <c r="A1009" s="782"/>
      <c r="B1009" s="917"/>
      <c r="C1009" s="905" t="s">
        <v>1754</v>
      </c>
      <c r="D1009" s="819">
        <f>$D$4</f>
        <v>0</v>
      </c>
      <c r="E1009" s="917"/>
      <c r="F1009" s="815"/>
      <c r="G1009" s="816">
        <f>ROUND(G1008*D1009,2)</f>
        <v>0</v>
      </c>
      <c r="H1009" s="782"/>
    </row>
    <row r="1010" spans="1:8" hidden="1">
      <c r="A1010" s="782"/>
      <c r="B1010" s="917"/>
      <c r="C1010" s="905" t="s">
        <v>1777</v>
      </c>
      <c r="D1010" s="917"/>
      <c r="E1010" s="917"/>
      <c r="F1010" s="815"/>
      <c r="G1010" s="816">
        <f>SUM(G1008:G1009)</f>
        <v>50110</v>
      </c>
      <c r="H1010" s="782"/>
    </row>
    <row r="1011" spans="1:8" s="791" customFormat="1" hidden="1">
      <c r="A1011" s="790"/>
      <c r="B1011" s="788"/>
      <c r="C1011" s="1190" t="s">
        <v>2175</v>
      </c>
      <c r="D1011" s="1191"/>
      <c r="E1011" s="1192"/>
      <c r="F1011" s="46"/>
      <c r="G1011" s="821">
        <f>ROUND(G1010,0)</f>
        <v>50110</v>
      </c>
      <c r="H1011" s="146"/>
    </row>
    <row r="1012" spans="1:8" s="791" customFormat="1" hidden="1">
      <c r="A1012" s="790"/>
      <c r="B1012" s="788"/>
      <c r="C1012" s="865"/>
      <c r="D1012" s="869"/>
      <c r="E1012" s="867"/>
      <c r="F1012" s="872"/>
      <c r="G1012" s="867"/>
      <c r="H1012" s="873"/>
    </row>
    <row r="1013" spans="1:8" s="791" customFormat="1" hidden="1">
      <c r="A1013" s="790"/>
      <c r="B1013" s="788"/>
      <c r="C1013" s="865"/>
      <c r="D1013" s="869"/>
      <c r="E1013" s="867"/>
      <c r="F1013" s="872"/>
      <c r="G1013" s="867"/>
      <c r="H1013" s="873"/>
    </row>
    <row r="1014" spans="1:8" s="791" customFormat="1" hidden="1">
      <c r="A1014" s="790"/>
      <c r="B1014" s="788"/>
      <c r="C1014" s="865"/>
      <c r="D1014" s="869"/>
      <c r="E1014" s="867"/>
      <c r="F1014" s="872"/>
      <c r="G1014" s="867"/>
      <c r="H1014" s="873"/>
    </row>
    <row r="1015" spans="1:8" s="791" customFormat="1" hidden="1">
      <c r="A1015" s="790"/>
      <c r="B1015" s="788"/>
      <c r="C1015" s="865"/>
      <c r="D1015" s="869"/>
      <c r="E1015" s="867"/>
      <c r="F1015" s="872"/>
      <c r="G1015" s="867"/>
      <c r="H1015" s="873"/>
    </row>
    <row r="1016" spans="1:8" s="791" customFormat="1" hidden="1">
      <c r="A1016" s="790"/>
      <c r="B1016" s="788"/>
      <c r="C1016" s="865"/>
      <c r="D1016" s="869"/>
      <c r="E1016" s="867"/>
      <c r="F1016" s="872"/>
      <c r="G1016" s="867"/>
      <c r="H1016" s="873"/>
    </row>
    <row r="1017" spans="1:8" s="791" customFormat="1" hidden="1">
      <c r="A1017" s="790"/>
      <c r="B1017" s="788"/>
      <c r="C1017" s="865"/>
      <c r="D1017" s="869"/>
      <c r="E1017" s="867"/>
      <c r="F1017" s="872"/>
      <c r="G1017" s="867"/>
      <c r="H1017" s="873"/>
    </row>
    <row r="1018" spans="1:8" s="791" customFormat="1" hidden="1">
      <c r="A1018" s="790"/>
      <c r="B1018" s="788"/>
      <c r="C1018" s="865"/>
      <c r="D1018" s="869"/>
      <c r="E1018" s="867"/>
      <c r="F1018" s="872"/>
      <c r="G1018" s="867"/>
      <c r="H1018" s="873"/>
    </row>
    <row r="1019" spans="1:8" hidden="1">
      <c r="A1019" s="782"/>
      <c r="B1019" s="914"/>
      <c r="C1019" s="905"/>
      <c r="D1019" s="917"/>
      <c r="E1019" s="917"/>
      <c r="F1019" s="815"/>
      <c r="G1019" s="816"/>
      <c r="H1019" s="782"/>
    </row>
    <row r="1020" spans="1:8" hidden="1">
      <c r="A1020" s="782"/>
      <c r="B1020" s="914"/>
      <c r="C1020" s="905"/>
      <c r="D1020" s="917"/>
      <c r="E1020" s="917"/>
      <c r="F1020" s="815"/>
      <c r="G1020" s="816"/>
      <c r="H1020" s="782"/>
    </row>
    <row r="1021" spans="1:8" hidden="1"/>
    <row r="1027" spans="3:8" s="906" customFormat="1" ht="12.75" customHeight="1">
      <c r="C1027" s="1128"/>
      <c r="D1027" s="1128"/>
      <c r="E1027" s="1128"/>
      <c r="F1027" s="1128"/>
      <c r="G1027" s="1128"/>
      <c r="H1027" s="1128"/>
    </row>
    <row r="1028" spans="3:8" s="906" customFormat="1" ht="12.75" customHeight="1">
      <c r="C1028" s="1128"/>
      <c r="D1028" s="1128"/>
      <c r="E1028" s="1128"/>
      <c r="F1028" s="1128"/>
      <c r="G1028" s="1128"/>
      <c r="H1028" s="1128"/>
    </row>
  </sheetData>
  <hyperlinks>
    <hyperlink ref="C881" r:id="rId1" display="VAT@ 4%" xr:uid="{00000000-0004-0000-0900-000000000000}"/>
    <hyperlink ref="C877" r:id="rId2" display="VAT@ 4%" xr:uid="{00000000-0004-0000-0900-000001000000}"/>
    <hyperlink ref="C880" r:id="rId3" display="VAT@ 4%" xr:uid="{00000000-0004-0000-0900-000002000000}"/>
    <hyperlink ref="C876" r:id="rId4" display="VAT@ 4%" xr:uid="{00000000-0004-0000-0900-000003000000}"/>
    <hyperlink ref="C873" r:id="rId5" display="VAT@ 4%" xr:uid="{00000000-0004-0000-0900-000004000000}"/>
    <hyperlink ref="C887" r:id="rId6" display="VAT@ 4%" xr:uid="{00000000-0004-0000-0900-000005000000}"/>
    <hyperlink ref="C894" r:id="rId7" display="VAT@ 4%" xr:uid="{00000000-0004-0000-0900-000006000000}"/>
    <hyperlink ref="C898" r:id="rId8" display="VAT@ 4%" xr:uid="{00000000-0004-0000-0900-000007000000}"/>
    <hyperlink ref="C889" r:id="rId9" display="VAT@ 4%" xr:uid="{00000000-0004-0000-0900-000008000000}"/>
    <hyperlink ref="C895" r:id="rId10" display="VAT@ 4%" xr:uid="{00000000-0004-0000-0900-000009000000}"/>
    <hyperlink ref="C899" r:id="rId11" display="VAT@ 4%" xr:uid="{00000000-0004-0000-0900-00000A000000}"/>
    <hyperlink ref="C893" r:id="rId12" display="VAT@ 4%" xr:uid="{00000000-0004-0000-0900-00000B000000}"/>
    <hyperlink ref="C865" r:id="rId13" display="VAT@ 4%" xr:uid="{00000000-0004-0000-0900-00000C000000}"/>
    <hyperlink ref="C867" r:id="rId14" display="VAT@ 4%" xr:uid="{00000000-0004-0000-0900-00000D000000}"/>
    <hyperlink ref="C869" r:id="rId15" display="VAT@ 4%" xr:uid="{00000000-0004-0000-0900-00000E000000}"/>
    <hyperlink ref="C868" r:id="rId16" display="VAT@ 4%" xr:uid="{00000000-0004-0000-0900-00000F000000}"/>
    <hyperlink ref="C54" r:id="rId17" display="VAT@ 4%" xr:uid="{00000000-0004-0000-0900-000010000000}"/>
    <hyperlink ref="C55" r:id="rId18" display="VAT@ 4%" xr:uid="{00000000-0004-0000-0900-000011000000}"/>
    <hyperlink ref="C56" r:id="rId19" display="VAT@ 4%" xr:uid="{00000000-0004-0000-0900-000012000000}"/>
    <hyperlink ref="C860" r:id="rId20" display="VAT@ 4%" xr:uid="{00000000-0004-0000-0900-000013000000}"/>
    <hyperlink ref="C843" r:id="rId21" display="VAT@ 4%" xr:uid="{00000000-0004-0000-0900-000014000000}"/>
    <hyperlink ref="C856" r:id="rId22" display="VAT@ 4%" xr:uid="{00000000-0004-0000-0900-000015000000}"/>
    <hyperlink ref="C859" r:id="rId23" display="VAT@ 4%" xr:uid="{00000000-0004-0000-0900-000016000000}"/>
    <hyperlink ref="C855" r:id="rId24" display="VAT@ 4%" xr:uid="{00000000-0004-0000-0900-000017000000}"/>
    <hyperlink ref="C852" r:id="rId25" display="VAT@ 4%" xr:uid="{00000000-0004-0000-0900-000018000000}"/>
    <hyperlink ref="C842" r:id="rId26" display="VAT@ 4%" xr:uid="{00000000-0004-0000-0900-000019000000}"/>
    <hyperlink ref="C844" r:id="rId27" display="VAT@ 4%" xr:uid="{00000000-0004-0000-0900-00001A000000}"/>
    <hyperlink ref="C846" r:id="rId28" display="VAT@ 4%" xr:uid="{00000000-0004-0000-0900-00001B000000}"/>
    <hyperlink ref="C848" r:id="rId29" display="VAT@ 4%" xr:uid="{00000000-0004-0000-0900-00001C000000}"/>
    <hyperlink ref="C847" r:id="rId30" display="VAT@ 4%" xr:uid="{00000000-0004-0000-0900-00001D000000}"/>
  </hyperlinks>
  <pageMargins left="0.7" right="0.7" top="0.75" bottom="0.75" header="0.3" footer="0.3"/>
  <pageSetup scale="80" orientation="portrait" r:id="rId31"/>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H18"/>
  <sheetViews>
    <sheetView view="pageBreakPreview" topLeftCell="A11" zoomScale="145" zoomScaleSheetLayoutView="145" workbookViewId="0">
      <selection activeCell="B30" sqref="B30"/>
    </sheetView>
  </sheetViews>
  <sheetFormatPr defaultColWidth="9.15625" defaultRowHeight="15.3"/>
  <cols>
    <col min="1" max="1" width="6.83984375" style="893" bestFit="1" customWidth="1"/>
    <col min="2" max="2" width="50.15625" style="894" customWidth="1"/>
    <col min="3" max="3" width="23.15625" style="894" customWidth="1"/>
    <col min="4" max="4" width="11.83984375" style="894" bestFit="1" customWidth="1"/>
    <col min="5" max="5" width="14.578125" style="894" customWidth="1"/>
    <col min="6" max="6" width="9.15625" style="894"/>
    <col min="7" max="7" width="11.83984375" style="894" bestFit="1" customWidth="1"/>
    <col min="8" max="8" width="9.26171875" style="894" bestFit="1" customWidth="1"/>
    <col min="9" max="255" width="9.15625" style="894"/>
    <col min="256" max="256" width="11.41796875" style="894" customWidth="1"/>
    <col min="257" max="257" width="22.83984375" style="894" customWidth="1"/>
    <col min="258" max="258" width="30.83984375" style="894" customWidth="1"/>
    <col min="259" max="259" width="23.15625" style="894" customWidth="1"/>
    <col min="260" max="260" width="9.15625" style="894"/>
    <col min="261" max="261" width="14.578125" style="894" customWidth="1"/>
    <col min="262" max="262" width="9.15625" style="894"/>
    <col min="263" max="263" width="11.83984375" style="894" bestFit="1" customWidth="1"/>
    <col min="264" max="264" width="9.26171875" style="894" bestFit="1" customWidth="1"/>
    <col min="265" max="511" width="9.15625" style="894"/>
    <col min="512" max="512" width="11.41796875" style="894" customWidth="1"/>
    <col min="513" max="513" width="22.83984375" style="894" customWidth="1"/>
    <col min="514" max="514" width="30.83984375" style="894" customWidth="1"/>
    <col min="515" max="515" width="23.15625" style="894" customWidth="1"/>
    <col min="516" max="516" width="9.15625" style="894"/>
    <col min="517" max="517" width="14.578125" style="894" customWidth="1"/>
    <col min="518" max="518" width="9.15625" style="894"/>
    <col min="519" max="519" width="11.83984375" style="894" bestFit="1" customWidth="1"/>
    <col min="520" max="520" width="9.26171875" style="894" bestFit="1" customWidth="1"/>
    <col min="521" max="767" width="9.15625" style="894"/>
    <col min="768" max="768" width="11.41796875" style="894" customWidth="1"/>
    <col min="769" max="769" width="22.83984375" style="894" customWidth="1"/>
    <col min="770" max="770" width="30.83984375" style="894" customWidth="1"/>
    <col min="771" max="771" width="23.15625" style="894" customWidth="1"/>
    <col min="772" max="772" width="9.15625" style="894"/>
    <col min="773" max="773" width="14.578125" style="894" customWidth="1"/>
    <col min="774" max="774" width="9.15625" style="894"/>
    <col min="775" max="775" width="11.83984375" style="894" bestFit="1" customWidth="1"/>
    <col min="776" max="776" width="9.26171875" style="894" bestFit="1" customWidth="1"/>
    <col min="777" max="1023" width="9.15625" style="894"/>
    <col min="1024" max="1024" width="11.41796875" style="894" customWidth="1"/>
    <col min="1025" max="1025" width="22.83984375" style="894" customWidth="1"/>
    <col min="1026" max="1026" width="30.83984375" style="894" customWidth="1"/>
    <col min="1027" max="1027" width="23.15625" style="894" customWidth="1"/>
    <col min="1028" max="1028" width="9.15625" style="894"/>
    <col min="1029" max="1029" width="14.578125" style="894" customWidth="1"/>
    <col min="1030" max="1030" width="9.15625" style="894"/>
    <col min="1031" max="1031" width="11.83984375" style="894" bestFit="1" customWidth="1"/>
    <col min="1032" max="1032" width="9.26171875" style="894" bestFit="1" customWidth="1"/>
    <col min="1033" max="1279" width="9.15625" style="894"/>
    <col min="1280" max="1280" width="11.41796875" style="894" customWidth="1"/>
    <col min="1281" max="1281" width="22.83984375" style="894" customWidth="1"/>
    <col min="1282" max="1282" width="30.83984375" style="894" customWidth="1"/>
    <col min="1283" max="1283" width="23.15625" style="894" customWidth="1"/>
    <col min="1284" max="1284" width="9.15625" style="894"/>
    <col min="1285" max="1285" width="14.578125" style="894" customWidth="1"/>
    <col min="1286" max="1286" width="9.15625" style="894"/>
    <col min="1287" max="1287" width="11.83984375" style="894" bestFit="1" customWidth="1"/>
    <col min="1288" max="1288" width="9.26171875" style="894" bestFit="1" customWidth="1"/>
    <col min="1289" max="1535" width="9.15625" style="894"/>
    <col min="1536" max="1536" width="11.41796875" style="894" customWidth="1"/>
    <col min="1537" max="1537" width="22.83984375" style="894" customWidth="1"/>
    <col min="1538" max="1538" width="30.83984375" style="894" customWidth="1"/>
    <col min="1539" max="1539" width="23.15625" style="894" customWidth="1"/>
    <col min="1540" max="1540" width="9.15625" style="894"/>
    <col min="1541" max="1541" width="14.578125" style="894" customWidth="1"/>
    <col min="1542" max="1542" width="9.15625" style="894"/>
    <col min="1543" max="1543" width="11.83984375" style="894" bestFit="1" customWidth="1"/>
    <col min="1544" max="1544" width="9.26171875" style="894" bestFit="1" customWidth="1"/>
    <col min="1545" max="1791" width="9.15625" style="894"/>
    <col min="1792" max="1792" width="11.41796875" style="894" customWidth="1"/>
    <col min="1793" max="1793" width="22.83984375" style="894" customWidth="1"/>
    <col min="1794" max="1794" width="30.83984375" style="894" customWidth="1"/>
    <col min="1795" max="1795" width="23.15625" style="894" customWidth="1"/>
    <col min="1796" max="1796" width="9.15625" style="894"/>
    <col min="1797" max="1797" width="14.578125" style="894" customWidth="1"/>
    <col min="1798" max="1798" width="9.15625" style="894"/>
    <col min="1799" max="1799" width="11.83984375" style="894" bestFit="1" customWidth="1"/>
    <col min="1800" max="1800" width="9.26171875" style="894" bestFit="1" customWidth="1"/>
    <col min="1801" max="2047" width="9.15625" style="894"/>
    <col min="2048" max="2048" width="11.41796875" style="894" customWidth="1"/>
    <col min="2049" max="2049" width="22.83984375" style="894" customWidth="1"/>
    <col min="2050" max="2050" width="30.83984375" style="894" customWidth="1"/>
    <col min="2051" max="2051" width="23.15625" style="894" customWidth="1"/>
    <col min="2052" max="2052" width="9.15625" style="894"/>
    <col min="2053" max="2053" width="14.578125" style="894" customWidth="1"/>
    <col min="2054" max="2054" width="9.15625" style="894"/>
    <col min="2055" max="2055" width="11.83984375" style="894" bestFit="1" customWidth="1"/>
    <col min="2056" max="2056" width="9.26171875" style="894" bestFit="1" customWidth="1"/>
    <col min="2057" max="2303" width="9.15625" style="894"/>
    <col min="2304" max="2304" width="11.41796875" style="894" customWidth="1"/>
    <col min="2305" max="2305" width="22.83984375" style="894" customWidth="1"/>
    <col min="2306" max="2306" width="30.83984375" style="894" customWidth="1"/>
    <col min="2307" max="2307" width="23.15625" style="894" customWidth="1"/>
    <col min="2308" max="2308" width="9.15625" style="894"/>
    <col min="2309" max="2309" width="14.578125" style="894" customWidth="1"/>
    <col min="2310" max="2310" width="9.15625" style="894"/>
    <col min="2311" max="2311" width="11.83984375" style="894" bestFit="1" customWidth="1"/>
    <col min="2312" max="2312" width="9.26171875" style="894" bestFit="1" customWidth="1"/>
    <col min="2313" max="2559" width="9.15625" style="894"/>
    <col min="2560" max="2560" width="11.41796875" style="894" customWidth="1"/>
    <col min="2561" max="2561" width="22.83984375" style="894" customWidth="1"/>
    <col min="2562" max="2562" width="30.83984375" style="894" customWidth="1"/>
    <col min="2563" max="2563" width="23.15625" style="894" customWidth="1"/>
    <col min="2564" max="2564" width="9.15625" style="894"/>
    <col min="2565" max="2565" width="14.578125" style="894" customWidth="1"/>
    <col min="2566" max="2566" width="9.15625" style="894"/>
    <col min="2567" max="2567" width="11.83984375" style="894" bestFit="1" customWidth="1"/>
    <col min="2568" max="2568" width="9.26171875" style="894" bestFit="1" customWidth="1"/>
    <col min="2569" max="2815" width="9.15625" style="894"/>
    <col min="2816" max="2816" width="11.41796875" style="894" customWidth="1"/>
    <col min="2817" max="2817" width="22.83984375" style="894" customWidth="1"/>
    <col min="2818" max="2818" width="30.83984375" style="894" customWidth="1"/>
    <col min="2819" max="2819" width="23.15625" style="894" customWidth="1"/>
    <col min="2820" max="2820" width="9.15625" style="894"/>
    <col min="2821" max="2821" width="14.578125" style="894" customWidth="1"/>
    <col min="2822" max="2822" width="9.15625" style="894"/>
    <col min="2823" max="2823" width="11.83984375" style="894" bestFit="1" customWidth="1"/>
    <col min="2824" max="2824" width="9.26171875" style="894" bestFit="1" customWidth="1"/>
    <col min="2825" max="3071" width="9.15625" style="894"/>
    <col min="3072" max="3072" width="11.41796875" style="894" customWidth="1"/>
    <col min="3073" max="3073" width="22.83984375" style="894" customWidth="1"/>
    <col min="3074" max="3074" width="30.83984375" style="894" customWidth="1"/>
    <col min="3075" max="3075" width="23.15625" style="894" customWidth="1"/>
    <col min="3076" max="3076" width="9.15625" style="894"/>
    <col min="3077" max="3077" width="14.578125" style="894" customWidth="1"/>
    <col min="3078" max="3078" width="9.15625" style="894"/>
    <col min="3079" max="3079" width="11.83984375" style="894" bestFit="1" customWidth="1"/>
    <col min="3080" max="3080" width="9.26171875" style="894" bestFit="1" customWidth="1"/>
    <col min="3081" max="3327" width="9.15625" style="894"/>
    <col min="3328" max="3328" width="11.41796875" style="894" customWidth="1"/>
    <col min="3329" max="3329" width="22.83984375" style="894" customWidth="1"/>
    <col min="3330" max="3330" width="30.83984375" style="894" customWidth="1"/>
    <col min="3331" max="3331" width="23.15625" style="894" customWidth="1"/>
    <col min="3332" max="3332" width="9.15625" style="894"/>
    <col min="3333" max="3333" width="14.578125" style="894" customWidth="1"/>
    <col min="3334" max="3334" width="9.15625" style="894"/>
    <col min="3335" max="3335" width="11.83984375" style="894" bestFit="1" customWidth="1"/>
    <col min="3336" max="3336" width="9.26171875" style="894" bestFit="1" customWidth="1"/>
    <col min="3337" max="3583" width="9.15625" style="894"/>
    <col min="3584" max="3584" width="11.41796875" style="894" customWidth="1"/>
    <col min="3585" max="3585" width="22.83984375" style="894" customWidth="1"/>
    <col min="3586" max="3586" width="30.83984375" style="894" customWidth="1"/>
    <col min="3587" max="3587" width="23.15625" style="894" customWidth="1"/>
    <col min="3588" max="3588" width="9.15625" style="894"/>
    <col min="3589" max="3589" width="14.578125" style="894" customWidth="1"/>
    <col min="3590" max="3590" width="9.15625" style="894"/>
    <col min="3591" max="3591" width="11.83984375" style="894" bestFit="1" customWidth="1"/>
    <col min="3592" max="3592" width="9.26171875" style="894" bestFit="1" customWidth="1"/>
    <col min="3593" max="3839" width="9.15625" style="894"/>
    <col min="3840" max="3840" width="11.41796875" style="894" customWidth="1"/>
    <col min="3841" max="3841" width="22.83984375" style="894" customWidth="1"/>
    <col min="3842" max="3842" width="30.83984375" style="894" customWidth="1"/>
    <col min="3843" max="3843" width="23.15625" style="894" customWidth="1"/>
    <col min="3844" max="3844" width="9.15625" style="894"/>
    <col min="3845" max="3845" width="14.578125" style="894" customWidth="1"/>
    <col min="3846" max="3846" width="9.15625" style="894"/>
    <col min="3847" max="3847" width="11.83984375" style="894" bestFit="1" customWidth="1"/>
    <col min="3848" max="3848" width="9.26171875" style="894" bestFit="1" customWidth="1"/>
    <col min="3849" max="4095" width="9.15625" style="894"/>
    <col min="4096" max="4096" width="11.41796875" style="894" customWidth="1"/>
    <col min="4097" max="4097" width="22.83984375" style="894" customWidth="1"/>
    <col min="4098" max="4098" width="30.83984375" style="894" customWidth="1"/>
    <col min="4099" max="4099" width="23.15625" style="894" customWidth="1"/>
    <col min="4100" max="4100" width="9.15625" style="894"/>
    <col min="4101" max="4101" width="14.578125" style="894" customWidth="1"/>
    <col min="4102" max="4102" width="9.15625" style="894"/>
    <col min="4103" max="4103" width="11.83984375" style="894" bestFit="1" customWidth="1"/>
    <col min="4104" max="4104" width="9.26171875" style="894" bestFit="1" customWidth="1"/>
    <col min="4105" max="4351" width="9.15625" style="894"/>
    <col min="4352" max="4352" width="11.41796875" style="894" customWidth="1"/>
    <col min="4353" max="4353" width="22.83984375" style="894" customWidth="1"/>
    <col min="4354" max="4354" width="30.83984375" style="894" customWidth="1"/>
    <col min="4355" max="4355" width="23.15625" style="894" customWidth="1"/>
    <col min="4356" max="4356" width="9.15625" style="894"/>
    <col min="4357" max="4357" width="14.578125" style="894" customWidth="1"/>
    <col min="4358" max="4358" width="9.15625" style="894"/>
    <col min="4359" max="4359" width="11.83984375" style="894" bestFit="1" customWidth="1"/>
    <col min="4360" max="4360" width="9.26171875" style="894" bestFit="1" customWidth="1"/>
    <col min="4361" max="4607" width="9.15625" style="894"/>
    <col min="4608" max="4608" width="11.41796875" style="894" customWidth="1"/>
    <col min="4609" max="4609" width="22.83984375" style="894" customWidth="1"/>
    <col min="4610" max="4610" width="30.83984375" style="894" customWidth="1"/>
    <col min="4611" max="4611" width="23.15625" style="894" customWidth="1"/>
    <col min="4612" max="4612" width="9.15625" style="894"/>
    <col min="4613" max="4613" width="14.578125" style="894" customWidth="1"/>
    <col min="4614" max="4614" width="9.15625" style="894"/>
    <col min="4615" max="4615" width="11.83984375" style="894" bestFit="1" customWidth="1"/>
    <col min="4616" max="4616" width="9.26171875" style="894" bestFit="1" customWidth="1"/>
    <col min="4617" max="4863" width="9.15625" style="894"/>
    <col min="4864" max="4864" width="11.41796875" style="894" customWidth="1"/>
    <col min="4865" max="4865" width="22.83984375" style="894" customWidth="1"/>
    <col min="4866" max="4866" width="30.83984375" style="894" customWidth="1"/>
    <col min="4867" max="4867" width="23.15625" style="894" customWidth="1"/>
    <col min="4868" max="4868" width="9.15625" style="894"/>
    <col min="4869" max="4869" width="14.578125" style="894" customWidth="1"/>
    <col min="4870" max="4870" width="9.15625" style="894"/>
    <col min="4871" max="4871" width="11.83984375" style="894" bestFit="1" customWidth="1"/>
    <col min="4872" max="4872" width="9.26171875" style="894" bestFit="1" customWidth="1"/>
    <col min="4873" max="5119" width="9.15625" style="894"/>
    <col min="5120" max="5120" width="11.41796875" style="894" customWidth="1"/>
    <col min="5121" max="5121" width="22.83984375" style="894" customWidth="1"/>
    <col min="5122" max="5122" width="30.83984375" style="894" customWidth="1"/>
    <col min="5123" max="5123" width="23.15625" style="894" customWidth="1"/>
    <col min="5124" max="5124" width="9.15625" style="894"/>
    <col min="5125" max="5125" width="14.578125" style="894" customWidth="1"/>
    <col min="5126" max="5126" width="9.15625" style="894"/>
    <col min="5127" max="5127" width="11.83984375" style="894" bestFit="1" customWidth="1"/>
    <col min="5128" max="5128" width="9.26171875" style="894" bestFit="1" customWidth="1"/>
    <col min="5129" max="5375" width="9.15625" style="894"/>
    <col min="5376" max="5376" width="11.41796875" style="894" customWidth="1"/>
    <col min="5377" max="5377" width="22.83984375" style="894" customWidth="1"/>
    <col min="5378" max="5378" width="30.83984375" style="894" customWidth="1"/>
    <col min="5379" max="5379" width="23.15625" style="894" customWidth="1"/>
    <col min="5380" max="5380" width="9.15625" style="894"/>
    <col min="5381" max="5381" width="14.578125" style="894" customWidth="1"/>
    <col min="5382" max="5382" width="9.15625" style="894"/>
    <col min="5383" max="5383" width="11.83984375" style="894" bestFit="1" customWidth="1"/>
    <col min="5384" max="5384" width="9.26171875" style="894" bestFit="1" customWidth="1"/>
    <col min="5385" max="5631" width="9.15625" style="894"/>
    <col min="5632" max="5632" width="11.41796875" style="894" customWidth="1"/>
    <col min="5633" max="5633" width="22.83984375" style="894" customWidth="1"/>
    <col min="5634" max="5634" width="30.83984375" style="894" customWidth="1"/>
    <col min="5635" max="5635" width="23.15625" style="894" customWidth="1"/>
    <col min="5636" max="5636" width="9.15625" style="894"/>
    <col min="5637" max="5637" width="14.578125" style="894" customWidth="1"/>
    <col min="5638" max="5638" width="9.15625" style="894"/>
    <col min="5639" max="5639" width="11.83984375" style="894" bestFit="1" customWidth="1"/>
    <col min="5640" max="5640" width="9.26171875" style="894" bestFit="1" customWidth="1"/>
    <col min="5641" max="5887" width="9.15625" style="894"/>
    <col min="5888" max="5888" width="11.41796875" style="894" customWidth="1"/>
    <col min="5889" max="5889" width="22.83984375" style="894" customWidth="1"/>
    <col min="5890" max="5890" width="30.83984375" style="894" customWidth="1"/>
    <col min="5891" max="5891" width="23.15625" style="894" customWidth="1"/>
    <col min="5892" max="5892" width="9.15625" style="894"/>
    <col min="5893" max="5893" width="14.578125" style="894" customWidth="1"/>
    <col min="5894" max="5894" width="9.15625" style="894"/>
    <col min="5895" max="5895" width="11.83984375" style="894" bestFit="1" customWidth="1"/>
    <col min="5896" max="5896" width="9.26171875" style="894" bestFit="1" customWidth="1"/>
    <col min="5897" max="6143" width="9.15625" style="894"/>
    <col min="6144" max="6144" width="11.41796875" style="894" customWidth="1"/>
    <col min="6145" max="6145" width="22.83984375" style="894" customWidth="1"/>
    <col min="6146" max="6146" width="30.83984375" style="894" customWidth="1"/>
    <col min="6147" max="6147" width="23.15625" style="894" customWidth="1"/>
    <col min="6148" max="6148" width="9.15625" style="894"/>
    <col min="6149" max="6149" width="14.578125" style="894" customWidth="1"/>
    <col min="6150" max="6150" width="9.15625" style="894"/>
    <col min="6151" max="6151" width="11.83984375" style="894" bestFit="1" customWidth="1"/>
    <col min="6152" max="6152" width="9.26171875" style="894" bestFit="1" customWidth="1"/>
    <col min="6153" max="6399" width="9.15625" style="894"/>
    <col min="6400" max="6400" width="11.41796875" style="894" customWidth="1"/>
    <col min="6401" max="6401" width="22.83984375" style="894" customWidth="1"/>
    <col min="6402" max="6402" width="30.83984375" style="894" customWidth="1"/>
    <col min="6403" max="6403" width="23.15625" style="894" customWidth="1"/>
    <col min="6404" max="6404" width="9.15625" style="894"/>
    <col min="6405" max="6405" width="14.578125" style="894" customWidth="1"/>
    <col min="6406" max="6406" width="9.15625" style="894"/>
    <col min="6407" max="6407" width="11.83984375" style="894" bestFit="1" customWidth="1"/>
    <col min="6408" max="6408" width="9.26171875" style="894" bestFit="1" customWidth="1"/>
    <col min="6409" max="6655" width="9.15625" style="894"/>
    <col min="6656" max="6656" width="11.41796875" style="894" customWidth="1"/>
    <col min="6657" max="6657" width="22.83984375" style="894" customWidth="1"/>
    <col min="6658" max="6658" width="30.83984375" style="894" customWidth="1"/>
    <col min="6659" max="6659" width="23.15625" style="894" customWidth="1"/>
    <col min="6660" max="6660" width="9.15625" style="894"/>
    <col min="6661" max="6661" width="14.578125" style="894" customWidth="1"/>
    <col min="6662" max="6662" width="9.15625" style="894"/>
    <col min="6663" max="6663" width="11.83984375" style="894" bestFit="1" customWidth="1"/>
    <col min="6664" max="6664" width="9.26171875" style="894" bestFit="1" customWidth="1"/>
    <col min="6665" max="6911" width="9.15625" style="894"/>
    <col min="6912" max="6912" width="11.41796875" style="894" customWidth="1"/>
    <col min="6913" max="6913" width="22.83984375" style="894" customWidth="1"/>
    <col min="6914" max="6914" width="30.83984375" style="894" customWidth="1"/>
    <col min="6915" max="6915" width="23.15625" style="894" customWidth="1"/>
    <col min="6916" max="6916" width="9.15625" style="894"/>
    <col min="6917" max="6917" width="14.578125" style="894" customWidth="1"/>
    <col min="6918" max="6918" width="9.15625" style="894"/>
    <col min="6919" max="6919" width="11.83984375" style="894" bestFit="1" customWidth="1"/>
    <col min="6920" max="6920" width="9.26171875" style="894" bestFit="1" customWidth="1"/>
    <col min="6921" max="7167" width="9.15625" style="894"/>
    <col min="7168" max="7168" width="11.41796875" style="894" customWidth="1"/>
    <col min="7169" max="7169" width="22.83984375" style="894" customWidth="1"/>
    <col min="7170" max="7170" width="30.83984375" style="894" customWidth="1"/>
    <col min="7171" max="7171" width="23.15625" style="894" customWidth="1"/>
    <col min="7172" max="7172" width="9.15625" style="894"/>
    <col min="7173" max="7173" width="14.578125" style="894" customWidth="1"/>
    <col min="7174" max="7174" width="9.15625" style="894"/>
    <col min="7175" max="7175" width="11.83984375" style="894" bestFit="1" customWidth="1"/>
    <col min="7176" max="7176" width="9.26171875" style="894" bestFit="1" customWidth="1"/>
    <col min="7177" max="7423" width="9.15625" style="894"/>
    <col min="7424" max="7424" width="11.41796875" style="894" customWidth="1"/>
    <col min="7425" max="7425" width="22.83984375" style="894" customWidth="1"/>
    <col min="7426" max="7426" width="30.83984375" style="894" customWidth="1"/>
    <col min="7427" max="7427" width="23.15625" style="894" customWidth="1"/>
    <col min="7428" max="7428" width="9.15625" style="894"/>
    <col min="7429" max="7429" width="14.578125" style="894" customWidth="1"/>
    <col min="7430" max="7430" width="9.15625" style="894"/>
    <col min="7431" max="7431" width="11.83984375" style="894" bestFit="1" customWidth="1"/>
    <col min="7432" max="7432" width="9.26171875" style="894" bestFit="1" customWidth="1"/>
    <col min="7433" max="7679" width="9.15625" style="894"/>
    <col min="7680" max="7680" width="11.41796875" style="894" customWidth="1"/>
    <col min="7681" max="7681" width="22.83984375" style="894" customWidth="1"/>
    <col min="7682" max="7682" width="30.83984375" style="894" customWidth="1"/>
    <col min="7683" max="7683" width="23.15625" style="894" customWidth="1"/>
    <col min="7684" max="7684" width="9.15625" style="894"/>
    <col min="7685" max="7685" width="14.578125" style="894" customWidth="1"/>
    <col min="7686" max="7686" width="9.15625" style="894"/>
    <col min="7687" max="7687" width="11.83984375" style="894" bestFit="1" customWidth="1"/>
    <col min="7688" max="7688" width="9.26171875" style="894" bestFit="1" customWidth="1"/>
    <col min="7689" max="7935" width="9.15625" style="894"/>
    <col min="7936" max="7936" width="11.41796875" style="894" customWidth="1"/>
    <col min="7937" max="7937" width="22.83984375" style="894" customWidth="1"/>
    <col min="7938" max="7938" width="30.83984375" style="894" customWidth="1"/>
    <col min="7939" max="7939" width="23.15625" style="894" customWidth="1"/>
    <col min="7940" max="7940" width="9.15625" style="894"/>
    <col min="7941" max="7941" width="14.578125" style="894" customWidth="1"/>
    <col min="7942" max="7942" width="9.15625" style="894"/>
    <col min="7943" max="7943" width="11.83984375" style="894" bestFit="1" customWidth="1"/>
    <col min="7944" max="7944" width="9.26171875" style="894" bestFit="1" customWidth="1"/>
    <col min="7945" max="8191" width="9.15625" style="894"/>
    <col min="8192" max="8192" width="11.41796875" style="894" customWidth="1"/>
    <col min="8193" max="8193" width="22.83984375" style="894" customWidth="1"/>
    <col min="8194" max="8194" width="30.83984375" style="894" customWidth="1"/>
    <col min="8195" max="8195" width="23.15625" style="894" customWidth="1"/>
    <col min="8196" max="8196" width="9.15625" style="894"/>
    <col min="8197" max="8197" width="14.578125" style="894" customWidth="1"/>
    <col min="8198" max="8198" width="9.15625" style="894"/>
    <col min="8199" max="8199" width="11.83984375" style="894" bestFit="1" customWidth="1"/>
    <col min="8200" max="8200" width="9.26171875" style="894" bestFit="1" customWidth="1"/>
    <col min="8201" max="8447" width="9.15625" style="894"/>
    <col min="8448" max="8448" width="11.41796875" style="894" customWidth="1"/>
    <col min="8449" max="8449" width="22.83984375" style="894" customWidth="1"/>
    <col min="8450" max="8450" width="30.83984375" style="894" customWidth="1"/>
    <col min="8451" max="8451" width="23.15625" style="894" customWidth="1"/>
    <col min="8452" max="8452" width="9.15625" style="894"/>
    <col min="8453" max="8453" width="14.578125" style="894" customWidth="1"/>
    <col min="8454" max="8454" width="9.15625" style="894"/>
    <col min="8455" max="8455" width="11.83984375" style="894" bestFit="1" customWidth="1"/>
    <col min="8456" max="8456" width="9.26171875" style="894" bestFit="1" customWidth="1"/>
    <col min="8457" max="8703" width="9.15625" style="894"/>
    <col min="8704" max="8704" width="11.41796875" style="894" customWidth="1"/>
    <col min="8705" max="8705" width="22.83984375" style="894" customWidth="1"/>
    <col min="8706" max="8706" width="30.83984375" style="894" customWidth="1"/>
    <col min="8707" max="8707" width="23.15625" style="894" customWidth="1"/>
    <col min="8708" max="8708" width="9.15625" style="894"/>
    <col min="8709" max="8709" width="14.578125" style="894" customWidth="1"/>
    <col min="8710" max="8710" width="9.15625" style="894"/>
    <col min="8711" max="8711" width="11.83984375" style="894" bestFit="1" customWidth="1"/>
    <col min="8712" max="8712" width="9.26171875" style="894" bestFit="1" customWidth="1"/>
    <col min="8713" max="8959" width="9.15625" style="894"/>
    <col min="8960" max="8960" width="11.41796875" style="894" customWidth="1"/>
    <col min="8961" max="8961" width="22.83984375" style="894" customWidth="1"/>
    <col min="8962" max="8962" width="30.83984375" style="894" customWidth="1"/>
    <col min="8963" max="8963" width="23.15625" style="894" customWidth="1"/>
    <col min="8964" max="8964" width="9.15625" style="894"/>
    <col min="8965" max="8965" width="14.578125" style="894" customWidth="1"/>
    <col min="8966" max="8966" width="9.15625" style="894"/>
    <col min="8967" max="8967" width="11.83984375" style="894" bestFit="1" customWidth="1"/>
    <col min="8968" max="8968" width="9.26171875" style="894" bestFit="1" customWidth="1"/>
    <col min="8969" max="9215" width="9.15625" style="894"/>
    <col min="9216" max="9216" width="11.41796875" style="894" customWidth="1"/>
    <col min="9217" max="9217" width="22.83984375" style="894" customWidth="1"/>
    <col min="9218" max="9218" width="30.83984375" style="894" customWidth="1"/>
    <col min="9219" max="9219" width="23.15625" style="894" customWidth="1"/>
    <col min="9220" max="9220" width="9.15625" style="894"/>
    <col min="9221" max="9221" width="14.578125" style="894" customWidth="1"/>
    <col min="9222" max="9222" width="9.15625" style="894"/>
    <col min="9223" max="9223" width="11.83984375" style="894" bestFit="1" customWidth="1"/>
    <col min="9224" max="9224" width="9.26171875" style="894" bestFit="1" customWidth="1"/>
    <col min="9225" max="9471" width="9.15625" style="894"/>
    <col min="9472" max="9472" width="11.41796875" style="894" customWidth="1"/>
    <col min="9473" max="9473" width="22.83984375" style="894" customWidth="1"/>
    <col min="9474" max="9474" width="30.83984375" style="894" customWidth="1"/>
    <col min="9475" max="9475" width="23.15625" style="894" customWidth="1"/>
    <col min="9476" max="9476" width="9.15625" style="894"/>
    <col min="9477" max="9477" width="14.578125" style="894" customWidth="1"/>
    <col min="9478" max="9478" width="9.15625" style="894"/>
    <col min="9479" max="9479" width="11.83984375" style="894" bestFit="1" customWidth="1"/>
    <col min="9480" max="9480" width="9.26171875" style="894" bestFit="1" customWidth="1"/>
    <col min="9481" max="9727" width="9.15625" style="894"/>
    <col min="9728" max="9728" width="11.41796875" style="894" customWidth="1"/>
    <col min="9729" max="9729" width="22.83984375" style="894" customWidth="1"/>
    <col min="9730" max="9730" width="30.83984375" style="894" customWidth="1"/>
    <col min="9731" max="9731" width="23.15625" style="894" customWidth="1"/>
    <col min="9732" max="9732" width="9.15625" style="894"/>
    <col min="9733" max="9733" width="14.578125" style="894" customWidth="1"/>
    <col min="9734" max="9734" width="9.15625" style="894"/>
    <col min="9735" max="9735" width="11.83984375" style="894" bestFit="1" customWidth="1"/>
    <col min="9736" max="9736" width="9.26171875" style="894" bestFit="1" customWidth="1"/>
    <col min="9737" max="9983" width="9.15625" style="894"/>
    <col min="9984" max="9984" width="11.41796875" style="894" customWidth="1"/>
    <col min="9985" max="9985" width="22.83984375" style="894" customWidth="1"/>
    <col min="9986" max="9986" width="30.83984375" style="894" customWidth="1"/>
    <col min="9987" max="9987" width="23.15625" style="894" customWidth="1"/>
    <col min="9988" max="9988" width="9.15625" style="894"/>
    <col min="9989" max="9989" width="14.578125" style="894" customWidth="1"/>
    <col min="9990" max="9990" width="9.15625" style="894"/>
    <col min="9991" max="9991" width="11.83984375" style="894" bestFit="1" customWidth="1"/>
    <col min="9992" max="9992" width="9.26171875" style="894" bestFit="1" customWidth="1"/>
    <col min="9993" max="10239" width="9.15625" style="894"/>
    <col min="10240" max="10240" width="11.41796875" style="894" customWidth="1"/>
    <col min="10241" max="10241" width="22.83984375" style="894" customWidth="1"/>
    <col min="10242" max="10242" width="30.83984375" style="894" customWidth="1"/>
    <col min="10243" max="10243" width="23.15625" style="894" customWidth="1"/>
    <col min="10244" max="10244" width="9.15625" style="894"/>
    <col min="10245" max="10245" width="14.578125" style="894" customWidth="1"/>
    <col min="10246" max="10246" width="9.15625" style="894"/>
    <col min="10247" max="10247" width="11.83984375" style="894" bestFit="1" customWidth="1"/>
    <col min="10248" max="10248" width="9.26171875" style="894" bestFit="1" customWidth="1"/>
    <col min="10249" max="10495" width="9.15625" style="894"/>
    <col min="10496" max="10496" width="11.41796875" style="894" customWidth="1"/>
    <col min="10497" max="10497" width="22.83984375" style="894" customWidth="1"/>
    <col min="10498" max="10498" width="30.83984375" style="894" customWidth="1"/>
    <col min="10499" max="10499" width="23.15625" style="894" customWidth="1"/>
    <col min="10500" max="10500" width="9.15625" style="894"/>
    <col min="10501" max="10501" width="14.578125" style="894" customWidth="1"/>
    <col min="10502" max="10502" width="9.15625" style="894"/>
    <col min="10503" max="10503" width="11.83984375" style="894" bestFit="1" customWidth="1"/>
    <col min="10504" max="10504" width="9.26171875" style="894" bestFit="1" customWidth="1"/>
    <col min="10505" max="10751" width="9.15625" style="894"/>
    <col min="10752" max="10752" width="11.41796875" style="894" customWidth="1"/>
    <col min="10753" max="10753" width="22.83984375" style="894" customWidth="1"/>
    <col min="10754" max="10754" width="30.83984375" style="894" customWidth="1"/>
    <col min="10755" max="10755" width="23.15625" style="894" customWidth="1"/>
    <col min="10756" max="10756" width="9.15625" style="894"/>
    <col min="10757" max="10757" width="14.578125" style="894" customWidth="1"/>
    <col min="10758" max="10758" width="9.15625" style="894"/>
    <col min="10759" max="10759" width="11.83984375" style="894" bestFit="1" customWidth="1"/>
    <col min="10760" max="10760" width="9.26171875" style="894" bestFit="1" customWidth="1"/>
    <col min="10761" max="11007" width="9.15625" style="894"/>
    <col min="11008" max="11008" width="11.41796875" style="894" customWidth="1"/>
    <col min="11009" max="11009" width="22.83984375" style="894" customWidth="1"/>
    <col min="11010" max="11010" width="30.83984375" style="894" customWidth="1"/>
    <col min="11011" max="11011" width="23.15625" style="894" customWidth="1"/>
    <col min="11012" max="11012" width="9.15625" style="894"/>
    <col min="11013" max="11013" width="14.578125" style="894" customWidth="1"/>
    <col min="11014" max="11014" width="9.15625" style="894"/>
    <col min="11015" max="11015" width="11.83984375" style="894" bestFit="1" customWidth="1"/>
    <col min="11016" max="11016" width="9.26171875" style="894" bestFit="1" customWidth="1"/>
    <col min="11017" max="11263" width="9.15625" style="894"/>
    <col min="11264" max="11264" width="11.41796875" style="894" customWidth="1"/>
    <col min="11265" max="11265" width="22.83984375" style="894" customWidth="1"/>
    <col min="11266" max="11266" width="30.83984375" style="894" customWidth="1"/>
    <col min="11267" max="11267" width="23.15625" style="894" customWidth="1"/>
    <col min="11268" max="11268" width="9.15625" style="894"/>
    <col min="11269" max="11269" width="14.578125" style="894" customWidth="1"/>
    <col min="11270" max="11270" width="9.15625" style="894"/>
    <col min="11271" max="11271" width="11.83984375" style="894" bestFit="1" customWidth="1"/>
    <col min="11272" max="11272" width="9.26171875" style="894" bestFit="1" customWidth="1"/>
    <col min="11273" max="11519" width="9.15625" style="894"/>
    <col min="11520" max="11520" width="11.41796875" style="894" customWidth="1"/>
    <col min="11521" max="11521" width="22.83984375" style="894" customWidth="1"/>
    <col min="11522" max="11522" width="30.83984375" style="894" customWidth="1"/>
    <col min="11523" max="11523" width="23.15625" style="894" customWidth="1"/>
    <col min="11524" max="11524" width="9.15625" style="894"/>
    <col min="11525" max="11525" width="14.578125" style="894" customWidth="1"/>
    <col min="11526" max="11526" width="9.15625" style="894"/>
    <col min="11527" max="11527" width="11.83984375" style="894" bestFit="1" customWidth="1"/>
    <col min="11528" max="11528" width="9.26171875" style="894" bestFit="1" customWidth="1"/>
    <col min="11529" max="11775" width="9.15625" style="894"/>
    <col min="11776" max="11776" width="11.41796875" style="894" customWidth="1"/>
    <col min="11777" max="11777" width="22.83984375" style="894" customWidth="1"/>
    <col min="11778" max="11778" width="30.83984375" style="894" customWidth="1"/>
    <col min="11779" max="11779" width="23.15625" style="894" customWidth="1"/>
    <col min="11780" max="11780" width="9.15625" style="894"/>
    <col min="11781" max="11781" width="14.578125" style="894" customWidth="1"/>
    <col min="11782" max="11782" width="9.15625" style="894"/>
    <col min="11783" max="11783" width="11.83984375" style="894" bestFit="1" customWidth="1"/>
    <col min="11784" max="11784" width="9.26171875" style="894" bestFit="1" customWidth="1"/>
    <col min="11785" max="12031" width="9.15625" style="894"/>
    <col min="12032" max="12032" width="11.41796875" style="894" customWidth="1"/>
    <col min="12033" max="12033" width="22.83984375" style="894" customWidth="1"/>
    <col min="12034" max="12034" width="30.83984375" style="894" customWidth="1"/>
    <col min="12035" max="12035" width="23.15625" style="894" customWidth="1"/>
    <col min="12036" max="12036" width="9.15625" style="894"/>
    <col min="12037" max="12037" width="14.578125" style="894" customWidth="1"/>
    <col min="12038" max="12038" width="9.15625" style="894"/>
    <col min="12039" max="12039" width="11.83984375" style="894" bestFit="1" customWidth="1"/>
    <col min="12040" max="12040" width="9.26171875" style="894" bestFit="1" customWidth="1"/>
    <col min="12041" max="12287" width="9.15625" style="894"/>
    <col min="12288" max="12288" width="11.41796875" style="894" customWidth="1"/>
    <col min="12289" max="12289" width="22.83984375" style="894" customWidth="1"/>
    <col min="12290" max="12290" width="30.83984375" style="894" customWidth="1"/>
    <col min="12291" max="12291" width="23.15625" style="894" customWidth="1"/>
    <col min="12292" max="12292" width="9.15625" style="894"/>
    <col min="12293" max="12293" width="14.578125" style="894" customWidth="1"/>
    <col min="12294" max="12294" width="9.15625" style="894"/>
    <col min="12295" max="12295" width="11.83984375" style="894" bestFit="1" customWidth="1"/>
    <col min="12296" max="12296" width="9.26171875" style="894" bestFit="1" customWidth="1"/>
    <col min="12297" max="12543" width="9.15625" style="894"/>
    <col min="12544" max="12544" width="11.41796875" style="894" customWidth="1"/>
    <col min="12545" max="12545" width="22.83984375" style="894" customWidth="1"/>
    <col min="12546" max="12546" width="30.83984375" style="894" customWidth="1"/>
    <col min="12547" max="12547" width="23.15625" style="894" customWidth="1"/>
    <col min="12548" max="12548" width="9.15625" style="894"/>
    <col min="12549" max="12549" width="14.578125" style="894" customWidth="1"/>
    <col min="12550" max="12550" width="9.15625" style="894"/>
    <col min="12551" max="12551" width="11.83984375" style="894" bestFit="1" customWidth="1"/>
    <col min="12552" max="12552" width="9.26171875" style="894" bestFit="1" customWidth="1"/>
    <col min="12553" max="12799" width="9.15625" style="894"/>
    <col min="12800" max="12800" width="11.41796875" style="894" customWidth="1"/>
    <col min="12801" max="12801" width="22.83984375" style="894" customWidth="1"/>
    <col min="12802" max="12802" width="30.83984375" style="894" customWidth="1"/>
    <col min="12803" max="12803" width="23.15625" style="894" customWidth="1"/>
    <col min="12804" max="12804" width="9.15625" style="894"/>
    <col min="12805" max="12805" width="14.578125" style="894" customWidth="1"/>
    <col min="12806" max="12806" width="9.15625" style="894"/>
    <col min="12807" max="12807" width="11.83984375" style="894" bestFit="1" customWidth="1"/>
    <col min="12808" max="12808" width="9.26171875" style="894" bestFit="1" customWidth="1"/>
    <col min="12809" max="13055" width="9.15625" style="894"/>
    <col min="13056" max="13056" width="11.41796875" style="894" customWidth="1"/>
    <col min="13057" max="13057" width="22.83984375" style="894" customWidth="1"/>
    <col min="13058" max="13058" width="30.83984375" style="894" customWidth="1"/>
    <col min="13059" max="13059" width="23.15625" style="894" customWidth="1"/>
    <col min="13060" max="13060" width="9.15625" style="894"/>
    <col min="13061" max="13061" width="14.578125" style="894" customWidth="1"/>
    <col min="13062" max="13062" width="9.15625" style="894"/>
    <col min="13063" max="13063" width="11.83984375" style="894" bestFit="1" customWidth="1"/>
    <col min="13064" max="13064" width="9.26171875" style="894" bestFit="1" customWidth="1"/>
    <col min="13065" max="13311" width="9.15625" style="894"/>
    <col min="13312" max="13312" width="11.41796875" style="894" customWidth="1"/>
    <col min="13313" max="13313" width="22.83984375" style="894" customWidth="1"/>
    <col min="13314" max="13314" width="30.83984375" style="894" customWidth="1"/>
    <col min="13315" max="13315" width="23.15625" style="894" customWidth="1"/>
    <col min="13316" max="13316" width="9.15625" style="894"/>
    <col min="13317" max="13317" width="14.578125" style="894" customWidth="1"/>
    <col min="13318" max="13318" width="9.15625" style="894"/>
    <col min="13319" max="13319" width="11.83984375" style="894" bestFit="1" customWidth="1"/>
    <col min="13320" max="13320" width="9.26171875" style="894" bestFit="1" customWidth="1"/>
    <col min="13321" max="13567" width="9.15625" style="894"/>
    <col min="13568" max="13568" width="11.41796875" style="894" customWidth="1"/>
    <col min="13569" max="13569" width="22.83984375" style="894" customWidth="1"/>
    <col min="13570" max="13570" width="30.83984375" style="894" customWidth="1"/>
    <col min="13571" max="13571" width="23.15625" style="894" customWidth="1"/>
    <col min="13572" max="13572" width="9.15625" style="894"/>
    <col min="13573" max="13573" width="14.578125" style="894" customWidth="1"/>
    <col min="13574" max="13574" width="9.15625" style="894"/>
    <col min="13575" max="13575" width="11.83984375" style="894" bestFit="1" customWidth="1"/>
    <col min="13576" max="13576" width="9.26171875" style="894" bestFit="1" customWidth="1"/>
    <col min="13577" max="13823" width="9.15625" style="894"/>
    <col min="13824" max="13824" width="11.41796875" style="894" customWidth="1"/>
    <col min="13825" max="13825" width="22.83984375" style="894" customWidth="1"/>
    <col min="13826" max="13826" width="30.83984375" style="894" customWidth="1"/>
    <col min="13827" max="13827" width="23.15625" style="894" customWidth="1"/>
    <col min="13828" max="13828" width="9.15625" style="894"/>
    <col min="13829" max="13829" width="14.578125" style="894" customWidth="1"/>
    <col min="13830" max="13830" width="9.15625" style="894"/>
    <col min="13831" max="13831" width="11.83984375" style="894" bestFit="1" customWidth="1"/>
    <col min="13832" max="13832" width="9.26171875" style="894" bestFit="1" customWidth="1"/>
    <col min="13833" max="14079" width="9.15625" style="894"/>
    <col min="14080" max="14080" width="11.41796875" style="894" customWidth="1"/>
    <col min="14081" max="14081" width="22.83984375" style="894" customWidth="1"/>
    <col min="14082" max="14082" width="30.83984375" style="894" customWidth="1"/>
    <col min="14083" max="14083" width="23.15625" style="894" customWidth="1"/>
    <col min="14084" max="14084" width="9.15625" style="894"/>
    <col min="14085" max="14085" width="14.578125" style="894" customWidth="1"/>
    <col min="14086" max="14086" width="9.15625" style="894"/>
    <col min="14087" max="14087" width="11.83984375" style="894" bestFit="1" customWidth="1"/>
    <col min="14088" max="14088" width="9.26171875" style="894" bestFit="1" customWidth="1"/>
    <col min="14089" max="14335" width="9.15625" style="894"/>
    <col min="14336" max="14336" width="11.41796875" style="894" customWidth="1"/>
    <col min="14337" max="14337" width="22.83984375" style="894" customWidth="1"/>
    <col min="14338" max="14338" width="30.83984375" style="894" customWidth="1"/>
    <col min="14339" max="14339" width="23.15625" style="894" customWidth="1"/>
    <col min="14340" max="14340" width="9.15625" style="894"/>
    <col min="14341" max="14341" width="14.578125" style="894" customWidth="1"/>
    <col min="14342" max="14342" width="9.15625" style="894"/>
    <col min="14343" max="14343" width="11.83984375" style="894" bestFit="1" customWidth="1"/>
    <col min="14344" max="14344" width="9.26171875" style="894" bestFit="1" customWidth="1"/>
    <col min="14345" max="14591" width="9.15625" style="894"/>
    <col min="14592" max="14592" width="11.41796875" style="894" customWidth="1"/>
    <col min="14593" max="14593" width="22.83984375" style="894" customWidth="1"/>
    <col min="14594" max="14594" width="30.83984375" style="894" customWidth="1"/>
    <col min="14595" max="14595" width="23.15625" style="894" customWidth="1"/>
    <col min="14596" max="14596" width="9.15625" style="894"/>
    <col min="14597" max="14597" width="14.578125" style="894" customWidth="1"/>
    <col min="14598" max="14598" width="9.15625" style="894"/>
    <col min="14599" max="14599" width="11.83984375" style="894" bestFit="1" customWidth="1"/>
    <col min="14600" max="14600" width="9.26171875" style="894" bestFit="1" customWidth="1"/>
    <col min="14601" max="14847" width="9.15625" style="894"/>
    <col min="14848" max="14848" width="11.41796875" style="894" customWidth="1"/>
    <col min="14849" max="14849" width="22.83984375" style="894" customWidth="1"/>
    <col min="14850" max="14850" width="30.83984375" style="894" customWidth="1"/>
    <col min="14851" max="14851" width="23.15625" style="894" customWidth="1"/>
    <col min="14852" max="14852" width="9.15625" style="894"/>
    <col min="14853" max="14853" width="14.578125" style="894" customWidth="1"/>
    <col min="14854" max="14854" width="9.15625" style="894"/>
    <col min="14855" max="14855" width="11.83984375" style="894" bestFit="1" customWidth="1"/>
    <col min="14856" max="14856" width="9.26171875" style="894" bestFit="1" customWidth="1"/>
    <col min="14857" max="15103" width="9.15625" style="894"/>
    <col min="15104" max="15104" width="11.41796875" style="894" customWidth="1"/>
    <col min="15105" max="15105" width="22.83984375" style="894" customWidth="1"/>
    <col min="15106" max="15106" width="30.83984375" style="894" customWidth="1"/>
    <col min="15107" max="15107" width="23.15625" style="894" customWidth="1"/>
    <col min="15108" max="15108" width="9.15625" style="894"/>
    <col min="15109" max="15109" width="14.578125" style="894" customWidth="1"/>
    <col min="15110" max="15110" width="9.15625" style="894"/>
    <col min="15111" max="15111" width="11.83984375" style="894" bestFit="1" customWidth="1"/>
    <col min="15112" max="15112" width="9.26171875" style="894" bestFit="1" customWidth="1"/>
    <col min="15113" max="15359" width="9.15625" style="894"/>
    <col min="15360" max="15360" width="11.41796875" style="894" customWidth="1"/>
    <col min="15361" max="15361" width="22.83984375" style="894" customWidth="1"/>
    <col min="15362" max="15362" width="30.83984375" style="894" customWidth="1"/>
    <col min="15363" max="15363" width="23.15625" style="894" customWidth="1"/>
    <col min="15364" max="15364" width="9.15625" style="894"/>
    <col min="15365" max="15365" width="14.578125" style="894" customWidth="1"/>
    <col min="15366" max="15366" width="9.15625" style="894"/>
    <col min="15367" max="15367" width="11.83984375" style="894" bestFit="1" customWidth="1"/>
    <col min="15368" max="15368" width="9.26171875" style="894" bestFit="1" customWidth="1"/>
    <col min="15369" max="15615" width="9.15625" style="894"/>
    <col min="15616" max="15616" width="11.41796875" style="894" customWidth="1"/>
    <col min="15617" max="15617" width="22.83984375" style="894" customWidth="1"/>
    <col min="15618" max="15618" width="30.83984375" style="894" customWidth="1"/>
    <col min="15619" max="15619" width="23.15625" style="894" customWidth="1"/>
    <col min="15620" max="15620" width="9.15625" style="894"/>
    <col min="15621" max="15621" width="14.578125" style="894" customWidth="1"/>
    <col min="15622" max="15622" width="9.15625" style="894"/>
    <col min="15623" max="15623" width="11.83984375" style="894" bestFit="1" customWidth="1"/>
    <col min="15624" max="15624" width="9.26171875" style="894" bestFit="1" customWidth="1"/>
    <col min="15625" max="15871" width="9.15625" style="894"/>
    <col min="15872" max="15872" width="11.41796875" style="894" customWidth="1"/>
    <col min="15873" max="15873" width="22.83984375" style="894" customWidth="1"/>
    <col min="15874" max="15874" width="30.83984375" style="894" customWidth="1"/>
    <col min="15875" max="15875" width="23.15625" style="894" customWidth="1"/>
    <col min="15876" max="15876" width="9.15625" style="894"/>
    <col min="15877" max="15877" width="14.578125" style="894" customWidth="1"/>
    <col min="15878" max="15878" width="9.15625" style="894"/>
    <col min="15879" max="15879" width="11.83984375" style="894" bestFit="1" customWidth="1"/>
    <col min="15880" max="15880" width="9.26171875" style="894" bestFit="1" customWidth="1"/>
    <col min="15881" max="16127" width="9.15625" style="894"/>
    <col min="16128" max="16128" width="11.41796875" style="894" customWidth="1"/>
    <col min="16129" max="16129" width="22.83984375" style="894" customWidth="1"/>
    <col min="16130" max="16130" width="30.83984375" style="894" customWidth="1"/>
    <col min="16131" max="16131" width="23.15625" style="894" customWidth="1"/>
    <col min="16132" max="16132" width="9.15625" style="894"/>
    <col min="16133" max="16133" width="14.578125" style="894" customWidth="1"/>
    <col min="16134" max="16134" width="9.15625" style="894"/>
    <col min="16135" max="16135" width="11.83984375" style="894" bestFit="1" customWidth="1"/>
    <col min="16136" max="16136" width="9.26171875" style="894" bestFit="1" customWidth="1"/>
    <col min="16137" max="16384" width="9.15625" style="894"/>
  </cols>
  <sheetData>
    <row r="1" spans="1:8" s="500" customFormat="1">
      <c r="A1" s="1572" t="s">
        <v>1382</v>
      </c>
      <c r="B1" s="1572"/>
      <c r="C1" s="1572"/>
    </row>
    <row r="2" spans="1:8" s="500" customFormat="1" ht="63" customHeight="1">
      <c r="A2" s="1572" t="str">
        <f>LEAD!A2</f>
        <v>Construction of Kitchen shed at ZPHS  Bijwar(V) of Utkoor(M)</v>
      </c>
      <c r="B2" s="1572"/>
      <c r="C2" s="1572"/>
    </row>
    <row r="3" spans="1:8" s="877" customFormat="1" ht="15">
      <c r="A3" s="501" t="s">
        <v>1383</v>
      </c>
      <c r="B3" s="501" t="s">
        <v>90</v>
      </c>
      <c r="C3" s="501" t="s">
        <v>564</v>
      </c>
    </row>
    <row r="4" spans="1:8" s="878" customFormat="1">
      <c r="A4" s="879">
        <v>1</v>
      </c>
      <c r="B4" s="732" t="s">
        <v>1660</v>
      </c>
      <c r="C4" s="880" t="e">
        <f>#REF!</f>
        <v>#REF!</v>
      </c>
      <c r="D4" s="882"/>
      <c r="G4" s="878">
        <v>20539384</v>
      </c>
    </row>
    <row r="5" spans="1:8" s="878" customFormat="1">
      <c r="A5" s="879">
        <f>A4+1</f>
        <v>2</v>
      </c>
      <c r="B5" s="732" t="s">
        <v>1384</v>
      </c>
      <c r="C5" s="880" t="e">
        <f>#REF!</f>
        <v>#REF!</v>
      </c>
      <c r="D5" s="882"/>
      <c r="G5" s="878">
        <v>560596</v>
      </c>
    </row>
    <row r="6" spans="1:8" s="126" customFormat="1">
      <c r="A6" s="879">
        <f>A5+1</f>
        <v>3</v>
      </c>
      <c r="B6" s="881" t="s">
        <v>1385</v>
      </c>
      <c r="C6" s="882" t="e">
        <f>#REF!</f>
        <v>#REF!</v>
      </c>
      <c r="D6" s="882"/>
      <c r="E6" s="883"/>
      <c r="G6" s="883">
        <v>3251218</v>
      </c>
      <c r="H6" s="883"/>
    </row>
    <row r="7" spans="1:8" s="878" customFormat="1">
      <c r="A7" s="879"/>
      <c r="B7" s="884" t="s">
        <v>1386</v>
      </c>
      <c r="C7" s="885" t="e">
        <f>SUM(C4:C6)</f>
        <v>#REF!</v>
      </c>
      <c r="D7" s="886" t="e">
        <f>C7-#REF!</f>
        <v>#REF!</v>
      </c>
      <c r="E7" s="886"/>
      <c r="G7" s="878">
        <v>165607022</v>
      </c>
    </row>
    <row r="8" spans="1:8" s="878" customFormat="1">
      <c r="A8" s="879">
        <f>A6+1</f>
        <v>4</v>
      </c>
      <c r="B8" s="732" t="s">
        <v>1387</v>
      </c>
      <c r="C8" s="880" t="e">
        <f>+ROUND(C7*0.12,0)</f>
        <v>#REF!</v>
      </c>
      <c r="D8" s="886"/>
      <c r="E8" s="886"/>
    </row>
    <row r="9" spans="1:8" s="878" customFormat="1">
      <c r="A9" s="879">
        <f>+A8+1</f>
        <v>5</v>
      </c>
      <c r="B9" s="732" t="s">
        <v>1388</v>
      </c>
      <c r="C9" s="880" t="e">
        <f>+ROUND(C7*0.059,0)</f>
        <v>#REF!</v>
      </c>
      <c r="D9" s="886"/>
      <c r="E9" s="886"/>
    </row>
    <row r="10" spans="1:8" s="878" customFormat="1">
      <c r="A10" s="879">
        <f t="shared" ref="A10:A16" si="0">+A9+1</f>
        <v>6</v>
      </c>
      <c r="B10" s="732" t="s">
        <v>1389</v>
      </c>
      <c r="C10" s="880" t="e">
        <f>+ROUND(C7*0.001,0)</f>
        <v>#REF!</v>
      </c>
      <c r="D10" s="886"/>
      <c r="E10" s="886"/>
    </row>
    <row r="11" spans="1:8" s="878" customFormat="1">
      <c r="A11" s="879">
        <f t="shared" si="0"/>
        <v>7</v>
      </c>
      <c r="B11" s="732" t="s">
        <v>1390</v>
      </c>
      <c r="C11" s="880" t="e">
        <f>+ROUND(C7*0.01,0)</f>
        <v>#REF!</v>
      </c>
      <c r="D11" s="886"/>
      <c r="E11" s="886"/>
    </row>
    <row r="12" spans="1:8" s="878" customFormat="1">
      <c r="A12" s="879">
        <f t="shared" si="0"/>
        <v>8</v>
      </c>
      <c r="B12" s="732" t="s">
        <v>1391</v>
      </c>
      <c r="C12" s="880" t="e">
        <f>+ROUND(C7*0.005,0)</f>
        <v>#REF!</v>
      </c>
      <c r="D12" s="886"/>
      <c r="E12" s="886"/>
    </row>
    <row r="13" spans="1:8" s="878" customFormat="1">
      <c r="A13" s="879">
        <f t="shared" si="0"/>
        <v>9</v>
      </c>
      <c r="B13" s="732" t="s">
        <v>1392</v>
      </c>
      <c r="C13" s="880">
        <v>900000</v>
      </c>
      <c r="D13" s="886"/>
      <c r="E13" s="886"/>
    </row>
    <row r="14" spans="1:8" s="878" customFormat="1" ht="15.75" customHeight="1">
      <c r="A14" s="879">
        <f>+A13+1</f>
        <v>10</v>
      </c>
      <c r="B14" s="875" t="s">
        <v>2191</v>
      </c>
      <c r="C14" s="876">
        <v>300000</v>
      </c>
      <c r="D14" s="886"/>
      <c r="E14" s="886"/>
    </row>
    <row r="15" spans="1:8" s="878" customFormat="1" ht="15.75" customHeight="1">
      <c r="A15" s="879">
        <f t="shared" si="0"/>
        <v>11</v>
      </c>
      <c r="B15" s="875" t="s">
        <v>2192</v>
      </c>
      <c r="C15" s="876" t="e">
        <f>ROUND(C7*1.18%,0)</f>
        <v>#REF!</v>
      </c>
      <c r="D15" s="886"/>
      <c r="E15" s="886"/>
    </row>
    <row r="16" spans="1:8" s="878" customFormat="1">
      <c r="A16" s="879">
        <f t="shared" si="0"/>
        <v>12</v>
      </c>
      <c r="B16" s="732" t="s">
        <v>1393</v>
      </c>
      <c r="C16" s="880">
        <v>22556</v>
      </c>
      <c r="D16" s="886"/>
      <c r="E16" s="886"/>
    </row>
    <row r="17" spans="1:5" s="878" customFormat="1" ht="17.399999999999999">
      <c r="A17" s="887"/>
      <c r="B17" s="888" t="s">
        <v>1394</v>
      </c>
      <c r="C17" s="889" t="e">
        <f>SUM(C7:C16)</f>
        <v>#REF!</v>
      </c>
      <c r="D17" s="886"/>
      <c r="E17" s="886">
        <v>200000000</v>
      </c>
    </row>
    <row r="18" spans="1:5" s="500" customFormat="1">
      <c r="A18" s="890"/>
      <c r="C18" s="891"/>
      <c r="E18" s="892" t="e">
        <f>E17-C17</f>
        <v>#REF!</v>
      </c>
    </row>
  </sheetData>
  <mergeCells count="2">
    <mergeCell ref="A1:C1"/>
    <mergeCell ref="A2:C2"/>
  </mergeCells>
  <printOptions horizontalCentered="1"/>
  <pageMargins left="0.55000000000000004" right="0.59" top="0.63"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tabColor rgb="FF00B050"/>
  </sheetPr>
  <dimension ref="A1:K142"/>
  <sheetViews>
    <sheetView view="pageBreakPreview" topLeftCell="A82" zoomScale="85" zoomScaleNormal="115" zoomScaleSheetLayoutView="85" workbookViewId="0">
      <selection activeCell="K91" sqref="K91"/>
    </sheetView>
  </sheetViews>
  <sheetFormatPr defaultColWidth="9.15625" defaultRowHeight="12.3"/>
  <cols>
    <col min="1" max="1" width="2.83984375" style="511" customWidth="1"/>
    <col min="2" max="2" width="3" style="661" bestFit="1" customWidth="1"/>
    <col min="3" max="3" width="46.41796875" style="512" customWidth="1"/>
    <col min="4" max="4" width="6.578125" style="511" bestFit="1" customWidth="1"/>
    <col min="5" max="5" width="5.26171875" style="511" bestFit="1" customWidth="1"/>
    <col min="6" max="6" width="4.578125" style="511" hidden="1" customWidth="1"/>
    <col min="7" max="7" width="5" style="511" bestFit="1" customWidth="1"/>
    <col min="8" max="8" width="5.83984375" style="511" bestFit="1" customWidth="1"/>
    <col min="9" max="9" width="10" style="685" bestFit="1" customWidth="1"/>
    <col min="10" max="10" width="8" style="511" bestFit="1" customWidth="1"/>
    <col min="11" max="16384" width="9.15625" style="511"/>
  </cols>
  <sheetData>
    <row r="1" spans="1:10" ht="47.25" customHeight="1">
      <c r="A1" s="1573" t="str">
        <f>LEAD!A2</f>
        <v>Construction of Kitchen shed at ZPHS  Bijwar(V) of Utkoor(M)</v>
      </c>
      <c r="B1" s="1573"/>
      <c r="C1" s="1573"/>
      <c r="D1" s="1573"/>
      <c r="E1" s="1573"/>
      <c r="F1" s="1573"/>
      <c r="G1" s="1573"/>
      <c r="H1" s="1573"/>
      <c r="I1" s="1573"/>
      <c r="J1" s="1573"/>
    </row>
    <row r="2" spans="1:10" ht="23.25" customHeight="1">
      <c r="A2" s="1573" t="s">
        <v>1676</v>
      </c>
      <c r="B2" s="1573"/>
      <c r="C2" s="1573"/>
      <c r="D2" s="1573"/>
      <c r="E2" s="1573"/>
      <c r="F2" s="1573"/>
      <c r="G2" s="1573"/>
      <c r="H2" s="1573"/>
      <c r="I2" s="1573"/>
      <c r="J2" s="1573"/>
    </row>
    <row r="3" spans="1:10" s="661" customFormat="1" ht="12.75" customHeight="1">
      <c r="A3" s="1574" t="s">
        <v>463</v>
      </c>
      <c r="B3" s="1574"/>
      <c r="C3" s="1574" t="s">
        <v>1404</v>
      </c>
      <c r="D3" s="1576" t="s">
        <v>464</v>
      </c>
      <c r="E3" s="1576"/>
      <c r="F3" s="1576" t="s">
        <v>53</v>
      </c>
      <c r="G3" s="1574" t="s">
        <v>1443</v>
      </c>
      <c r="H3" s="1574"/>
      <c r="I3" s="728" t="s">
        <v>1135</v>
      </c>
      <c r="J3" s="1574" t="s">
        <v>1396</v>
      </c>
    </row>
    <row r="4" spans="1:10" s="661" customFormat="1" ht="12.75" customHeight="1">
      <c r="A4" s="1575"/>
      <c r="B4" s="1575"/>
      <c r="C4" s="1575"/>
      <c r="D4" s="1577"/>
      <c r="E4" s="1577"/>
      <c r="F4" s="1577"/>
      <c r="G4" s="1575"/>
      <c r="H4" s="1575"/>
      <c r="I4" s="730" t="s">
        <v>1457</v>
      </c>
      <c r="J4" s="1575"/>
    </row>
    <row r="5" spans="1:10" s="642" customFormat="1">
      <c r="A5" s="147"/>
      <c r="B5" s="639"/>
      <c r="C5" s="640"/>
      <c r="D5" s="663"/>
      <c r="E5" s="679"/>
      <c r="F5" s="641"/>
      <c r="G5" s="679"/>
      <c r="H5" s="679"/>
      <c r="I5" s="663"/>
      <c r="J5" s="679"/>
    </row>
    <row r="6" spans="1:10" ht="139.5" customHeight="1">
      <c r="A6" s="739">
        <v>1</v>
      </c>
      <c r="B6" s="729"/>
      <c r="C6" s="23" t="str">
        <f>'C-data'!C213:I213</f>
        <v xml:space="preserve">Earth work excavation and depositing on bank (manual means) with initial lead of 10m and initial lift of 3m in Loamy &amp; Clayey Soils like BC Soils, Red Earth &amp; Ordinary Gravelly Soils ( SS 20-B) including all operational incidental labour charges such as  shoring, strutting, sheeting, planking and dewatering including cost of hire charges of T &amp; P, labour charges etc., complete for finished item of work excluding seignerage charges and dewatering charges etc., complete for Foundation of Building.(APSS No. 308) </v>
      </c>
      <c r="D6" s="663">
        <f>'Security-GF '!H9</f>
        <v>28</v>
      </c>
      <c r="E6" s="679" t="s">
        <v>1444</v>
      </c>
      <c r="F6" s="739">
        <v>1</v>
      </c>
      <c r="G6" s="679" t="str">
        <f>IF(F6=10,"Ten",IF(F6=1,"ONE",""))</f>
        <v>ONE</v>
      </c>
      <c r="H6" s="679" t="str">
        <f>E6</f>
        <v>CUM</v>
      </c>
      <c r="I6" s="663">
        <f>'C-data'!I218</f>
        <v>312.15000000000003</v>
      </c>
      <c r="J6" s="679">
        <f>ROUND(D6*I6/F6,0)</f>
        <v>8740</v>
      </c>
    </row>
    <row r="7" spans="1:10">
      <c r="A7" s="739"/>
      <c r="B7" s="729"/>
      <c r="C7" s="640"/>
      <c r="D7" s="643"/>
      <c r="E7" s="679"/>
      <c r="F7" s="739"/>
      <c r="G7" s="679"/>
      <c r="H7" s="679"/>
      <c r="I7" s="643"/>
      <c r="J7" s="679"/>
    </row>
    <row r="8" spans="1:10" ht="180.75" customHeight="1">
      <c r="A8" s="739">
        <f>A6+1</f>
        <v>2</v>
      </c>
      <c r="B8" s="729"/>
      <c r="C8" s="23" t="str">
        <f>'C-data'!C277:I277</f>
        <v xml:space="preserve">Plain Cement Concrete corresponding to M7.5 grade as per IS 456 equivalent to (1:4:8) proportion nominal mix (cement: fine aggregate: Coarse aggregate) using , 40mm size Hard Blasted Granite (IS383, 1970) metal from approved quarry including cost and conveyance of all materials like cement, sand, coarse aggregate, water etc. to site, including  sales &amp; other taxes on all materials, all operational, incidental,  and labour charges such as mixing, laying and ramming concrete in layers in position not exceeding 15cm, finishing top surface, curing concrete,  etc.,   complete but excluding seigniorage charges, for finished item of work for Foundations  (APSS No. 402) </v>
      </c>
      <c r="D8" s="663">
        <f>'Security-GF '!H15</f>
        <v>2</v>
      </c>
      <c r="E8" s="679" t="s">
        <v>1444</v>
      </c>
      <c r="F8" s="739">
        <v>1</v>
      </c>
      <c r="G8" s="679" t="str">
        <f>IF(F8=10,"Ten",IF(F8=1,"ONE",""))</f>
        <v>ONE</v>
      </c>
      <c r="H8" s="679" t="str">
        <f>E8</f>
        <v>CUM</v>
      </c>
      <c r="I8" s="663">
        <f>'C-data'!I290</f>
        <v>3769.55</v>
      </c>
      <c r="J8" s="679">
        <f>ROUND(D8*I8/F8,0)</f>
        <v>7539</v>
      </c>
    </row>
    <row r="9" spans="1:10">
      <c r="A9" s="739"/>
      <c r="B9" s="729"/>
      <c r="C9" s="640"/>
      <c r="D9" s="643"/>
      <c r="E9" s="679"/>
      <c r="F9" s="739"/>
      <c r="G9" s="679"/>
      <c r="H9" s="679"/>
      <c r="I9" s="643"/>
      <c r="J9" s="679"/>
    </row>
    <row r="10" spans="1:10" ht="180" customHeight="1">
      <c r="A10" s="739">
        <f>A8+1</f>
        <v>3</v>
      </c>
      <c r="B10" s="729"/>
      <c r="C10" s="22" t="str">
        <f>'C-data'!C263:I263</f>
        <v xml:space="preserve">Plain Cement Concrete corresponding to M5 grade as per IS 456 equivalent to (1:5:10) proportion nominal mix (cement: fine aggregate: Coarse aggregate) using,40mm size Hard Blasted Granite (IS383, 1970) metal from approved quarry including cost and conveyance of all materials like cement, sand, coarse aggregate, water etc. to site, including  sales &amp; other taxes on all materials, all operational, incidental,  and labour charges such as mixing, laying and ramming concrete in layers in position not exceeding 15cm, finishing top surface, curing concrete,  etc., complete but excluding seigniorage chargesfor finished item of work for Foundations and Flooring Bed (APSS No. 402) </v>
      </c>
      <c r="D10" s="663">
        <f>'Security-GF '!H28</f>
        <v>3</v>
      </c>
      <c r="E10" s="679" t="s">
        <v>1444</v>
      </c>
      <c r="F10" s="739">
        <v>1</v>
      </c>
      <c r="G10" s="679" t="str">
        <f>IF(F10=10,"Ten",IF(F10=1,"ONE",""))</f>
        <v>ONE</v>
      </c>
      <c r="H10" s="679" t="str">
        <f>E10</f>
        <v>CUM</v>
      </c>
      <c r="I10" s="663">
        <f>'C-data'!I276</f>
        <v>3537.3</v>
      </c>
      <c r="J10" s="679">
        <f>ROUND(D10*I10/F10,0)</f>
        <v>10612</v>
      </c>
    </row>
    <row r="11" spans="1:10">
      <c r="A11" s="739"/>
      <c r="B11" s="729"/>
      <c r="C11" s="640"/>
      <c r="D11" s="663"/>
      <c r="E11" s="679"/>
      <c r="F11" s="739"/>
      <c r="G11" s="679"/>
      <c r="H11" s="679"/>
      <c r="I11" s="663"/>
      <c r="J11" s="679"/>
    </row>
    <row r="12" spans="1:10" ht="125.25" customHeight="1">
      <c r="A12" s="739">
        <f>A10+1</f>
        <v>4</v>
      </c>
      <c r="B12" s="729"/>
      <c r="C12" s="23" t="str">
        <f>'C-data'!C243:I243</f>
        <v xml:space="preserve">Filling with useful available excavated earth (excluding rock) in trenches, sides of foundations and basement with initial lead in layers not exceeding 15cm thick, consolidating each deposited layer by watering and ramming including cost and conveyence of water to work site and all operational, incidental, labour charges, hire charges of T &amp; P etc., complete for finished item of work. (APSS NO. 309 &amp; 310) </v>
      </c>
      <c r="D12" s="663">
        <f>'Security-GF '!H54</f>
        <v>23</v>
      </c>
      <c r="E12" s="679" t="s">
        <v>1444</v>
      </c>
      <c r="F12" s="739">
        <v>1</v>
      </c>
      <c r="G12" s="679" t="str">
        <f>IF(F12=10,"Ten",IF(F12=1,"ONE",""))</f>
        <v>ONE</v>
      </c>
      <c r="H12" s="679" t="str">
        <f>E12</f>
        <v>CUM</v>
      </c>
      <c r="I12" s="663">
        <f>'C-data'!I248</f>
        <v>34.25</v>
      </c>
      <c r="J12" s="679">
        <f>ROUND(D12*I12/F12,0)</f>
        <v>788</v>
      </c>
    </row>
    <row r="13" spans="1:10">
      <c r="A13" s="739"/>
      <c r="B13" s="729"/>
      <c r="C13" s="640"/>
      <c r="D13" s="643"/>
      <c r="E13" s="679"/>
      <c r="F13" s="739"/>
      <c r="G13" s="679"/>
      <c r="H13" s="679"/>
      <c r="I13" s="643"/>
      <c r="J13" s="679"/>
    </row>
    <row r="14" spans="1:10" ht="104.25" customHeight="1">
      <c r="A14" s="739">
        <f>A12+1</f>
        <v>5</v>
      </c>
      <c r="B14" s="729"/>
      <c r="C14" s="23" t="str">
        <f>'C-data'!C249:I249</f>
        <v xml:space="preserve">Filling with Gravel in trenches, sides of foundations and basement with initial lead in layers not exceeding 15cm thick, consolidating each deposited layer by watering and ramming including cost and conveyence of water to the work site and all operational, incidental, labour charges,   hire charges of T &amp; P etc., completebut but excluding seignorage charges, for finished item of work. (APSS NO. 309 &amp; 310) </v>
      </c>
      <c r="D14" s="663">
        <f>'Security-GF '!H57</f>
        <v>11</v>
      </c>
      <c r="E14" s="679" t="s">
        <v>1444</v>
      </c>
      <c r="F14" s="739">
        <v>1</v>
      </c>
      <c r="G14" s="679" t="str">
        <f>IF(F14=10,"Ten",IF(F14=1,"ONE",""))</f>
        <v>ONE</v>
      </c>
      <c r="H14" s="679" t="str">
        <f>E14</f>
        <v>CUM</v>
      </c>
      <c r="I14" s="663">
        <f>'C-data'!I255</f>
        <v>227.15</v>
      </c>
      <c r="J14" s="679">
        <f>ROUND(D14*I14/F14,0)</f>
        <v>2499</v>
      </c>
    </row>
    <row r="15" spans="1:10">
      <c r="A15" s="739"/>
      <c r="B15" s="729"/>
      <c r="C15" s="640"/>
      <c r="D15" s="663"/>
      <c r="E15" s="679"/>
      <c r="F15" s="739"/>
      <c r="G15" s="679"/>
      <c r="H15" s="679"/>
      <c r="I15" s="663"/>
      <c r="J15" s="679"/>
    </row>
    <row r="16" spans="1:10" ht="242.25" customHeight="1">
      <c r="A16" s="739">
        <f>A14+1</f>
        <v>6</v>
      </c>
      <c r="B16" s="729"/>
      <c r="C16" s="640" t="str">
        <f>'C-data'!C407:I407</f>
        <v>Vibrated Reinforced Cement Concrete  M 20 Design Mix ( by weigh batching  ) using 20mm size (SS5)  hard blasted Trap machine crushed graded metal (Coarse aggregate) from approved quarry, using a minimum quantity of 350 kgs. of cement per 1 cum of concreteincluding cost and conveyance of  all materials  like cement,  fine aggregate (Sand), coarse aggregate, water etc., to site and cost of  all materials including  centering using Casurina Bellies, Bamboos, Wooden Reapers, Runners, Wood Posts, Steel Centering Plates etc complete but excluding cost of steel and it’s fabrication charges for finished item of work but excluding seigniorage charges (APSS No. 402 &amp; 403)</v>
      </c>
      <c r="D16" s="643"/>
      <c r="E16" s="679"/>
      <c r="F16" s="739"/>
      <c r="G16" s="679" t="str">
        <f>IF(F16=10,"Ten",IF(F16=1,"One",""))</f>
        <v/>
      </c>
      <c r="H16" s="679"/>
      <c r="I16" s="643"/>
      <c r="J16" s="679"/>
    </row>
    <row r="17" spans="1:10">
      <c r="A17" s="739"/>
      <c r="B17" s="729" t="s">
        <v>469</v>
      </c>
      <c r="C17" s="644" t="s">
        <v>1445</v>
      </c>
      <c r="D17" s="663">
        <f>'Security-GF '!H84</f>
        <v>1.9</v>
      </c>
      <c r="E17" s="679" t="s">
        <v>1444</v>
      </c>
      <c r="F17" s="739">
        <v>1</v>
      </c>
      <c r="G17" s="679" t="str">
        <f>IF(F17=10,"Ten",IF(F17=1,"ONE",""))</f>
        <v>ONE</v>
      </c>
      <c r="H17" s="679" t="str">
        <f>E17</f>
        <v>CUM</v>
      </c>
      <c r="I17" s="21">
        <f>'C-data'!I428</f>
        <v>8755.9</v>
      </c>
      <c r="J17" s="679">
        <f>ROUND(D17*I17/F17,0)</f>
        <v>16636</v>
      </c>
    </row>
    <row r="18" spans="1:10" ht="13.5" customHeight="1">
      <c r="A18" s="739"/>
      <c r="B18" s="729"/>
      <c r="C18" s="644"/>
      <c r="D18" s="643"/>
      <c r="E18" s="679"/>
      <c r="F18" s="739"/>
      <c r="G18" s="679"/>
      <c r="H18" s="679"/>
      <c r="I18" s="645"/>
      <c r="J18" s="679"/>
    </row>
    <row r="19" spans="1:10">
      <c r="A19" s="739"/>
      <c r="B19" s="729" t="s">
        <v>1</v>
      </c>
      <c r="C19" s="644" t="s">
        <v>1446</v>
      </c>
      <c r="D19" s="663">
        <f>'Security-GF '!H93</f>
        <v>1.5</v>
      </c>
      <c r="E19" s="679" t="s">
        <v>1444</v>
      </c>
      <c r="F19" s="739">
        <v>1</v>
      </c>
      <c r="G19" s="679" t="str">
        <f>IF(F19=10,"Ten",IF(F19=1,"ONE",""))</f>
        <v>ONE</v>
      </c>
      <c r="H19" s="679" t="str">
        <f>E19</f>
        <v>CUM</v>
      </c>
      <c r="I19" s="20">
        <f>'C-data'!I434</f>
        <v>10930.900000000001</v>
      </c>
      <c r="J19" s="679">
        <f>ROUND(D19*I19/F19,0)</f>
        <v>16396</v>
      </c>
    </row>
    <row r="20" spans="1:10">
      <c r="A20" s="739"/>
      <c r="B20" s="729"/>
      <c r="C20" s="644"/>
      <c r="D20" s="663"/>
      <c r="E20" s="679"/>
      <c r="F20" s="739"/>
      <c r="G20" s="679"/>
      <c r="H20" s="679"/>
      <c r="I20" s="663"/>
      <c r="J20" s="679"/>
    </row>
    <row r="21" spans="1:10" ht="228" customHeight="1">
      <c r="A21" s="739">
        <f>A16+1</f>
        <v>7</v>
      </c>
      <c r="B21" s="729"/>
      <c r="C21" s="640" t="str">
        <f>'C-data'!C441:I441</f>
        <v xml:space="preserve">Vibrated Reinforced Cement Concrete  M 20 Design Mix ( by weigh batching / Mixer  ) using 20mm size (SS5)  hard blasted Trap machine crushed graded metal (Coarse aggregate) from approved quarry, using a minimum quantity of 350 kgs. of cement per 1 cum of concreteincluding cost and conveyance of  all materials  like cement,  fine aggregate (Sand), coarse aggregate, water etc., to site and cost of  all materials including  Casurina Bellies, Bamboos, Wooden Reapers, Runners, Wood Posts, Steel Centering Plates etc complete but excluding cost of steel and it’s fabrication charges but excluding seigniorage charges for finished item of work (APSS No. 402 &amp; 403) </v>
      </c>
      <c r="D21" s="663"/>
      <c r="E21" s="679"/>
      <c r="F21" s="739"/>
      <c r="G21" s="679"/>
      <c r="H21" s="679"/>
      <c r="I21" s="645"/>
      <c r="J21" s="679"/>
    </row>
    <row r="22" spans="1:10">
      <c r="A22" s="739"/>
      <c r="B22" s="729" t="s">
        <v>469</v>
      </c>
      <c r="C22" s="644" t="s">
        <v>1447</v>
      </c>
      <c r="D22" s="663"/>
      <c r="E22" s="679"/>
      <c r="F22" s="739"/>
      <c r="G22" s="679"/>
      <c r="H22" s="679"/>
      <c r="I22" s="643"/>
      <c r="J22" s="679"/>
    </row>
    <row r="23" spans="1:10" ht="13.5" customHeight="1">
      <c r="A23" s="739"/>
      <c r="B23" s="729"/>
      <c r="C23" s="640" t="s">
        <v>745</v>
      </c>
      <c r="D23" s="663">
        <f>'Security-GF '!H115</f>
        <v>2.4</v>
      </c>
      <c r="E23" s="679" t="s">
        <v>1444</v>
      </c>
      <c r="F23" s="739">
        <v>1</v>
      </c>
      <c r="G23" s="679" t="str">
        <f>IF(F23=10,"Ten",IF(F23=1,"ONE",""))</f>
        <v>ONE</v>
      </c>
      <c r="H23" s="679" t="str">
        <f>E23</f>
        <v>CUM</v>
      </c>
      <c r="I23" s="654">
        <f>'C-data'!E468</f>
        <v>10405.900000000001</v>
      </c>
      <c r="J23" s="679">
        <f>ROUND(D23*I23/F23,0)</f>
        <v>24974</v>
      </c>
    </row>
    <row r="24" spans="1:10" ht="13.5" customHeight="1">
      <c r="A24" s="739"/>
      <c r="B24" s="729"/>
      <c r="C24" s="640"/>
      <c r="D24" s="663"/>
      <c r="E24" s="679"/>
      <c r="F24" s="739"/>
      <c r="G24" s="679"/>
      <c r="H24" s="679"/>
      <c r="I24" s="654"/>
      <c r="J24" s="679"/>
    </row>
    <row r="25" spans="1:10">
      <c r="A25" s="736"/>
      <c r="B25" s="733" t="s">
        <v>1</v>
      </c>
      <c r="C25" s="530" t="s">
        <v>1598</v>
      </c>
      <c r="D25" s="734"/>
      <c r="E25" s="735"/>
      <c r="F25" s="736"/>
      <c r="G25" s="735"/>
      <c r="H25" s="735"/>
      <c r="I25" s="738"/>
      <c r="J25" s="735"/>
    </row>
    <row r="26" spans="1:10">
      <c r="A26" s="736"/>
      <c r="B26" s="733"/>
      <c r="C26" s="530" t="s">
        <v>1448</v>
      </c>
      <c r="D26" s="734">
        <f>'Security-GF '!H78</f>
        <v>2</v>
      </c>
      <c r="E26" s="735" t="s">
        <v>1444</v>
      </c>
      <c r="F26" s="736">
        <v>1</v>
      </c>
      <c r="G26" s="735" t="str">
        <f>IF(F26=10,"Ten",IF(F26=1,"ONE",""))</f>
        <v>ONE</v>
      </c>
      <c r="H26" s="735" t="str">
        <f>E26</f>
        <v>CUM</v>
      </c>
      <c r="I26" s="734">
        <f>'C-data'!$E$468</f>
        <v>10405.900000000001</v>
      </c>
      <c r="J26" s="735">
        <f>ROUND(D26*I26/F26,0)</f>
        <v>20812</v>
      </c>
    </row>
    <row r="27" spans="1:10" ht="13.5" customHeight="1">
      <c r="A27" s="739"/>
      <c r="B27" s="729"/>
      <c r="C27" s="640"/>
      <c r="D27" s="663"/>
      <c r="E27" s="679"/>
      <c r="F27" s="739"/>
      <c r="G27" s="679"/>
      <c r="H27" s="679"/>
      <c r="I27" s="654"/>
      <c r="J27" s="679"/>
    </row>
    <row r="28" spans="1:10" ht="204" customHeight="1">
      <c r="A28" s="739">
        <f>A21+1</f>
        <v>8</v>
      </c>
      <c r="B28" s="729"/>
      <c r="C28" s="640" t="str">
        <f>'C-data'!C470:I470</f>
        <v xml:space="preserve">Vibrated Reinforced Cement Concrete  M 20 Design Mix ( by weigh batching / Mixer  ) using 20mm size (SS5)  hard blasted Trap crushed graded metal (Coarse aggregate) from approved quarry, using a minimum quantity of 350 kgs. of cement per 1 cum of concreteincluding cost and conveyance of  all materials  like cement,  fine aggregate (Sand), coarse aggregate, water etc., to site and cost of  all materials including Casurina Bellies, Bamboos, Wooden Reapers, Runners, Wood Posts, Steel Centering Plates etccomplete but excluding cost of steel and it’s fabrication charges but excluding seigniorage charges for finished item of work (APSS No. 402 &amp; 403) </v>
      </c>
      <c r="D28" s="663"/>
      <c r="E28" s="679"/>
      <c r="F28" s="739"/>
      <c r="G28" s="679"/>
      <c r="H28" s="679"/>
      <c r="I28" s="663"/>
      <c r="J28" s="679"/>
    </row>
    <row r="29" spans="1:10" ht="15" customHeight="1">
      <c r="A29" s="739"/>
      <c r="B29" s="729" t="s">
        <v>469</v>
      </c>
      <c r="C29" s="644" t="s">
        <v>1449</v>
      </c>
      <c r="D29" s="663"/>
      <c r="E29" s="679"/>
      <c r="F29" s="739"/>
      <c r="G29" s="679"/>
      <c r="H29" s="679"/>
      <c r="I29" s="643"/>
      <c r="J29" s="679"/>
    </row>
    <row r="30" spans="1:10">
      <c r="A30" s="739"/>
      <c r="B30" s="729"/>
      <c r="C30" s="640" t="s">
        <v>745</v>
      </c>
      <c r="D30" s="663">
        <f>'Security-GF '!H123</f>
        <v>1.1000000000000001</v>
      </c>
      <c r="E30" s="679" t="s">
        <v>1444</v>
      </c>
      <c r="F30" s="739">
        <v>1</v>
      </c>
      <c r="G30" s="679" t="str">
        <f>IF(F30=10,"Ten",IF(F30=1,"ONE",""))</f>
        <v>ONE</v>
      </c>
      <c r="H30" s="679" t="str">
        <f>E30</f>
        <v>CUM</v>
      </c>
      <c r="I30" s="646">
        <f>'C-data'!E495</f>
        <v>9061.6</v>
      </c>
      <c r="J30" s="679">
        <f>ROUND(D30*I30/F30,0)</f>
        <v>9968</v>
      </c>
    </row>
    <row r="31" spans="1:10">
      <c r="A31" s="739"/>
      <c r="B31" s="729"/>
      <c r="C31" s="644"/>
      <c r="D31" s="663"/>
      <c r="E31" s="679"/>
      <c r="F31" s="739"/>
      <c r="G31" s="679"/>
      <c r="H31" s="679"/>
      <c r="I31" s="663"/>
      <c r="J31" s="679"/>
    </row>
    <row r="32" spans="1:10" ht="14.25" customHeight="1">
      <c r="A32" s="739"/>
      <c r="B32" s="729" t="s">
        <v>1</v>
      </c>
      <c r="C32" s="644" t="s">
        <v>1450</v>
      </c>
      <c r="D32" s="663"/>
      <c r="E32" s="679"/>
      <c r="F32" s="739"/>
      <c r="G32" s="679"/>
      <c r="H32" s="679"/>
      <c r="I32" s="647"/>
      <c r="J32" s="679"/>
    </row>
    <row r="33" spans="1:11" ht="24.6">
      <c r="A33" s="739"/>
      <c r="B33" s="729" t="s">
        <v>695</v>
      </c>
      <c r="C33" s="644" t="s">
        <v>1451</v>
      </c>
      <c r="D33" s="663"/>
      <c r="E33" s="679"/>
      <c r="F33" s="739"/>
      <c r="G33" s="679"/>
      <c r="H33" s="679"/>
      <c r="I33" s="643"/>
      <c r="J33" s="679"/>
    </row>
    <row r="34" spans="1:11">
      <c r="A34" s="739"/>
      <c r="B34" s="729"/>
      <c r="C34" s="640" t="s">
        <v>745</v>
      </c>
      <c r="D34" s="663">
        <f>'Security-GF '!H129</f>
        <v>46</v>
      </c>
      <c r="E34" s="679" t="s">
        <v>55</v>
      </c>
      <c r="F34" s="739">
        <v>1</v>
      </c>
      <c r="G34" s="679" t="str">
        <f>IF(F34=10,"Ten",IF(F34=1,"ONE",""))</f>
        <v>ONE</v>
      </c>
      <c r="H34" s="679" t="str">
        <f>E34</f>
        <v>SQM</v>
      </c>
      <c r="I34" s="646">
        <f>'C-data'!E571</f>
        <v>1096.3500000000001</v>
      </c>
      <c r="J34" s="679">
        <f>ROUND(D34*I34/F34,0)</f>
        <v>50432</v>
      </c>
    </row>
    <row r="35" spans="1:11">
      <c r="A35" s="739"/>
      <c r="B35" s="729"/>
      <c r="C35" s="640"/>
      <c r="D35" s="663"/>
      <c r="E35" s="679"/>
      <c r="F35" s="739"/>
      <c r="G35" s="679"/>
      <c r="H35" s="679"/>
      <c r="I35" s="663"/>
      <c r="J35" s="679"/>
    </row>
    <row r="36" spans="1:11" ht="190.5" customHeight="1">
      <c r="A36" s="739">
        <f>A21+1</f>
        <v>8</v>
      </c>
      <c r="B36" s="729"/>
      <c r="C36" s="640" t="str">
        <f>'C-data'!C676:I676</f>
        <v>Reinforced Cement Concrete  M 20 Design Mix ( by weigh batching  ) using 20mm size (SS5)  hard blasted Trap machine crushed graded metal (Coarse aggregate) from approved quarry, using a minimum quantity of 350 kgs. of cement per 1 cum of concrete including cost and conveyance of  all materials  like cement,  fine aggregate (Sand), coarse aggregate, water etc., to site and cost of  all materials including  centering using  Cashewrina Ballies and Wooden runners &amp; staging including all bracings, cross members etc., shuttering , machine mixing, laying concrete, lift charges, curing etc., complete but excluding cost of steel and it’s fabrication charges but excluding seigniorage charges for finished item of work (APSS No. 402 &amp; 403)</v>
      </c>
      <c r="D36" s="663"/>
      <c r="E36" s="679"/>
      <c r="F36" s="739"/>
      <c r="G36" s="679"/>
      <c r="H36" s="679"/>
      <c r="I36" s="663"/>
      <c r="J36" s="679"/>
    </row>
    <row r="37" spans="1:11">
      <c r="A37" s="739"/>
      <c r="B37" s="729" t="s">
        <v>469</v>
      </c>
      <c r="C37" s="644" t="s">
        <v>1452</v>
      </c>
      <c r="D37" s="663"/>
      <c r="E37" s="679"/>
      <c r="F37" s="739"/>
      <c r="G37" s="679"/>
      <c r="H37" s="679"/>
      <c r="I37" s="643"/>
      <c r="J37" s="679"/>
    </row>
    <row r="38" spans="1:11">
      <c r="A38" s="739"/>
      <c r="B38" s="729"/>
      <c r="C38" s="640" t="s">
        <v>745</v>
      </c>
      <c r="D38" s="663">
        <f>'Security-GF '!H139</f>
        <v>0.6</v>
      </c>
      <c r="E38" s="679" t="s">
        <v>1444</v>
      </c>
      <c r="F38" s="739">
        <v>1</v>
      </c>
      <c r="G38" s="679" t="str">
        <f>IF(F38=10,"Ten",IF(F38=1,"ONE",""))</f>
        <v>ONE</v>
      </c>
      <c r="H38" s="679" t="str">
        <f>E38</f>
        <v>CUM</v>
      </c>
      <c r="I38" s="646">
        <f>'C-data'!E699</f>
        <v>10104.35</v>
      </c>
      <c r="J38" s="679">
        <f>ROUND(D38*I38/F38,0)</f>
        <v>6063</v>
      </c>
    </row>
    <row r="39" spans="1:11">
      <c r="A39" s="739"/>
      <c r="B39" s="729"/>
      <c r="C39" s="644"/>
      <c r="D39" s="663"/>
      <c r="E39" s="679"/>
      <c r="F39" s="739"/>
      <c r="G39" s="679"/>
      <c r="H39" s="679"/>
      <c r="I39" s="663"/>
      <c r="J39" s="679"/>
    </row>
    <row r="40" spans="1:11" ht="249" customHeight="1">
      <c r="A40" s="739">
        <f>A36+1</f>
        <v>9</v>
      </c>
      <c r="B40" s="729"/>
      <c r="C40" s="640" t="str">
        <f>'C-data'!C701:I701</f>
        <v>Reinforced cement concrete with M 20 grade Design mix ( by weigh batching )  using 20mm size (SS 5) machine crushed hard blasted Trap graded metal (coarse  aggregate)  from approved  quarry using a minimum quantity of 350 Kg of cement per 1 Cum of concrete including cost and conveyance of all materials like cement, fine aggregate (sand) ,coarse  aggregate, water  etc.  to site  and cost of    all  materials   including  centering using Cashewrina Ballies and Wooden runners &amp; staging including all bracings, cross members etc.,  shuttering, machine mixing, laying  concrete, for sunshade of 7.5cm thick  at  fixed end  and 5cm thick at free end  with  an average  thickness of  6.25cm   including   labour  charges   for mixing,  laying, curing  etc.,  complete but  excluding cost of  steel  and  its fabrication charges but excluding seigniorage charges for finished item of work</v>
      </c>
      <c r="D40" s="643"/>
      <c r="E40" s="679"/>
      <c r="F40" s="739"/>
      <c r="G40" s="679"/>
      <c r="H40" s="679"/>
      <c r="I40" s="648"/>
      <c r="J40" s="679"/>
    </row>
    <row r="41" spans="1:11" ht="14.25" customHeight="1">
      <c r="A41" s="739"/>
      <c r="B41" s="729" t="s">
        <v>1453</v>
      </c>
      <c r="C41" s="19" t="s">
        <v>106</v>
      </c>
      <c r="D41" s="663"/>
      <c r="E41" s="679"/>
      <c r="F41" s="739"/>
      <c r="G41" s="679"/>
      <c r="H41" s="679"/>
      <c r="I41" s="643"/>
      <c r="J41" s="679"/>
    </row>
    <row r="42" spans="1:11">
      <c r="A42" s="739"/>
      <c r="B42" s="729"/>
      <c r="C42" s="640" t="s">
        <v>745</v>
      </c>
      <c r="D42" s="663">
        <f>'Security-GF '!H152</f>
        <v>6</v>
      </c>
      <c r="E42" s="679" t="s">
        <v>55</v>
      </c>
      <c r="F42" s="739">
        <v>1</v>
      </c>
      <c r="G42" s="679" t="str">
        <f>IF(F42=10,"Ten",IF(F42=1,"ONE",""))</f>
        <v>ONE</v>
      </c>
      <c r="H42" s="679" t="str">
        <f>E42</f>
        <v>SQM</v>
      </c>
      <c r="I42" s="646">
        <f>'C-data'!E753</f>
        <v>646.70000000000005</v>
      </c>
      <c r="J42" s="679">
        <f>ROUND(D42*I42/F42,0)</f>
        <v>3880</v>
      </c>
    </row>
    <row r="43" spans="1:11">
      <c r="A43" s="739"/>
      <c r="B43" s="729"/>
      <c r="C43" s="644"/>
      <c r="D43" s="663"/>
      <c r="E43" s="679"/>
      <c r="F43" s="739"/>
      <c r="G43" s="679"/>
      <c r="H43" s="679"/>
      <c r="I43" s="663"/>
      <c r="J43" s="679"/>
    </row>
    <row r="44" spans="1:11" ht="14.25" customHeight="1">
      <c r="A44" s="739"/>
      <c r="B44" s="729" t="s">
        <v>1458</v>
      </c>
      <c r="C44" s="19" t="s">
        <v>107</v>
      </c>
      <c r="D44" s="663"/>
      <c r="E44" s="679"/>
      <c r="F44" s="739"/>
      <c r="G44" s="679"/>
      <c r="H44" s="679"/>
      <c r="I44" s="643"/>
      <c r="J44" s="679"/>
    </row>
    <row r="45" spans="1:11">
      <c r="A45" s="739"/>
      <c r="B45" s="729"/>
      <c r="C45" s="640" t="s">
        <v>745</v>
      </c>
      <c r="D45" s="663">
        <f>'Security-GF '!H158</f>
        <v>4</v>
      </c>
      <c r="E45" s="679" t="s">
        <v>55</v>
      </c>
      <c r="F45" s="739">
        <v>1</v>
      </c>
      <c r="G45" s="679" t="str">
        <f>IF(F45=10,"Ten",IF(F45=1,"ONE",""))</f>
        <v>ONE</v>
      </c>
      <c r="H45" s="679" t="str">
        <f>E45</f>
        <v>SQM</v>
      </c>
      <c r="I45" s="646">
        <f>'C-data'!E766</f>
        <v>499.85</v>
      </c>
      <c r="J45" s="679">
        <f>ROUND(D45*I45/F45,0)</f>
        <v>1999</v>
      </c>
      <c r="K45" s="646"/>
    </row>
    <row r="46" spans="1:11">
      <c r="A46" s="739"/>
      <c r="B46" s="729"/>
      <c r="C46" s="640"/>
      <c r="D46" s="663"/>
      <c r="E46" s="679"/>
      <c r="F46" s="739"/>
      <c r="G46" s="679"/>
      <c r="H46" s="679"/>
      <c r="I46" s="646"/>
      <c r="J46" s="679"/>
    </row>
    <row r="47" spans="1:11" ht="157.5" customHeight="1">
      <c r="A47" s="739">
        <f>A40+1</f>
        <v>10</v>
      </c>
      <c r="B47" s="729"/>
      <c r="C47" s="640" t="str">
        <f>'C-data'!C820:I820</f>
        <v>Brick Masonry in superstructure with CM (1:8) prop: using Fly ASH Bricks of size 290x225x140mm with compressive of 50 Kgs / Sqcm from approved source including cost and conveyance of all materials like cement, sand, fly ash bricks, water etc., to site, including  sales &amp; other taxes on all materials, all operational, incidental and labour charges such as mixing cement mortar, constructing masonry, scaffolding charges, lift charges, curing, etc., complete but excluding seigniorage charges for finished item of work. (APSS No. 501 &amp; 504).</v>
      </c>
      <c r="D47" s="663"/>
      <c r="E47" s="679"/>
      <c r="F47" s="739"/>
      <c r="G47" s="679"/>
      <c r="H47" s="679"/>
      <c r="I47" s="643"/>
      <c r="J47" s="679"/>
    </row>
    <row r="48" spans="1:11">
      <c r="A48" s="739"/>
      <c r="B48" s="729"/>
      <c r="C48" s="640" t="s">
        <v>745</v>
      </c>
      <c r="D48" s="663">
        <f>'Security-GF '!H181</f>
        <v>13</v>
      </c>
      <c r="E48" s="679" t="s">
        <v>1444</v>
      </c>
      <c r="F48" s="739">
        <v>1</v>
      </c>
      <c r="G48" s="679" t="str">
        <f>IF(F48=10,"Ten",IF(F48=1,"ONE",""))</f>
        <v>ONE</v>
      </c>
      <c r="H48" s="679" t="str">
        <f>E48</f>
        <v>CUM</v>
      </c>
      <c r="I48" s="646">
        <f>'C-data'!E842</f>
        <v>5411.75</v>
      </c>
      <c r="J48" s="679">
        <f>ROUND(D48*I48/F48,0)</f>
        <v>70353</v>
      </c>
    </row>
    <row r="49" spans="1:10">
      <c r="A49" s="739"/>
      <c r="B49" s="729"/>
      <c r="C49" s="644"/>
      <c r="D49" s="663"/>
      <c r="E49" s="679"/>
      <c r="F49" s="739"/>
      <c r="G49" s="679"/>
      <c r="H49" s="679"/>
      <c r="I49" s="663"/>
      <c r="J49" s="679"/>
    </row>
    <row r="50" spans="1:10" ht="202.5" customHeight="1">
      <c r="A50" s="739">
        <f>A47+1</f>
        <v>11</v>
      </c>
      <c r="B50" s="729"/>
      <c r="C50" s="640" t="str">
        <f>'C-data'!C861:I861</f>
        <v>Reinforced Fly Ash Brick Masonry 10cm thick for partition walls in CM (1:4) prop: Fly Bricks of size 290x100x140mm with compressive of 50 Kgs / Sqcm from approved source and placing 2nos. of 6mm dia MS bars embedded in every 3rd layer with free ends of reinforcement keyed into mortar joints of the main brick work whereever applicable including cost and conveyance of all materials like cement, sand, bricks, water etc., to site,  sales &amp; other taxes on all materials, all operational, incidental and labour charges such as mixing cement mortar, constructing masonry, scaffolding charges, lift charges, curing, etc., but excluding cost and conveyance of steel and its fabrication charges &amp; seignerage charges complete for finished item of work. (APSS No. 501 &amp; 509).</v>
      </c>
      <c r="D50" s="643"/>
      <c r="E50" s="679"/>
      <c r="F50" s="739"/>
      <c r="G50" s="679"/>
      <c r="H50" s="679"/>
      <c r="I50" s="643"/>
      <c r="J50" s="679"/>
    </row>
    <row r="51" spans="1:10" ht="13.5" customHeight="1">
      <c r="A51" s="739"/>
      <c r="B51" s="729"/>
      <c r="C51" s="640" t="s">
        <v>745</v>
      </c>
      <c r="D51" s="663">
        <f>'Security-GF '!H197</f>
        <v>24</v>
      </c>
      <c r="E51" s="679" t="s">
        <v>55</v>
      </c>
      <c r="F51" s="739">
        <v>1</v>
      </c>
      <c r="G51" s="679" t="str">
        <f>IF(F51=10,"Ten",IF(F51=1,"ONE",""))</f>
        <v>ONE</v>
      </c>
      <c r="H51" s="679" t="s">
        <v>55</v>
      </c>
      <c r="I51" s="646">
        <f>'C-data'!E881</f>
        <v>627.45000000000005</v>
      </c>
      <c r="J51" s="679">
        <f>ROUND(D51*I51/F51,0)</f>
        <v>15059</v>
      </c>
    </row>
    <row r="52" spans="1:10">
      <c r="A52" s="739"/>
      <c r="B52" s="729"/>
      <c r="C52" s="644"/>
      <c r="D52" s="663"/>
      <c r="E52" s="679"/>
      <c r="F52" s="739"/>
      <c r="G52" s="679"/>
      <c r="H52" s="679"/>
      <c r="I52" s="663"/>
      <c r="J52" s="679"/>
    </row>
    <row r="53" spans="1:10" ht="148.5" customHeight="1">
      <c r="A53" s="739">
        <f>A50+1</f>
        <v>12</v>
      </c>
      <c r="B53" s="729"/>
      <c r="C53" s="640" t="str">
        <f>'C-data'!C314:I314</f>
        <v xml:space="preserve">Plain Cement Concrete corresponding to M10 grade as per IS 456 equivalent to (1:3:6) proportion nominal mix (cement: fine aggregate: Coarse aggregate) using , 20mm size Hard Blasted Trap (IS383, 1970) Machine Crushed graded metal from from approved quarry including cost and conveyance of all materials like cement, sand, coarse aggregate, water etc. to site, including sales &amp; other taxes on all materials, all operational, incidental and labour charges such as mixing, laying, curing concrete,  etc., complete but excluding seigniorage charges for finished item of work for Bed Blocks and Hold Fasts (APSS No. 402) </v>
      </c>
      <c r="D53" s="643"/>
      <c r="E53" s="679"/>
      <c r="F53" s="739"/>
      <c r="G53" s="679"/>
      <c r="H53" s="679"/>
      <c r="I53" s="643"/>
      <c r="J53" s="679"/>
    </row>
    <row r="54" spans="1:10">
      <c r="A54" s="739"/>
      <c r="B54" s="729"/>
      <c r="C54" s="640" t="s">
        <v>745</v>
      </c>
      <c r="D54" s="663">
        <f>'Security-GF '!H212</f>
        <v>0.4</v>
      </c>
      <c r="E54" s="679" t="s">
        <v>1444</v>
      </c>
      <c r="F54" s="739">
        <v>1</v>
      </c>
      <c r="G54" s="679" t="str">
        <f>IF(F54=10,"Ten",IF(F54=1,"ONE",""))</f>
        <v>ONE</v>
      </c>
      <c r="H54" s="679" t="str">
        <f>E54</f>
        <v>CUM</v>
      </c>
      <c r="I54" s="646">
        <f>'C-data'!E335</f>
        <v>4940.9000000000005</v>
      </c>
      <c r="J54" s="679">
        <f>ROUND(D54*I54/F54,0)</f>
        <v>1976</v>
      </c>
    </row>
    <row r="55" spans="1:10">
      <c r="A55" s="739"/>
      <c r="B55" s="729"/>
      <c r="C55" s="644"/>
      <c r="D55" s="663"/>
      <c r="E55" s="679"/>
      <c r="F55" s="739"/>
      <c r="G55" s="679"/>
      <c r="H55" s="679"/>
      <c r="I55" s="663"/>
      <c r="J55" s="679"/>
    </row>
    <row r="56" spans="1:10" ht="171.75" customHeight="1">
      <c r="A56" s="739">
        <f>A53+1</f>
        <v>13</v>
      </c>
      <c r="B56" s="729"/>
      <c r="C56" s="18" t="str">
        <f>'C-data'!C291:I291</f>
        <v xml:space="preserve">Plain Cement Concrete corresponding to M5 grade as per IS 456 equivalent to (1:5:10) proportion nominal mix (cement: fine aggregate: Coarse aggregate) using , 20mm size Hard Blasted Granite (IS383, 1970) Machine Crushed graded metal from approved quarry including cost and conveyance of all materials like cement, sand, coarse aggregate, water etc. to site, including , sales &amp; other taxes on all materials, all operational, incidental,  and labour charges such as mixing, laying concrete, finishing top surface, curing concrete,  etc.,   complete but excluding seigniorage charges for finished item of work for Dummy Columns. (APSS No. 402) </v>
      </c>
      <c r="D56" s="643"/>
      <c r="E56" s="679"/>
      <c r="F56" s="739"/>
      <c r="G56" s="679"/>
      <c r="H56" s="679"/>
      <c r="I56" s="643"/>
      <c r="J56" s="679"/>
    </row>
    <row r="57" spans="1:10">
      <c r="A57" s="739"/>
      <c r="B57" s="729"/>
      <c r="C57" s="644" t="s">
        <v>1599</v>
      </c>
      <c r="D57" s="663">
        <f>'Security-GF '!H215</f>
        <v>0.1449</v>
      </c>
      <c r="E57" s="679" t="s">
        <v>1444</v>
      </c>
      <c r="F57" s="739">
        <v>1</v>
      </c>
      <c r="G57" s="679" t="str">
        <f>IF(F57=10,"Ten",IF(F57=1,"ONE",""))</f>
        <v>ONE</v>
      </c>
      <c r="H57" s="679" t="str">
        <f>E57</f>
        <v>CUM</v>
      </c>
      <c r="I57" s="663">
        <f>'C-data'!E313</f>
        <v>6070.9000000000005</v>
      </c>
      <c r="J57" s="679">
        <f>ROUND(D57*I57/F57,0)</f>
        <v>880</v>
      </c>
    </row>
    <row r="58" spans="1:10">
      <c r="A58" s="739"/>
      <c r="B58" s="729"/>
      <c r="C58" s="644"/>
      <c r="D58" s="663"/>
      <c r="E58" s="679"/>
      <c r="F58" s="739"/>
      <c r="G58" s="679"/>
      <c r="H58" s="679"/>
      <c r="I58" s="663"/>
      <c r="J58" s="679"/>
    </row>
    <row r="59" spans="1:10" ht="213.75" customHeight="1">
      <c r="A59" s="739">
        <f>A56+1</f>
        <v>14</v>
      </c>
      <c r="B59" s="729"/>
      <c r="C59" s="640" t="str">
        <f>'C-data'!C882:I882</f>
        <v xml:space="preserve">Providing  High Yield Strength Deformed (HYSD) steel bars (Fe 500 grade as per IS 1786-1985) of 8mm to 40mm diameters, (TATA, SAIL, VSP,JSW &amp; Shyam Steel)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v>
      </c>
      <c r="D59" s="643"/>
      <c r="E59" s="679"/>
      <c r="F59" s="739"/>
      <c r="G59" s="679"/>
      <c r="H59" s="679"/>
      <c r="I59" s="643"/>
      <c r="J59" s="679"/>
    </row>
    <row r="60" spans="1:10">
      <c r="A60" s="739"/>
      <c r="B60" s="729"/>
      <c r="C60" s="640" t="s">
        <v>745</v>
      </c>
      <c r="D60" s="663">
        <f>'Security-GF '!H227</f>
        <v>1.6</v>
      </c>
      <c r="E60" s="679" t="s">
        <v>50</v>
      </c>
      <c r="F60" s="739">
        <v>1</v>
      </c>
      <c r="G60" s="679" t="str">
        <f>IF(F60=10,"Ten",IF(F60=1,"ONE",""))</f>
        <v>ONE</v>
      </c>
      <c r="H60" s="679" t="s">
        <v>50</v>
      </c>
      <c r="I60" s="646">
        <f>'C-data'!E895</f>
        <v>98665</v>
      </c>
      <c r="J60" s="679">
        <f>ROUND(D60*I60/F60,0)</f>
        <v>157864</v>
      </c>
    </row>
    <row r="61" spans="1:10">
      <c r="A61" s="739"/>
      <c r="B61" s="729"/>
      <c r="C61" s="644"/>
      <c r="D61" s="663"/>
      <c r="E61" s="679"/>
      <c r="F61" s="739"/>
      <c r="G61" s="679"/>
      <c r="H61" s="679"/>
      <c r="I61" s="663"/>
      <c r="J61" s="679"/>
    </row>
    <row r="62" spans="1:10" ht="160.5" customHeight="1">
      <c r="A62" s="739">
        <f>A59+1</f>
        <v>15</v>
      </c>
      <c r="B62" s="729"/>
      <c r="C62" s="640" t="str">
        <f>'C-data'!C896:I896</f>
        <v>Providing Mild Steel Bars (Fe 250 grade as per IS 432) of 6mm diameter,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chairs, overlaps, spacers, dowels, wastage etc., and all operational, incidental, and labour charges such as cutting, bending, placing in position, tying etc., and sales &amp; other taxes,on cost of all materials complete for finished item of work (APSS No.126) in all floors.</v>
      </c>
      <c r="D62" s="643"/>
      <c r="E62" s="679"/>
      <c r="F62" s="739"/>
      <c r="G62" s="679"/>
      <c r="H62" s="679"/>
      <c r="I62" s="643"/>
      <c r="J62" s="679"/>
    </row>
    <row r="63" spans="1:10">
      <c r="A63" s="739"/>
      <c r="B63" s="729"/>
      <c r="C63" s="640" t="s">
        <v>745</v>
      </c>
      <c r="D63" s="663">
        <f>'Security-GF '!H235</f>
        <v>0.2</v>
      </c>
      <c r="E63" s="679" t="s">
        <v>50</v>
      </c>
      <c r="F63" s="739">
        <v>1</v>
      </c>
      <c r="G63" s="679" t="str">
        <f>IF(F63=10,"Ten",IF(F63=1,"ONE",""))</f>
        <v>ONE</v>
      </c>
      <c r="H63" s="679" t="s">
        <v>50</v>
      </c>
      <c r="I63" s="646">
        <f>'C-data'!E909</f>
        <v>91281</v>
      </c>
      <c r="J63" s="679">
        <f>ROUND(D63*I63/F63,0)</f>
        <v>18256</v>
      </c>
    </row>
    <row r="64" spans="1:10">
      <c r="A64" s="739"/>
      <c r="B64" s="729"/>
      <c r="C64" s="644"/>
      <c r="D64" s="663"/>
      <c r="E64" s="679"/>
      <c r="F64" s="739"/>
      <c r="G64" s="679"/>
      <c r="H64" s="679"/>
      <c r="I64" s="663"/>
      <c r="J64" s="679"/>
    </row>
    <row r="65" spans="1:10" ht="161.25" customHeight="1">
      <c r="A65" s="739">
        <f>A62+1</f>
        <v>16</v>
      </c>
      <c r="B65" s="729"/>
      <c r="C65" s="640" t="str">
        <f>'C-data'!C911:I911</f>
        <v xml:space="preserve">Ornamental Plastering 12mm thick in two coats with base coat of 8mm thick in CM (1:5) and top coat of 4mm thick in CM (1:3)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for  Even Surfaces of  Wall but excluding seigniorage charges  for finished item of work. (APSS 901,903 &amp; 904) </v>
      </c>
      <c r="D65" s="643"/>
      <c r="E65" s="679"/>
      <c r="F65" s="739"/>
      <c r="G65" s="679"/>
      <c r="H65" s="679"/>
      <c r="I65" s="643"/>
      <c r="J65" s="679"/>
    </row>
    <row r="66" spans="1:10">
      <c r="A66" s="739"/>
      <c r="B66" s="729"/>
      <c r="C66" s="640" t="s">
        <v>745</v>
      </c>
      <c r="D66" s="663">
        <f>'Security-GF '!H252</f>
        <v>24</v>
      </c>
      <c r="E66" s="679" t="s">
        <v>55</v>
      </c>
      <c r="F66" s="739">
        <v>1</v>
      </c>
      <c r="G66" s="679" t="str">
        <f>IF(F66=10,"Ten",IF(F66=1,"ONE",""))</f>
        <v>ONE</v>
      </c>
      <c r="H66" s="679" t="str">
        <f>E66</f>
        <v>SQM</v>
      </c>
      <c r="I66" s="654">
        <f>'C-data'!E934</f>
        <v>368.00191999999998</v>
      </c>
      <c r="J66" s="679">
        <f>ROUND(D66*I66/F66,0)</f>
        <v>8832</v>
      </c>
    </row>
    <row r="67" spans="1:10">
      <c r="A67" s="739"/>
      <c r="B67" s="729"/>
      <c r="C67" s="644"/>
      <c r="D67" s="663"/>
      <c r="E67" s="679"/>
      <c r="F67" s="739"/>
      <c r="G67" s="679"/>
      <c r="H67" s="679"/>
      <c r="I67" s="663"/>
      <c r="J67" s="679"/>
    </row>
    <row r="68" spans="1:10" ht="174.75" customHeight="1">
      <c r="A68" s="739">
        <f>A65+1</f>
        <v>17</v>
      </c>
      <c r="B68" s="729"/>
      <c r="C68" s="640" t="str">
        <f>'C-data'!C935:I935</f>
        <v xml:space="preserve">Plastering 12mm thick in two coats with base coat of 8mm thick in CM (1:6) and top coat of 4mm thick in CM (1:4)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but excluding seigniorage charges for  Even Surfaces of  Wall for finished item of work. (APSS 901,903 &amp; 904) </v>
      </c>
      <c r="D68" s="643"/>
      <c r="E68" s="679"/>
      <c r="F68" s="739"/>
      <c r="G68" s="679"/>
      <c r="H68" s="679"/>
      <c r="I68" s="647"/>
      <c r="J68" s="679"/>
    </row>
    <row r="69" spans="1:10">
      <c r="A69" s="739"/>
      <c r="B69" s="729" t="s">
        <v>1453</v>
      </c>
      <c r="C69" s="640" t="s">
        <v>1718</v>
      </c>
      <c r="D69" s="643"/>
      <c r="E69" s="679"/>
      <c r="F69" s="739"/>
      <c r="G69" s="679"/>
      <c r="H69" s="679"/>
      <c r="I69" s="647"/>
      <c r="J69" s="679"/>
    </row>
    <row r="70" spans="1:10">
      <c r="A70" s="739"/>
      <c r="B70" s="729"/>
      <c r="C70" s="640" t="s">
        <v>745</v>
      </c>
      <c r="D70" s="663">
        <f>'Security-GF '!H264</f>
        <v>77</v>
      </c>
      <c r="E70" s="679" t="s">
        <v>55</v>
      </c>
      <c r="F70" s="739">
        <v>1</v>
      </c>
      <c r="G70" s="679" t="str">
        <f>IF(F70=10,"Ten",IF(F70=1,"ONE",""))</f>
        <v>ONE</v>
      </c>
      <c r="H70" s="679" t="str">
        <f>E70</f>
        <v>SQM</v>
      </c>
      <c r="I70" s="17">
        <f>'C-data'!E958</f>
        <v>351.85</v>
      </c>
      <c r="J70" s="679">
        <f>ROUND(D70*I70/F70,0)</f>
        <v>27092</v>
      </c>
    </row>
    <row r="71" spans="1:10">
      <c r="A71" s="739"/>
      <c r="B71" s="729"/>
      <c r="C71" s="640"/>
      <c r="D71" s="663"/>
      <c r="E71" s="679"/>
      <c r="F71" s="739"/>
      <c r="G71" s="679"/>
      <c r="H71" s="679"/>
      <c r="I71" s="17"/>
      <c r="J71" s="679"/>
    </row>
    <row r="72" spans="1:10" ht="135.30000000000001">
      <c r="A72" s="739">
        <f>A68+1</f>
        <v>18</v>
      </c>
      <c r="B72" s="729"/>
      <c r="C72" s="640" t="str">
        <f>'C-data'!C935:I935</f>
        <v xml:space="preserve">Plastering 12mm thick in two coats with base coat of 8mm thick in CM (1:6) and top coat of 4mm thick in CM (1:4) dubara sponge finish including cost and conveyance of all materials like cement, sand, water etc., to site, sales &amp; other taxes on all materials,all operational, incidental and labour charges such as mixing mortar, scaffolding charges, lift charges, including cutting of Grooves wherever necessary as directed by Engineer - in - charge, finishing,  curing, etc., complete but excluding seigniorage charges for  Even Surfaces of  Wall for finished item of work. (APSS 901,903 &amp; 904) </v>
      </c>
      <c r="D72" s="663"/>
      <c r="E72" s="679"/>
      <c r="F72" s="739"/>
      <c r="G72" s="679"/>
      <c r="H72" s="679"/>
      <c r="I72" s="17"/>
      <c r="J72" s="679"/>
    </row>
    <row r="73" spans="1:10">
      <c r="A73" s="739"/>
      <c r="B73" s="729" t="s">
        <v>1453</v>
      </c>
      <c r="C73" s="640" t="s">
        <v>1719</v>
      </c>
      <c r="D73" s="643"/>
      <c r="E73" s="679"/>
      <c r="F73" s="739"/>
      <c r="G73" s="679"/>
      <c r="H73" s="679"/>
      <c r="I73" s="647"/>
      <c r="J73" s="679"/>
    </row>
    <row r="74" spans="1:10">
      <c r="A74" s="739"/>
      <c r="B74" s="729"/>
      <c r="C74" s="640" t="s">
        <v>745</v>
      </c>
      <c r="D74" s="663">
        <f>'Security-GF '!H247</f>
        <v>85</v>
      </c>
      <c r="E74" s="679" t="s">
        <v>55</v>
      </c>
      <c r="F74" s="739">
        <v>1</v>
      </c>
      <c r="G74" s="679" t="str">
        <f>IF(F74=10,"Ten",IF(F74=1,"ONE",""))</f>
        <v>ONE</v>
      </c>
      <c r="H74" s="679" t="str">
        <f>E74</f>
        <v>SQM</v>
      </c>
      <c r="I74" s="17">
        <f>'C-data'!E958</f>
        <v>351.85</v>
      </c>
      <c r="J74" s="679">
        <f>ROUND(D74*I74/F74,0)</f>
        <v>29907</v>
      </c>
    </row>
    <row r="75" spans="1:10">
      <c r="A75" s="739"/>
      <c r="B75" s="729"/>
      <c r="C75" s="644"/>
      <c r="D75" s="663"/>
      <c r="E75" s="679"/>
      <c r="F75" s="739"/>
      <c r="G75" s="679"/>
      <c r="H75" s="679"/>
      <c r="I75" s="663"/>
      <c r="J75" s="679"/>
    </row>
    <row r="76" spans="1:10" ht="198" customHeight="1">
      <c r="A76" s="739">
        <f>A72+1</f>
        <v>19</v>
      </c>
      <c r="B76" s="729"/>
      <c r="C76" s="149" t="str">
        <f>'C-data'!C1016:I1016</f>
        <v>Providing impervious coat with required slopes in CM (1:3) prop. 20mm thick (average) mixed with water proofing compound manufactured by reputed manufacturers as approved by Engineer-in-charge at 1Kg/bag of cement, laid over roof slab when it is green, finished smooth with a floating coat of neat cement and thread lining at regular intervals of 45cmx45cm including cost and conveyance of all materials like cement, sand, water proofing compound, water etc., to site,   sales &amp; other taxes on all materials, all operational, incidental and labour charges such as mixing mortar, laying, rounding off at junctions of wall and slab, rendering smooth with thread lining, curing, lift charges,  etc., complete but excluding seigniorage charges for finished item of work (APSS No. 901 &amp; 903).</v>
      </c>
      <c r="D76" s="643"/>
      <c r="E76" s="679"/>
      <c r="F76" s="739"/>
      <c r="G76" s="679"/>
      <c r="H76" s="679"/>
      <c r="I76" s="643"/>
      <c r="J76" s="679"/>
    </row>
    <row r="77" spans="1:10">
      <c r="A77" s="739"/>
      <c r="B77" s="729"/>
      <c r="C77" s="640" t="s">
        <v>1600</v>
      </c>
      <c r="D77" s="663">
        <f>'Security-GF '!H296</f>
        <v>46</v>
      </c>
      <c r="E77" s="679" t="s">
        <v>55</v>
      </c>
      <c r="F77" s="739">
        <v>1</v>
      </c>
      <c r="G77" s="679" t="str">
        <f>IF(F77=10,"Ten",IF(F77=1,"ONE",""))</f>
        <v>ONE</v>
      </c>
      <c r="H77" s="679" t="str">
        <f>E77</f>
        <v>SQM</v>
      </c>
      <c r="I77" s="664">
        <f>'C-data'!F1031</f>
        <v>427.05</v>
      </c>
      <c r="J77" s="679">
        <f>ROUND(D77*I77/F77,0)</f>
        <v>19644</v>
      </c>
    </row>
    <row r="78" spans="1:10">
      <c r="A78" s="739"/>
      <c r="B78" s="729"/>
      <c r="C78" s="644"/>
      <c r="D78" s="663"/>
      <c r="E78" s="679"/>
      <c r="F78" s="739"/>
      <c r="G78" s="679"/>
      <c r="H78" s="679"/>
      <c r="I78" s="663"/>
      <c r="J78" s="679"/>
    </row>
    <row r="79" spans="1:10" ht="225" customHeight="1">
      <c r="A79" s="739">
        <f>A76+1</f>
        <v>20</v>
      </c>
      <c r="B79" s="729"/>
      <c r="C79" s="640" t="str">
        <f>'C-data'!C1181:I1181</f>
        <v xml:space="preserve">Flooring with Ceramic Tiles of 7.3mm thick 1st. quality of Non-skid red or white full body Ceramic floor tiles of size not less than 300 x 300 mm and thickness between 7-8 size  as approved by Engineer - in - charge  set over a base coat of CM (1:8), 12mm thick laid over flooring bed / V.R.C.C. slab, with neat cement slurry of honey like consistency spread at the rate of 3.3 Kgs of cement per Sq.m and jointed with neat white cement paste  to full depth mixed with pigment of matching shade including cost and conveyance of all materials like cement, sand, water, ceramic tiles etc. to site,  sales and other taxes on all materials, all operational, incidental and labour charges such as mixing of cement mortar, laying, curing, lift charges etc., complete but excluding seigniorage charges for finished item of work.(APSS No.701 &amp; 707)  </v>
      </c>
      <c r="D79" s="643"/>
      <c r="E79" s="679"/>
      <c r="F79" s="739"/>
      <c r="G79" s="679" t="str">
        <f>IF(F79=10,"Ten",IF(F79=1,"One",""))</f>
        <v/>
      </c>
      <c r="H79" s="679"/>
      <c r="I79" s="643"/>
      <c r="J79" s="679"/>
    </row>
    <row r="80" spans="1:10">
      <c r="A80" s="739"/>
      <c r="B80" s="729"/>
      <c r="C80" s="640" t="s">
        <v>745</v>
      </c>
      <c r="D80" s="663">
        <f>'Security-GF '!H274</f>
        <v>3</v>
      </c>
      <c r="E80" s="679" t="s">
        <v>55</v>
      </c>
      <c r="F80" s="739">
        <v>1</v>
      </c>
      <c r="G80" s="679" t="str">
        <f>IF(F80=10,"Ten",IF(F80=1,"ONE",""))</f>
        <v>ONE</v>
      </c>
      <c r="H80" s="679" t="str">
        <f>E80</f>
        <v>SQM</v>
      </c>
      <c r="I80" s="646">
        <f>'C-data'!E1199</f>
        <v>717.85</v>
      </c>
      <c r="J80" s="679">
        <f>ROUND(D80*I80/F80,0)</f>
        <v>2154</v>
      </c>
    </row>
    <row r="81" spans="1:10">
      <c r="A81" s="739"/>
      <c r="B81" s="729"/>
      <c r="C81" s="644"/>
      <c r="D81" s="663"/>
      <c r="E81" s="679"/>
      <c r="F81" s="739"/>
      <c r="G81" s="679"/>
      <c r="H81" s="679"/>
      <c r="I81" s="663"/>
      <c r="J81" s="679"/>
    </row>
    <row r="82" spans="1:10" s="528" customFormat="1" ht="271.5" customHeight="1">
      <c r="A82" s="895">
        <f>A79+1</f>
        <v>21</v>
      </c>
      <c r="B82" s="896"/>
      <c r="C82" s="897" t="str">
        <f>'C-data'!C1405:I1405</f>
        <v xml:space="preserve">Flooring with  Nano polished vitrified floor tiles of 1st quality and make  as approved by  Engineer-in-charge  of size not less than 600 mm x 600 mm , 8mm thickness regular finish and normal colours with borders and design as per the approved flooring pattern as directed by the Engineer-In -Charge, laying tiles using spacers of 2mm thick,  set over  a base coat  of CM  (1:8) prop. 12mm thick  using screened sand over CC bed already laid or RCC roof slab , including neat cement slurry   of honey  like consistancy spread @ 3.3 kgs per  Sqm. and jointed neately with white cement paste to full depth  mixed with pigment of matching shade  including cost and conveyance  of all  materials  like cement,  sand, water, tiles, white cement etc., to  site (excluding cost  of C.C. bed) including cost  of  base coat  and all labour charges for  mixing of  cement mortar, laying tiles  to  required  slope  as directed  by  the  Engineer- in-charge  etc.,and overheads &amp; contractors profit complete for finished item of work. (APSS No.701 &amp; 707) </v>
      </c>
      <c r="D82" s="900"/>
      <c r="E82" s="899"/>
      <c r="F82" s="895"/>
      <c r="G82" s="899"/>
      <c r="H82" s="899"/>
      <c r="I82" s="901"/>
      <c r="J82" s="899"/>
    </row>
    <row r="83" spans="1:10" s="528" customFormat="1">
      <c r="A83" s="895"/>
      <c r="B83" s="896"/>
      <c r="C83" s="897" t="s">
        <v>745</v>
      </c>
      <c r="D83" s="900">
        <f>'Security-GF '!H283</f>
        <v>21</v>
      </c>
      <c r="E83" s="899" t="s">
        <v>55</v>
      </c>
      <c r="F83" s="895">
        <v>1</v>
      </c>
      <c r="G83" s="899" t="str">
        <f>IF(F83=10,"Ten",IF(F83=1,"ONE",""))</f>
        <v>ONE</v>
      </c>
      <c r="H83" s="899" t="str">
        <f>E83</f>
        <v>SQM</v>
      </c>
      <c r="I83" s="900">
        <f>'C-data'!E1430</f>
        <v>852</v>
      </c>
      <c r="J83" s="899">
        <f>ROUND(D83*I83/F83,0)</f>
        <v>17892</v>
      </c>
    </row>
    <row r="84" spans="1:10">
      <c r="A84" s="739"/>
      <c r="B84" s="729"/>
      <c r="C84" s="644"/>
      <c r="D84" s="663"/>
      <c r="E84" s="679"/>
      <c r="F84" s="739"/>
      <c r="G84" s="679"/>
      <c r="H84" s="679"/>
      <c r="I84" s="663"/>
      <c r="J84" s="679"/>
    </row>
    <row r="85" spans="1:10" ht="130.5" customHeight="1">
      <c r="A85" s="739">
        <f>A82+1</f>
        <v>22</v>
      </c>
      <c r="B85" s="729"/>
      <c r="C85" s="640" t="str">
        <f>'C-data'!C1512:I1512</f>
        <v xml:space="preserve">Flooringwith 16 to 18mm thick high polished granite stone slabs of black colour approved by the engineer-incharge laid over RCC slab or bed alredy laid and set over base coat of   CM (1:8) 20mm thick including neat cement , slurry of honey like consistency spread  at the rate of 3.30kg per sqm and joined with neat white cement paste mixed with pisment of matching shade to ful allmaterials to work site depth including cost and conveyence of and all materials to work site and operational , incidentallabour and lift charges and seignorage charges etc., complete for finshed item of work for platform in kitchen/diniing (SS 701 &amp; special) </v>
      </c>
      <c r="D85" s="663"/>
      <c r="E85" s="679"/>
      <c r="F85" s="739"/>
      <c r="G85" s="679"/>
      <c r="H85" s="679"/>
      <c r="I85" s="16"/>
      <c r="J85" s="679"/>
    </row>
    <row r="86" spans="1:10">
      <c r="A86" s="739"/>
      <c r="B86" s="729"/>
      <c r="C86" s="640" t="s">
        <v>745</v>
      </c>
      <c r="D86" s="663">
        <f>'Security-GF '!H288</f>
        <v>4</v>
      </c>
      <c r="E86" s="679" t="s">
        <v>55</v>
      </c>
      <c r="F86" s="739">
        <v>1</v>
      </c>
      <c r="G86" s="679"/>
      <c r="H86" s="679"/>
      <c r="I86" s="654"/>
      <c r="J86" s="679"/>
    </row>
    <row r="87" spans="1:10">
      <c r="A87" s="739"/>
      <c r="B87" s="729"/>
      <c r="C87" s="640"/>
      <c r="D87" s="663">
        <f>SUM(D86:D86)</f>
        <v>4</v>
      </c>
      <c r="E87" s="679" t="s">
        <v>55</v>
      </c>
      <c r="F87" s="739">
        <v>1</v>
      </c>
      <c r="G87" s="679" t="str">
        <f>IF(F87=10,"Ten",IF(F87=1,"ONE",""))</f>
        <v>ONE</v>
      </c>
      <c r="H87" s="679" t="str">
        <f>E87</f>
        <v>SQM</v>
      </c>
      <c r="I87" s="654">
        <f>'C-data'!I1526</f>
        <v>3237.3</v>
      </c>
      <c r="J87" s="679">
        <f>ROUND(D87*I87/F87,0)</f>
        <v>12949</v>
      </c>
    </row>
    <row r="88" spans="1:10">
      <c r="A88" s="739"/>
      <c r="B88" s="729"/>
      <c r="C88" s="640"/>
      <c r="D88" s="663"/>
      <c r="E88" s="679"/>
      <c r="F88" s="739"/>
      <c r="G88" s="679"/>
      <c r="H88" s="679"/>
      <c r="I88" s="654"/>
      <c r="J88" s="679"/>
    </row>
    <row r="89" spans="1:10" ht="65.25" customHeight="1">
      <c r="A89" s="739">
        <f>A85+1</f>
        <v>23</v>
      </c>
      <c r="B89" s="729"/>
      <c r="C89" s="640" t="str">
        <f>'C-data'!C1528:I1528</f>
        <v xml:space="preserve">Half Rounding the edges of granite slab including polishing all labour charges, hire charegs of tools and plants  All incidental charges etc., complete for finished item of work as directed by the engineer incharge </v>
      </c>
      <c r="D89" s="663">
        <f>'Security-GF '!H292</f>
        <v>6</v>
      </c>
      <c r="E89" s="679" t="s">
        <v>468</v>
      </c>
      <c r="F89" s="739">
        <v>1</v>
      </c>
      <c r="G89" s="679" t="str">
        <f>IF(F89=10,"Ten",IF(F89=1,"ONE",""))</f>
        <v>ONE</v>
      </c>
      <c r="H89" s="679" t="str">
        <f>E89</f>
        <v>RM</v>
      </c>
      <c r="I89" s="663">
        <f>'C-data'!I1531</f>
        <v>387</v>
      </c>
      <c r="J89" s="679">
        <f>ROUND(D89*I89/F89,0)</f>
        <v>2322</v>
      </c>
    </row>
    <row r="90" spans="1:10">
      <c r="A90" s="739"/>
      <c r="B90" s="729"/>
      <c r="C90" s="640"/>
      <c r="D90" s="663"/>
      <c r="E90" s="679"/>
      <c r="F90" s="739"/>
      <c r="G90" s="679"/>
      <c r="H90" s="679"/>
      <c r="I90" s="654"/>
      <c r="J90" s="679"/>
    </row>
    <row r="91" spans="1:10" ht="169.5" customHeight="1">
      <c r="A91" s="739">
        <f>A89+1</f>
        <v>24</v>
      </c>
      <c r="B91" s="729"/>
      <c r="C91" s="149" t="str">
        <f>'C-data'!C1129:I1129</f>
        <v xml:space="preserve">Supplying and fixing of Polished Shabad/Tandur blue Slabas 15 to 18 mm thick  (0.457M x 0.457M) in Single piece with the edges flat nosed and set over a base coat of CM (1:8), 12mm thick, and fixing in position with neat cement paste including cost and conveyance of all materials like cement, sand, water, stones etc. to site, seigniorage charges, sales and other taxes on all materials, all operational, incidental and labour charges such as dressing of stones to the required sizes, mixing of cement mortar, fixing in position, curing, lift charges etc., complete for finished item of work for Treads (APSS No.701 &amp; 707) </v>
      </c>
      <c r="D91" s="643"/>
      <c r="E91" s="679"/>
      <c r="F91" s="739"/>
      <c r="G91" s="679" t="str">
        <f>IF(F91=10,"Ten",IF(F91=1,"One",""))</f>
        <v/>
      </c>
      <c r="H91" s="679"/>
      <c r="I91" s="643"/>
      <c r="J91" s="679"/>
    </row>
    <row r="92" spans="1:10">
      <c r="A92" s="739"/>
      <c r="B92" s="729" t="s">
        <v>642</v>
      </c>
      <c r="C92" s="644" t="s">
        <v>1454</v>
      </c>
      <c r="D92" s="643"/>
      <c r="E92" s="679"/>
      <c r="F92" s="739"/>
      <c r="G92" s="679"/>
      <c r="H92" s="679"/>
      <c r="I92" s="643"/>
      <c r="J92" s="679"/>
    </row>
    <row r="93" spans="1:10">
      <c r="A93" s="739"/>
      <c r="B93" s="729"/>
      <c r="C93" s="640" t="s">
        <v>745</v>
      </c>
      <c r="D93" s="663">
        <f>'Security-GF '!H316</f>
        <v>3</v>
      </c>
      <c r="E93" s="679" t="s">
        <v>55</v>
      </c>
      <c r="F93" s="739">
        <v>1</v>
      </c>
      <c r="G93" s="679" t="str">
        <f>IF(F93=10,"Ten",IF(F93=1,"ONE",""))</f>
        <v>ONE</v>
      </c>
      <c r="H93" s="679" t="str">
        <f>E93</f>
        <v>SQM</v>
      </c>
      <c r="I93" s="20">
        <f>'C-data'!E1149</f>
        <v>536.00650762499993</v>
      </c>
      <c r="J93" s="679">
        <f>ROUND(D93*I93/F93,0)</f>
        <v>1608</v>
      </c>
    </row>
    <row r="94" spans="1:10">
      <c r="A94" s="739"/>
      <c r="B94" s="729"/>
      <c r="C94" s="644"/>
      <c r="D94" s="663"/>
      <c r="E94" s="679"/>
      <c r="F94" s="739"/>
      <c r="G94" s="679"/>
      <c r="H94" s="679"/>
      <c r="I94" s="663"/>
      <c r="J94" s="679"/>
    </row>
    <row r="95" spans="1:10">
      <c r="A95" s="739"/>
      <c r="B95" s="729" t="s">
        <v>2</v>
      </c>
      <c r="C95" s="644" t="s">
        <v>1455</v>
      </c>
      <c r="D95" s="643"/>
      <c r="E95" s="679"/>
      <c r="F95" s="739"/>
      <c r="G95" s="679"/>
      <c r="H95" s="679"/>
      <c r="I95" s="645"/>
      <c r="J95" s="679"/>
    </row>
    <row r="96" spans="1:10">
      <c r="A96" s="739"/>
      <c r="B96" s="729"/>
      <c r="C96" s="640" t="s">
        <v>745</v>
      </c>
      <c r="D96" s="663">
        <f>'Security-GF '!H321</f>
        <v>2</v>
      </c>
      <c r="E96" s="679" t="s">
        <v>55</v>
      </c>
      <c r="F96" s="739">
        <v>1</v>
      </c>
      <c r="G96" s="679" t="str">
        <f>IF(F96=10,"Ten",IF(F96=1,"ONE",""))</f>
        <v>ONE</v>
      </c>
      <c r="H96" s="679" t="str">
        <f>E96</f>
        <v>SQM</v>
      </c>
      <c r="I96" s="20">
        <f>'C-data'!E1108</f>
        <v>614.42775562500003</v>
      </c>
      <c r="J96" s="679">
        <f>ROUND(D96*I96/F96,0)</f>
        <v>1229</v>
      </c>
    </row>
    <row r="97" spans="1:10">
      <c r="A97" s="739"/>
      <c r="B97" s="729"/>
      <c r="C97" s="644"/>
      <c r="D97" s="663"/>
      <c r="E97" s="679"/>
      <c r="F97" s="739"/>
      <c r="G97" s="679"/>
      <c r="H97" s="679"/>
      <c r="I97" s="663"/>
      <c r="J97" s="679"/>
    </row>
    <row r="98" spans="1:10" ht="176.25" customHeight="1">
      <c r="A98" s="739">
        <f>A91+1</f>
        <v>25</v>
      </c>
      <c r="B98" s="729"/>
      <c r="C98" s="640" t="str">
        <f>'C-data'!C1200:I1200</f>
        <v>Dadooing to walls with any color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like cement, sand, water, tiles, etc. to site,  sales and other taxes on all materials, C921 such as mixing of cement mortar, laying in position, curing, lift charges etc., complete but excluding seigniorage charges for finished item of work  (APSS No.701 &amp; 707) in All Floors</v>
      </c>
      <c r="D98" s="643"/>
      <c r="E98" s="679"/>
      <c r="F98" s="739"/>
      <c r="G98" s="679"/>
      <c r="H98" s="679"/>
      <c r="I98" s="643"/>
      <c r="J98" s="679"/>
    </row>
    <row r="99" spans="1:10">
      <c r="A99" s="739"/>
      <c r="B99" s="729"/>
      <c r="C99" s="640" t="s">
        <v>745</v>
      </c>
      <c r="D99" s="663">
        <f>'Security-GF '!H311</f>
        <v>13</v>
      </c>
      <c r="E99" s="679" t="s">
        <v>55</v>
      </c>
      <c r="F99" s="739">
        <v>1</v>
      </c>
      <c r="G99" s="679" t="str">
        <f>IF(F99=10,"Ten",IF(F99=1,"ONE",""))</f>
        <v>ONE</v>
      </c>
      <c r="H99" s="679" t="str">
        <f>E99</f>
        <v>SQM</v>
      </c>
      <c r="I99" s="646">
        <f>'C-data'!E1216</f>
        <v>467.5</v>
      </c>
      <c r="J99" s="679">
        <f>ROUND(D99*I99/F99,0)</f>
        <v>6078</v>
      </c>
    </row>
    <row r="100" spans="1:10">
      <c r="A100" s="739"/>
      <c r="B100" s="729"/>
      <c r="C100" s="644"/>
      <c r="D100" s="663"/>
      <c r="E100" s="679"/>
      <c r="F100" s="739"/>
      <c r="G100" s="679"/>
      <c r="H100" s="679"/>
      <c r="I100" s="663"/>
      <c r="J100" s="679"/>
    </row>
    <row r="101" spans="1:10" s="528" customFormat="1" ht="147.75" customHeight="1">
      <c r="A101" s="895">
        <f>A98+1</f>
        <v>26</v>
      </c>
      <c r="B101" s="896"/>
      <c r="C101" s="897" t="str">
        <f>'C-data'!C1432:I1432</f>
        <v>Providing skirting to internal walls to 10 cm height with Nano polished vitrified tiles 8mm thick , regular finish and normal colour, length equal to flooring tiles,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etc.,and overheads &amp; contractors profit complete for finished item of work.(APSS No.701 &amp;707)</v>
      </c>
      <c r="D101" s="898"/>
      <c r="E101" s="899"/>
      <c r="F101" s="895"/>
      <c r="G101" s="899"/>
      <c r="H101" s="899"/>
      <c r="I101" s="898"/>
      <c r="J101" s="899"/>
    </row>
    <row r="102" spans="1:10" s="528" customFormat="1">
      <c r="A102" s="895"/>
      <c r="B102" s="896"/>
      <c r="C102" s="897" t="s">
        <v>745</v>
      </c>
      <c r="D102" s="900">
        <f>'Security-GF '!H304</f>
        <v>4</v>
      </c>
      <c r="E102" s="899" t="s">
        <v>55</v>
      </c>
      <c r="F102" s="895">
        <v>1</v>
      </c>
      <c r="G102" s="899" t="str">
        <f>IF(F102=10,"Ten",IF(F102=1,"ONE",""))</f>
        <v>ONE</v>
      </c>
      <c r="H102" s="899" t="str">
        <f>E102</f>
        <v>SQM</v>
      </c>
      <c r="I102" s="900">
        <f>'C-data'!E1456</f>
        <v>862.5424724799999</v>
      </c>
      <c r="J102" s="899">
        <f>ROUND(D102*I102/F102,0)</f>
        <v>3450</v>
      </c>
    </row>
    <row r="103" spans="1:10">
      <c r="A103" s="739"/>
      <c r="B103" s="729"/>
      <c r="C103" s="644"/>
      <c r="D103" s="663"/>
      <c r="E103" s="679"/>
      <c r="F103" s="739"/>
      <c r="G103" s="679"/>
      <c r="H103" s="679"/>
      <c r="I103" s="663"/>
      <c r="J103" s="679"/>
    </row>
    <row r="104" spans="1:10" ht="172.2">
      <c r="A104" s="739">
        <f>A101+1</f>
        <v>27</v>
      </c>
      <c r="B104" s="729"/>
      <c r="C104" s="23" t="s">
        <v>1312</v>
      </c>
      <c r="D104" s="663"/>
      <c r="E104" s="679"/>
      <c r="F104" s="739"/>
      <c r="G104" s="679"/>
      <c r="H104" s="679"/>
      <c r="I104" s="643"/>
      <c r="J104" s="679"/>
    </row>
    <row r="105" spans="1:10">
      <c r="A105" s="739"/>
      <c r="B105" s="729"/>
      <c r="C105" s="640" t="s">
        <v>745</v>
      </c>
      <c r="D105" s="663">
        <f>'Security-GF '!H342</f>
        <v>2</v>
      </c>
      <c r="E105" s="679" t="s">
        <v>329</v>
      </c>
      <c r="F105" s="739"/>
      <c r="G105" s="679"/>
      <c r="H105" s="679"/>
      <c r="I105" s="643"/>
      <c r="J105" s="679"/>
    </row>
    <row r="106" spans="1:10">
      <c r="A106" s="739"/>
      <c r="B106" s="729"/>
      <c r="C106" s="644"/>
      <c r="D106" s="741">
        <f>SUM(D105:D105)</f>
        <v>2</v>
      </c>
      <c r="E106" s="679" t="s">
        <v>329</v>
      </c>
      <c r="F106" s="739">
        <v>1</v>
      </c>
      <c r="G106" s="679" t="str">
        <f>IF(F106=10,"Ten",IF(F106=1,"ONE",""))</f>
        <v>ONE</v>
      </c>
      <c r="H106" s="679" t="str">
        <f>E106</f>
        <v>No</v>
      </c>
      <c r="I106" s="663">
        <f>'D&amp;W DATA 1'!H248</f>
        <v>8795</v>
      </c>
      <c r="J106" s="679">
        <f>ROUND(D106*I106/F106,0)</f>
        <v>17590</v>
      </c>
    </row>
    <row r="107" spans="1:10">
      <c r="A107" s="739"/>
      <c r="B107" s="729"/>
      <c r="C107" s="644"/>
      <c r="D107" s="741"/>
      <c r="E107" s="679"/>
      <c r="F107" s="739"/>
      <c r="G107" s="679"/>
      <c r="H107" s="679"/>
      <c r="I107" s="663"/>
      <c r="J107" s="679"/>
    </row>
    <row r="108" spans="1:10" ht="201" customHeight="1">
      <c r="A108" s="739">
        <f>A104+1</f>
        <v>28</v>
      </c>
      <c r="B108" s="729"/>
      <c r="C108" s="640" t="s">
        <v>1246</v>
      </c>
      <c r="D108" s="741"/>
      <c r="E108" s="679"/>
      <c r="F108" s="739"/>
      <c r="G108" s="679"/>
      <c r="H108" s="679"/>
      <c r="I108" s="663"/>
      <c r="J108" s="679"/>
    </row>
    <row r="109" spans="1:10">
      <c r="A109" s="739"/>
      <c r="B109" s="729"/>
      <c r="C109" s="640" t="s">
        <v>745</v>
      </c>
      <c r="D109" s="663">
        <f>'Security-GF '!H348</f>
        <v>9.9</v>
      </c>
      <c r="E109" s="679" t="s">
        <v>468</v>
      </c>
      <c r="F109" s="739">
        <v>1</v>
      </c>
      <c r="G109" s="679" t="str">
        <f>IF(F109=10,"Ten",IF(F109=1,"ONE",""))</f>
        <v>ONE</v>
      </c>
      <c r="H109" s="679" t="str">
        <f>E109</f>
        <v>RM</v>
      </c>
      <c r="I109" s="663">
        <f>'D&amp;W DATA 1'!H252</f>
        <v>315</v>
      </c>
      <c r="J109" s="679">
        <f>ROUND(D109*I109/F109,0)</f>
        <v>3119</v>
      </c>
    </row>
    <row r="110" spans="1:10">
      <c r="A110" s="739"/>
      <c r="B110" s="729"/>
      <c r="C110" s="644"/>
      <c r="D110" s="741"/>
      <c r="E110" s="679"/>
      <c r="F110" s="739"/>
      <c r="G110" s="679"/>
      <c r="H110" s="679"/>
      <c r="I110" s="663"/>
      <c r="J110" s="679"/>
    </row>
    <row r="111" spans="1:10" ht="209.25" customHeight="1">
      <c r="A111" s="739">
        <f>A104+1</f>
        <v>28</v>
      </c>
      <c r="B111" s="729"/>
      <c r="C111" s="23" t="s">
        <v>1247</v>
      </c>
      <c r="D111" s="741"/>
      <c r="E111" s="679"/>
      <c r="F111" s="739"/>
      <c r="G111" s="679"/>
      <c r="H111" s="679"/>
      <c r="I111" s="663"/>
      <c r="J111" s="679"/>
    </row>
    <row r="112" spans="1:10">
      <c r="A112" s="739"/>
      <c r="B112" s="729"/>
      <c r="C112" s="640" t="s">
        <v>745</v>
      </c>
      <c r="D112" s="741">
        <f>'Security-GF '!H352</f>
        <v>3.15</v>
      </c>
      <c r="E112" s="679" t="s">
        <v>461</v>
      </c>
      <c r="F112" s="739">
        <v>1</v>
      </c>
      <c r="G112" s="679" t="str">
        <f>IF(F112=10,"Ten",IF(F112=1,"ONE",""))</f>
        <v>ONE</v>
      </c>
      <c r="H112" s="679" t="str">
        <f>E112</f>
        <v>Sqm</v>
      </c>
      <c r="I112" s="663">
        <f>'D&amp;W DATA 1'!H257</f>
        <v>2292</v>
      </c>
      <c r="J112" s="679">
        <f>ROUND(D112*I112/F112,0)</f>
        <v>7220</v>
      </c>
    </row>
    <row r="113" spans="1:10">
      <c r="A113" s="739"/>
      <c r="B113" s="729"/>
      <c r="C113" s="644"/>
      <c r="D113" s="741"/>
      <c r="E113" s="679"/>
      <c r="F113" s="739"/>
      <c r="G113" s="679"/>
      <c r="H113" s="679"/>
      <c r="I113" s="663"/>
      <c r="J113" s="679"/>
    </row>
    <row r="114" spans="1:10" s="651" customFormat="1" ht="281.25" customHeight="1">
      <c r="A114" s="641">
        <f>A111+1</f>
        <v>29</v>
      </c>
      <c r="B114" s="649"/>
      <c r="C114" s="640" t="s">
        <v>2076</v>
      </c>
      <c r="D114" s="15"/>
      <c r="E114" s="14"/>
      <c r="F114" s="14"/>
      <c r="G114" s="14"/>
      <c r="H114" s="14"/>
      <c r="I114" s="23"/>
      <c r="J114" s="650"/>
    </row>
    <row r="115" spans="1:10" s="651" customFormat="1">
      <c r="A115" s="641"/>
      <c r="B115" s="649"/>
      <c r="C115" s="640" t="s">
        <v>745</v>
      </c>
      <c r="D115" s="16">
        <f>'Security-GF '!H355</f>
        <v>1.56</v>
      </c>
      <c r="E115" s="679" t="s">
        <v>55</v>
      </c>
      <c r="F115" s="656">
        <v>1</v>
      </c>
      <c r="G115" s="679" t="str">
        <f>IF(F115=10,"Ten",IF(F115=1,"ONE",""))</f>
        <v>ONE</v>
      </c>
      <c r="H115" s="655" t="str">
        <f>E115</f>
        <v>SQM</v>
      </c>
      <c r="I115" s="20">
        <f>'D&amp;W DATA 1'!H291</f>
        <v>8426</v>
      </c>
      <c r="J115" s="679">
        <f>ROUND(D115*I115/F115,0)</f>
        <v>13145</v>
      </c>
    </row>
    <row r="116" spans="1:10" s="651" customFormat="1">
      <c r="A116" s="641"/>
      <c r="B116" s="649"/>
      <c r="C116" s="640"/>
      <c r="D116" s="657"/>
      <c r="E116" s="679"/>
      <c r="F116" s="656"/>
      <c r="G116" s="679"/>
      <c r="H116" s="655"/>
      <c r="I116" s="663"/>
      <c r="J116" s="679"/>
    </row>
    <row r="117" spans="1:10" s="651" customFormat="1" ht="252" customHeight="1">
      <c r="A117" s="641">
        <f>A114+1</f>
        <v>30</v>
      </c>
      <c r="B117" s="649"/>
      <c r="C117" s="640" t="s">
        <v>1254</v>
      </c>
      <c r="D117" s="654"/>
      <c r="E117" s="655"/>
      <c r="F117" s="656"/>
      <c r="G117" s="655"/>
      <c r="H117" s="652"/>
      <c r="I117" s="653"/>
      <c r="J117" s="650"/>
    </row>
    <row r="118" spans="1:10" s="651" customFormat="1" ht="12.6" customHeight="1">
      <c r="A118" s="641"/>
      <c r="B118" s="649"/>
      <c r="C118" s="640" t="s">
        <v>745</v>
      </c>
      <c r="D118" s="16">
        <f>'Security-GF '!H360</f>
        <v>0.3</v>
      </c>
      <c r="E118" s="679" t="s">
        <v>55</v>
      </c>
      <c r="F118" s="656">
        <v>1</v>
      </c>
      <c r="G118" s="679" t="str">
        <f>IF(F118=10,"Ten",IF(F118=1,"ONE",""))</f>
        <v>ONE</v>
      </c>
      <c r="H118" s="655" t="str">
        <f>E118</f>
        <v>SQM</v>
      </c>
      <c r="I118" s="663">
        <f>'D&amp;W DATA 1'!H297</f>
        <v>4246</v>
      </c>
      <c r="J118" s="679">
        <f>ROUND(D118*I118/F118,0)</f>
        <v>1274</v>
      </c>
    </row>
    <row r="119" spans="1:10" s="651" customFormat="1">
      <c r="A119" s="641"/>
      <c r="B119" s="649"/>
      <c r="C119" s="640"/>
      <c r="D119" s="657"/>
      <c r="E119" s="679"/>
      <c r="F119" s="656"/>
      <c r="G119" s="679"/>
      <c r="H119" s="655"/>
      <c r="I119" s="663"/>
      <c r="J119" s="679"/>
    </row>
    <row r="120" spans="1:10" s="651" customFormat="1" ht="174.75" customHeight="1">
      <c r="A120" s="641">
        <f>A117+1</f>
        <v>31</v>
      </c>
      <c r="B120" s="649"/>
      <c r="C120" s="640" t="str">
        <f>'C-data'!C1574:I1574</f>
        <v>Supplying and fixing of curtain Glazing made of pre painted steel as per IS 513 of 0.58 mm thick D quality, galvanized as per IS 277 Primer coated with epoxy, finish painted with a polyester paint using the section for outer frame of 46 x 52 mm, section for mullion of 46 x 70 mm and section for beading of 18 x 25 mm and the glazing with 5 mm thick plain float glass fitted with EPDM gaskets including handle made of high grade Aluminium powder coated and nylon receiver, corner brackets made of CRCA with zinc phosphating, mullion caps made of Glass filled nylon including fixing the frames in the concrete / masonry wall with self expanding screws, etc.,complete for finished item in all floors</v>
      </c>
      <c r="D120" s="654"/>
      <c r="E120" s="655"/>
      <c r="F120" s="656"/>
      <c r="G120" s="655"/>
      <c r="H120" s="652"/>
      <c r="I120" s="653"/>
      <c r="J120" s="650"/>
    </row>
    <row r="121" spans="1:10" s="651" customFormat="1" ht="24.6">
      <c r="A121" s="641"/>
      <c r="B121" s="649"/>
      <c r="C121" s="640" t="str">
        <f>'C-data'!C1575</f>
        <v>Fixed Glazing 2'-0 x 2'-0 (609.6x609.6mm) and Fixed Glazing 2'-0 x 3'-0 (609.6x914.4mm)</v>
      </c>
      <c r="D121" s="654"/>
      <c r="E121" s="655"/>
      <c r="F121" s="656"/>
      <c r="G121" s="655"/>
      <c r="H121" s="652"/>
      <c r="I121" s="653"/>
      <c r="J121" s="650"/>
    </row>
    <row r="122" spans="1:10" s="651" customFormat="1">
      <c r="A122" s="641"/>
      <c r="B122" s="649"/>
      <c r="C122" s="640" t="s">
        <v>745</v>
      </c>
      <c r="D122" s="657">
        <f>'Security-GF '!H366</f>
        <v>6.5</v>
      </c>
      <c r="E122" s="679" t="s">
        <v>55</v>
      </c>
      <c r="F122" s="656">
        <v>1</v>
      </c>
      <c r="G122" s="679" t="str">
        <f>IF(F122=10,"Ten",IF(F122=1,"ONE",""))</f>
        <v>ONE</v>
      </c>
      <c r="H122" s="655" t="str">
        <f>E122</f>
        <v>SQM</v>
      </c>
      <c r="I122" s="663">
        <f>'C-data'!I1579</f>
        <v>6108</v>
      </c>
      <c r="J122" s="679">
        <f>ROUND(D122*I122/F122,0)</f>
        <v>39702</v>
      </c>
    </row>
    <row r="123" spans="1:10" s="651" customFormat="1">
      <c r="A123" s="641"/>
      <c r="B123" s="649"/>
      <c r="C123" s="149"/>
      <c r="D123" s="657"/>
      <c r="E123" s="679"/>
      <c r="F123" s="656"/>
      <c r="G123" s="679"/>
      <c r="H123" s="655"/>
      <c r="I123" s="663"/>
      <c r="J123" s="679"/>
    </row>
    <row r="124" spans="1:10" ht="215.25" customHeight="1">
      <c r="A124" s="739">
        <f>A120+1</f>
        <v>32</v>
      </c>
      <c r="B124" s="729"/>
      <c r="C124" s="149" t="str">
        <f>'C-data'!C1234:I1234</f>
        <v>Reinforced cement mortar Facia 5 cm thick  in CM (1:3) for drop walls, Fins &amp; staircase railing with rabbit wire mesh &amp; nominal reinforcement as directed by Engineer-in-charge with dubara spong finishing including cost &amp; conveyence of all materials to site, including  sales and other taxes on all  materials and all operational, incidental charges such as labour charges, like mixing cement mortar, scaffolding charges, lift charges, curing, for making 50 mm thick RCM Paradah walls (RCM Drop walls) including tying Rabbit (chicken) wire mesh to the existing mild steel / HYSD Steel reinforcement applying mortar lumps, finishing, plastering to both faces, sponge finishing etc complete for finished item of work but excluding cost of steel and its fabrication charges and seigniorage charges in All Floors</v>
      </c>
      <c r="D124" s="741"/>
      <c r="E124" s="679"/>
      <c r="F124" s="739"/>
      <c r="G124" s="679"/>
      <c r="H124" s="679"/>
      <c r="I124" s="663"/>
      <c r="J124" s="679"/>
    </row>
    <row r="125" spans="1:10">
      <c r="A125" s="739"/>
      <c r="B125" s="729"/>
      <c r="C125" s="640" t="s">
        <v>745</v>
      </c>
      <c r="D125" s="663">
        <f>'Security-GF '!H371</f>
        <v>48</v>
      </c>
      <c r="E125" s="679" t="s">
        <v>55</v>
      </c>
      <c r="F125" s="739">
        <v>1</v>
      </c>
      <c r="G125" s="679" t="str">
        <f>IF(F125=10,"Ten",IF(F125=1,"ONE",""))</f>
        <v>ONE</v>
      </c>
      <c r="H125" s="679" t="str">
        <f>E125</f>
        <v>SQM</v>
      </c>
      <c r="I125" s="646">
        <f>'C-data'!E1252</f>
        <v>1354.1000000000001</v>
      </c>
      <c r="J125" s="679">
        <f>ROUND(D125*I125/F125,0)</f>
        <v>64997</v>
      </c>
    </row>
    <row r="126" spans="1:10">
      <c r="A126" s="739"/>
      <c r="B126" s="729"/>
      <c r="C126" s="644"/>
      <c r="D126" s="663"/>
      <c r="E126" s="679"/>
      <c r="F126" s="739"/>
      <c r="G126" s="679"/>
      <c r="H126" s="679"/>
      <c r="I126" s="663"/>
      <c r="J126" s="679"/>
    </row>
    <row r="127" spans="1:10" ht="180" customHeight="1">
      <c r="A127" s="739">
        <f>A124+1</f>
        <v>33</v>
      </c>
      <c r="B127" s="729"/>
      <c r="C127" s="640" t="str">
        <f>'C-data'!C1278:I1278</f>
        <v>Painting to New walls with two coats of Acrylic Emulsion paint of superior quality of approved brand and shade over base coat of cement primer interior grade -I making three coats in all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for internal Walls.(APSS No. 912) in All Floors</v>
      </c>
      <c r="D127" s="643"/>
      <c r="E127" s="679"/>
      <c r="F127" s="739"/>
      <c r="G127" s="679"/>
      <c r="H127" s="679"/>
      <c r="I127" s="643"/>
      <c r="J127" s="679"/>
    </row>
    <row r="128" spans="1:10">
      <c r="A128" s="739"/>
      <c r="B128" s="729"/>
      <c r="C128" s="640" t="s">
        <v>745</v>
      </c>
      <c r="D128" s="658">
        <f>'Security-GF '!H324+'Security-GF '!H328</f>
        <v>101</v>
      </c>
      <c r="E128" s="679" t="s">
        <v>55</v>
      </c>
      <c r="F128" s="739">
        <v>1</v>
      </c>
      <c r="G128" s="679" t="str">
        <f>IF(F128=10,"Ten",IF(F128=1,"ONE",""))</f>
        <v>ONE</v>
      </c>
      <c r="H128" s="679" t="str">
        <f>E128</f>
        <v>SQM</v>
      </c>
      <c r="I128" s="663">
        <f>'C-data'!I1289</f>
        <v>136.35</v>
      </c>
      <c r="J128" s="679">
        <f>ROUND(D128*I128/F128,0)</f>
        <v>13771</v>
      </c>
    </row>
    <row r="129" spans="1:10">
      <c r="A129" s="739"/>
      <c r="B129" s="729"/>
      <c r="C129" s="149"/>
      <c r="D129" s="643"/>
      <c r="E129" s="679"/>
      <c r="F129" s="739"/>
      <c r="G129" s="679"/>
      <c r="H129" s="679"/>
      <c r="I129" s="643"/>
      <c r="J129" s="679"/>
    </row>
    <row r="130" spans="1:10" ht="135.30000000000001">
      <c r="A130" s="739">
        <f>A127+1</f>
        <v>34</v>
      </c>
      <c r="B130" s="729"/>
      <c r="C130" s="640" t="str">
        <f>'C-data'!C1303:I1303</f>
        <v>Painting to New walls with two coats of Acrylic Emulsion paint of superior quality of approved brand and shade over base coat of cement primer exterior grade -II making three coats in all to give an even shade after thoroughly brushing the surface to remove all loose powdered materials, including cost and conveyance of all materials, including cost and conveyance of all materials, cost of brushes, water to site, etc., sales &amp; other taxes, all operational, incidental and labour charges such as scaffolding charges, lift charges, curing etc., complete for finished item of work in all floors for  external Walls.(APSS No. 912) in All Floors</v>
      </c>
      <c r="D130" s="643"/>
      <c r="E130" s="679"/>
      <c r="F130" s="739"/>
      <c r="G130" s="679"/>
      <c r="H130" s="679"/>
      <c r="I130" s="643"/>
      <c r="J130" s="679"/>
    </row>
    <row r="131" spans="1:10">
      <c r="A131" s="739"/>
      <c r="B131" s="729"/>
      <c r="C131" s="640" t="s">
        <v>745</v>
      </c>
      <c r="D131" s="658">
        <f>'Security-GF '!H333</f>
        <v>85</v>
      </c>
      <c r="E131" s="679" t="s">
        <v>55</v>
      </c>
      <c r="F131" s="739">
        <v>1</v>
      </c>
      <c r="G131" s="679" t="str">
        <f>IF(F131=10,"Ten",IF(F131=1,"ONE",""))</f>
        <v>ONE</v>
      </c>
      <c r="H131" s="679" t="str">
        <f>E131</f>
        <v>SQM</v>
      </c>
      <c r="I131" s="643">
        <f>'C-data'!I1315</f>
        <v>187.55</v>
      </c>
      <c r="J131" s="679">
        <f>ROUND(D131*I131/F131,0)</f>
        <v>15942</v>
      </c>
    </row>
    <row r="132" spans="1:10">
      <c r="A132" s="739"/>
      <c r="B132" s="729"/>
      <c r="C132" s="640"/>
      <c r="D132" s="658"/>
      <c r="E132" s="679"/>
      <c r="F132" s="739"/>
      <c r="G132" s="679"/>
      <c r="H132" s="679"/>
      <c r="I132" s="654"/>
      <c r="J132" s="679"/>
    </row>
    <row r="133" spans="1:10" ht="127.5" customHeight="1">
      <c r="A133" s="739">
        <f>A130+1</f>
        <v>35</v>
      </c>
      <c r="B133" s="729"/>
      <c r="C133" s="23" t="str">
        <f>'C-data'!C1253:I1253</f>
        <v>Painting to New  wood work with two coats of ready mixed synthetic enamel paint Grade I all shades  to give an even shade over base coat Primer with Luppam finishing  after thoroughly brushing the surface to remove all remains  including cost and conveyance of all materials to site, sales &amp; other taxes, all  operational, incidental and labour charges etc., complete for finished item of work.(3 coats) (APSS No. 1201 &amp; 1212).in All Floors</v>
      </c>
      <c r="D133" s="643"/>
      <c r="E133" s="679"/>
      <c r="F133" s="739"/>
      <c r="G133" s="679"/>
      <c r="H133" s="679"/>
      <c r="I133" s="643"/>
      <c r="J133" s="679"/>
    </row>
    <row r="134" spans="1:10">
      <c r="A134" s="739"/>
      <c r="B134" s="729"/>
      <c r="C134" s="640"/>
      <c r="D134" s="643">
        <f>'Security-GF '!H338</f>
        <v>10</v>
      </c>
      <c r="E134" s="679" t="s">
        <v>55</v>
      </c>
      <c r="F134" s="739">
        <v>1</v>
      </c>
      <c r="G134" s="679" t="str">
        <f>IF(F134=10,"Ten",IF(F134=1,"ONE",""))</f>
        <v>ONE</v>
      </c>
      <c r="H134" s="679" t="str">
        <f>E134</f>
        <v>SQM</v>
      </c>
      <c r="I134" s="663">
        <f>'C-data'!I1265</f>
        <v>161.65</v>
      </c>
      <c r="J134" s="679">
        <f>ROUND(D134*I134/F134,0)</f>
        <v>1617</v>
      </c>
    </row>
    <row r="135" spans="1:10">
      <c r="A135" s="513"/>
      <c r="B135" s="659"/>
      <c r="C135" s="148" t="s">
        <v>1456</v>
      </c>
      <c r="D135" s="515"/>
      <c r="E135" s="513"/>
      <c r="F135" s="513"/>
      <c r="G135" s="513"/>
      <c r="H135" s="513"/>
      <c r="I135" s="507"/>
      <c r="J135" s="515">
        <f>SUM(J5:J134)</f>
        <v>757260</v>
      </c>
    </row>
    <row r="137" spans="1:10">
      <c r="D137" s="516"/>
      <c r="J137" s="519">
        <f>SUM(D33:D35)</f>
        <v>46</v>
      </c>
    </row>
    <row r="138" spans="1:10">
      <c r="D138" s="519"/>
      <c r="J138" s="519">
        <f>J137*10.764</f>
        <v>495.14399999999995</v>
      </c>
    </row>
    <row r="139" spans="1:10">
      <c r="C139" s="508" t="s">
        <v>1459</v>
      </c>
      <c r="J139" s="516">
        <f>J135/J138</f>
        <v>1529.3732732296062</v>
      </c>
    </row>
    <row r="140" spans="1:10">
      <c r="C140" s="512" t="s">
        <v>1460</v>
      </c>
      <c r="D140" s="673" t="s">
        <v>1461</v>
      </c>
      <c r="J140" s="511">
        <f>SUM(D60:D64)*1000</f>
        <v>1800</v>
      </c>
    </row>
    <row r="141" spans="1:10">
      <c r="C141" s="508" t="s">
        <v>1462</v>
      </c>
      <c r="D141" s="516"/>
      <c r="J141" s="524">
        <f>J140/J138</f>
        <v>3.6353060927730119</v>
      </c>
    </row>
    <row r="142" spans="1:10">
      <c r="C142" s="508"/>
    </row>
  </sheetData>
  <protectedRanges>
    <protectedRange sqref="C76" name="Range3_1_1_1_1_1"/>
  </protectedRanges>
  <mergeCells count="8">
    <mergeCell ref="A1:J1"/>
    <mergeCell ref="A2:J2"/>
    <mergeCell ref="A3:B4"/>
    <mergeCell ref="C3:C4"/>
    <mergeCell ref="D3:E4"/>
    <mergeCell ref="F3:F4"/>
    <mergeCell ref="G3:H4"/>
    <mergeCell ref="J3:J4"/>
  </mergeCells>
  <printOptions horizontalCentered="1"/>
  <pageMargins left="0.31496062992126" right="0.118110236220472" top="0.62992125984252001" bottom="0.62992125984252001" header="0.27559055118110198" footer="0.35433070866141703"/>
  <pageSetup paperSize="9" orientation="portrait" r:id="rId1"/>
  <headerFooter alignWithMargins="0">
    <oddFooter>&amp;L&amp;"+,Italic"TSEWIDC- MBNR&amp;C&amp;"+,Italic"Security - Civil  Abs&amp;R&amp;"+,Italic"&amp;P&amp;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tabColor rgb="FF00B050"/>
  </sheetPr>
  <dimension ref="A1:K48"/>
  <sheetViews>
    <sheetView view="pageBreakPreview" zoomScale="115" zoomScaleSheetLayoutView="115" workbookViewId="0">
      <selection activeCell="K91" sqref="K91"/>
    </sheetView>
  </sheetViews>
  <sheetFormatPr defaultRowHeight="12.3"/>
  <cols>
    <col min="1" max="1" width="3.15625" style="675" bestFit="1" customWidth="1"/>
    <col min="2" max="2" width="2.578125" style="674" bestFit="1" customWidth="1"/>
    <col min="3" max="3" width="53.41796875" style="511" customWidth="1"/>
    <col min="4" max="4" width="8.578125" style="511" bestFit="1" customWidth="1"/>
    <col min="5" max="5" width="7" style="511" customWidth="1"/>
    <col min="6" max="6" width="9" style="511" bestFit="1" customWidth="1"/>
    <col min="7" max="7" width="11" style="511" customWidth="1"/>
    <col min="8" max="8" width="10.578125" style="511" bestFit="1" customWidth="1"/>
    <col min="9" max="256" width="8.83984375" style="511"/>
    <col min="257" max="257" width="7.26171875" style="511" customWidth="1"/>
    <col min="258" max="258" width="2.578125" style="511" bestFit="1" customWidth="1"/>
    <col min="259" max="259" width="56.15625" style="511" customWidth="1"/>
    <col min="260" max="260" width="8.578125" style="511" customWidth="1"/>
    <col min="261" max="261" width="5" style="511" bestFit="1" customWidth="1"/>
    <col min="262" max="262" width="7.578125" style="511" bestFit="1" customWidth="1"/>
    <col min="263" max="264" width="10.578125" style="511" bestFit="1" customWidth="1"/>
    <col min="265" max="512" width="8.83984375" style="511"/>
    <col min="513" max="513" width="7.26171875" style="511" customWidth="1"/>
    <col min="514" max="514" width="2.578125" style="511" bestFit="1" customWidth="1"/>
    <col min="515" max="515" width="56.15625" style="511" customWidth="1"/>
    <col min="516" max="516" width="8.578125" style="511" customWidth="1"/>
    <col min="517" max="517" width="5" style="511" bestFit="1" customWidth="1"/>
    <col min="518" max="518" width="7.578125" style="511" bestFit="1" customWidth="1"/>
    <col min="519" max="520" width="10.578125" style="511" bestFit="1" customWidth="1"/>
    <col min="521" max="768" width="8.83984375" style="511"/>
    <col min="769" max="769" width="7.26171875" style="511" customWidth="1"/>
    <col min="770" max="770" width="2.578125" style="511" bestFit="1" customWidth="1"/>
    <col min="771" max="771" width="56.15625" style="511" customWidth="1"/>
    <col min="772" max="772" width="8.578125" style="511" customWidth="1"/>
    <col min="773" max="773" width="5" style="511" bestFit="1" customWidth="1"/>
    <col min="774" max="774" width="7.578125" style="511" bestFit="1" customWidth="1"/>
    <col min="775" max="776" width="10.578125" style="511" bestFit="1" customWidth="1"/>
    <col min="777" max="1024" width="8.83984375" style="511"/>
    <col min="1025" max="1025" width="7.26171875" style="511" customWidth="1"/>
    <col min="1026" max="1026" width="2.578125" style="511" bestFit="1" customWidth="1"/>
    <col min="1027" max="1027" width="56.15625" style="511" customWidth="1"/>
    <col min="1028" max="1028" width="8.578125" style="511" customWidth="1"/>
    <col min="1029" max="1029" width="5" style="511" bestFit="1" customWidth="1"/>
    <col min="1030" max="1030" width="7.578125" style="511" bestFit="1" customWidth="1"/>
    <col min="1031" max="1032" width="10.578125" style="511" bestFit="1" customWidth="1"/>
    <col min="1033" max="1280" width="8.83984375" style="511"/>
    <col min="1281" max="1281" width="7.26171875" style="511" customWidth="1"/>
    <col min="1282" max="1282" width="2.578125" style="511" bestFit="1" customWidth="1"/>
    <col min="1283" max="1283" width="56.15625" style="511" customWidth="1"/>
    <col min="1284" max="1284" width="8.578125" style="511" customWidth="1"/>
    <col min="1285" max="1285" width="5" style="511" bestFit="1" customWidth="1"/>
    <col min="1286" max="1286" width="7.578125" style="511" bestFit="1" customWidth="1"/>
    <col min="1287" max="1288" width="10.578125" style="511" bestFit="1" customWidth="1"/>
    <col min="1289" max="1536" width="8.83984375" style="511"/>
    <col min="1537" max="1537" width="7.26171875" style="511" customWidth="1"/>
    <col min="1538" max="1538" width="2.578125" style="511" bestFit="1" customWidth="1"/>
    <col min="1539" max="1539" width="56.15625" style="511" customWidth="1"/>
    <col min="1540" max="1540" width="8.578125" style="511" customWidth="1"/>
    <col min="1541" max="1541" width="5" style="511" bestFit="1" customWidth="1"/>
    <col min="1542" max="1542" width="7.578125" style="511" bestFit="1" customWidth="1"/>
    <col min="1543" max="1544" width="10.578125" style="511" bestFit="1" customWidth="1"/>
    <col min="1545" max="1792" width="8.83984375" style="511"/>
    <col min="1793" max="1793" width="7.26171875" style="511" customWidth="1"/>
    <col min="1794" max="1794" width="2.578125" style="511" bestFit="1" customWidth="1"/>
    <col min="1795" max="1795" width="56.15625" style="511" customWidth="1"/>
    <col min="1796" max="1796" width="8.578125" style="511" customWidth="1"/>
    <col min="1797" max="1797" width="5" style="511" bestFit="1" customWidth="1"/>
    <col min="1798" max="1798" width="7.578125" style="511" bestFit="1" customWidth="1"/>
    <col min="1799" max="1800" width="10.578125" style="511" bestFit="1" customWidth="1"/>
    <col min="1801" max="2048" width="8.83984375" style="511"/>
    <col min="2049" max="2049" width="7.26171875" style="511" customWidth="1"/>
    <col min="2050" max="2050" width="2.578125" style="511" bestFit="1" customWidth="1"/>
    <col min="2051" max="2051" width="56.15625" style="511" customWidth="1"/>
    <col min="2052" max="2052" width="8.578125" style="511" customWidth="1"/>
    <col min="2053" max="2053" width="5" style="511" bestFit="1" customWidth="1"/>
    <col min="2054" max="2054" width="7.578125" style="511" bestFit="1" customWidth="1"/>
    <col min="2055" max="2056" width="10.578125" style="511" bestFit="1" customWidth="1"/>
    <col min="2057" max="2304" width="8.83984375" style="511"/>
    <col min="2305" max="2305" width="7.26171875" style="511" customWidth="1"/>
    <col min="2306" max="2306" width="2.578125" style="511" bestFit="1" customWidth="1"/>
    <col min="2307" max="2307" width="56.15625" style="511" customWidth="1"/>
    <col min="2308" max="2308" width="8.578125" style="511" customWidth="1"/>
    <col min="2309" max="2309" width="5" style="511" bestFit="1" customWidth="1"/>
    <col min="2310" max="2310" width="7.578125" style="511" bestFit="1" customWidth="1"/>
    <col min="2311" max="2312" width="10.578125" style="511" bestFit="1" customWidth="1"/>
    <col min="2313" max="2560" width="8.83984375" style="511"/>
    <col min="2561" max="2561" width="7.26171875" style="511" customWidth="1"/>
    <col min="2562" max="2562" width="2.578125" style="511" bestFit="1" customWidth="1"/>
    <col min="2563" max="2563" width="56.15625" style="511" customWidth="1"/>
    <col min="2564" max="2564" width="8.578125" style="511" customWidth="1"/>
    <col min="2565" max="2565" width="5" style="511" bestFit="1" customWidth="1"/>
    <col min="2566" max="2566" width="7.578125" style="511" bestFit="1" customWidth="1"/>
    <col min="2567" max="2568" width="10.578125" style="511" bestFit="1" customWidth="1"/>
    <col min="2569" max="2816" width="8.83984375" style="511"/>
    <col min="2817" max="2817" width="7.26171875" style="511" customWidth="1"/>
    <col min="2818" max="2818" width="2.578125" style="511" bestFit="1" customWidth="1"/>
    <col min="2819" max="2819" width="56.15625" style="511" customWidth="1"/>
    <col min="2820" max="2820" width="8.578125" style="511" customWidth="1"/>
    <col min="2821" max="2821" width="5" style="511" bestFit="1" customWidth="1"/>
    <col min="2822" max="2822" width="7.578125" style="511" bestFit="1" customWidth="1"/>
    <col min="2823" max="2824" width="10.578125" style="511" bestFit="1" customWidth="1"/>
    <col min="2825" max="3072" width="8.83984375" style="511"/>
    <col min="3073" max="3073" width="7.26171875" style="511" customWidth="1"/>
    <col min="3074" max="3074" width="2.578125" style="511" bestFit="1" customWidth="1"/>
    <col min="3075" max="3075" width="56.15625" style="511" customWidth="1"/>
    <col min="3076" max="3076" width="8.578125" style="511" customWidth="1"/>
    <col min="3077" max="3077" width="5" style="511" bestFit="1" customWidth="1"/>
    <col min="3078" max="3078" width="7.578125" style="511" bestFit="1" customWidth="1"/>
    <col min="3079" max="3080" width="10.578125" style="511" bestFit="1" customWidth="1"/>
    <col min="3081" max="3328" width="8.83984375" style="511"/>
    <col min="3329" max="3329" width="7.26171875" style="511" customWidth="1"/>
    <col min="3330" max="3330" width="2.578125" style="511" bestFit="1" customWidth="1"/>
    <col min="3331" max="3331" width="56.15625" style="511" customWidth="1"/>
    <col min="3332" max="3332" width="8.578125" style="511" customWidth="1"/>
    <col min="3333" max="3333" width="5" style="511" bestFit="1" customWidth="1"/>
    <col min="3334" max="3334" width="7.578125" style="511" bestFit="1" customWidth="1"/>
    <col min="3335" max="3336" width="10.578125" style="511" bestFit="1" customWidth="1"/>
    <col min="3337" max="3584" width="8.83984375" style="511"/>
    <col min="3585" max="3585" width="7.26171875" style="511" customWidth="1"/>
    <col min="3586" max="3586" width="2.578125" style="511" bestFit="1" customWidth="1"/>
    <col min="3587" max="3587" width="56.15625" style="511" customWidth="1"/>
    <col min="3588" max="3588" width="8.578125" style="511" customWidth="1"/>
    <col min="3589" max="3589" width="5" style="511" bestFit="1" customWidth="1"/>
    <col min="3590" max="3590" width="7.578125" style="511" bestFit="1" customWidth="1"/>
    <col min="3591" max="3592" width="10.578125" style="511" bestFit="1" customWidth="1"/>
    <col min="3593" max="3840" width="8.83984375" style="511"/>
    <col min="3841" max="3841" width="7.26171875" style="511" customWidth="1"/>
    <col min="3842" max="3842" width="2.578125" style="511" bestFit="1" customWidth="1"/>
    <col min="3843" max="3843" width="56.15625" style="511" customWidth="1"/>
    <col min="3844" max="3844" width="8.578125" style="511" customWidth="1"/>
    <col min="3845" max="3845" width="5" style="511" bestFit="1" customWidth="1"/>
    <col min="3846" max="3846" width="7.578125" style="511" bestFit="1" customWidth="1"/>
    <col min="3847" max="3848" width="10.578125" style="511" bestFit="1" customWidth="1"/>
    <col min="3849" max="4096" width="8.83984375" style="511"/>
    <col min="4097" max="4097" width="7.26171875" style="511" customWidth="1"/>
    <col min="4098" max="4098" width="2.578125" style="511" bestFit="1" customWidth="1"/>
    <col min="4099" max="4099" width="56.15625" style="511" customWidth="1"/>
    <col min="4100" max="4100" width="8.578125" style="511" customWidth="1"/>
    <col min="4101" max="4101" width="5" style="511" bestFit="1" customWidth="1"/>
    <col min="4102" max="4102" width="7.578125" style="511" bestFit="1" customWidth="1"/>
    <col min="4103" max="4104" width="10.578125" style="511" bestFit="1" customWidth="1"/>
    <col min="4105" max="4352" width="8.83984375" style="511"/>
    <col min="4353" max="4353" width="7.26171875" style="511" customWidth="1"/>
    <col min="4354" max="4354" width="2.578125" style="511" bestFit="1" customWidth="1"/>
    <col min="4355" max="4355" width="56.15625" style="511" customWidth="1"/>
    <col min="4356" max="4356" width="8.578125" style="511" customWidth="1"/>
    <col min="4357" max="4357" width="5" style="511" bestFit="1" customWidth="1"/>
    <col min="4358" max="4358" width="7.578125" style="511" bestFit="1" customWidth="1"/>
    <col min="4359" max="4360" width="10.578125" style="511" bestFit="1" customWidth="1"/>
    <col min="4361" max="4608" width="8.83984375" style="511"/>
    <col min="4609" max="4609" width="7.26171875" style="511" customWidth="1"/>
    <col min="4610" max="4610" width="2.578125" style="511" bestFit="1" customWidth="1"/>
    <col min="4611" max="4611" width="56.15625" style="511" customWidth="1"/>
    <col min="4612" max="4612" width="8.578125" style="511" customWidth="1"/>
    <col min="4613" max="4613" width="5" style="511" bestFit="1" customWidth="1"/>
    <col min="4614" max="4614" width="7.578125" style="511" bestFit="1" customWidth="1"/>
    <col min="4615" max="4616" width="10.578125" style="511" bestFit="1" customWidth="1"/>
    <col min="4617" max="4864" width="8.83984375" style="511"/>
    <col min="4865" max="4865" width="7.26171875" style="511" customWidth="1"/>
    <col min="4866" max="4866" width="2.578125" style="511" bestFit="1" customWidth="1"/>
    <col min="4867" max="4867" width="56.15625" style="511" customWidth="1"/>
    <col min="4868" max="4868" width="8.578125" style="511" customWidth="1"/>
    <col min="4869" max="4869" width="5" style="511" bestFit="1" customWidth="1"/>
    <col min="4870" max="4870" width="7.578125" style="511" bestFit="1" customWidth="1"/>
    <col min="4871" max="4872" width="10.578125" style="511" bestFit="1" customWidth="1"/>
    <col min="4873" max="5120" width="8.83984375" style="511"/>
    <col min="5121" max="5121" width="7.26171875" style="511" customWidth="1"/>
    <col min="5122" max="5122" width="2.578125" style="511" bestFit="1" customWidth="1"/>
    <col min="5123" max="5123" width="56.15625" style="511" customWidth="1"/>
    <col min="5124" max="5124" width="8.578125" style="511" customWidth="1"/>
    <col min="5125" max="5125" width="5" style="511" bestFit="1" customWidth="1"/>
    <col min="5126" max="5126" width="7.578125" style="511" bestFit="1" customWidth="1"/>
    <col min="5127" max="5128" width="10.578125" style="511" bestFit="1" customWidth="1"/>
    <col min="5129" max="5376" width="8.83984375" style="511"/>
    <col min="5377" max="5377" width="7.26171875" style="511" customWidth="1"/>
    <col min="5378" max="5378" width="2.578125" style="511" bestFit="1" customWidth="1"/>
    <col min="5379" max="5379" width="56.15625" style="511" customWidth="1"/>
    <col min="5380" max="5380" width="8.578125" style="511" customWidth="1"/>
    <col min="5381" max="5381" width="5" style="511" bestFit="1" customWidth="1"/>
    <col min="5382" max="5382" width="7.578125" style="511" bestFit="1" customWidth="1"/>
    <col min="5383" max="5384" width="10.578125" style="511" bestFit="1" customWidth="1"/>
    <col min="5385" max="5632" width="8.83984375" style="511"/>
    <col min="5633" max="5633" width="7.26171875" style="511" customWidth="1"/>
    <col min="5634" max="5634" width="2.578125" style="511" bestFit="1" customWidth="1"/>
    <col min="5635" max="5635" width="56.15625" style="511" customWidth="1"/>
    <col min="5636" max="5636" width="8.578125" style="511" customWidth="1"/>
    <col min="5637" max="5637" width="5" style="511" bestFit="1" customWidth="1"/>
    <col min="5638" max="5638" width="7.578125" style="511" bestFit="1" customWidth="1"/>
    <col min="5639" max="5640" width="10.578125" style="511" bestFit="1" customWidth="1"/>
    <col min="5641" max="5888" width="8.83984375" style="511"/>
    <col min="5889" max="5889" width="7.26171875" style="511" customWidth="1"/>
    <col min="5890" max="5890" width="2.578125" style="511" bestFit="1" customWidth="1"/>
    <col min="5891" max="5891" width="56.15625" style="511" customWidth="1"/>
    <col min="5892" max="5892" width="8.578125" style="511" customWidth="1"/>
    <col min="5893" max="5893" width="5" style="511" bestFit="1" customWidth="1"/>
    <col min="5894" max="5894" width="7.578125" style="511" bestFit="1" customWidth="1"/>
    <col min="5895" max="5896" width="10.578125" style="511" bestFit="1" customWidth="1"/>
    <col min="5897" max="6144" width="8.83984375" style="511"/>
    <col min="6145" max="6145" width="7.26171875" style="511" customWidth="1"/>
    <col min="6146" max="6146" width="2.578125" style="511" bestFit="1" customWidth="1"/>
    <col min="6147" max="6147" width="56.15625" style="511" customWidth="1"/>
    <col min="6148" max="6148" width="8.578125" style="511" customWidth="1"/>
    <col min="6149" max="6149" width="5" style="511" bestFit="1" customWidth="1"/>
    <col min="6150" max="6150" width="7.578125" style="511" bestFit="1" customWidth="1"/>
    <col min="6151" max="6152" width="10.578125" style="511" bestFit="1" customWidth="1"/>
    <col min="6153" max="6400" width="8.83984375" style="511"/>
    <col min="6401" max="6401" width="7.26171875" style="511" customWidth="1"/>
    <col min="6402" max="6402" width="2.578125" style="511" bestFit="1" customWidth="1"/>
    <col min="6403" max="6403" width="56.15625" style="511" customWidth="1"/>
    <col min="6404" max="6404" width="8.578125" style="511" customWidth="1"/>
    <col min="6405" max="6405" width="5" style="511" bestFit="1" customWidth="1"/>
    <col min="6406" max="6406" width="7.578125" style="511" bestFit="1" customWidth="1"/>
    <col min="6407" max="6408" width="10.578125" style="511" bestFit="1" customWidth="1"/>
    <col min="6409" max="6656" width="8.83984375" style="511"/>
    <col min="6657" max="6657" width="7.26171875" style="511" customWidth="1"/>
    <col min="6658" max="6658" width="2.578125" style="511" bestFit="1" customWidth="1"/>
    <col min="6659" max="6659" width="56.15625" style="511" customWidth="1"/>
    <col min="6660" max="6660" width="8.578125" style="511" customWidth="1"/>
    <col min="6661" max="6661" width="5" style="511" bestFit="1" customWidth="1"/>
    <col min="6662" max="6662" width="7.578125" style="511" bestFit="1" customWidth="1"/>
    <col min="6663" max="6664" width="10.578125" style="511" bestFit="1" customWidth="1"/>
    <col min="6665" max="6912" width="8.83984375" style="511"/>
    <col min="6913" max="6913" width="7.26171875" style="511" customWidth="1"/>
    <col min="6914" max="6914" width="2.578125" style="511" bestFit="1" customWidth="1"/>
    <col min="6915" max="6915" width="56.15625" style="511" customWidth="1"/>
    <col min="6916" max="6916" width="8.578125" style="511" customWidth="1"/>
    <col min="6917" max="6917" width="5" style="511" bestFit="1" customWidth="1"/>
    <col min="6918" max="6918" width="7.578125" style="511" bestFit="1" customWidth="1"/>
    <col min="6919" max="6920" width="10.578125" style="511" bestFit="1" customWidth="1"/>
    <col min="6921" max="7168" width="8.83984375" style="511"/>
    <col min="7169" max="7169" width="7.26171875" style="511" customWidth="1"/>
    <col min="7170" max="7170" width="2.578125" style="511" bestFit="1" customWidth="1"/>
    <col min="7171" max="7171" width="56.15625" style="511" customWidth="1"/>
    <col min="7172" max="7172" width="8.578125" style="511" customWidth="1"/>
    <col min="7173" max="7173" width="5" style="511" bestFit="1" customWidth="1"/>
    <col min="7174" max="7174" width="7.578125" style="511" bestFit="1" customWidth="1"/>
    <col min="7175" max="7176" width="10.578125" style="511" bestFit="1" customWidth="1"/>
    <col min="7177" max="7424" width="8.83984375" style="511"/>
    <col min="7425" max="7425" width="7.26171875" style="511" customWidth="1"/>
    <col min="7426" max="7426" width="2.578125" style="511" bestFit="1" customWidth="1"/>
    <col min="7427" max="7427" width="56.15625" style="511" customWidth="1"/>
    <col min="7428" max="7428" width="8.578125" style="511" customWidth="1"/>
    <col min="7429" max="7429" width="5" style="511" bestFit="1" customWidth="1"/>
    <col min="7430" max="7430" width="7.578125" style="511" bestFit="1" customWidth="1"/>
    <col min="7431" max="7432" width="10.578125" style="511" bestFit="1" customWidth="1"/>
    <col min="7433" max="7680" width="8.83984375" style="511"/>
    <col min="7681" max="7681" width="7.26171875" style="511" customWidth="1"/>
    <col min="7682" max="7682" width="2.578125" style="511" bestFit="1" customWidth="1"/>
    <col min="7683" max="7683" width="56.15625" style="511" customWidth="1"/>
    <col min="7684" max="7684" width="8.578125" style="511" customWidth="1"/>
    <col min="7685" max="7685" width="5" style="511" bestFit="1" customWidth="1"/>
    <col min="7686" max="7686" width="7.578125" style="511" bestFit="1" customWidth="1"/>
    <col min="7687" max="7688" width="10.578125" style="511" bestFit="1" customWidth="1"/>
    <col min="7689" max="7936" width="8.83984375" style="511"/>
    <col min="7937" max="7937" width="7.26171875" style="511" customWidth="1"/>
    <col min="7938" max="7938" width="2.578125" style="511" bestFit="1" customWidth="1"/>
    <col min="7939" max="7939" width="56.15625" style="511" customWidth="1"/>
    <col min="7940" max="7940" width="8.578125" style="511" customWidth="1"/>
    <col min="7941" max="7941" width="5" style="511" bestFit="1" customWidth="1"/>
    <col min="7942" max="7942" width="7.578125" style="511" bestFit="1" customWidth="1"/>
    <col min="7943" max="7944" width="10.578125" style="511" bestFit="1" customWidth="1"/>
    <col min="7945" max="8192" width="8.83984375" style="511"/>
    <col min="8193" max="8193" width="7.26171875" style="511" customWidth="1"/>
    <col min="8194" max="8194" width="2.578125" style="511" bestFit="1" customWidth="1"/>
    <col min="8195" max="8195" width="56.15625" style="511" customWidth="1"/>
    <col min="8196" max="8196" width="8.578125" style="511" customWidth="1"/>
    <col min="8197" max="8197" width="5" style="511" bestFit="1" customWidth="1"/>
    <col min="8198" max="8198" width="7.578125" style="511" bestFit="1" customWidth="1"/>
    <col min="8199" max="8200" width="10.578125" style="511" bestFit="1" customWidth="1"/>
    <col min="8201" max="8448" width="8.83984375" style="511"/>
    <col min="8449" max="8449" width="7.26171875" style="511" customWidth="1"/>
    <col min="8450" max="8450" width="2.578125" style="511" bestFit="1" customWidth="1"/>
    <col min="8451" max="8451" width="56.15625" style="511" customWidth="1"/>
    <col min="8452" max="8452" width="8.578125" style="511" customWidth="1"/>
    <col min="8453" max="8453" width="5" style="511" bestFit="1" customWidth="1"/>
    <col min="8454" max="8454" width="7.578125" style="511" bestFit="1" customWidth="1"/>
    <col min="8455" max="8456" width="10.578125" style="511" bestFit="1" customWidth="1"/>
    <col min="8457" max="8704" width="8.83984375" style="511"/>
    <col min="8705" max="8705" width="7.26171875" style="511" customWidth="1"/>
    <col min="8706" max="8706" width="2.578125" style="511" bestFit="1" customWidth="1"/>
    <col min="8707" max="8707" width="56.15625" style="511" customWidth="1"/>
    <col min="8708" max="8708" width="8.578125" style="511" customWidth="1"/>
    <col min="8709" max="8709" width="5" style="511" bestFit="1" customWidth="1"/>
    <col min="8710" max="8710" width="7.578125" style="511" bestFit="1" customWidth="1"/>
    <col min="8711" max="8712" width="10.578125" style="511" bestFit="1" customWidth="1"/>
    <col min="8713" max="8960" width="8.83984375" style="511"/>
    <col min="8961" max="8961" width="7.26171875" style="511" customWidth="1"/>
    <col min="8962" max="8962" width="2.578125" style="511" bestFit="1" customWidth="1"/>
    <col min="8963" max="8963" width="56.15625" style="511" customWidth="1"/>
    <col min="8964" max="8964" width="8.578125" style="511" customWidth="1"/>
    <col min="8965" max="8965" width="5" style="511" bestFit="1" customWidth="1"/>
    <col min="8966" max="8966" width="7.578125" style="511" bestFit="1" customWidth="1"/>
    <col min="8967" max="8968" width="10.578125" style="511" bestFit="1" customWidth="1"/>
    <col min="8969" max="9216" width="8.83984375" style="511"/>
    <col min="9217" max="9217" width="7.26171875" style="511" customWidth="1"/>
    <col min="9218" max="9218" width="2.578125" style="511" bestFit="1" customWidth="1"/>
    <col min="9219" max="9219" width="56.15625" style="511" customWidth="1"/>
    <col min="9220" max="9220" width="8.578125" style="511" customWidth="1"/>
    <col min="9221" max="9221" width="5" style="511" bestFit="1" customWidth="1"/>
    <col min="9222" max="9222" width="7.578125" style="511" bestFit="1" customWidth="1"/>
    <col min="9223" max="9224" width="10.578125" style="511" bestFit="1" customWidth="1"/>
    <col min="9225" max="9472" width="8.83984375" style="511"/>
    <col min="9473" max="9473" width="7.26171875" style="511" customWidth="1"/>
    <col min="9474" max="9474" width="2.578125" style="511" bestFit="1" customWidth="1"/>
    <col min="9475" max="9475" width="56.15625" style="511" customWidth="1"/>
    <col min="9476" max="9476" width="8.578125" style="511" customWidth="1"/>
    <col min="9477" max="9477" width="5" style="511" bestFit="1" customWidth="1"/>
    <col min="9478" max="9478" width="7.578125" style="511" bestFit="1" customWidth="1"/>
    <col min="9479" max="9480" width="10.578125" style="511" bestFit="1" customWidth="1"/>
    <col min="9481" max="9728" width="8.83984375" style="511"/>
    <col min="9729" max="9729" width="7.26171875" style="511" customWidth="1"/>
    <col min="9730" max="9730" width="2.578125" style="511" bestFit="1" customWidth="1"/>
    <col min="9731" max="9731" width="56.15625" style="511" customWidth="1"/>
    <col min="9732" max="9732" width="8.578125" style="511" customWidth="1"/>
    <col min="9733" max="9733" width="5" style="511" bestFit="1" customWidth="1"/>
    <col min="9734" max="9734" width="7.578125" style="511" bestFit="1" customWidth="1"/>
    <col min="9735" max="9736" width="10.578125" style="511" bestFit="1" customWidth="1"/>
    <col min="9737" max="9984" width="8.83984375" style="511"/>
    <col min="9985" max="9985" width="7.26171875" style="511" customWidth="1"/>
    <col min="9986" max="9986" width="2.578125" style="511" bestFit="1" customWidth="1"/>
    <col min="9987" max="9987" width="56.15625" style="511" customWidth="1"/>
    <col min="9988" max="9988" width="8.578125" style="511" customWidth="1"/>
    <col min="9989" max="9989" width="5" style="511" bestFit="1" customWidth="1"/>
    <col min="9990" max="9990" width="7.578125" style="511" bestFit="1" customWidth="1"/>
    <col min="9991" max="9992" width="10.578125" style="511" bestFit="1" customWidth="1"/>
    <col min="9993" max="10240" width="8.83984375" style="511"/>
    <col min="10241" max="10241" width="7.26171875" style="511" customWidth="1"/>
    <col min="10242" max="10242" width="2.578125" style="511" bestFit="1" customWidth="1"/>
    <col min="10243" max="10243" width="56.15625" style="511" customWidth="1"/>
    <col min="10244" max="10244" width="8.578125" style="511" customWidth="1"/>
    <col min="10245" max="10245" width="5" style="511" bestFit="1" customWidth="1"/>
    <col min="10246" max="10246" width="7.578125" style="511" bestFit="1" customWidth="1"/>
    <col min="10247" max="10248" width="10.578125" style="511" bestFit="1" customWidth="1"/>
    <col min="10249" max="10496" width="8.83984375" style="511"/>
    <col min="10497" max="10497" width="7.26171875" style="511" customWidth="1"/>
    <col min="10498" max="10498" width="2.578125" style="511" bestFit="1" customWidth="1"/>
    <col min="10499" max="10499" width="56.15625" style="511" customWidth="1"/>
    <col min="10500" max="10500" width="8.578125" style="511" customWidth="1"/>
    <col min="10501" max="10501" width="5" style="511" bestFit="1" customWidth="1"/>
    <col min="10502" max="10502" width="7.578125" style="511" bestFit="1" customWidth="1"/>
    <col min="10503" max="10504" width="10.578125" style="511" bestFit="1" customWidth="1"/>
    <col min="10505" max="10752" width="8.83984375" style="511"/>
    <col min="10753" max="10753" width="7.26171875" style="511" customWidth="1"/>
    <col min="10754" max="10754" width="2.578125" style="511" bestFit="1" customWidth="1"/>
    <col min="10755" max="10755" width="56.15625" style="511" customWidth="1"/>
    <col min="10756" max="10756" width="8.578125" style="511" customWidth="1"/>
    <col min="10757" max="10757" width="5" style="511" bestFit="1" customWidth="1"/>
    <col min="10758" max="10758" width="7.578125" style="511" bestFit="1" customWidth="1"/>
    <col min="10759" max="10760" width="10.578125" style="511" bestFit="1" customWidth="1"/>
    <col min="10761" max="11008" width="8.83984375" style="511"/>
    <col min="11009" max="11009" width="7.26171875" style="511" customWidth="1"/>
    <col min="11010" max="11010" width="2.578125" style="511" bestFit="1" customWidth="1"/>
    <col min="11011" max="11011" width="56.15625" style="511" customWidth="1"/>
    <col min="11012" max="11012" width="8.578125" style="511" customWidth="1"/>
    <col min="11013" max="11013" width="5" style="511" bestFit="1" customWidth="1"/>
    <col min="11014" max="11014" width="7.578125" style="511" bestFit="1" customWidth="1"/>
    <col min="11015" max="11016" width="10.578125" style="511" bestFit="1" customWidth="1"/>
    <col min="11017" max="11264" width="8.83984375" style="511"/>
    <col min="11265" max="11265" width="7.26171875" style="511" customWidth="1"/>
    <col min="11266" max="11266" width="2.578125" style="511" bestFit="1" customWidth="1"/>
    <col min="11267" max="11267" width="56.15625" style="511" customWidth="1"/>
    <col min="11268" max="11268" width="8.578125" style="511" customWidth="1"/>
    <col min="11269" max="11269" width="5" style="511" bestFit="1" customWidth="1"/>
    <col min="11270" max="11270" width="7.578125" style="511" bestFit="1" customWidth="1"/>
    <col min="11271" max="11272" width="10.578125" style="511" bestFit="1" customWidth="1"/>
    <col min="11273" max="11520" width="8.83984375" style="511"/>
    <col min="11521" max="11521" width="7.26171875" style="511" customWidth="1"/>
    <col min="11522" max="11522" width="2.578125" style="511" bestFit="1" customWidth="1"/>
    <col min="11523" max="11523" width="56.15625" style="511" customWidth="1"/>
    <col min="11524" max="11524" width="8.578125" style="511" customWidth="1"/>
    <col min="11525" max="11525" width="5" style="511" bestFit="1" customWidth="1"/>
    <col min="11526" max="11526" width="7.578125" style="511" bestFit="1" customWidth="1"/>
    <col min="11527" max="11528" width="10.578125" style="511" bestFit="1" customWidth="1"/>
    <col min="11529" max="11776" width="8.83984375" style="511"/>
    <col min="11777" max="11777" width="7.26171875" style="511" customWidth="1"/>
    <col min="11778" max="11778" width="2.578125" style="511" bestFit="1" customWidth="1"/>
    <col min="11779" max="11779" width="56.15625" style="511" customWidth="1"/>
    <col min="11780" max="11780" width="8.578125" style="511" customWidth="1"/>
    <col min="11781" max="11781" width="5" style="511" bestFit="1" customWidth="1"/>
    <col min="11782" max="11782" width="7.578125" style="511" bestFit="1" customWidth="1"/>
    <col min="11783" max="11784" width="10.578125" style="511" bestFit="1" customWidth="1"/>
    <col min="11785" max="12032" width="8.83984375" style="511"/>
    <col min="12033" max="12033" width="7.26171875" style="511" customWidth="1"/>
    <col min="12034" max="12034" width="2.578125" style="511" bestFit="1" customWidth="1"/>
    <col min="12035" max="12035" width="56.15625" style="511" customWidth="1"/>
    <col min="12036" max="12036" width="8.578125" style="511" customWidth="1"/>
    <col min="12037" max="12037" width="5" style="511" bestFit="1" customWidth="1"/>
    <col min="12038" max="12038" width="7.578125" style="511" bestFit="1" customWidth="1"/>
    <col min="12039" max="12040" width="10.578125" style="511" bestFit="1" customWidth="1"/>
    <col min="12041" max="12288" width="8.83984375" style="511"/>
    <col min="12289" max="12289" width="7.26171875" style="511" customWidth="1"/>
    <col min="12290" max="12290" width="2.578125" style="511" bestFit="1" customWidth="1"/>
    <col min="12291" max="12291" width="56.15625" style="511" customWidth="1"/>
    <col min="12292" max="12292" width="8.578125" style="511" customWidth="1"/>
    <col min="12293" max="12293" width="5" style="511" bestFit="1" customWidth="1"/>
    <col min="12294" max="12294" width="7.578125" style="511" bestFit="1" customWidth="1"/>
    <col min="12295" max="12296" width="10.578125" style="511" bestFit="1" customWidth="1"/>
    <col min="12297" max="12544" width="8.83984375" style="511"/>
    <col min="12545" max="12545" width="7.26171875" style="511" customWidth="1"/>
    <col min="12546" max="12546" width="2.578125" style="511" bestFit="1" customWidth="1"/>
    <col min="12547" max="12547" width="56.15625" style="511" customWidth="1"/>
    <col min="12548" max="12548" width="8.578125" style="511" customWidth="1"/>
    <col min="12549" max="12549" width="5" style="511" bestFit="1" customWidth="1"/>
    <col min="12550" max="12550" width="7.578125" style="511" bestFit="1" customWidth="1"/>
    <col min="12551" max="12552" width="10.578125" style="511" bestFit="1" customWidth="1"/>
    <col min="12553" max="12800" width="8.83984375" style="511"/>
    <col min="12801" max="12801" width="7.26171875" style="511" customWidth="1"/>
    <col min="12802" max="12802" width="2.578125" style="511" bestFit="1" customWidth="1"/>
    <col min="12803" max="12803" width="56.15625" style="511" customWidth="1"/>
    <col min="12804" max="12804" width="8.578125" style="511" customWidth="1"/>
    <col min="12805" max="12805" width="5" style="511" bestFit="1" customWidth="1"/>
    <col min="12806" max="12806" width="7.578125" style="511" bestFit="1" customWidth="1"/>
    <col min="12807" max="12808" width="10.578125" style="511" bestFit="1" customWidth="1"/>
    <col min="12809" max="13056" width="8.83984375" style="511"/>
    <col min="13057" max="13057" width="7.26171875" style="511" customWidth="1"/>
    <col min="13058" max="13058" width="2.578125" style="511" bestFit="1" customWidth="1"/>
    <col min="13059" max="13059" width="56.15625" style="511" customWidth="1"/>
    <col min="13060" max="13060" width="8.578125" style="511" customWidth="1"/>
    <col min="13061" max="13061" width="5" style="511" bestFit="1" customWidth="1"/>
    <col min="13062" max="13062" width="7.578125" style="511" bestFit="1" customWidth="1"/>
    <col min="13063" max="13064" width="10.578125" style="511" bestFit="1" customWidth="1"/>
    <col min="13065" max="13312" width="8.83984375" style="511"/>
    <col min="13313" max="13313" width="7.26171875" style="511" customWidth="1"/>
    <col min="13314" max="13314" width="2.578125" style="511" bestFit="1" customWidth="1"/>
    <col min="13315" max="13315" width="56.15625" style="511" customWidth="1"/>
    <col min="13316" max="13316" width="8.578125" style="511" customWidth="1"/>
    <col min="13317" max="13317" width="5" style="511" bestFit="1" customWidth="1"/>
    <col min="13318" max="13318" width="7.578125" style="511" bestFit="1" customWidth="1"/>
    <col min="13319" max="13320" width="10.578125" style="511" bestFit="1" customWidth="1"/>
    <col min="13321" max="13568" width="8.83984375" style="511"/>
    <col min="13569" max="13569" width="7.26171875" style="511" customWidth="1"/>
    <col min="13570" max="13570" width="2.578125" style="511" bestFit="1" customWidth="1"/>
    <col min="13571" max="13571" width="56.15625" style="511" customWidth="1"/>
    <col min="13572" max="13572" width="8.578125" style="511" customWidth="1"/>
    <col min="13573" max="13573" width="5" style="511" bestFit="1" customWidth="1"/>
    <col min="13574" max="13574" width="7.578125" style="511" bestFit="1" customWidth="1"/>
    <col min="13575" max="13576" width="10.578125" style="511" bestFit="1" customWidth="1"/>
    <col min="13577" max="13824" width="8.83984375" style="511"/>
    <col min="13825" max="13825" width="7.26171875" style="511" customWidth="1"/>
    <col min="13826" max="13826" width="2.578125" style="511" bestFit="1" customWidth="1"/>
    <col min="13827" max="13827" width="56.15625" style="511" customWidth="1"/>
    <col min="13828" max="13828" width="8.578125" style="511" customWidth="1"/>
    <col min="13829" max="13829" width="5" style="511" bestFit="1" customWidth="1"/>
    <col min="13830" max="13830" width="7.578125" style="511" bestFit="1" customWidth="1"/>
    <col min="13831" max="13832" width="10.578125" style="511" bestFit="1" customWidth="1"/>
    <col min="13833" max="14080" width="8.83984375" style="511"/>
    <col min="14081" max="14081" width="7.26171875" style="511" customWidth="1"/>
    <col min="14082" max="14082" width="2.578125" style="511" bestFit="1" customWidth="1"/>
    <col min="14083" max="14083" width="56.15625" style="511" customWidth="1"/>
    <col min="14084" max="14084" width="8.578125" style="511" customWidth="1"/>
    <col min="14085" max="14085" width="5" style="511" bestFit="1" customWidth="1"/>
    <col min="14086" max="14086" width="7.578125" style="511" bestFit="1" customWidth="1"/>
    <col min="14087" max="14088" width="10.578125" style="511" bestFit="1" customWidth="1"/>
    <col min="14089" max="14336" width="8.83984375" style="511"/>
    <col min="14337" max="14337" width="7.26171875" style="511" customWidth="1"/>
    <col min="14338" max="14338" width="2.578125" style="511" bestFit="1" customWidth="1"/>
    <col min="14339" max="14339" width="56.15625" style="511" customWidth="1"/>
    <col min="14340" max="14340" width="8.578125" style="511" customWidth="1"/>
    <col min="14341" max="14341" width="5" style="511" bestFit="1" customWidth="1"/>
    <col min="14342" max="14342" width="7.578125" style="511" bestFit="1" customWidth="1"/>
    <col min="14343" max="14344" width="10.578125" style="511" bestFit="1" customWidth="1"/>
    <col min="14345" max="14592" width="8.83984375" style="511"/>
    <col min="14593" max="14593" width="7.26171875" style="511" customWidth="1"/>
    <col min="14594" max="14594" width="2.578125" style="511" bestFit="1" customWidth="1"/>
    <col min="14595" max="14595" width="56.15625" style="511" customWidth="1"/>
    <col min="14596" max="14596" width="8.578125" style="511" customWidth="1"/>
    <col min="14597" max="14597" width="5" style="511" bestFit="1" customWidth="1"/>
    <col min="14598" max="14598" width="7.578125" style="511" bestFit="1" customWidth="1"/>
    <col min="14599" max="14600" width="10.578125" style="511" bestFit="1" customWidth="1"/>
    <col min="14601" max="14848" width="8.83984375" style="511"/>
    <col min="14849" max="14849" width="7.26171875" style="511" customWidth="1"/>
    <col min="14850" max="14850" width="2.578125" style="511" bestFit="1" customWidth="1"/>
    <col min="14851" max="14851" width="56.15625" style="511" customWidth="1"/>
    <col min="14852" max="14852" width="8.578125" style="511" customWidth="1"/>
    <col min="14853" max="14853" width="5" style="511" bestFit="1" customWidth="1"/>
    <col min="14854" max="14854" width="7.578125" style="511" bestFit="1" customWidth="1"/>
    <col min="14855" max="14856" width="10.578125" style="511" bestFit="1" customWidth="1"/>
    <col min="14857" max="15104" width="8.83984375" style="511"/>
    <col min="15105" max="15105" width="7.26171875" style="511" customWidth="1"/>
    <col min="15106" max="15106" width="2.578125" style="511" bestFit="1" customWidth="1"/>
    <col min="15107" max="15107" width="56.15625" style="511" customWidth="1"/>
    <col min="15108" max="15108" width="8.578125" style="511" customWidth="1"/>
    <col min="15109" max="15109" width="5" style="511" bestFit="1" customWidth="1"/>
    <col min="15110" max="15110" width="7.578125" style="511" bestFit="1" customWidth="1"/>
    <col min="15111" max="15112" width="10.578125" style="511" bestFit="1" customWidth="1"/>
    <col min="15113" max="15360" width="8.83984375" style="511"/>
    <col min="15361" max="15361" width="7.26171875" style="511" customWidth="1"/>
    <col min="15362" max="15362" width="2.578125" style="511" bestFit="1" customWidth="1"/>
    <col min="15363" max="15363" width="56.15625" style="511" customWidth="1"/>
    <col min="15364" max="15364" width="8.578125" style="511" customWidth="1"/>
    <col min="15365" max="15365" width="5" style="511" bestFit="1" customWidth="1"/>
    <col min="15366" max="15366" width="7.578125" style="511" bestFit="1" customWidth="1"/>
    <col min="15367" max="15368" width="10.578125" style="511" bestFit="1" customWidth="1"/>
    <col min="15369" max="15616" width="8.83984375" style="511"/>
    <col min="15617" max="15617" width="7.26171875" style="511" customWidth="1"/>
    <col min="15618" max="15618" width="2.578125" style="511" bestFit="1" customWidth="1"/>
    <col min="15619" max="15619" width="56.15625" style="511" customWidth="1"/>
    <col min="15620" max="15620" width="8.578125" style="511" customWidth="1"/>
    <col min="15621" max="15621" width="5" style="511" bestFit="1" customWidth="1"/>
    <col min="15622" max="15622" width="7.578125" style="511" bestFit="1" customWidth="1"/>
    <col min="15623" max="15624" width="10.578125" style="511" bestFit="1" customWidth="1"/>
    <col min="15625" max="15872" width="8.83984375" style="511"/>
    <col min="15873" max="15873" width="7.26171875" style="511" customWidth="1"/>
    <col min="15874" max="15874" width="2.578125" style="511" bestFit="1" customWidth="1"/>
    <col min="15875" max="15875" width="56.15625" style="511" customWidth="1"/>
    <col min="15876" max="15876" width="8.578125" style="511" customWidth="1"/>
    <col min="15877" max="15877" width="5" style="511" bestFit="1" customWidth="1"/>
    <col min="15878" max="15878" width="7.578125" style="511" bestFit="1" customWidth="1"/>
    <col min="15879" max="15880" width="10.578125" style="511" bestFit="1" customWidth="1"/>
    <col min="15881" max="16128" width="8.83984375" style="511"/>
    <col min="16129" max="16129" width="7.26171875" style="511" customWidth="1"/>
    <col min="16130" max="16130" width="2.578125" style="511" bestFit="1" customWidth="1"/>
    <col min="16131" max="16131" width="56.15625" style="511" customWidth="1"/>
    <col min="16132" max="16132" width="8.578125" style="511" customWidth="1"/>
    <col min="16133" max="16133" width="5" style="511" bestFit="1" customWidth="1"/>
    <col min="16134" max="16134" width="7.578125" style="511" bestFit="1" customWidth="1"/>
    <col min="16135" max="16136" width="10.578125" style="511" bestFit="1" customWidth="1"/>
    <col min="16137" max="16384" width="8.83984375" style="511"/>
  </cols>
  <sheetData>
    <row r="1" spans="1:7" ht="40.5" customHeight="1">
      <c r="A1" s="1573" t="s">
        <v>1708</v>
      </c>
      <c r="B1" s="1573"/>
      <c r="C1" s="1573"/>
      <c r="D1" s="1573"/>
      <c r="E1" s="1573"/>
      <c r="F1" s="1573"/>
      <c r="G1" s="1573"/>
    </row>
    <row r="2" spans="1:7" s="661" customFormat="1">
      <c r="A2" s="1576" t="s">
        <v>1395</v>
      </c>
      <c r="B2" s="1576"/>
      <c r="C2" s="1576" t="s">
        <v>1134</v>
      </c>
      <c r="D2" s="1578" t="s">
        <v>464</v>
      </c>
      <c r="E2" s="1578" t="s">
        <v>212</v>
      </c>
      <c r="F2" s="1578" t="s">
        <v>92</v>
      </c>
      <c r="G2" s="1574" t="s">
        <v>1396</v>
      </c>
    </row>
    <row r="3" spans="1:7" s="661" customFormat="1">
      <c r="A3" s="1577"/>
      <c r="B3" s="1577"/>
      <c r="C3" s="1577"/>
      <c r="D3" s="1579"/>
      <c r="E3" s="1579"/>
      <c r="F3" s="1579"/>
      <c r="G3" s="1575"/>
    </row>
    <row r="4" spans="1:7" ht="86.1">
      <c r="A4" s="662">
        <v>1</v>
      </c>
      <c r="B4" s="660"/>
      <c r="C4" s="640" t="str">
        <f>'WS-DATA'!C6:J6</f>
        <v>Supplying and laying, filling, jointing and testing SWG SP-1 pipes  of ISI make confirming to IS 1651 &amp; 4127 1st quality with air tight Cement joints in CM (1.5:1)prop. including excavation of trenches and socket pits in any soil  (except rock requiring blasting)  and refilling with watering and tamping  including cost and conveyance of all materials to site and all labour charges for finished item of work (APSS NO 1301 &amp; 1318)</v>
      </c>
      <c r="D4" s="663"/>
      <c r="E4" s="663"/>
      <c r="F4" s="664"/>
      <c r="G4" s="665"/>
    </row>
    <row r="5" spans="1:7">
      <c r="A5" s="662"/>
      <c r="B5" s="666" t="s">
        <v>642</v>
      </c>
      <c r="C5" s="667" t="s">
        <v>2075</v>
      </c>
      <c r="D5" s="663">
        <f>'Ws-Det-Security'!H8</f>
        <v>3</v>
      </c>
      <c r="E5" s="663" t="s">
        <v>222</v>
      </c>
      <c r="F5" s="668">
        <f>'WS-DATA'!J11</f>
        <v>475</v>
      </c>
      <c r="G5" s="665">
        <f>ROUND(F5*D5,0)</f>
        <v>1425</v>
      </c>
    </row>
    <row r="6" spans="1:7">
      <c r="A6" s="662"/>
      <c r="B6" s="666"/>
      <c r="C6" s="667"/>
      <c r="D6" s="663"/>
      <c r="E6" s="663"/>
      <c r="F6" s="668"/>
      <c r="G6" s="665"/>
    </row>
    <row r="7" spans="1:7">
      <c r="A7" s="662"/>
      <c r="B7" s="666" t="s">
        <v>2</v>
      </c>
      <c r="C7" s="667" t="str">
        <f>'WS-DATA'!C25</f>
        <v>152.40mm dia SWG pipe upto 5' depth</v>
      </c>
      <c r="D7" s="663">
        <f>'Ws-Det-Security'!H10</f>
        <v>5</v>
      </c>
      <c r="E7" s="663" t="s">
        <v>222</v>
      </c>
      <c r="F7" s="668">
        <f>'WS-DATA'!J29</f>
        <v>722</v>
      </c>
      <c r="G7" s="665">
        <f>ROUND(F7*D7,0)</f>
        <v>3610</v>
      </c>
    </row>
    <row r="8" spans="1:7">
      <c r="A8" s="662"/>
      <c r="B8" s="666"/>
      <c r="C8" s="669"/>
      <c r="D8" s="663"/>
      <c r="E8" s="663"/>
      <c r="F8" s="664"/>
      <c r="G8" s="665"/>
    </row>
    <row r="9" spans="1:7" ht="98.4">
      <c r="A9" s="662">
        <f>A4+1</f>
        <v>2</v>
      </c>
      <c r="B9" s="666"/>
      <c r="C9" s="640" t="str">
        <f>'WS-DATA'!C63:J63</f>
        <v xml:space="preserve">Supplying and fixing 150.00mmx100.00mm SWG  gully trap 1st class confirming to  ISI 651 &amp; 4127 with CI grating and constructing single brick masonry wall chamber of size 20" x 14" x 12” in CM (1:6) prop. Over a CC (1:5:10)prop. bed, and fitted with 304.8 mm x 225.6 mm(12" x 9") CI frame and hinged cover  and plastering 12mm thk. in CM (1:4) prop. both inside and outside surfaces and including cost and conveyance of all materials to site, labour charges etc., complete for finished item of work. </v>
      </c>
      <c r="D9" s="665">
        <f>'Ws-Det-Security'!H14</f>
        <v>1</v>
      </c>
      <c r="E9" s="663" t="s">
        <v>1397</v>
      </c>
      <c r="F9" s="668">
        <f>'WS-DATA'!J68</f>
        <v>693</v>
      </c>
      <c r="G9" s="665">
        <f>ROUND(F9*D9,0)</f>
        <v>693</v>
      </c>
    </row>
    <row r="10" spans="1:7">
      <c r="A10" s="662"/>
      <c r="B10" s="666"/>
      <c r="C10" s="640"/>
      <c r="D10" s="663"/>
      <c r="E10" s="663"/>
      <c r="F10" s="664"/>
      <c r="G10" s="665"/>
    </row>
    <row r="11" spans="1:7" ht="73.8">
      <c r="A11" s="662">
        <f>A9+1</f>
        <v>3</v>
      </c>
      <c r="B11" s="666"/>
      <c r="C11" s="640" t="str">
        <f>'WS-DATA'!C412:J412</f>
        <v>Constructing 457.2mm x 457.2mm (1'-6" x 1'-6") brick in CM (1:6) prop. Masonry inspection chamber upto 914.4mm (3'-0") and fitted with light weight 457.2mm x 457.2mm (1'-6" x 1"-6") frame and cover of 20kg., including cost and convenyance of all materials to site, all labour charges, sales and otehr taxes on all materials etc., complete for finished item of work</v>
      </c>
      <c r="D11" s="665">
        <f>'Ws-Det-Security'!H17</f>
        <v>1</v>
      </c>
      <c r="E11" s="663" t="s">
        <v>1397</v>
      </c>
      <c r="F11" s="663">
        <f>'WS-DATA'!J417</f>
        <v>4273</v>
      </c>
      <c r="G11" s="665">
        <f>ROUND(F11*D11,0)</f>
        <v>4273</v>
      </c>
    </row>
    <row r="12" spans="1:7">
      <c r="A12" s="662"/>
      <c r="B12" s="666"/>
      <c r="C12" s="640"/>
      <c r="D12" s="665"/>
      <c r="E12" s="663"/>
      <c r="F12" s="663"/>
      <c r="G12" s="665"/>
    </row>
    <row r="13" spans="1:7" ht="184.5">
      <c r="A13" s="662">
        <f>A11+1</f>
        <v>4</v>
      </c>
      <c r="B13" s="666"/>
      <c r="C13" s="640" t="str">
        <f>'WS-DATA'!C31:J31</f>
        <v>Constructing 904.0 mm (3’0”) dia brick masonry inspection chamber as per IS - 4111: Part-1:1986 with cement mortar (1:6) prop using 2nd Class Clay Bricks of 225 mm thick from approved source having a minimum crushing strength of 5 N/sq.mm  including plastering with cement mortar 1:3 prop; ½” thick both inside and outside fitted with 20” dia RCC manhole covers and frames including excavating pits up to a depth of 904 mm (3'-0") in all sorts of soils (exculding rock) and laying cement conrete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v>
      </c>
      <c r="D13" s="665">
        <f>'Ws-Det-Security'!H20</f>
        <v>1</v>
      </c>
      <c r="E13" s="663" t="s">
        <v>1397</v>
      </c>
      <c r="F13" s="668">
        <f>'WS-DATA'!J36</f>
        <v>7835</v>
      </c>
      <c r="G13" s="665">
        <f>ROUND(F13*D13,0)</f>
        <v>7835</v>
      </c>
    </row>
    <row r="14" spans="1:7">
      <c r="A14" s="662"/>
      <c r="B14" s="666"/>
      <c r="C14" s="640"/>
      <c r="D14" s="663"/>
      <c r="E14" s="663"/>
      <c r="F14" s="664"/>
      <c r="G14" s="665"/>
    </row>
    <row r="15" spans="1:7" ht="73.8">
      <c r="A15" s="662">
        <f>A13+1</f>
        <v>5</v>
      </c>
      <c r="B15" s="666"/>
      <c r="C15" s="640" t="str">
        <f>'WS-DATA'!C316:J316</f>
        <v>Supplying and fixing UPVC/SWR Nahani traps 4" or  101.6mm dia 1st quality ISI marked conforming to IS:1729-1979 with 4" dia SS  Grating fixing with white cement as per site requirements with standard practice  for all floors including cost and conveyance of all materials to site, labour charges etc., complete for finished item of work.</v>
      </c>
      <c r="D15" s="665">
        <f>'Ws-Det-Security'!H24</f>
        <v>2</v>
      </c>
      <c r="E15" s="663" t="s">
        <v>1397</v>
      </c>
      <c r="F15" s="668">
        <f>'WS-DATA'!J328</f>
        <v>188</v>
      </c>
      <c r="G15" s="665">
        <f>ROUND(F15*D15,0)</f>
        <v>376</v>
      </c>
    </row>
    <row r="16" spans="1:7">
      <c r="A16" s="662"/>
      <c r="B16" s="666"/>
      <c r="C16" s="640"/>
      <c r="D16" s="665"/>
      <c r="E16" s="663"/>
      <c r="F16" s="670"/>
      <c r="G16" s="665"/>
    </row>
    <row r="17" spans="1:7" ht="147.6">
      <c r="A17" s="662">
        <f>A15+1</f>
        <v>6</v>
      </c>
      <c r="B17" s="666"/>
      <c r="C17" s="640" t="str">
        <f>'WS-DATA'!C340:J340</f>
        <v>Supplying and fixing approved make wash down European Water Closet of 1st quality conforming to IS:2556-Part-2-2004 of white glazed with 'S' trap,supplying and fixing  best Indian make plastic seat and lid for European water closets with rubber or plastic Buffers as per IS 2548-1996  and 10 litres capacity single flush PVC  low level cistern with internal components and fixed using required size of nails and screws, 15 mm brass angle stop valve of quarter turn spindle type of not less than 400 grams weight with internal threaded conforming to IS 8931, 15mm PVC connections with brass union nuts CP coated including cost and conveyance of all materials to site, overheads &amp; contractors profit etc., complete  for finished item of work for all floors.</v>
      </c>
      <c r="D17" s="665">
        <f>'Ws-Det-Security'!H28</f>
        <v>1</v>
      </c>
      <c r="E17" s="663" t="s">
        <v>1397</v>
      </c>
      <c r="F17" s="668">
        <f>'WS-DATA'!J350</f>
        <v>4598</v>
      </c>
      <c r="G17" s="665">
        <f>ROUND(F17*D17,0)</f>
        <v>4598</v>
      </c>
    </row>
    <row r="18" spans="1:7">
      <c r="A18" s="662"/>
      <c r="B18" s="666"/>
      <c r="C18" s="640"/>
      <c r="D18" s="665"/>
      <c r="E18" s="663"/>
      <c r="F18" s="663"/>
      <c r="G18" s="665"/>
    </row>
    <row r="19" spans="1:7" ht="135.30000000000001">
      <c r="A19" s="662">
        <f>A17+1</f>
        <v>7</v>
      </c>
      <c r="B19" s="666"/>
      <c r="C19" s="640" t="str">
        <f>'WS-DATA'!C70:J70</f>
        <v>Supplying and fixing Indian make  Flat Back Wash Hand Basin (HSW/Parryware/ Neycer) 1st quality conforming to IS:2556-Part-4:1972 of size 550mm x 400mm with waste fittings like rubber plug, chain,  32 mm nominal size C.P. Fitting with parallel pipe thread conforming to IS:2963-1979 and fitted with 15 mm nominal bore Chromium Plated Pillar Tap of 1st quality Indian make 400 grams Seiko/ Esso or equivalent complete with standard CI brackets including wooden block ,1 No.12.70mm PVC connection with brass union nuts CP coated , 1 No.12.70mm NP bib tap 300 gms Seiko or equivalent including cost and conveyance of all materials to site, labour charges etc. complete for finished item of work</v>
      </c>
      <c r="D19" s="665">
        <f>'Ws-Det-Security'!H30</f>
        <v>1</v>
      </c>
      <c r="E19" s="663" t="s">
        <v>1397</v>
      </c>
      <c r="F19" s="668">
        <f>'WS-DATA'!J96</f>
        <v>3158</v>
      </c>
      <c r="G19" s="665">
        <f>ROUND(F19*D19,0)</f>
        <v>3158</v>
      </c>
    </row>
    <row r="20" spans="1:7">
      <c r="A20" s="662"/>
      <c r="B20" s="666"/>
      <c r="C20" s="640"/>
      <c r="D20" s="665"/>
      <c r="E20" s="663"/>
      <c r="F20" s="663"/>
      <c r="G20" s="665"/>
    </row>
    <row r="21" spans="1:7" ht="36.9">
      <c r="A21" s="662">
        <f>A19+1</f>
        <v>8</v>
      </c>
      <c r="B21" s="666"/>
      <c r="C21" s="640" t="str">
        <f>'WS-DATA'!C98:J98</f>
        <v>Supplying and fixing CP finish brass soap dish type complete including cost and conveyance of all materials, labour charges for fixing etc., complete for finished item of work in all floors</v>
      </c>
      <c r="D21" s="665">
        <f>'Ws-Det-Security'!H33</f>
        <v>1</v>
      </c>
      <c r="E21" s="663" t="s">
        <v>1397</v>
      </c>
      <c r="F21" s="668">
        <f>'WS-DATA'!J103</f>
        <v>577</v>
      </c>
      <c r="G21" s="665">
        <f>ROUND(F21*D21,0)</f>
        <v>577</v>
      </c>
    </row>
    <row r="22" spans="1:7">
      <c r="A22" s="662"/>
      <c r="B22" s="666"/>
      <c r="C22" s="669"/>
      <c r="D22" s="665"/>
      <c r="E22" s="663"/>
      <c r="F22" s="664"/>
      <c r="G22" s="665"/>
    </row>
    <row r="23" spans="1:7" ht="49.2">
      <c r="A23" s="662">
        <f>A21+1</f>
        <v>9</v>
      </c>
      <c r="B23" s="666"/>
      <c r="C23" s="640" t="str">
        <f>'WS-DATA'!C104:J104</f>
        <v>Supplying and fixing TV shape mirror with plastic frame of size 609.6mm x 457.2mm , plywood back with NP screws 1st quality including cost and conveyance of all materials, labour charges etc., complete for finished item of work in all floors.</v>
      </c>
      <c r="D23" s="665">
        <f>'Ws-Det-Security'!H36</f>
        <v>1</v>
      </c>
      <c r="E23" s="663" t="s">
        <v>1397</v>
      </c>
      <c r="F23" s="668">
        <f>'WS-DATA'!J109</f>
        <v>522</v>
      </c>
      <c r="G23" s="665">
        <f>ROUND(F23*D23,0)</f>
        <v>522</v>
      </c>
    </row>
    <row r="24" spans="1:7">
      <c r="A24" s="662"/>
      <c r="B24" s="666"/>
      <c r="C24" s="671"/>
      <c r="D24" s="665"/>
      <c r="E24" s="663"/>
      <c r="F24" s="664"/>
      <c r="G24" s="665"/>
    </row>
    <row r="25" spans="1:7" ht="49.2">
      <c r="A25" s="662">
        <f>A23+1</f>
        <v>10</v>
      </c>
      <c r="B25" s="666"/>
      <c r="C25" s="640" t="str">
        <f>'WS-DATA'!C111:J111</f>
        <v>Supplying and fixing of  25.4mm dia , 609.6mm long aluminium anodized towel rods with brackets and aluminium screws including cost and conveyance of all materials, labour charges etc., complete for finished item of work.</v>
      </c>
      <c r="D25" s="665">
        <f>'Ws-Det-Security'!H39</f>
        <v>1</v>
      </c>
      <c r="E25" s="663" t="s">
        <v>1397</v>
      </c>
      <c r="F25" s="668">
        <f>'WS-DATA'!J116</f>
        <v>168</v>
      </c>
      <c r="G25" s="665">
        <f>ROUND(F25*D25,0)</f>
        <v>168</v>
      </c>
    </row>
    <row r="26" spans="1:7">
      <c r="A26" s="662"/>
      <c r="B26" s="666"/>
      <c r="C26" s="644"/>
      <c r="D26" s="665"/>
      <c r="E26" s="663"/>
      <c r="F26" s="668"/>
      <c r="G26" s="665"/>
    </row>
    <row r="27" spans="1:7" ht="61.5">
      <c r="A27" s="662">
        <f>A25+1</f>
        <v>11</v>
      </c>
      <c r="B27" s="666"/>
      <c r="C27" s="640" t="str">
        <f>'WS-DATA'!C117:J117</f>
        <v>Supplying and fixing of 15 mm brass body CP finish bib tap of not less than 300 grams weight screw type (full turn) with internal /external threaded conenction conforming to IS 8931 including cost and conveyance of all materials, labour charges etc., complete for finished item of work in all floors.</v>
      </c>
      <c r="D27" s="665"/>
      <c r="E27" s="663"/>
      <c r="F27" s="664"/>
      <c r="G27" s="665"/>
    </row>
    <row r="28" spans="1:7">
      <c r="A28" s="662"/>
      <c r="B28" s="666"/>
      <c r="C28" s="644" t="s">
        <v>199</v>
      </c>
      <c r="D28" s="665">
        <f>'Ws-Det-Security'!H44</f>
        <v>2</v>
      </c>
      <c r="E28" s="663" t="s">
        <v>1397</v>
      </c>
      <c r="F28" s="668">
        <f>'WS-DATA'!J123</f>
        <v>250</v>
      </c>
      <c r="G28" s="665">
        <f>ROUND(F28*D28,0)</f>
        <v>500</v>
      </c>
    </row>
    <row r="29" spans="1:7">
      <c r="A29" s="662"/>
      <c r="B29" s="666"/>
      <c r="C29" s="640"/>
      <c r="D29" s="665"/>
      <c r="E29" s="663"/>
      <c r="F29" s="663"/>
      <c r="G29" s="665"/>
    </row>
    <row r="30" spans="1:7" ht="73.8">
      <c r="A30" s="662">
        <f>A27+1</f>
        <v>12</v>
      </c>
      <c r="B30" s="666"/>
      <c r="C30" s="640" t="str">
        <f>'WS-DATA'!C468:J468</f>
        <v>Supply and fixing of Ashirvad/Ajay/Astral Flowgaurd or equivalent CPVC pipes and fittings to meet the requirement of ASTM-D 2846 and are produced in CTS( copper tube sizes 1/4" to 2" ) ashirwad flowgaurd SDR11 and SDR 13.5 pipes are made from identical CPVC components having the same physical properties for Hot and cold Water confirming to  (IS 15778-2007)</v>
      </c>
      <c r="D30" s="663"/>
      <c r="E30" s="663"/>
      <c r="F30" s="664"/>
      <c r="G30" s="665"/>
    </row>
    <row r="31" spans="1:7">
      <c r="A31" s="662"/>
      <c r="B31" s="666" t="s">
        <v>469</v>
      </c>
      <c r="C31" s="667" t="str">
        <f>'WS-DATA'!C469</f>
        <v>15.9 mm OD Pipe SDR 13.5</v>
      </c>
      <c r="D31" s="663">
        <f>'Ws-Det-Security'!H55</f>
        <v>3</v>
      </c>
      <c r="E31" s="663" t="s">
        <v>222</v>
      </c>
      <c r="F31" s="672">
        <f>'WS-DATA'!J474</f>
        <v>143</v>
      </c>
      <c r="G31" s="665">
        <f>ROUND(F31*D31,0)</f>
        <v>429</v>
      </c>
    </row>
    <row r="32" spans="1:7">
      <c r="A32" s="662"/>
      <c r="B32" s="666"/>
      <c r="C32" s="667"/>
      <c r="D32" s="663"/>
      <c r="E32" s="663"/>
      <c r="F32" s="672"/>
      <c r="G32" s="665"/>
    </row>
    <row r="33" spans="1:11">
      <c r="A33" s="662"/>
      <c r="B33" s="666" t="s">
        <v>1</v>
      </c>
      <c r="C33" s="667" t="str">
        <f>'WS-DATA'!C476</f>
        <v>22.2 mm OD Pipe SDR 13.5</v>
      </c>
      <c r="D33" s="663">
        <f>'Ws-Det-Security'!H61</f>
        <v>5</v>
      </c>
      <c r="E33" s="663" t="s">
        <v>222</v>
      </c>
      <c r="F33" s="672">
        <f>'WS-DATA'!J481</f>
        <v>164</v>
      </c>
      <c r="G33" s="665">
        <f>ROUND(F33*D33,0)</f>
        <v>820</v>
      </c>
    </row>
    <row r="34" spans="1:11">
      <c r="A34" s="662"/>
      <c r="B34" s="666"/>
      <c r="C34" s="667"/>
      <c r="D34" s="663"/>
      <c r="E34" s="663"/>
      <c r="F34" s="672"/>
      <c r="G34" s="665"/>
    </row>
    <row r="35" spans="1:11">
      <c r="A35" s="662"/>
      <c r="B35" s="666" t="s">
        <v>363</v>
      </c>
      <c r="C35" s="667" t="str">
        <f>'WS-DATA'!C483</f>
        <v>28.6 mm OD Pipe SDR 13.5</v>
      </c>
      <c r="D35" s="663">
        <f>'Ws-Det-Security'!H67+'Ws-Det-Security'!H83</f>
        <v>9</v>
      </c>
      <c r="E35" s="663" t="s">
        <v>222</v>
      </c>
      <c r="F35" s="672">
        <f>'WS-DATA'!J488</f>
        <v>217</v>
      </c>
      <c r="G35" s="665">
        <f>ROUND(F35*D35,0)</f>
        <v>1953</v>
      </c>
    </row>
    <row r="36" spans="1:11">
      <c r="A36" s="662"/>
      <c r="B36" s="666"/>
      <c r="C36" s="667"/>
      <c r="D36" s="663"/>
      <c r="E36" s="663"/>
      <c r="F36" s="672"/>
      <c r="G36" s="665"/>
    </row>
    <row r="37" spans="1:11" ht="49.2">
      <c r="A37" s="662">
        <f>A30+1</f>
        <v>13</v>
      </c>
      <c r="B37" s="666"/>
      <c r="C37" s="640" t="str">
        <f>'WS-DATA'!C267:J267</f>
        <v>Supplying and fixing PPR ball  valve of 32 mm dia confirming to DIN standards 8077/8092 , Indian make heavy type including cost and conveyance of all materials , labour charges etc. complete for finished item of work.</v>
      </c>
      <c r="D37" s="663"/>
      <c r="E37" s="663"/>
      <c r="F37" s="664"/>
      <c r="G37" s="665"/>
    </row>
    <row r="38" spans="1:11">
      <c r="A38" s="662"/>
      <c r="B38" s="666"/>
      <c r="C38" s="667"/>
      <c r="D38" s="665">
        <f>'Ws-Det-Security'!H87</f>
        <v>1</v>
      </c>
      <c r="E38" s="663" t="s">
        <v>1397</v>
      </c>
      <c r="F38" s="672">
        <f>'WS-DATA'!J273</f>
        <v>257</v>
      </c>
      <c r="G38" s="665">
        <f>ROUND(F38*D38,0)</f>
        <v>257</v>
      </c>
    </row>
    <row r="39" spans="1:11">
      <c r="A39" s="662"/>
      <c r="B39" s="666"/>
      <c r="C39" s="667"/>
      <c r="D39" s="665"/>
      <c r="E39" s="663"/>
      <c r="F39" s="672"/>
      <c r="G39" s="665"/>
    </row>
    <row r="40" spans="1:11" ht="98.4">
      <c r="A40" s="662">
        <f>A37+1</f>
        <v>14</v>
      </c>
      <c r="B40" s="666"/>
      <c r="C40" s="640" t="str">
        <f>'WS-DATA'!C140:J140</f>
        <v>Supplying and fixing of SWR/ PVC pipes (as per ISI standards) 4 Kg/Sq.cm. Prince/sudhakar or any ISI brand and fixing all special such as plain bends, off sets, door bends, single junctions, double junctions as per site requirement, fixing with PVC clamps if necessary with required number of Bombay nails including cost and conveyance of all materials to site, labour charges etc.complete for finished item of work at all floor levels. (APSS No. 1302  1319 &amp; 1326)</v>
      </c>
      <c r="D40" s="663"/>
      <c r="E40" s="663"/>
      <c r="F40" s="664"/>
      <c r="G40" s="665"/>
    </row>
    <row r="41" spans="1:11">
      <c r="A41" s="662"/>
      <c r="B41" s="666" t="s">
        <v>469</v>
      </c>
      <c r="C41" s="667" t="s">
        <v>1398</v>
      </c>
      <c r="D41" s="663">
        <f>'Ws-Det-Security'!H74</f>
        <v>4</v>
      </c>
      <c r="E41" s="663" t="s">
        <v>222</v>
      </c>
      <c r="F41" s="672">
        <f>'WS-DATA'!J146</f>
        <v>92.7</v>
      </c>
      <c r="G41" s="665">
        <f>ROUND(F41*D41,0)</f>
        <v>371</v>
      </c>
    </row>
    <row r="42" spans="1:11">
      <c r="A42" s="662"/>
      <c r="B42" s="666"/>
      <c r="C42" s="667"/>
      <c r="D42" s="663"/>
      <c r="E42" s="663"/>
      <c r="F42" s="672"/>
      <c r="G42" s="665"/>
    </row>
    <row r="43" spans="1:11">
      <c r="A43" s="662"/>
      <c r="B43" s="666" t="s">
        <v>1</v>
      </c>
      <c r="C43" s="667" t="s">
        <v>1601</v>
      </c>
      <c r="D43" s="663">
        <f>'Ws-Det-Security'!H79</f>
        <v>4</v>
      </c>
      <c r="E43" s="663" t="s">
        <v>222</v>
      </c>
      <c r="F43" s="672">
        <f>'WS-DATA'!J158</f>
        <v>175.70000000000002</v>
      </c>
      <c r="G43" s="665">
        <f>ROUND(F43*D43,0)</f>
        <v>703</v>
      </c>
    </row>
    <row r="44" spans="1:11">
      <c r="A44" s="662"/>
      <c r="B44" s="666"/>
      <c r="C44" s="667"/>
      <c r="D44" s="663"/>
      <c r="E44" s="663"/>
      <c r="F44" s="672"/>
      <c r="G44" s="665"/>
    </row>
    <row r="45" spans="1:11" ht="86.1">
      <c r="A45" s="662">
        <f>A40+1</f>
        <v>15</v>
      </c>
      <c r="B45" s="666"/>
      <c r="C45" s="640" t="str">
        <f>'WS-DATA'!C358:J358</f>
        <v>Providing and placing on terrace (at all floor levels) polyetheylene water storage tank with double layer approved brand and manufacture with cover and suitable locking arrangement and making necessary holes for inlet and outlets and over flow pipes but without fittings and base support for tanks including cost and conveyance of all materials and labour charges for placing and fixing in position as directed by Engineer-in-Charge.</v>
      </c>
      <c r="D45" s="663">
        <f>'Ws-Det-Security'!H91</f>
        <v>500</v>
      </c>
      <c r="E45" s="663" t="s">
        <v>497</v>
      </c>
      <c r="F45" s="668">
        <f>'WS-DATA'!J363</f>
        <v>8</v>
      </c>
      <c r="G45" s="665">
        <f>ROUND(F45*D45,0)</f>
        <v>4000</v>
      </c>
    </row>
    <row r="46" spans="1:11">
      <c r="A46" s="662"/>
      <c r="B46" s="666"/>
      <c r="C46" s="667"/>
      <c r="D46" s="663"/>
      <c r="E46" s="663"/>
      <c r="F46" s="672"/>
      <c r="G46" s="665"/>
    </row>
    <row r="47" spans="1:11" ht="76.5" customHeight="1">
      <c r="A47" s="662">
        <f>A45+1</f>
        <v>16</v>
      </c>
      <c r="B47" s="666"/>
      <c r="C47" s="640" t="str">
        <f>'WS-DATA'!C310:J310</f>
        <v xml:space="preserve">Construction of brick masonry support for GI pipe of size 304.80mm x 228.60mm x 228.60 mm in CM (1:8) prop including plastering and finishing with 12mm thick in CM (1:5)  including cost and conveyance of all materials and all labour charges etc. complete </v>
      </c>
      <c r="D47" s="665">
        <f>'Ws-Det-Security'!H89</f>
        <v>2</v>
      </c>
      <c r="E47" s="663" t="s">
        <v>1397</v>
      </c>
      <c r="F47" s="668">
        <f>'WS-DATA'!J315</f>
        <v>86</v>
      </c>
      <c r="G47" s="665">
        <f>ROUND(F47*D47,0)</f>
        <v>172</v>
      </c>
    </row>
    <row r="48" spans="1:11">
      <c r="A48" s="514"/>
      <c r="B48" s="504"/>
      <c r="C48" s="505" t="s">
        <v>1402</v>
      </c>
      <c r="D48" s="506"/>
      <c r="E48" s="517"/>
      <c r="F48" s="513"/>
      <c r="G48" s="13">
        <f>SUM(G4:G47)</f>
        <v>36440</v>
      </c>
      <c r="I48" s="511" t="s">
        <v>455</v>
      </c>
      <c r="K48" s="511" t="s">
        <v>455</v>
      </c>
    </row>
  </sheetData>
  <mergeCells count="7">
    <mergeCell ref="A1:G1"/>
    <mergeCell ref="A2:B3"/>
    <mergeCell ref="C2:C3"/>
    <mergeCell ref="D2:D3"/>
    <mergeCell ref="E2:E3"/>
    <mergeCell ref="F2:F3"/>
    <mergeCell ref="G2:G3"/>
  </mergeCells>
  <printOptions horizontalCentered="1"/>
  <pageMargins left="0.47244094488188998" right="0.43307086614173201" top="0.78740157480314998" bottom="0.66929133858267698" header="0.511811023622047" footer="0.31496062992126"/>
  <pageSetup paperSize="9" orientation="portrait" blackAndWhite="1" verticalDpi="300" r:id="rId1"/>
  <headerFooter alignWithMargins="0">
    <oddFooter>&amp;L&amp;"+,Italic"TSEWIDC-MBNR&amp;C&amp;"+,Italic" ABSTRACT-WS &amp;&amp; SA-Security&amp;R&amp;"+,Italic"&amp;P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58">
    <tabColor rgb="FF00B050"/>
  </sheetPr>
  <dimension ref="A1:F60"/>
  <sheetViews>
    <sheetView view="pageBreakPreview" zoomScale="115" zoomScaleSheetLayoutView="115" workbookViewId="0">
      <selection activeCell="K91" sqref="K91"/>
    </sheetView>
  </sheetViews>
  <sheetFormatPr defaultColWidth="9.15625" defaultRowHeight="12.3"/>
  <cols>
    <col min="1" max="1" width="5" style="685" customWidth="1"/>
    <col min="2" max="2" width="50.83984375" style="512" customWidth="1"/>
    <col min="3" max="3" width="8.68359375" style="509" bestFit="1" customWidth="1"/>
    <col min="4" max="4" width="5.83984375" style="685" customWidth="1"/>
    <col min="5" max="5" width="9.68359375" style="781" bestFit="1" customWidth="1"/>
    <col min="6" max="6" width="12.41796875" style="548" customWidth="1"/>
    <col min="7" max="16384" width="9.15625" style="794"/>
  </cols>
  <sheetData>
    <row r="1" spans="1:6" ht="28.5" customHeight="1">
      <c r="A1" s="1573" t="s">
        <v>2177</v>
      </c>
      <c r="B1" s="1573"/>
      <c r="C1" s="1573"/>
      <c r="D1" s="1573"/>
      <c r="E1" s="1573"/>
      <c r="F1" s="1573"/>
    </row>
    <row r="2" spans="1:6" s="727" customFormat="1">
      <c r="A2" s="1574" t="s">
        <v>1403</v>
      </c>
      <c r="B2" s="1574" t="s">
        <v>1404</v>
      </c>
      <c r="C2" s="1581" t="s">
        <v>464</v>
      </c>
      <c r="D2" s="1574" t="s">
        <v>53</v>
      </c>
      <c r="E2" s="731" t="s">
        <v>699</v>
      </c>
      <c r="F2" s="1583" t="s">
        <v>360</v>
      </c>
    </row>
    <row r="3" spans="1:6" s="727" customFormat="1">
      <c r="A3" s="1580"/>
      <c r="B3" s="1580"/>
      <c r="C3" s="1582"/>
      <c r="D3" s="1580"/>
      <c r="E3" s="795" t="s">
        <v>1405</v>
      </c>
      <c r="F3" s="1584"/>
    </row>
    <row r="4" spans="1:6">
      <c r="A4" s="34"/>
      <c r="B4" s="43" t="s">
        <v>1406</v>
      </c>
      <c r="C4" s="49"/>
      <c r="D4" s="796"/>
      <c r="E4" s="797"/>
      <c r="F4" s="797"/>
    </row>
    <row r="5" spans="1:6" s="510" customFormat="1" ht="61.5">
      <c r="A5" s="779">
        <v>1</v>
      </c>
      <c r="B5" s="793" t="s">
        <v>1407</v>
      </c>
      <c r="C5" s="59">
        <v>80</v>
      </c>
      <c r="D5" s="34" t="s">
        <v>1408</v>
      </c>
      <c r="E5" s="780" t="e">
        <f>#REF!</f>
        <v>#REF!</v>
      </c>
      <c r="F5" s="780" t="e">
        <f>E5*C5</f>
        <v>#REF!</v>
      </c>
    </row>
    <row r="6" spans="1:6" ht="86.1">
      <c r="A6" s="779">
        <f>A5+1</f>
        <v>2</v>
      </c>
      <c r="B6" s="793" t="s">
        <v>1409</v>
      </c>
      <c r="C6" s="59">
        <v>60</v>
      </c>
      <c r="D6" s="34" t="s">
        <v>1408</v>
      </c>
      <c r="E6" s="780" t="e">
        <f>#REF!</f>
        <v>#REF!</v>
      </c>
      <c r="F6" s="780" t="e">
        <f t="shared" ref="F6:F7" si="0">E6*C6</f>
        <v>#REF!</v>
      </c>
    </row>
    <row r="7" spans="1:6" ht="36.9">
      <c r="A7" s="779">
        <f>A6+1</f>
        <v>3</v>
      </c>
      <c r="B7" s="793" t="s">
        <v>1410</v>
      </c>
      <c r="C7" s="59">
        <v>2</v>
      </c>
      <c r="D7" s="34" t="s">
        <v>1411</v>
      </c>
      <c r="E7" s="780" t="e">
        <f>#REF!</f>
        <v>#REF!</v>
      </c>
      <c r="F7" s="780" t="e">
        <f t="shared" si="0"/>
        <v>#REF!</v>
      </c>
    </row>
    <row r="8" spans="1:6">
      <c r="A8" s="779"/>
      <c r="B8" s="793"/>
      <c r="C8" s="32"/>
      <c r="D8" s="34"/>
      <c r="E8" s="780"/>
      <c r="F8" s="780"/>
    </row>
    <row r="9" spans="1:6">
      <c r="A9" s="779"/>
      <c r="B9" s="43" t="s">
        <v>1280</v>
      </c>
      <c r="C9" s="49"/>
      <c r="D9" s="34"/>
      <c r="E9" s="34"/>
      <c r="F9" s="780"/>
    </row>
    <row r="10" spans="1:6" ht="123">
      <c r="A10" s="779">
        <f>A7+1</f>
        <v>4</v>
      </c>
      <c r="B10" s="793" t="s">
        <v>1412</v>
      </c>
      <c r="C10" s="59">
        <v>16</v>
      </c>
      <c r="D10" s="34" t="s">
        <v>1411</v>
      </c>
      <c r="E10" s="780" t="e">
        <f>#REF!</f>
        <v>#REF!</v>
      </c>
      <c r="F10" s="780" t="e">
        <f t="shared" ref="F10:F11" si="1">E10*C10</f>
        <v>#REF!</v>
      </c>
    </row>
    <row r="11" spans="1:6" ht="110.7">
      <c r="A11" s="779">
        <f>A10+1</f>
        <v>5</v>
      </c>
      <c r="B11" s="793" t="s">
        <v>1413</v>
      </c>
      <c r="C11" s="59">
        <v>2</v>
      </c>
      <c r="D11" s="34" t="s">
        <v>1411</v>
      </c>
      <c r="E11" s="780" t="e">
        <f>#REF!</f>
        <v>#REF!</v>
      </c>
      <c r="F11" s="780" t="e">
        <f t="shared" si="1"/>
        <v>#REF!</v>
      </c>
    </row>
    <row r="12" spans="1:6">
      <c r="A12" s="779"/>
      <c r="B12" s="43" t="s">
        <v>1414</v>
      </c>
      <c r="C12" s="59"/>
      <c r="D12" s="34"/>
      <c r="E12" s="780"/>
      <c r="F12" s="780"/>
    </row>
    <row r="13" spans="1:6" ht="86.1">
      <c r="A13" s="779">
        <f>A11+1</f>
        <v>6</v>
      </c>
      <c r="B13" s="793" t="s">
        <v>1415</v>
      </c>
      <c r="C13" s="59">
        <v>2</v>
      </c>
      <c r="D13" s="34" t="s">
        <v>1411</v>
      </c>
      <c r="E13" s="780" t="e">
        <f>#REF!</f>
        <v>#REF!</v>
      </c>
      <c r="F13" s="780" t="e">
        <f t="shared" ref="F13:F16" si="2">E13*C13</f>
        <v>#REF!</v>
      </c>
    </row>
    <row r="14" spans="1:6" ht="123">
      <c r="A14" s="779">
        <f>A13+1</f>
        <v>7</v>
      </c>
      <c r="B14" s="793" t="s">
        <v>2182</v>
      </c>
      <c r="C14" s="59">
        <v>2</v>
      </c>
      <c r="D14" s="34" t="s">
        <v>1411</v>
      </c>
      <c r="E14" s="780" t="e">
        <f>#REF!</f>
        <v>#REF!</v>
      </c>
      <c r="F14" s="780" t="e">
        <f t="shared" si="2"/>
        <v>#REF!</v>
      </c>
    </row>
    <row r="15" spans="1:6" ht="110.7">
      <c r="A15" s="779">
        <f t="shared" ref="A15" si="3">A14+1</f>
        <v>8</v>
      </c>
      <c r="B15" s="793" t="s">
        <v>1416</v>
      </c>
      <c r="C15" s="59">
        <v>0</v>
      </c>
      <c r="D15" s="34" t="s">
        <v>1411</v>
      </c>
      <c r="E15" s="780" t="e">
        <f>#REF!</f>
        <v>#REF!</v>
      </c>
      <c r="F15" s="780" t="e">
        <f t="shared" si="2"/>
        <v>#REF!</v>
      </c>
    </row>
    <row r="16" spans="1:6" ht="86.1">
      <c r="A16" s="779">
        <f>A15+1</f>
        <v>9</v>
      </c>
      <c r="B16" s="793" t="s">
        <v>1417</v>
      </c>
      <c r="C16" s="59">
        <v>1</v>
      </c>
      <c r="D16" s="34" t="s">
        <v>1411</v>
      </c>
      <c r="E16" s="780" t="e">
        <f>#REF!</f>
        <v>#REF!</v>
      </c>
      <c r="F16" s="780" t="e">
        <f t="shared" si="2"/>
        <v>#REF!</v>
      </c>
    </row>
    <row r="17" spans="1:6">
      <c r="A17" s="779"/>
      <c r="B17" s="793"/>
      <c r="C17" s="59"/>
      <c r="D17" s="34"/>
      <c r="E17" s="780"/>
      <c r="F17" s="780"/>
    </row>
    <row r="18" spans="1:6">
      <c r="A18" s="779"/>
      <c r="B18" s="43" t="s">
        <v>1260</v>
      </c>
      <c r="C18" s="49"/>
      <c r="D18" s="34"/>
      <c r="E18" s="34"/>
      <c r="F18" s="780"/>
    </row>
    <row r="19" spans="1:6" ht="73.8">
      <c r="A19" s="779">
        <f>A16+1</f>
        <v>10</v>
      </c>
      <c r="B19" s="793" t="s">
        <v>1418</v>
      </c>
      <c r="C19" s="59">
        <v>0</v>
      </c>
      <c r="D19" s="34" t="s">
        <v>1419</v>
      </c>
      <c r="E19" s="780" t="e">
        <f>#REF!</f>
        <v>#REF!</v>
      </c>
      <c r="F19" s="780" t="e">
        <f t="shared" ref="F19:F23" si="4">E19*C19</f>
        <v>#REF!</v>
      </c>
    </row>
    <row r="20" spans="1:6" ht="98.4">
      <c r="A20" s="779">
        <f>A19+1</f>
        <v>11</v>
      </c>
      <c r="B20" s="793" t="s">
        <v>2178</v>
      </c>
      <c r="C20" s="59">
        <v>80</v>
      </c>
      <c r="D20" s="34" t="s">
        <v>1419</v>
      </c>
      <c r="E20" s="780" t="e">
        <f>#REF!</f>
        <v>#REF!</v>
      </c>
      <c r="F20" s="780" t="e">
        <f t="shared" si="4"/>
        <v>#REF!</v>
      </c>
    </row>
    <row r="21" spans="1:6" ht="98.4">
      <c r="A21" s="779">
        <f>A20+1</f>
        <v>12</v>
      </c>
      <c r="B21" s="793" t="s">
        <v>2179</v>
      </c>
      <c r="C21" s="59">
        <v>0</v>
      </c>
      <c r="D21" s="34" t="s">
        <v>1419</v>
      </c>
      <c r="E21" s="780" t="e">
        <f>#REF!</f>
        <v>#REF!</v>
      </c>
      <c r="F21" s="780" t="e">
        <f t="shared" si="4"/>
        <v>#REF!</v>
      </c>
    </row>
    <row r="22" spans="1:6" ht="98.4">
      <c r="A22" s="779">
        <f>A21+1</f>
        <v>13</v>
      </c>
      <c r="B22" s="793" t="s">
        <v>2180</v>
      </c>
      <c r="C22" s="59">
        <v>0</v>
      </c>
      <c r="D22" s="34" t="s">
        <v>1419</v>
      </c>
      <c r="E22" s="780" t="e">
        <f>#REF!</f>
        <v>#REF!</v>
      </c>
      <c r="F22" s="780" t="e">
        <f t="shared" si="4"/>
        <v>#REF!</v>
      </c>
    </row>
    <row r="23" spans="1:6" ht="98.4">
      <c r="A23" s="779">
        <f t="shared" ref="A23" si="5">A22+1</f>
        <v>14</v>
      </c>
      <c r="B23" s="793" t="s">
        <v>2181</v>
      </c>
      <c r="C23" s="59">
        <v>0</v>
      </c>
      <c r="D23" s="34" t="s">
        <v>1419</v>
      </c>
      <c r="E23" s="780" t="e">
        <f>#REF!</f>
        <v>#REF!</v>
      </c>
      <c r="F23" s="780" t="e">
        <f t="shared" si="4"/>
        <v>#REF!</v>
      </c>
    </row>
    <row r="24" spans="1:6">
      <c r="A24" s="779"/>
      <c r="B24" s="43"/>
      <c r="C24" s="59"/>
      <c r="D24" s="34"/>
      <c r="E24" s="780"/>
      <c r="F24" s="780"/>
    </row>
    <row r="25" spans="1:6">
      <c r="A25" s="779"/>
      <c r="B25" s="43" t="s">
        <v>1421</v>
      </c>
      <c r="C25" s="49"/>
      <c r="D25" s="34"/>
      <c r="E25" s="780"/>
      <c r="F25" s="780"/>
    </row>
    <row r="26" spans="1:6" ht="73.8">
      <c r="A26" s="779">
        <f>A22+1</f>
        <v>14</v>
      </c>
      <c r="B26" s="793" t="s">
        <v>1422</v>
      </c>
      <c r="C26" s="59" t="e">
        <f>#REF!</f>
        <v>#REF!</v>
      </c>
      <c r="D26" s="34" t="s">
        <v>327</v>
      </c>
      <c r="E26" s="780" t="e">
        <f>#REF!</f>
        <v>#REF!</v>
      </c>
      <c r="F26" s="780" t="e">
        <f t="shared" ref="F26:F29" si="6">E26*C26</f>
        <v>#REF!</v>
      </c>
    </row>
    <row r="27" spans="1:6" ht="73.8">
      <c r="A27" s="779">
        <f>A25+1</f>
        <v>1</v>
      </c>
      <c r="B27" s="793" t="s">
        <v>1423</v>
      </c>
      <c r="C27" s="59">
        <v>1</v>
      </c>
      <c r="D27" s="34" t="s">
        <v>327</v>
      </c>
      <c r="E27" s="780" t="e">
        <f>#REF!</f>
        <v>#REF!</v>
      </c>
      <c r="F27" s="780" t="e">
        <f t="shared" si="6"/>
        <v>#REF!</v>
      </c>
    </row>
    <row r="28" spans="1:6" ht="73.8">
      <c r="A28" s="779">
        <f>A26+1</f>
        <v>15</v>
      </c>
      <c r="B28" s="793" t="s">
        <v>1424</v>
      </c>
      <c r="C28" s="59">
        <v>0</v>
      </c>
      <c r="D28" s="34" t="s">
        <v>327</v>
      </c>
      <c r="E28" s="780" t="e">
        <f>#REF!</f>
        <v>#REF!</v>
      </c>
      <c r="F28" s="780" t="e">
        <f t="shared" si="6"/>
        <v>#REF!</v>
      </c>
    </row>
    <row r="29" spans="1:6" ht="73.8">
      <c r="A29" s="779">
        <f>A28+1</f>
        <v>16</v>
      </c>
      <c r="B29" s="793" t="s">
        <v>1425</v>
      </c>
      <c r="C29" s="59">
        <v>0</v>
      </c>
      <c r="D29" s="34" t="s">
        <v>327</v>
      </c>
      <c r="E29" s="780" t="e">
        <f>#REF!</f>
        <v>#REF!</v>
      </c>
      <c r="F29" s="780" t="e">
        <f t="shared" si="6"/>
        <v>#REF!</v>
      </c>
    </row>
    <row r="30" spans="1:6">
      <c r="A30" s="779"/>
      <c r="B30" s="793"/>
      <c r="C30" s="59"/>
      <c r="D30" s="34"/>
      <c r="E30" s="780"/>
      <c r="F30" s="780"/>
    </row>
    <row r="31" spans="1:6">
      <c r="A31" s="779"/>
      <c r="B31" s="43" t="s">
        <v>1427</v>
      </c>
      <c r="C31" s="59"/>
      <c r="D31" s="34"/>
      <c r="E31" s="780"/>
      <c r="F31" s="780"/>
    </row>
    <row r="32" spans="1:6" ht="99" customHeight="1">
      <c r="A32" s="779">
        <f>A26+1</f>
        <v>15</v>
      </c>
      <c r="B32" s="793" t="s">
        <v>1428</v>
      </c>
      <c r="C32" s="59">
        <v>1</v>
      </c>
      <c r="D32" s="34" t="s">
        <v>327</v>
      </c>
      <c r="E32" s="780" t="e">
        <f>#REF!</f>
        <v>#REF!</v>
      </c>
      <c r="F32" s="780" t="e">
        <f t="shared" ref="F32:F33" si="7">E32*C32</f>
        <v>#REF!</v>
      </c>
    </row>
    <row r="33" spans="1:6" ht="24.6">
      <c r="A33" s="779">
        <f>A32+1</f>
        <v>16</v>
      </c>
      <c r="B33" s="793" t="s">
        <v>1429</v>
      </c>
      <c r="C33" s="59">
        <v>50</v>
      </c>
      <c r="D33" s="34" t="s">
        <v>1419</v>
      </c>
      <c r="E33" s="780" t="e">
        <f>#REF!</f>
        <v>#REF!</v>
      </c>
      <c r="F33" s="780" t="e">
        <f t="shared" si="7"/>
        <v>#REF!</v>
      </c>
    </row>
    <row r="34" spans="1:6">
      <c r="A34" s="779"/>
      <c r="B34" s="793"/>
      <c r="C34" s="59"/>
      <c r="D34" s="34"/>
      <c r="E34" s="780"/>
      <c r="F34" s="780"/>
    </row>
    <row r="35" spans="1:6">
      <c r="A35" s="779"/>
      <c r="B35" s="43" t="s">
        <v>1281</v>
      </c>
      <c r="C35" s="59"/>
      <c r="D35" s="34"/>
      <c r="E35" s="780"/>
      <c r="F35" s="780"/>
    </row>
    <row r="36" spans="1:6" ht="135.30000000000001">
      <c r="A36" s="779">
        <f>A33+1</f>
        <v>17</v>
      </c>
      <c r="B36" s="793" t="s">
        <v>1287</v>
      </c>
      <c r="C36" s="59">
        <v>3</v>
      </c>
      <c r="D36" s="34" t="s">
        <v>327</v>
      </c>
      <c r="E36" s="780" t="e">
        <f>#REF!</f>
        <v>#REF!</v>
      </c>
      <c r="F36" s="780" t="e">
        <f t="shared" ref="F36:F43" si="8">E36*C36</f>
        <v>#REF!</v>
      </c>
    </row>
    <row r="37" spans="1:6" ht="61.5">
      <c r="A37" s="779">
        <f t="shared" ref="A37" si="9">A36+1</f>
        <v>18</v>
      </c>
      <c r="B37" s="793" t="s">
        <v>1430</v>
      </c>
      <c r="C37" s="59">
        <v>0</v>
      </c>
      <c r="D37" s="34" t="s">
        <v>327</v>
      </c>
      <c r="E37" s="780" t="e">
        <f>#REF!</f>
        <v>#REF!</v>
      </c>
      <c r="F37" s="780" t="e">
        <f t="shared" si="8"/>
        <v>#REF!</v>
      </c>
    </row>
    <row r="38" spans="1:6" ht="36.9">
      <c r="A38" s="779"/>
      <c r="B38" s="793" t="s">
        <v>13</v>
      </c>
      <c r="C38" s="59">
        <v>0</v>
      </c>
      <c r="D38" s="34" t="s">
        <v>327</v>
      </c>
      <c r="E38" s="780" t="e">
        <f>#REF!</f>
        <v>#REF!</v>
      </c>
      <c r="F38" s="780" t="e">
        <f t="shared" si="8"/>
        <v>#REF!</v>
      </c>
    </row>
    <row r="39" spans="1:6" ht="49.2">
      <c r="A39" s="779">
        <f>A37+1</f>
        <v>19</v>
      </c>
      <c r="B39" s="793" t="s">
        <v>1431</v>
      </c>
      <c r="C39" s="59">
        <v>2</v>
      </c>
      <c r="D39" s="34" t="s">
        <v>327</v>
      </c>
      <c r="E39" s="780" t="e">
        <f>#REF!</f>
        <v>#REF!</v>
      </c>
      <c r="F39" s="780" t="e">
        <f t="shared" si="8"/>
        <v>#REF!</v>
      </c>
    </row>
    <row r="40" spans="1:6" ht="61.5">
      <c r="A40" s="779">
        <f t="shared" ref="A40:A43" si="10">A39+1</f>
        <v>20</v>
      </c>
      <c r="B40" s="793" t="s">
        <v>1432</v>
      </c>
      <c r="C40" s="59">
        <v>2</v>
      </c>
      <c r="D40" s="34" t="s">
        <v>327</v>
      </c>
      <c r="E40" s="780" t="e">
        <f>#REF!</f>
        <v>#REF!</v>
      </c>
      <c r="F40" s="780" t="e">
        <f t="shared" si="8"/>
        <v>#REF!</v>
      </c>
    </row>
    <row r="41" spans="1:6" ht="61.5">
      <c r="A41" s="779">
        <f t="shared" si="10"/>
        <v>21</v>
      </c>
      <c r="B41" s="793" t="s">
        <v>1433</v>
      </c>
      <c r="C41" s="59">
        <v>2</v>
      </c>
      <c r="D41" s="34" t="s">
        <v>327</v>
      </c>
      <c r="E41" s="798" t="e">
        <f>#REF!</f>
        <v>#REF!</v>
      </c>
      <c r="F41" s="780" t="e">
        <f t="shared" si="8"/>
        <v>#REF!</v>
      </c>
    </row>
    <row r="42" spans="1:6" ht="49.2">
      <c r="A42" s="779">
        <f t="shared" si="10"/>
        <v>22</v>
      </c>
      <c r="B42" s="793" t="s">
        <v>1265</v>
      </c>
      <c r="C42" s="59">
        <v>1</v>
      </c>
      <c r="D42" s="34" t="s">
        <v>327</v>
      </c>
      <c r="E42" s="780" t="e">
        <f>#REF!</f>
        <v>#REF!</v>
      </c>
      <c r="F42" s="780" t="e">
        <f t="shared" si="8"/>
        <v>#REF!</v>
      </c>
    </row>
    <row r="43" spans="1:6" ht="36.9">
      <c r="A43" s="779">
        <f t="shared" si="10"/>
        <v>23</v>
      </c>
      <c r="B43" s="793" t="s">
        <v>393</v>
      </c>
      <c r="C43" s="59">
        <v>1</v>
      </c>
      <c r="D43" s="34" t="s">
        <v>327</v>
      </c>
      <c r="E43" s="780" t="e">
        <f>#REF!</f>
        <v>#REF!</v>
      </c>
      <c r="F43" s="780" t="e">
        <f t="shared" si="8"/>
        <v>#REF!</v>
      </c>
    </row>
    <row r="44" spans="1:6">
      <c r="A44" s="779"/>
      <c r="B44" s="43" t="s">
        <v>1434</v>
      </c>
      <c r="C44" s="59"/>
      <c r="D44" s="34"/>
      <c r="E44" s="780"/>
      <c r="F44" s="780"/>
    </row>
    <row r="45" spans="1:6" ht="36.9">
      <c r="A45" s="779">
        <f>A43+1</f>
        <v>24</v>
      </c>
      <c r="B45" s="793" t="s">
        <v>1266</v>
      </c>
      <c r="C45" s="59" t="e">
        <f>#REF!</f>
        <v>#REF!</v>
      </c>
      <c r="D45" s="34" t="s">
        <v>1435</v>
      </c>
      <c r="E45" s="780" t="e">
        <f>#REF!</f>
        <v>#REF!</v>
      </c>
      <c r="F45" s="780" t="e">
        <f>E45*C45</f>
        <v>#REF!</v>
      </c>
    </row>
    <row r="46" spans="1:6" ht="49.2">
      <c r="A46" s="779">
        <f t="shared" ref="A46" si="11">A45+1</f>
        <v>25</v>
      </c>
      <c r="B46" s="793" t="s">
        <v>1436</v>
      </c>
      <c r="C46" s="59">
        <v>20</v>
      </c>
      <c r="D46" s="34" t="s">
        <v>327</v>
      </c>
      <c r="E46" s="780" t="e">
        <f>#REF!</f>
        <v>#REF!</v>
      </c>
      <c r="F46" s="780" t="e">
        <f t="shared" ref="F46" si="12">E46*C46</f>
        <v>#REF!</v>
      </c>
    </row>
    <row r="47" spans="1:6">
      <c r="A47" s="779"/>
      <c r="B47" s="793"/>
      <c r="C47" s="779"/>
      <c r="D47" s="779"/>
      <c r="E47" s="779"/>
      <c r="F47" s="779"/>
    </row>
    <row r="48" spans="1:6">
      <c r="A48" s="779"/>
      <c r="B48" s="43" t="s">
        <v>1437</v>
      </c>
      <c r="C48" s="779"/>
      <c r="D48" s="779"/>
      <c r="E48" s="779"/>
      <c r="F48" s="779"/>
    </row>
    <row r="49" spans="1:6" ht="49.2">
      <c r="A49" s="779">
        <f>A46+1</f>
        <v>26</v>
      </c>
      <c r="B49" s="793" t="s">
        <v>1438</v>
      </c>
      <c r="C49" s="779"/>
      <c r="D49" s="779"/>
      <c r="E49" s="779"/>
      <c r="F49" s="779"/>
    </row>
    <row r="50" spans="1:6">
      <c r="A50" s="779" t="s">
        <v>642</v>
      </c>
      <c r="B50" s="803" t="s">
        <v>2165</v>
      </c>
      <c r="C50" s="59">
        <v>25</v>
      </c>
      <c r="D50" s="779" t="s">
        <v>1435</v>
      </c>
      <c r="E50" s="779" t="e">
        <f>#REF!</f>
        <v>#REF!</v>
      </c>
      <c r="F50" s="780" t="e">
        <f>E50*C50</f>
        <v>#REF!</v>
      </c>
    </row>
    <row r="51" spans="1:6">
      <c r="A51" s="779"/>
      <c r="B51" s="803"/>
      <c r="C51" s="779"/>
      <c r="D51" s="779"/>
      <c r="E51" s="779"/>
      <c r="F51" s="779"/>
    </row>
    <row r="52" spans="1:6" ht="61.5">
      <c r="A52" s="779">
        <f>A49+1</f>
        <v>27</v>
      </c>
      <c r="B52" s="793" t="s">
        <v>1439</v>
      </c>
      <c r="C52" s="59">
        <v>20</v>
      </c>
      <c r="D52" s="779" t="s">
        <v>1435</v>
      </c>
      <c r="E52" s="779" t="e">
        <f>#REF!</f>
        <v>#REF!</v>
      </c>
      <c r="F52" s="780" t="e">
        <f>E52*C52</f>
        <v>#REF!</v>
      </c>
    </row>
    <row r="53" spans="1:6" ht="49.2">
      <c r="A53" s="779">
        <f>A52+1</f>
        <v>28</v>
      </c>
      <c r="B53" s="793" t="s">
        <v>291</v>
      </c>
      <c r="C53" s="59">
        <v>5</v>
      </c>
      <c r="D53" s="779" t="s">
        <v>1435</v>
      </c>
      <c r="E53" s="780" t="e">
        <f>#REF!</f>
        <v>#REF!</v>
      </c>
      <c r="F53" s="780" t="e">
        <f>E53*C53</f>
        <v>#REF!</v>
      </c>
    </row>
    <row r="54" spans="1:6">
      <c r="A54" s="779"/>
      <c r="B54" s="793"/>
      <c r="C54" s="59"/>
      <c r="D54" s="34"/>
      <c r="E54" s="780"/>
      <c r="F54" s="780"/>
    </row>
    <row r="55" spans="1:6">
      <c r="A55" s="779"/>
      <c r="B55" s="43" t="s">
        <v>1440</v>
      </c>
      <c r="C55" s="59"/>
      <c r="D55" s="34"/>
      <c r="E55" s="780"/>
      <c r="F55" s="780"/>
    </row>
    <row r="56" spans="1:6" ht="36.9">
      <c r="A56" s="779">
        <f>A53+1</f>
        <v>29</v>
      </c>
      <c r="B56" s="793" t="s">
        <v>1441</v>
      </c>
      <c r="C56" s="59"/>
      <c r="D56" s="34"/>
      <c r="E56" s="780"/>
      <c r="F56" s="780"/>
    </row>
    <row r="57" spans="1:6">
      <c r="A57" s="779" t="s">
        <v>642</v>
      </c>
      <c r="B57" s="803" t="s">
        <v>2165</v>
      </c>
      <c r="C57" s="59">
        <v>2</v>
      </c>
      <c r="D57" s="34" t="s">
        <v>327</v>
      </c>
      <c r="E57" s="780" t="e">
        <f>#REF!</f>
        <v>#REF!</v>
      </c>
      <c r="F57" s="780" t="e">
        <f>E57*C57</f>
        <v>#REF!</v>
      </c>
    </row>
    <row r="58" spans="1:6">
      <c r="A58" s="779"/>
      <c r="B58" s="803"/>
      <c r="C58" s="59"/>
      <c r="D58" s="34"/>
      <c r="E58" s="780"/>
      <c r="F58" s="780"/>
    </row>
    <row r="59" spans="1:6">
      <c r="A59" s="779"/>
      <c r="B59" s="793"/>
      <c r="C59" s="59"/>
      <c r="D59" s="34"/>
      <c r="E59" s="780"/>
      <c r="F59" s="780"/>
    </row>
    <row r="60" spans="1:6">
      <c r="A60" s="799"/>
      <c r="B60" s="804" t="s">
        <v>1442</v>
      </c>
      <c r="C60" s="805"/>
      <c r="D60" s="801"/>
      <c r="E60" s="800"/>
      <c r="F60" s="802" t="e">
        <f>ROUND(SUM(F5:F58),0)</f>
        <v>#REF!</v>
      </c>
    </row>
  </sheetData>
  <mergeCells count="6">
    <mergeCell ref="A1:F1"/>
    <mergeCell ref="A2:A3"/>
    <mergeCell ref="B2:B3"/>
    <mergeCell ref="C2:C3"/>
    <mergeCell ref="D2:D3"/>
    <mergeCell ref="F2:F3"/>
  </mergeCells>
  <printOptions horizontalCentered="1"/>
  <pageMargins left="0.46" right="0.52" top="0.75" bottom="0.75" header="0.3" footer="0.3"/>
  <pageSetup paperSize="9" orientation="portrait" r:id="rId1"/>
  <rowBreaks count="2" manualBreakCount="2">
    <brk id="34" max="16383" man="1"/>
    <brk id="47"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2">
    <tabColor rgb="FFC00000"/>
  </sheetPr>
  <dimension ref="A1:J414"/>
  <sheetViews>
    <sheetView view="pageBreakPreview" topLeftCell="A366" zoomScale="130" zoomScaleNormal="145" zoomScaleSheetLayoutView="130" workbookViewId="0">
      <selection activeCell="K91" sqref="K91"/>
    </sheetView>
  </sheetViews>
  <sheetFormatPr defaultRowHeight="12.3"/>
  <cols>
    <col min="1" max="1" width="5.578125" style="297" bestFit="1" customWidth="1"/>
    <col min="2" max="2" width="32" style="522" customWidth="1"/>
    <col min="3" max="3" width="5.578125" style="521" customWidth="1"/>
    <col min="4" max="4" width="6.578125" style="674" customWidth="1"/>
    <col min="5" max="5" width="8.578125" style="524" bestFit="1" customWidth="1"/>
    <col min="6" max="6" width="6.83984375" style="524" bestFit="1" customWidth="1"/>
    <col min="7" max="7" width="8.68359375" style="524" bestFit="1" customWidth="1"/>
    <col min="8" max="8" width="9.578125" style="527" bestFit="1" customWidth="1"/>
    <col min="9" max="9" width="5.15625" style="511" bestFit="1" customWidth="1"/>
    <col min="10" max="13" width="8.83984375" style="511"/>
    <col min="14" max="14" width="7" style="511" bestFit="1" customWidth="1"/>
    <col min="15" max="15" width="32" style="511" customWidth="1"/>
    <col min="16" max="16" width="5.578125" style="511" customWidth="1"/>
    <col min="17" max="17" width="6.578125" style="511" customWidth="1"/>
    <col min="18" max="18" width="10" style="511" customWidth="1"/>
    <col min="19" max="19" width="7.83984375" style="511" bestFit="1" customWidth="1"/>
    <col min="20" max="20" width="8.83984375" style="511" bestFit="1" customWidth="1"/>
    <col min="21" max="21" width="10.578125" style="511" bestFit="1" customWidth="1"/>
    <col min="22" max="22" width="5.15625" style="511" bestFit="1" customWidth="1"/>
    <col min="23" max="28" width="0" style="511" hidden="1" customWidth="1"/>
    <col min="29" max="29" width="11" style="511" bestFit="1" customWidth="1"/>
    <col min="30" max="30" width="8.83984375" style="511"/>
    <col min="31" max="31" width="11.578125" style="511" bestFit="1" customWidth="1"/>
    <col min="32" max="269" width="8.83984375" style="511"/>
    <col min="270" max="270" width="7" style="511" bestFit="1" customWidth="1"/>
    <col min="271" max="271" width="32" style="511" customWidth="1"/>
    <col min="272" max="272" width="5.578125" style="511" customWidth="1"/>
    <col min="273" max="273" width="6.578125" style="511" customWidth="1"/>
    <col min="274" max="274" width="10" style="511" customWidth="1"/>
    <col min="275" max="275" width="7.83984375" style="511" bestFit="1" customWidth="1"/>
    <col min="276" max="276" width="8.83984375" style="511" bestFit="1" customWidth="1"/>
    <col min="277" max="277" width="10.578125" style="511" bestFit="1" customWidth="1"/>
    <col min="278" max="278" width="5.15625" style="511" bestFit="1" customWidth="1"/>
    <col min="279" max="284" width="0" style="511" hidden="1" customWidth="1"/>
    <col min="285" max="285" width="11" style="511" bestFit="1" customWidth="1"/>
    <col min="286" max="286" width="8.83984375" style="511"/>
    <col min="287" max="287" width="11.578125" style="511" bestFit="1" customWidth="1"/>
    <col min="288" max="525" width="8.83984375" style="511"/>
    <col min="526" max="526" width="7" style="511" bestFit="1" customWidth="1"/>
    <col min="527" max="527" width="32" style="511" customWidth="1"/>
    <col min="528" max="528" width="5.578125" style="511" customWidth="1"/>
    <col min="529" max="529" width="6.578125" style="511" customWidth="1"/>
    <col min="530" max="530" width="10" style="511" customWidth="1"/>
    <col min="531" max="531" width="7.83984375" style="511" bestFit="1" customWidth="1"/>
    <col min="532" max="532" width="8.83984375" style="511" bestFit="1" customWidth="1"/>
    <col min="533" max="533" width="10.578125" style="511" bestFit="1" customWidth="1"/>
    <col min="534" max="534" width="5.15625" style="511" bestFit="1" customWidth="1"/>
    <col min="535" max="540" width="0" style="511" hidden="1" customWidth="1"/>
    <col min="541" max="541" width="11" style="511" bestFit="1" customWidth="1"/>
    <col min="542" max="542" width="8.83984375" style="511"/>
    <col min="543" max="543" width="11.578125" style="511" bestFit="1" customWidth="1"/>
    <col min="544" max="781" width="8.83984375" style="511"/>
    <col min="782" max="782" width="7" style="511" bestFit="1" customWidth="1"/>
    <col min="783" max="783" width="32" style="511" customWidth="1"/>
    <col min="784" max="784" width="5.578125" style="511" customWidth="1"/>
    <col min="785" max="785" width="6.578125" style="511" customWidth="1"/>
    <col min="786" max="786" width="10" style="511" customWidth="1"/>
    <col min="787" max="787" width="7.83984375" style="511" bestFit="1" customWidth="1"/>
    <col min="788" max="788" width="8.83984375" style="511" bestFit="1" customWidth="1"/>
    <col min="789" max="789" width="10.578125" style="511" bestFit="1" customWidth="1"/>
    <col min="790" max="790" width="5.15625" style="511" bestFit="1" customWidth="1"/>
    <col min="791" max="796" width="0" style="511" hidden="1" customWidth="1"/>
    <col min="797" max="797" width="11" style="511" bestFit="1" customWidth="1"/>
    <col min="798" max="798" width="8.83984375" style="511"/>
    <col min="799" max="799" width="11.578125" style="511" bestFit="1" customWidth="1"/>
    <col min="800" max="1037" width="8.83984375" style="511"/>
    <col min="1038" max="1038" width="7" style="511" bestFit="1" customWidth="1"/>
    <col min="1039" max="1039" width="32" style="511" customWidth="1"/>
    <col min="1040" max="1040" width="5.578125" style="511" customWidth="1"/>
    <col min="1041" max="1041" width="6.578125" style="511" customWidth="1"/>
    <col min="1042" max="1042" width="10" style="511" customWidth="1"/>
    <col min="1043" max="1043" width="7.83984375" style="511" bestFit="1" customWidth="1"/>
    <col min="1044" max="1044" width="8.83984375" style="511" bestFit="1" customWidth="1"/>
    <col min="1045" max="1045" width="10.578125" style="511" bestFit="1" customWidth="1"/>
    <col min="1046" max="1046" width="5.15625" style="511" bestFit="1" customWidth="1"/>
    <col min="1047" max="1052" width="0" style="511" hidden="1" customWidth="1"/>
    <col min="1053" max="1053" width="11" style="511" bestFit="1" customWidth="1"/>
    <col min="1054" max="1054" width="8.83984375" style="511"/>
    <col min="1055" max="1055" width="11.578125" style="511" bestFit="1" customWidth="1"/>
    <col min="1056" max="1293" width="8.83984375" style="511"/>
    <col min="1294" max="1294" width="7" style="511" bestFit="1" customWidth="1"/>
    <col min="1295" max="1295" width="32" style="511" customWidth="1"/>
    <col min="1296" max="1296" width="5.578125" style="511" customWidth="1"/>
    <col min="1297" max="1297" width="6.578125" style="511" customWidth="1"/>
    <col min="1298" max="1298" width="10" style="511" customWidth="1"/>
    <col min="1299" max="1299" width="7.83984375" style="511" bestFit="1" customWidth="1"/>
    <col min="1300" max="1300" width="8.83984375" style="511" bestFit="1" customWidth="1"/>
    <col min="1301" max="1301" width="10.578125" style="511" bestFit="1" customWidth="1"/>
    <col min="1302" max="1302" width="5.15625" style="511" bestFit="1" customWidth="1"/>
    <col min="1303" max="1308" width="0" style="511" hidden="1" customWidth="1"/>
    <col min="1309" max="1309" width="11" style="511" bestFit="1" customWidth="1"/>
    <col min="1310" max="1310" width="8.83984375" style="511"/>
    <col min="1311" max="1311" width="11.578125" style="511" bestFit="1" customWidth="1"/>
    <col min="1312" max="1549" width="8.83984375" style="511"/>
    <col min="1550" max="1550" width="7" style="511" bestFit="1" customWidth="1"/>
    <col min="1551" max="1551" width="32" style="511" customWidth="1"/>
    <col min="1552" max="1552" width="5.578125" style="511" customWidth="1"/>
    <col min="1553" max="1553" width="6.578125" style="511" customWidth="1"/>
    <col min="1554" max="1554" width="10" style="511" customWidth="1"/>
    <col min="1555" max="1555" width="7.83984375" style="511" bestFit="1" customWidth="1"/>
    <col min="1556" max="1556" width="8.83984375" style="511" bestFit="1" customWidth="1"/>
    <col min="1557" max="1557" width="10.578125" style="511" bestFit="1" customWidth="1"/>
    <col min="1558" max="1558" width="5.15625" style="511" bestFit="1" customWidth="1"/>
    <col min="1559" max="1564" width="0" style="511" hidden="1" customWidth="1"/>
    <col min="1565" max="1565" width="11" style="511" bestFit="1" customWidth="1"/>
    <col min="1566" max="1566" width="8.83984375" style="511"/>
    <col min="1567" max="1567" width="11.578125" style="511" bestFit="1" customWidth="1"/>
    <col min="1568" max="1805" width="8.83984375" style="511"/>
    <col min="1806" max="1806" width="7" style="511" bestFit="1" customWidth="1"/>
    <col min="1807" max="1807" width="32" style="511" customWidth="1"/>
    <col min="1808" max="1808" width="5.578125" style="511" customWidth="1"/>
    <col min="1809" max="1809" width="6.578125" style="511" customWidth="1"/>
    <col min="1810" max="1810" width="10" style="511" customWidth="1"/>
    <col min="1811" max="1811" width="7.83984375" style="511" bestFit="1" customWidth="1"/>
    <col min="1812" max="1812" width="8.83984375" style="511" bestFit="1" customWidth="1"/>
    <col min="1813" max="1813" width="10.578125" style="511" bestFit="1" customWidth="1"/>
    <col min="1814" max="1814" width="5.15625" style="511" bestFit="1" customWidth="1"/>
    <col min="1815" max="1820" width="0" style="511" hidden="1" customWidth="1"/>
    <col min="1821" max="1821" width="11" style="511" bestFit="1" customWidth="1"/>
    <col min="1822" max="1822" width="8.83984375" style="511"/>
    <col min="1823" max="1823" width="11.578125" style="511" bestFit="1" customWidth="1"/>
    <col min="1824" max="2061" width="8.83984375" style="511"/>
    <col min="2062" max="2062" width="7" style="511" bestFit="1" customWidth="1"/>
    <col min="2063" max="2063" width="32" style="511" customWidth="1"/>
    <col min="2064" max="2064" width="5.578125" style="511" customWidth="1"/>
    <col min="2065" max="2065" width="6.578125" style="511" customWidth="1"/>
    <col min="2066" max="2066" width="10" style="511" customWidth="1"/>
    <col min="2067" max="2067" width="7.83984375" style="511" bestFit="1" customWidth="1"/>
    <col min="2068" max="2068" width="8.83984375" style="511" bestFit="1" customWidth="1"/>
    <col min="2069" max="2069" width="10.578125" style="511" bestFit="1" customWidth="1"/>
    <col min="2070" max="2070" width="5.15625" style="511" bestFit="1" customWidth="1"/>
    <col min="2071" max="2076" width="0" style="511" hidden="1" customWidth="1"/>
    <col min="2077" max="2077" width="11" style="511" bestFit="1" customWidth="1"/>
    <col min="2078" max="2078" width="8.83984375" style="511"/>
    <col min="2079" max="2079" width="11.578125" style="511" bestFit="1" customWidth="1"/>
    <col min="2080" max="2317" width="8.83984375" style="511"/>
    <col min="2318" max="2318" width="7" style="511" bestFit="1" customWidth="1"/>
    <col min="2319" max="2319" width="32" style="511" customWidth="1"/>
    <col min="2320" max="2320" width="5.578125" style="511" customWidth="1"/>
    <col min="2321" max="2321" width="6.578125" style="511" customWidth="1"/>
    <col min="2322" max="2322" width="10" style="511" customWidth="1"/>
    <col min="2323" max="2323" width="7.83984375" style="511" bestFit="1" customWidth="1"/>
    <col min="2324" max="2324" width="8.83984375" style="511" bestFit="1" customWidth="1"/>
    <col min="2325" max="2325" width="10.578125" style="511" bestFit="1" customWidth="1"/>
    <col min="2326" max="2326" width="5.15625" style="511" bestFit="1" customWidth="1"/>
    <col min="2327" max="2332" width="0" style="511" hidden="1" customWidth="1"/>
    <col min="2333" max="2333" width="11" style="511" bestFit="1" customWidth="1"/>
    <col min="2334" max="2334" width="8.83984375" style="511"/>
    <col min="2335" max="2335" width="11.578125" style="511" bestFit="1" customWidth="1"/>
    <col min="2336" max="2573" width="8.83984375" style="511"/>
    <col min="2574" max="2574" width="7" style="511" bestFit="1" customWidth="1"/>
    <col min="2575" max="2575" width="32" style="511" customWidth="1"/>
    <col min="2576" max="2576" width="5.578125" style="511" customWidth="1"/>
    <col min="2577" max="2577" width="6.578125" style="511" customWidth="1"/>
    <col min="2578" max="2578" width="10" style="511" customWidth="1"/>
    <col min="2579" max="2579" width="7.83984375" style="511" bestFit="1" customWidth="1"/>
    <col min="2580" max="2580" width="8.83984375" style="511" bestFit="1" customWidth="1"/>
    <col min="2581" max="2581" width="10.578125" style="511" bestFit="1" customWidth="1"/>
    <col min="2582" max="2582" width="5.15625" style="511" bestFit="1" customWidth="1"/>
    <col min="2583" max="2588" width="0" style="511" hidden="1" customWidth="1"/>
    <col min="2589" max="2589" width="11" style="511" bestFit="1" customWidth="1"/>
    <col min="2590" max="2590" width="8.83984375" style="511"/>
    <col min="2591" max="2591" width="11.578125" style="511" bestFit="1" customWidth="1"/>
    <col min="2592" max="2829" width="8.83984375" style="511"/>
    <col min="2830" max="2830" width="7" style="511" bestFit="1" customWidth="1"/>
    <col min="2831" max="2831" width="32" style="511" customWidth="1"/>
    <col min="2832" max="2832" width="5.578125" style="511" customWidth="1"/>
    <col min="2833" max="2833" width="6.578125" style="511" customWidth="1"/>
    <col min="2834" max="2834" width="10" style="511" customWidth="1"/>
    <col min="2835" max="2835" width="7.83984375" style="511" bestFit="1" customWidth="1"/>
    <col min="2836" max="2836" width="8.83984375" style="511" bestFit="1" customWidth="1"/>
    <col min="2837" max="2837" width="10.578125" style="511" bestFit="1" customWidth="1"/>
    <col min="2838" max="2838" width="5.15625" style="511" bestFit="1" customWidth="1"/>
    <col min="2839" max="2844" width="0" style="511" hidden="1" customWidth="1"/>
    <col min="2845" max="2845" width="11" style="511" bestFit="1" customWidth="1"/>
    <col min="2846" max="2846" width="8.83984375" style="511"/>
    <col min="2847" max="2847" width="11.578125" style="511" bestFit="1" customWidth="1"/>
    <col min="2848" max="3085" width="8.83984375" style="511"/>
    <col min="3086" max="3086" width="7" style="511" bestFit="1" customWidth="1"/>
    <col min="3087" max="3087" width="32" style="511" customWidth="1"/>
    <col min="3088" max="3088" width="5.578125" style="511" customWidth="1"/>
    <col min="3089" max="3089" width="6.578125" style="511" customWidth="1"/>
    <col min="3090" max="3090" width="10" style="511" customWidth="1"/>
    <col min="3091" max="3091" width="7.83984375" style="511" bestFit="1" customWidth="1"/>
    <col min="3092" max="3092" width="8.83984375" style="511" bestFit="1" customWidth="1"/>
    <col min="3093" max="3093" width="10.578125" style="511" bestFit="1" customWidth="1"/>
    <col min="3094" max="3094" width="5.15625" style="511" bestFit="1" customWidth="1"/>
    <col min="3095" max="3100" width="0" style="511" hidden="1" customWidth="1"/>
    <col min="3101" max="3101" width="11" style="511" bestFit="1" customWidth="1"/>
    <col min="3102" max="3102" width="8.83984375" style="511"/>
    <col min="3103" max="3103" width="11.578125" style="511" bestFit="1" customWidth="1"/>
    <col min="3104" max="3341" width="8.83984375" style="511"/>
    <col min="3342" max="3342" width="7" style="511" bestFit="1" customWidth="1"/>
    <col min="3343" max="3343" width="32" style="511" customWidth="1"/>
    <col min="3344" max="3344" width="5.578125" style="511" customWidth="1"/>
    <col min="3345" max="3345" width="6.578125" style="511" customWidth="1"/>
    <col min="3346" max="3346" width="10" style="511" customWidth="1"/>
    <col min="3347" max="3347" width="7.83984375" style="511" bestFit="1" customWidth="1"/>
    <col min="3348" max="3348" width="8.83984375" style="511" bestFit="1" customWidth="1"/>
    <col min="3349" max="3349" width="10.578125" style="511" bestFit="1" customWidth="1"/>
    <col min="3350" max="3350" width="5.15625" style="511" bestFit="1" customWidth="1"/>
    <col min="3351" max="3356" width="0" style="511" hidden="1" customWidth="1"/>
    <col min="3357" max="3357" width="11" style="511" bestFit="1" customWidth="1"/>
    <col min="3358" max="3358" width="8.83984375" style="511"/>
    <col min="3359" max="3359" width="11.578125" style="511" bestFit="1" customWidth="1"/>
    <col min="3360" max="3597" width="8.83984375" style="511"/>
    <col min="3598" max="3598" width="7" style="511" bestFit="1" customWidth="1"/>
    <col min="3599" max="3599" width="32" style="511" customWidth="1"/>
    <col min="3600" max="3600" width="5.578125" style="511" customWidth="1"/>
    <col min="3601" max="3601" width="6.578125" style="511" customWidth="1"/>
    <col min="3602" max="3602" width="10" style="511" customWidth="1"/>
    <col min="3603" max="3603" width="7.83984375" style="511" bestFit="1" customWidth="1"/>
    <col min="3604" max="3604" width="8.83984375" style="511" bestFit="1" customWidth="1"/>
    <col min="3605" max="3605" width="10.578125" style="511" bestFit="1" customWidth="1"/>
    <col min="3606" max="3606" width="5.15625" style="511" bestFit="1" customWidth="1"/>
    <col min="3607" max="3612" width="0" style="511" hidden="1" customWidth="1"/>
    <col min="3613" max="3613" width="11" style="511" bestFit="1" customWidth="1"/>
    <col min="3614" max="3614" width="8.83984375" style="511"/>
    <col min="3615" max="3615" width="11.578125" style="511" bestFit="1" customWidth="1"/>
    <col min="3616" max="3853" width="8.83984375" style="511"/>
    <col min="3854" max="3854" width="7" style="511" bestFit="1" customWidth="1"/>
    <col min="3855" max="3855" width="32" style="511" customWidth="1"/>
    <col min="3856" max="3856" width="5.578125" style="511" customWidth="1"/>
    <col min="3857" max="3857" width="6.578125" style="511" customWidth="1"/>
    <col min="3858" max="3858" width="10" style="511" customWidth="1"/>
    <col min="3859" max="3859" width="7.83984375" style="511" bestFit="1" customWidth="1"/>
    <col min="3860" max="3860" width="8.83984375" style="511" bestFit="1" customWidth="1"/>
    <col min="3861" max="3861" width="10.578125" style="511" bestFit="1" customWidth="1"/>
    <col min="3862" max="3862" width="5.15625" style="511" bestFit="1" customWidth="1"/>
    <col min="3863" max="3868" width="0" style="511" hidden="1" customWidth="1"/>
    <col min="3869" max="3869" width="11" style="511" bestFit="1" customWidth="1"/>
    <col min="3870" max="3870" width="8.83984375" style="511"/>
    <col min="3871" max="3871" width="11.578125" style="511" bestFit="1" customWidth="1"/>
    <col min="3872" max="4109" width="8.83984375" style="511"/>
    <col min="4110" max="4110" width="7" style="511" bestFit="1" customWidth="1"/>
    <col min="4111" max="4111" width="32" style="511" customWidth="1"/>
    <col min="4112" max="4112" width="5.578125" style="511" customWidth="1"/>
    <col min="4113" max="4113" width="6.578125" style="511" customWidth="1"/>
    <col min="4114" max="4114" width="10" style="511" customWidth="1"/>
    <col min="4115" max="4115" width="7.83984375" style="511" bestFit="1" customWidth="1"/>
    <col min="4116" max="4116" width="8.83984375" style="511" bestFit="1" customWidth="1"/>
    <col min="4117" max="4117" width="10.578125" style="511" bestFit="1" customWidth="1"/>
    <col min="4118" max="4118" width="5.15625" style="511" bestFit="1" customWidth="1"/>
    <col min="4119" max="4124" width="0" style="511" hidden="1" customWidth="1"/>
    <col min="4125" max="4125" width="11" style="511" bestFit="1" customWidth="1"/>
    <col min="4126" max="4126" width="8.83984375" style="511"/>
    <col min="4127" max="4127" width="11.578125" style="511" bestFit="1" customWidth="1"/>
    <col min="4128" max="4365" width="8.83984375" style="511"/>
    <col min="4366" max="4366" width="7" style="511" bestFit="1" customWidth="1"/>
    <col min="4367" max="4367" width="32" style="511" customWidth="1"/>
    <col min="4368" max="4368" width="5.578125" style="511" customWidth="1"/>
    <col min="4369" max="4369" width="6.578125" style="511" customWidth="1"/>
    <col min="4370" max="4370" width="10" style="511" customWidth="1"/>
    <col min="4371" max="4371" width="7.83984375" style="511" bestFit="1" customWidth="1"/>
    <col min="4372" max="4372" width="8.83984375" style="511" bestFit="1" customWidth="1"/>
    <col min="4373" max="4373" width="10.578125" style="511" bestFit="1" customWidth="1"/>
    <col min="4374" max="4374" width="5.15625" style="511" bestFit="1" customWidth="1"/>
    <col min="4375" max="4380" width="0" style="511" hidden="1" customWidth="1"/>
    <col min="4381" max="4381" width="11" style="511" bestFit="1" customWidth="1"/>
    <col min="4382" max="4382" width="8.83984375" style="511"/>
    <col min="4383" max="4383" width="11.578125" style="511" bestFit="1" customWidth="1"/>
    <col min="4384" max="4621" width="8.83984375" style="511"/>
    <col min="4622" max="4622" width="7" style="511" bestFit="1" customWidth="1"/>
    <col min="4623" max="4623" width="32" style="511" customWidth="1"/>
    <col min="4624" max="4624" width="5.578125" style="511" customWidth="1"/>
    <col min="4625" max="4625" width="6.578125" style="511" customWidth="1"/>
    <col min="4626" max="4626" width="10" style="511" customWidth="1"/>
    <col min="4627" max="4627" width="7.83984375" style="511" bestFit="1" customWidth="1"/>
    <col min="4628" max="4628" width="8.83984375" style="511" bestFit="1" customWidth="1"/>
    <col min="4629" max="4629" width="10.578125" style="511" bestFit="1" customWidth="1"/>
    <col min="4630" max="4630" width="5.15625" style="511" bestFit="1" customWidth="1"/>
    <col min="4631" max="4636" width="0" style="511" hidden="1" customWidth="1"/>
    <col min="4637" max="4637" width="11" style="511" bestFit="1" customWidth="1"/>
    <col min="4638" max="4638" width="8.83984375" style="511"/>
    <col min="4639" max="4639" width="11.578125" style="511" bestFit="1" customWidth="1"/>
    <col min="4640" max="4877" width="8.83984375" style="511"/>
    <col min="4878" max="4878" width="7" style="511" bestFit="1" customWidth="1"/>
    <col min="4879" max="4879" width="32" style="511" customWidth="1"/>
    <col min="4880" max="4880" width="5.578125" style="511" customWidth="1"/>
    <col min="4881" max="4881" width="6.578125" style="511" customWidth="1"/>
    <col min="4882" max="4882" width="10" style="511" customWidth="1"/>
    <col min="4883" max="4883" width="7.83984375" style="511" bestFit="1" customWidth="1"/>
    <col min="4884" max="4884" width="8.83984375" style="511" bestFit="1" customWidth="1"/>
    <col min="4885" max="4885" width="10.578125" style="511" bestFit="1" customWidth="1"/>
    <col min="4886" max="4886" width="5.15625" style="511" bestFit="1" customWidth="1"/>
    <col min="4887" max="4892" width="0" style="511" hidden="1" customWidth="1"/>
    <col min="4893" max="4893" width="11" style="511" bestFit="1" customWidth="1"/>
    <col min="4894" max="4894" width="8.83984375" style="511"/>
    <col min="4895" max="4895" width="11.578125" style="511" bestFit="1" customWidth="1"/>
    <col min="4896" max="5133" width="8.83984375" style="511"/>
    <col min="5134" max="5134" width="7" style="511" bestFit="1" customWidth="1"/>
    <col min="5135" max="5135" width="32" style="511" customWidth="1"/>
    <col min="5136" max="5136" width="5.578125" style="511" customWidth="1"/>
    <col min="5137" max="5137" width="6.578125" style="511" customWidth="1"/>
    <col min="5138" max="5138" width="10" style="511" customWidth="1"/>
    <col min="5139" max="5139" width="7.83984375" style="511" bestFit="1" customWidth="1"/>
    <col min="5140" max="5140" width="8.83984375" style="511" bestFit="1" customWidth="1"/>
    <col min="5141" max="5141" width="10.578125" style="511" bestFit="1" customWidth="1"/>
    <col min="5142" max="5142" width="5.15625" style="511" bestFit="1" customWidth="1"/>
    <col min="5143" max="5148" width="0" style="511" hidden="1" customWidth="1"/>
    <col min="5149" max="5149" width="11" style="511" bestFit="1" customWidth="1"/>
    <col min="5150" max="5150" width="8.83984375" style="511"/>
    <col min="5151" max="5151" width="11.578125" style="511" bestFit="1" customWidth="1"/>
    <col min="5152" max="5389" width="8.83984375" style="511"/>
    <col min="5390" max="5390" width="7" style="511" bestFit="1" customWidth="1"/>
    <col min="5391" max="5391" width="32" style="511" customWidth="1"/>
    <col min="5392" max="5392" width="5.578125" style="511" customWidth="1"/>
    <col min="5393" max="5393" width="6.578125" style="511" customWidth="1"/>
    <col min="5394" max="5394" width="10" style="511" customWidth="1"/>
    <col min="5395" max="5395" width="7.83984375" style="511" bestFit="1" customWidth="1"/>
    <col min="5396" max="5396" width="8.83984375" style="511" bestFit="1" customWidth="1"/>
    <col min="5397" max="5397" width="10.578125" style="511" bestFit="1" customWidth="1"/>
    <col min="5398" max="5398" width="5.15625" style="511" bestFit="1" customWidth="1"/>
    <col min="5399" max="5404" width="0" style="511" hidden="1" customWidth="1"/>
    <col min="5405" max="5405" width="11" style="511" bestFit="1" customWidth="1"/>
    <col min="5406" max="5406" width="8.83984375" style="511"/>
    <col min="5407" max="5407" width="11.578125" style="511" bestFit="1" customWidth="1"/>
    <col min="5408" max="5645" width="8.83984375" style="511"/>
    <col min="5646" max="5646" width="7" style="511" bestFit="1" customWidth="1"/>
    <col min="5647" max="5647" width="32" style="511" customWidth="1"/>
    <col min="5648" max="5648" width="5.578125" style="511" customWidth="1"/>
    <col min="5649" max="5649" width="6.578125" style="511" customWidth="1"/>
    <col min="5650" max="5650" width="10" style="511" customWidth="1"/>
    <col min="5651" max="5651" width="7.83984375" style="511" bestFit="1" customWidth="1"/>
    <col min="5652" max="5652" width="8.83984375" style="511" bestFit="1" customWidth="1"/>
    <col min="5653" max="5653" width="10.578125" style="511" bestFit="1" customWidth="1"/>
    <col min="5654" max="5654" width="5.15625" style="511" bestFit="1" customWidth="1"/>
    <col min="5655" max="5660" width="0" style="511" hidden="1" customWidth="1"/>
    <col min="5661" max="5661" width="11" style="511" bestFit="1" customWidth="1"/>
    <col min="5662" max="5662" width="8.83984375" style="511"/>
    <col min="5663" max="5663" width="11.578125" style="511" bestFit="1" customWidth="1"/>
    <col min="5664" max="5901" width="8.83984375" style="511"/>
    <col min="5902" max="5902" width="7" style="511" bestFit="1" customWidth="1"/>
    <col min="5903" max="5903" width="32" style="511" customWidth="1"/>
    <col min="5904" max="5904" width="5.578125" style="511" customWidth="1"/>
    <col min="5905" max="5905" width="6.578125" style="511" customWidth="1"/>
    <col min="5906" max="5906" width="10" style="511" customWidth="1"/>
    <col min="5907" max="5907" width="7.83984375" style="511" bestFit="1" customWidth="1"/>
    <col min="5908" max="5908" width="8.83984375" style="511" bestFit="1" customWidth="1"/>
    <col min="5909" max="5909" width="10.578125" style="511" bestFit="1" customWidth="1"/>
    <col min="5910" max="5910" width="5.15625" style="511" bestFit="1" customWidth="1"/>
    <col min="5911" max="5916" width="0" style="511" hidden="1" customWidth="1"/>
    <col min="5917" max="5917" width="11" style="511" bestFit="1" customWidth="1"/>
    <col min="5918" max="5918" width="8.83984375" style="511"/>
    <col min="5919" max="5919" width="11.578125" style="511" bestFit="1" customWidth="1"/>
    <col min="5920" max="6157" width="8.83984375" style="511"/>
    <col min="6158" max="6158" width="7" style="511" bestFit="1" customWidth="1"/>
    <col min="6159" max="6159" width="32" style="511" customWidth="1"/>
    <col min="6160" max="6160" width="5.578125" style="511" customWidth="1"/>
    <col min="6161" max="6161" width="6.578125" style="511" customWidth="1"/>
    <col min="6162" max="6162" width="10" style="511" customWidth="1"/>
    <col min="6163" max="6163" width="7.83984375" style="511" bestFit="1" customWidth="1"/>
    <col min="6164" max="6164" width="8.83984375" style="511" bestFit="1" customWidth="1"/>
    <col min="6165" max="6165" width="10.578125" style="511" bestFit="1" customWidth="1"/>
    <col min="6166" max="6166" width="5.15625" style="511" bestFit="1" customWidth="1"/>
    <col min="6167" max="6172" width="0" style="511" hidden="1" customWidth="1"/>
    <col min="6173" max="6173" width="11" style="511" bestFit="1" customWidth="1"/>
    <col min="6174" max="6174" width="8.83984375" style="511"/>
    <col min="6175" max="6175" width="11.578125" style="511" bestFit="1" customWidth="1"/>
    <col min="6176" max="6413" width="8.83984375" style="511"/>
    <col min="6414" max="6414" width="7" style="511" bestFit="1" customWidth="1"/>
    <col min="6415" max="6415" width="32" style="511" customWidth="1"/>
    <col min="6416" max="6416" width="5.578125" style="511" customWidth="1"/>
    <col min="6417" max="6417" width="6.578125" style="511" customWidth="1"/>
    <col min="6418" max="6418" width="10" style="511" customWidth="1"/>
    <col min="6419" max="6419" width="7.83984375" style="511" bestFit="1" customWidth="1"/>
    <col min="6420" max="6420" width="8.83984375" style="511" bestFit="1" customWidth="1"/>
    <col min="6421" max="6421" width="10.578125" style="511" bestFit="1" customWidth="1"/>
    <col min="6422" max="6422" width="5.15625" style="511" bestFit="1" customWidth="1"/>
    <col min="6423" max="6428" width="0" style="511" hidden="1" customWidth="1"/>
    <col min="6429" max="6429" width="11" style="511" bestFit="1" customWidth="1"/>
    <col min="6430" max="6430" width="8.83984375" style="511"/>
    <col min="6431" max="6431" width="11.578125" style="511" bestFit="1" customWidth="1"/>
    <col min="6432" max="6669" width="8.83984375" style="511"/>
    <col min="6670" max="6670" width="7" style="511" bestFit="1" customWidth="1"/>
    <col min="6671" max="6671" width="32" style="511" customWidth="1"/>
    <col min="6672" max="6672" width="5.578125" style="511" customWidth="1"/>
    <col min="6673" max="6673" width="6.578125" style="511" customWidth="1"/>
    <col min="6674" max="6674" width="10" style="511" customWidth="1"/>
    <col min="6675" max="6675" width="7.83984375" style="511" bestFit="1" customWidth="1"/>
    <col min="6676" max="6676" width="8.83984375" style="511" bestFit="1" customWidth="1"/>
    <col min="6677" max="6677" width="10.578125" style="511" bestFit="1" customWidth="1"/>
    <col min="6678" max="6678" width="5.15625" style="511" bestFit="1" customWidth="1"/>
    <col min="6679" max="6684" width="0" style="511" hidden="1" customWidth="1"/>
    <col min="6685" max="6685" width="11" style="511" bestFit="1" customWidth="1"/>
    <col min="6686" max="6686" width="8.83984375" style="511"/>
    <col min="6687" max="6687" width="11.578125" style="511" bestFit="1" customWidth="1"/>
    <col min="6688" max="6925" width="8.83984375" style="511"/>
    <col min="6926" max="6926" width="7" style="511" bestFit="1" customWidth="1"/>
    <col min="6927" max="6927" width="32" style="511" customWidth="1"/>
    <col min="6928" max="6928" width="5.578125" style="511" customWidth="1"/>
    <col min="6929" max="6929" width="6.578125" style="511" customWidth="1"/>
    <col min="6930" max="6930" width="10" style="511" customWidth="1"/>
    <col min="6931" max="6931" width="7.83984375" style="511" bestFit="1" customWidth="1"/>
    <col min="6932" max="6932" width="8.83984375" style="511" bestFit="1" customWidth="1"/>
    <col min="6933" max="6933" width="10.578125" style="511" bestFit="1" customWidth="1"/>
    <col min="6934" max="6934" width="5.15625" style="511" bestFit="1" customWidth="1"/>
    <col min="6935" max="6940" width="0" style="511" hidden="1" customWidth="1"/>
    <col min="6941" max="6941" width="11" style="511" bestFit="1" customWidth="1"/>
    <col min="6942" max="6942" width="8.83984375" style="511"/>
    <col min="6943" max="6943" width="11.578125" style="511" bestFit="1" customWidth="1"/>
    <col min="6944" max="7181" width="8.83984375" style="511"/>
    <col min="7182" max="7182" width="7" style="511" bestFit="1" customWidth="1"/>
    <col min="7183" max="7183" width="32" style="511" customWidth="1"/>
    <col min="7184" max="7184" width="5.578125" style="511" customWidth="1"/>
    <col min="7185" max="7185" width="6.578125" style="511" customWidth="1"/>
    <col min="7186" max="7186" width="10" style="511" customWidth="1"/>
    <col min="7187" max="7187" width="7.83984375" style="511" bestFit="1" customWidth="1"/>
    <col min="7188" max="7188" width="8.83984375" style="511" bestFit="1" customWidth="1"/>
    <col min="7189" max="7189" width="10.578125" style="511" bestFit="1" customWidth="1"/>
    <col min="7190" max="7190" width="5.15625" style="511" bestFit="1" customWidth="1"/>
    <col min="7191" max="7196" width="0" style="511" hidden="1" customWidth="1"/>
    <col min="7197" max="7197" width="11" style="511" bestFit="1" customWidth="1"/>
    <col min="7198" max="7198" width="8.83984375" style="511"/>
    <col min="7199" max="7199" width="11.578125" style="511" bestFit="1" customWidth="1"/>
    <col min="7200" max="7437" width="8.83984375" style="511"/>
    <col min="7438" max="7438" width="7" style="511" bestFit="1" customWidth="1"/>
    <col min="7439" max="7439" width="32" style="511" customWidth="1"/>
    <col min="7440" max="7440" width="5.578125" style="511" customWidth="1"/>
    <col min="7441" max="7441" width="6.578125" style="511" customWidth="1"/>
    <col min="7442" max="7442" width="10" style="511" customWidth="1"/>
    <col min="7443" max="7443" width="7.83984375" style="511" bestFit="1" customWidth="1"/>
    <col min="7444" max="7444" width="8.83984375" style="511" bestFit="1" customWidth="1"/>
    <col min="7445" max="7445" width="10.578125" style="511" bestFit="1" customWidth="1"/>
    <col min="7446" max="7446" width="5.15625" style="511" bestFit="1" customWidth="1"/>
    <col min="7447" max="7452" width="0" style="511" hidden="1" customWidth="1"/>
    <col min="7453" max="7453" width="11" style="511" bestFit="1" customWidth="1"/>
    <col min="7454" max="7454" width="8.83984375" style="511"/>
    <col min="7455" max="7455" width="11.578125" style="511" bestFit="1" customWidth="1"/>
    <col min="7456" max="7693" width="8.83984375" style="511"/>
    <col min="7694" max="7694" width="7" style="511" bestFit="1" customWidth="1"/>
    <col min="7695" max="7695" width="32" style="511" customWidth="1"/>
    <col min="7696" max="7696" width="5.578125" style="511" customWidth="1"/>
    <col min="7697" max="7697" width="6.578125" style="511" customWidth="1"/>
    <col min="7698" max="7698" width="10" style="511" customWidth="1"/>
    <col min="7699" max="7699" width="7.83984375" style="511" bestFit="1" customWidth="1"/>
    <col min="7700" max="7700" width="8.83984375" style="511" bestFit="1" customWidth="1"/>
    <col min="7701" max="7701" width="10.578125" style="511" bestFit="1" customWidth="1"/>
    <col min="7702" max="7702" width="5.15625" style="511" bestFit="1" customWidth="1"/>
    <col min="7703" max="7708" width="0" style="511" hidden="1" customWidth="1"/>
    <col min="7709" max="7709" width="11" style="511" bestFit="1" customWidth="1"/>
    <col min="7710" max="7710" width="8.83984375" style="511"/>
    <col min="7711" max="7711" width="11.578125" style="511" bestFit="1" customWidth="1"/>
    <col min="7712" max="7949" width="8.83984375" style="511"/>
    <col min="7950" max="7950" width="7" style="511" bestFit="1" customWidth="1"/>
    <col min="7951" max="7951" width="32" style="511" customWidth="1"/>
    <col min="7952" max="7952" width="5.578125" style="511" customWidth="1"/>
    <col min="7953" max="7953" width="6.578125" style="511" customWidth="1"/>
    <col min="7954" max="7954" width="10" style="511" customWidth="1"/>
    <col min="7955" max="7955" width="7.83984375" style="511" bestFit="1" customWidth="1"/>
    <col min="7956" max="7956" width="8.83984375" style="511" bestFit="1" customWidth="1"/>
    <col min="7957" max="7957" width="10.578125" style="511" bestFit="1" customWidth="1"/>
    <col min="7958" max="7958" width="5.15625" style="511" bestFit="1" customWidth="1"/>
    <col min="7959" max="7964" width="0" style="511" hidden="1" customWidth="1"/>
    <col min="7965" max="7965" width="11" style="511" bestFit="1" customWidth="1"/>
    <col min="7966" max="7966" width="8.83984375" style="511"/>
    <col min="7967" max="7967" width="11.578125" style="511" bestFit="1" customWidth="1"/>
    <col min="7968" max="8205" width="8.83984375" style="511"/>
    <col min="8206" max="8206" width="7" style="511" bestFit="1" customWidth="1"/>
    <col min="8207" max="8207" width="32" style="511" customWidth="1"/>
    <col min="8208" max="8208" width="5.578125" style="511" customWidth="1"/>
    <col min="8209" max="8209" width="6.578125" style="511" customWidth="1"/>
    <col min="8210" max="8210" width="10" style="511" customWidth="1"/>
    <col min="8211" max="8211" width="7.83984375" style="511" bestFit="1" customWidth="1"/>
    <col min="8212" max="8212" width="8.83984375" style="511" bestFit="1" customWidth="1"/>
    <col min="8213" max="8213" width="10.578125" style="511" bestFit="1" customWidth="1"/>
    <col min="8214" max="8214" width="5.15625" style="511" bestFit="1" customWidth="1"/>
    <col min="8215" max="8220" width="0" style="511" hidden="1" customWidth="1"/>
    <col min="8221" max="8221" width="11" style="511" bestFit="1" customWidth="1"/>
    <col min="8222" max="8222" width="8.83984375" style="511"/>
    <col min="8223" max="8223" width="11.578125" style="511" bestFit="1" customWidth="1"/>
    <col min="8224" max="8461" width="8.83984375" style="511"/>
    <col min="8462" max="8462" width="7" style="511" bestFit="1" customWidth="1"/>
    <col min="8463" max="8463" width="32" style="511" customWidth="1"/>
    <col min="8464" max="8464" width="5.578125" style="511" customWidth="1"/>
    <col min="8465" max="8465" width="6.578125" style="511" customWidth="1"/>
    <col min="8466" max="8466" width="10" style="511" customWidth="1"/>
    <col min="8467" max="8467" width="7.83984375" style="511" bestFit="1" customWidth="1"/>
    <col min="8468" max="8468" width="8.83984375" style="511" bestFit="1" customWidth="1"/>
    <col min="8469" max="8469" width="10.578125" style="511" bestFit="1" customWidth="1"/>
    <col min="8470" max="8470" width="5.15625" style="511" bestFit="1" customWidth="1"/>
    <col min="8471" max="8476" width="0" style="511" hidden="1" customWidth="1"/>
    <col min="8477" max="8477" width="11" style="511" bestFit="1" customWidth="1"/>
    <col min="8478" max="8478" width="8.83984375" style="511"/>
    <col min="8479" max="8479" width="11.578125" style="511" bestFit="1" customWidth="1"/>
    <col min="8480" max="8717" width="8.83984375" style="511"/>
    <col min="8718" max="8718" width="7" style="511" bestFit="1" customWidth="1"/>
    <col min="8719" max="8719" width="32" style="511" customWidth="1"/>
    <col min="8720" max="8720" width="5.578125" style="511" customWidth="1"/>
    <col min="8721" max="8721" width="6.578125" style="511" customWidth="1"/>
    <col min="8722" max="8722" width="10" style="511" customWidth="1"/>
    <col min="8723" max="8723" width="7.83984375" style="511" bestFit="1" customWidth="1"/>
    <col min="8724" max="8724" width="8.83984375" style="511" bestFit="1" customWidth="1"/>
    <col min="8725" max="8725" width="10.578125" style="511" bestFit="1" customWidth="1"/>
    <col min="8726" max="8726" width="5.15625" style="511" bestFit="1" customWidth="1"/>
    <col min="8727" max="8732" width="0" style="511" hidden="1" customWidth="1"/>
    <col min="8733" max="8733" width="11" style="511" bestFit="1" customWidth="1"/>
    <col min="8734" max="8734" width="8.83984375" style="511"/>
    <col min="8735" max="8735" width="11.578125" style="511" bestFit="1" customWidth="1"/>
    <col min="8736" max="8973" width="8.83984375" style="511"/>
    <col min="8974" max="8974" width="7" style="511" bestFit="1" customWidth="1"/>
    <col min="8975" max="8975" width="32" style="511" customWidth="1"/>
    <col min="8976" max="8976" width="5.578125" style="511" customWidth="1"/>
    <col min="8977" max="8977" width="6.578125" style="511" customWidth="1"/>
    <col min="8978" max="8978" width="10" style="511" customWidth="1"/>
    <col min="8979" max="8979" width="7.83984375" style="511" bestFit="1" customWidth="1"/>
    <col min="8980" max="8980" width="8.83984375" style="511" bestFit="1" customWidth="1"/>
    <col min="8981" max="8981" width="10.578125" style="511" bestFit="1" customWidth="1"/>
    <col min="8982" max="8982" width="5.15625" style="511" bestFit="1" customWidth="1"/>
    <col min="8983" max="8988" width="0" style="511" hidden="1" customWidth="1"/>
    <col min="8989" max="8989" width="11" style="511" bestFit="1" customWidth="1"/>
    <col min="8990" max="8990" width="8.83984375" style="511"/>
    <col min="8991" max="8991" width="11.578125" style="511" bestFit="1" customWidth="1"/>
    <col min="8992" max="9229" width="8.83984375" style="511"/>
    <col min="9230" max="9230" width="7" style="511" bestFit="1" customWidth="1"/>
    <col min="9231" max="9231" width="32" style="511" customWidth="1"/>
    <col min="9232" max="9232" width="5.578125" style="511" customWidth="1"/>
    <col min="9233" max="9233" width="6.578125" style="511" customWidth="1"/>
    <col min="9234" max="9234" width="10" style="511" customWidth="1"/>
    <col min="9235" max="9235" width="7.83984375" style="511" bestFit="1" customWidth="1"/>
    <col min="9236" max="9236" width="8.83984375" style="511" bestFit="1" customWidth="1"/>
    <col min="9237" max="9237" width="10.578125" style="511" bestFit="1" customWidth="1"/>
    <col min="9238" max="9238" width="5.15625" style="511" bestFit="1" customWidth="1"/>
    <col min="9239" max="9244" width="0" style="511" hidden="1" customWidth="1"/>
    <col min="9245" max="9245" width="11" style="511" bestFit="1" customWidth="1"/>
    <col min="9246" max="9246" width="8.83984375" style="511"/>
    <col min="9247" max="9247" width="11.578125" style="511" bestFit="1" customWidth="1"/>
    <col min="9248" max="9485" width="8.83984375" style="511"/>
    <col min="9486" max="9486" width="7" style="511" bestFit="1" customWidth="1"/>
    <col min="9487" max="9487" width="32" style="511" customWidth="1"/>
    <col min="9488" max="9488" width="5.578125" style="511" customWidth="1"/>
    <col min="9489" max="9489" width="6.578125" style="511" customWidth="1"/>
    <col min="9490" max="9490" width="10" style="511" customWidth="1"/>
    <col min="9491" max="9491" width="7.83984375" style="511" bestFit="1" customWidth="1"/>
    <col min="9492" max="9492" width="8.83984375" style="511" bestFit="1" customWidth="1"/>
    <col min="9493" max="9493" width="10.578125" style="511" bestFit="1" customWidth="1"/>
    <col min="9494" max="9494" width="5.15625" style="511" bestFit="1" customWidth="1"/>
    <col min="9495" max="9500" width="0" style="511" hidden="1" customWidth="1"/>
    <col min="9501" max="9501" width="11" style="511" bestFit="1" customWidth="1"/>
    <col min="9502" max="9502" width="8.83984375" style="511"/>
    <col min="9503" max="9503" width="11.578125" style="511" bestFit="1" customWidth="1"/>
    <col min="9504" max="9741" width="8.83984375" style="511"/>
    <col min="9742" max="9742" width="7" style="511" bestFit="1" customWidth="1"/>
    <col min="9743" max="9743" width="32" style="511" customWidth="1"/>
    <col min="9744" max="9744" width="5.578125" style="511" customWidth="1"/>
    <col min="9745" max="9745" width="6.578125" style="511" customWidth="1"/>
    <col min="9746" max="9746" width="10" style="511" customWidth="1"/>
    <col min="9747" max="9747" width="7.83984375" style="511" bestFit="1" customWidth="1"/>
    <col min="9748" max="9748" width="8.83984375" style="511" bestFit="1" customWidth="1"/>
    <col min="9749" max="9749" width="10.578125" style="511" bestFit="1" customWidth="1"/>
    <col min="9750" max="9750" width="5.15625" style="511" bestFit="1" customWidth="1"/>
    <col min="9751" max="9756" width="0" style="511" hidden="1" customWidth="1"/>
    <col min="9757" max="9757" width="11" style="511" bestFit="1" customWidth="1"/>
    <col min="9758" max="9758" width="8.83984375" style="511"/>
    <col min="9759" max="9759" width="11.578125" style="511" bestFit="1" customWidth="1"/>
    <col min="9760" max="9997" width="8.83984375" style="511"/>
    <col min="9998" max="9998" width="7" style="511" bestFit="1" customWidth="1"/>
    <col min="9999" max="9999" width="32" style="511" customWidth="1"/>
    <col min="10000" max="10000" width="5.578125" style="511" customWidth="1"/>
    <col min="10001" max="10001" width="6.578125" style="511" customWidth="1"/>
    <col min="10002" max="10002" width="10" style="511" customWidth="1"/>
    <col min="10003" max="10003" width="7.83984375" style="511" bestFit="1" customWidth="1"/>
    <col min="10004" max="10004" width="8.83984375" style="511" bestFit="1" customWidth="1"/>
    <col min="10005" max="10005" width="10.578125" style="511" bestFit="1" customWidth="1"/>
    <col min="10006" max="10006" width="5.15625" style="511" bestFit="1" customWidth="1"/>
    <col min="10007" max="10012" width="0" style="511" hidden="1" customWidth="1"/>
    <col min="10013" max="10013" width="11" style="511" bestFit="1" customWidth="1"/>
    <col min="10014" max="10014" width="8.83984375" style="511"/>
    <col min="10015" max="10015" width="11.578125" style="511" bestFit="1" customWidth="1"/>
    <col min="10016" max="10253" width="8.83984375" style="511"/>
    <col min="10254" max="10254" width="7" style="511" bestFit="1" customWidth="1"/>
    <col min="10255" max="10255" width="32" style="511" customWidth="1"/>
    <col min="10256" max="10256" width="5.578125" style="511" customWidth="1"/>
    <col min="10257" max="10257" width="6.578125" style="511" customWidth="1"/>
    <col min="10258" max="10258" width="10" style="511" customWidth="1"/>
    <col min="10259" max="10259" width="7.83984375" style="511" bestFit="1" customWidth="1"/>
    <col min="10260" max="10260" width="8.83984375" style="511" bestFit="1" customWidth="1"/>
    <col min="10261" max="10261" width="10.578125" style="511" bestFit="1" customWidth="1"/>
    <col min="10262" max="10262" width="5.15625" style="511" bestFit="1" customWidth="1"/>
    <col min="10263" max="10268" width="0" style="511" hidden="1" customWidth="1"/>
    <col min="10269" max="10269" width="11" style="511" bestFit="1" customWidth="1"/>
    <col min="10270" max="10270" width="8.83984375" style="511"/>
    <col min="10271" max="10271" width="11.578125" style="511" bestFit="1" customWidth="1"/>
    <col min="10272" max="10509" width="8.83984375" style="511"/>
    <col min="10510" max="10510" width="7" style="511" bestFit="1" customWidth="1"/>
    <col min="10511" max="10511" width="32" style="511" customWidth="1"/>
    <col min="10512" max="10512" width="5.578125" style="511" customWidth="1"/>
    <col min="10513" max="10513" width="6.578125" style="511" customWidth="1"/>
    <col min="10514" max="10514" width="10" style="511" customWidth="1"/>
    <col min="10515" max="10515" width="7.83984375" style="511" bestFit="1" customWidth="1"/>
    <col min="10516" max="10516" width="8.83984375" style="511" bestFit="1" customWidth="1"/>
    <col min="10517" max="10517" width="10.578125" style="511" bestFit="1" customWidth="1"/>
    <col min="10518" max="10518" width="5.15625" style="511" bestFit="1" customWidth="1"/>
    <col min="10519" max="10524" width="0" style="511" hidden="1" customWidth="1"/>
    <col min="10525" max="10525" width="11" style="511" bestFit="1" customWidth="1"/>
    <col min="10526" max="10526" width="8.83984375" style="511"/>
    <col min="10527" max="10527" width="11.578125" style="511" bestFit="1" customWidth="1"/>
    <col min="10528" max="10765" width="8.83984375" style="511"/>
    <col min="10766" max="10766" width="7" style="511" bestFit="1" customWidth="1"/>
    <col min="10767" max="10767" width="32" style="511" customWidth="1"/>
    <col min="10768" max="10768" width="5.578125" style="511" customWidth="1"/>
    <col min="10769" max="10769" width="6.578125" style="511" customWidth="1"/>
    <col min="10770" max="10770" width="10" style="511" customWidth="1"/>
    <col min="10771" max="10771" width="7.83984375" style="511" bestFit="1" customWidth="1"/>
    <col min="10772" max="10772" width="8.83984375" style="511" bestFit="1" customWidth="1"/>
    <col min="10773" max="10773" width="10.578125" style="511" bestFit="1" customWidth="1"/>
    <col min="10774" max="10774" width="5.15625" style="511" bestFit="1" customWidth="1"/>
    <col min="10775" max="10780" width="0" style="511" hidden="1" customWidth="1"/>
    <col min="10781" max="10781" width="11" style="511" bestFit="1" customWidth="1"/>
    <col min="10782" max="10782" width="8.83984375" style="511"/>
    <col min="10783" max="10783" width="11.578125" style="511" bestFit="1" customWidth="1"/>
    <col min="10784" max="11021" width="8.83984375" style="511"/>
    <col min="11022" max="11022" width="7" style="511" bestFit="1" customWidth="1"/>
    <col min="11023" max="11023" width="32" style="511" customWidth="1"/>
    <col min="11024" max="11024" width="5.578125" style="511" customWidth="1"/>
    <col min="11025" max="11025" width="6.578125" style="511" customWidth="1"/>
    <col min="11026" max="11026" width="10" style="511" customWidth="1"/>
    <col min="11027" max="11027" width="7.83984375" style="511" bestFit="1" customWidth="1"/>
    <col min="11028" max="11028" width="8.83984375" style="511" bestFit="1" customWidth="1"/>
    <col min="11029" max="11029" width="10.578125" style="511" bestFit="1" customWidth="1"/>
    <col min="11030" max="11030" width="5.15625" style="511" bestFit="1" customWidth="1"/>
    <col min="11031" max="11036" width="0" style="511" hidden="1" customWidth="1"/>
    <col min="11037" max="11037" width="11" style="511" bestFit="1" customWidth="1"/>
    <col min="11038" max="11038" width="8.83984375" style="511"/>
    <col min="11039" max="11039" width="11.578125" style="511" bestFit="1" customWidth="1"/>
    <col min="11040" max="11277" width="8.83984375" style="511"/>
    <col min="11278" max="11278" width="7" style="511" bestFit="1" customWidth="1"/>
    <col min="11279" max="11279" width="32" style="511" customWidth="1"/>
    <col min="11280" max="11280" width="5.578125" style="511" customWidth="1"/>
    <col min="11281" max="11281" width="6.578125" style="511" customWidth="1"/>
    <col min="11282" max="11282" width="10" style="511" customWidth="1"/>
    <col min="11283" max="11283" width="7.83984375" style="511" bestFit="1" customWidth="1"/>
    <col min="11284" max="11284" width="8.83984375" style="511" bestFit="1" customWidth="1"/>
    <col min="11285" max="11285" width="10.578125" style="511" bestFit="1" customWidth="1"/>
    <col min="11286" max="11286" width="5.15625" style="511" bestFit="1" customWidth="1"/>
    <col min="11287" max="11292" width="0" style="511" hidden="1" customWidth="1"/>
    <col min="11293" max="11293" width="11" style="511" bestFit="1" customWidth="1"/>
    <col min="11294" max="11294" width="8.83984375" style="511"/>
    <col min="11295" max="11295" width="11.578125" style="511" bestFit="1" customWidth="1"/>
    <col min="11296" max="11533" width="8.83984375" style="511"/>
    <col min="11534" max="11534" width="7" style="511" bestFit="1" customWidth="1"/>
    <col min="11535" max="11535" width="32" style="511" customWidth="1"/>
    <col min="11536" max="11536" width="5.578125" style="511" customWidth="1"/>
    <col min="11537" max="11537" width="6.578125" style="511" customWidth="1"/>
    <col min="11538" max="11538" width="10" style="511" customWidth="1"/>
    <col min="11539" max="11539" width="7.83984375" style="511" bestFit="1" customWidth="1"/>
    <col min="11540" max="11540" width="8.83984375" style="511" bestFit="1" customWidth="1"/>
    <col min="11541" max="11541" width="10.578125" style="511" bestFit="1" customWidth="1"/>
    <col min="11542" max="11542" width="5.15625" style="511" bestFit="1" customWidth="1"/>
    <col min="11543" max="11548" width="0" style="511" hidden="1" customWidth="1"/>
    <col min="11549" max="11549" width="11" style="511" bestFit="1" customWidth="1"/>
    <col min="11550" max="11550" width="8.83984375" style="511"/>
    <col min="11551" max="11551" width="11.578125" style="511" bestFit="1" customWidth="1"/>
    <col min="11552" max="11789" width="8.83984375" style="511"/>
    <col min="11790" max="11790" width="7" style="511" bestFit="1" customWidth="1"/>
    <col min="11791" max="11791" width="32" style="511" customWidth="1"/>
    <col min="11792" max="11792" width="5.578125" style="511" customWidth="1"/>
    <col min="11793" max="11793" width="6.578125" style="511" customWidth="1"/>
    <col min="11794" max="11794" width="10" style="511" customWidth="1"/>
    <col min="11795" max="11795" width="7.83984375" style="511" bestFit="1" customWidth="1"/>
    <col min="11796" max="11796" width="8.83984375" style="511" bestFit="1" customWidth="1"/>
    <col min="11797" max="11797" width="10.578125" style="511" bestFit="1" customWidth="1"/>
    <col min="11798" max="11798" width="5.15625" style="511" bestFit="1" customWidth="1"/>
    <col min="11799" max="11804" width="0" style="511" hidden="1" customWidth="1"/>
    <col min="11805" max="11805" width="11" style="511" bestFit="1" customWidth="1"/>
    <col min="11806" max="11806" width="8.83984375" style="511"/>
    <col min="11807" max="11807" width="11.578125" style="511" bestFit="1" customWidth="1"/>
    <col min="11808" max="12045" width="8.83984375" style="511"/>
    <col min="12046" max="12046" width="7" style="511" bestFit="1" customWidth="1"/>
    <col min="12047" max="12047" width="32" style="511" customWidth="1"/>
    <col min="12048" max="12048" width="5.578125" style="511" customWidth="1"/>
    <col min="12049" max="12049" width="6.578125" style="511" customWidth="1"/>
    <col min="12050" max="12050" width="10" style="511" customWidth="1"/>
    <col min="12051" max="12051" width="7.83984375" style="511" bestFit="1" customWidth="1"/>
    <col min="12052" max="12052" width="8.83984375" style="511" bestFit="1" customWidth="1"/>
    <col min="12053" max="12053" width="10.578125" style="511" bestFit="1" customWidth="1"/>
    <col min="12054" max="12054" width="5.15625" style="511" bestFit="1" customWidth="1"/>
    <col min="12055" max="12060" width="0" style="511" hidden="1" customWidth="1"/>
    <col min="12061" max="12061" width="11" style="511" bestFit="1" customWidth="1"/>
    <col min="12062" max="12062" width="8.83984375" style="511"/>
    <col min="12063" max="12063" width="11.578125" style="511" bestFit="1" customWidth="1"/>
    <col min="12064" max="12301" width="8.83984375" style="511"/>
    <col min="12302" max="12302" width="7" style="511" bestFit="1" customWidth="1"/>
    <col min="12303" max="12303" width="32" style="511" customWidth="1"/>
    <col min="12304" max="12304" width="5.578125" style="511" customWidth="1"/>
    <col min="12305" max="12305" width="6.578125" style="511" customWidth="1"/>
    <col min="12306" max="12306" width="10" style="511" customWidth="1"/>
    <col min="12307" max="12307" width="7.83984375" style="511" bestFit="1" customWidth="1"/>
    <col min="12308" max="12308" width="8.83984375" style="511" bestFit="1" customWidth="1"/>
    <col min="12309" max="12309" width="10.578125" style="511" bestFit="1" customWidth="1"/>
    <col min="12310" max="12310" width="5.15625" style="511" bestFit="1" customWidth="1"/>
    <col min="12311" max="12316" width="0" style="511" hidden="1" customWidth="1"/>
    <col min="12317" max="12317" width="11" style="511" bestFit="1" customWidth="1"/>
    <col min="12318" max="12318" width="8.83984375" style="511"/>
    <col min="12319" max="12319" width="11.578125" style="511" bestFit="1" customWidth="1"/>
    <col min="12320" max="12557" width="8.83984375" style="511"/>
    <col min="12558" max="12558" width="7" style="511" bestFit="1" customWidth="1"/>
    <col min="12559" max="12559" width="32" style="511" customWidth="1"/>
    <col min="12560" max="12560" width="5.578125" style="511" customWidth="1"/>
    <col min="12561" max="12561" width="6.578125" style="511" customWidth="1"/>
    <col min="12562" max="12562" width="10" style="511" customWidth="1"/>
    <col min="12563" max="12563" width="7.83984375" style="511" bestFit="1" customWidth="1"/>
    <col min="12564" max="12564" width="8.83984375" style="511" bestFit="1" customWidth="1"/>
    <col min="12565" max="12565" width="10.578125" style="511" bestFit="1" customWidth="1"/>
    <col min="12566" max="12566" width="5.15625" style="511" bestFit="1" customWidth="1"/>
    <col min="12567" max="12572" width="0" style="511" hidden="1" customWidth="1"/>
    <col min="12573" max="12573" width="11" style="511" bestFit="1" customWidth="1"/>
    <col min="12574" max="12574" width="8.83984375" style="511"/>
    <col min="12575" max="12575" width="11.578125" style="511" bestFit="1" customWidth="1"/>
    <col min="12576" max="12813" width="8.83984375" style="511"/>
    <col min="12814" max="12814" width="7" style="511" bestFit="1" customWidth="1"/>
    <col min="12815" max="12815" width="32" style="511" customWidth="1"/>
    <col min="12816" max="12816" width="5.578125" style="511" customWidth="1"/>
    <col min="12817" max="12817" width="6.578125" style="511" customWidth="1"/>
    <col min="12818" max="12818" width="10" style="511" customWidth="1"/>
    <col min="12819" max="12819" width="7.83984375" style="511" bestFit="1" customWidth="1"/>
    <col min="12820" max="12820" width="8.83984375" style="511" bestFit="1" customWidth="1"/>
    <col min="12821" max="12821" width="10.578125" style="511" bestFit="1" customWidth="1"/>
    <col min="12822" max="12822" width="5.15625" style="511" bestFit="1" customWidth="1"/>
    <col min="12823" max="12828" width="0" style="511" hidden="1" customWidth="1"/>
    <col min="12829" max="12829" width="11" style="511" bestFit="1" customWidth="1"/>
    <col min="12830" max="12830" width="8.83984375" style="511"/>
    <col min="12831" max="12831" width="11.578125" style="511" bestFit="1" customWidth="1"/>
    <col min="12832" max="13069" width="8.83984375" style="511"/>
    <col min="13070" max="13070" width="7" style="511" bestFit="1" customWidth="1"/>
    <col min="13071" max="13071" width="32" style="511" customWidth="1"/>
    <col min="13072" max="13072" width="5.578125" style="511" customWidth="1"/>
    <col min="13073" max="13073" width="6.578125" style="511" customWidth="1"/>
    <col min="13074" max="13074" width="10" style="511" customWidth="1"/>
    <col min="13075" max="13075" width="7.83984375" style="511" bestFit="1" customWidth="1"/>
    <col min="13076" max="13076" width="8.83984375" style="511" bestFit="1" customWidth="1"/>
    <col min="13077" max="13077" width="10.578125" style="511" bestFit="1" customWidth="1"/>
    <col min="13078" max="13078" width="5.15625" style="511" bestFit="1" customWidth="1"/>
    <col min="13079" max="13084" width="0" style="511" hidden="1" customWidth="1"/>
    <col min="13085" max="13085" width="11" style="511" bestFit="1" customWidth="1"/>
    <col min="13086" max="13086" width="8.83984375" style="511"/>
    <col min="13087" max="13087" width="11.578125" style="511" bestFit="1" customWidth="1"/>
    <col min="13088" max="13325" width="8.83984375" style="511"/>
    <col min="13326" max="13326" width="7" style="511" bestFit="1" customWidth="1"/>
    <col min="13327" max="13327" width="32" style="511" customWidth="1"/>
    <col min="13328" max="13328" width="5.578125" style="511" customWidth="1"/>
    <col min="13329" max="13329" width="6.578125" style="511" customWidth="1"/>
    <col min="13330" max="13330" width="10" style="511" customWidth="1"/>
    <col min="13331" max="13331" width="7.83984375" style="511" bestFit="1" customWidth="1"/>
    <col min="13332" max="13332" width="8.83984375" style="511" bestFit="1" customWidth="1"/>
    <col min="13333" max="13333" width="10.578125" style="511" bestFit="1" customWidth="1"/>
    <col min="13334" max="13334" width="5.15625" style="511" bestFit="1" customWidth="1"/>
    <col min="13335" max="13340" width="0" style="511" hidden="1" customWidth="1"/>
    <col min="13341" max="13341" width="11" style="511" bestFit="1" customWidth="1"/>
    <col min="13342" max="13342" width="8.83984375" style="511"/>
    <col min="13343" max="13343" width="11.578125" style="511" bestFit="1" customWidth="1"/>
    <col min="13344" max="13581" width="8.83984375" style="511"/>
    <col min="13582" max="13582" width="7" style="511" bestFit="1" customWidth="1"/>
    <col min="13583" max="13583" width="32" style="511" customWidth="1"/>
    <col min="13584" max="13584" width="5.578125" style="511" customWidth="1"/>
    <col min="13585" max="13585" width="6.578125" style="511" customWidth="1"/>
    <col min="13586" max="13586" width="10" style="511" customWidth="1"/>
    <col min="13587" max="13587" width="7.83984375" style="511" bestFit="1" customWidth="1"/>
    <col min="13588" max="13588" width="8.83984375" style="511" bestFit="1" customWidth="1"/>
    <col min="13589" max="13589" width="10.578125" style="511" bestFit="1" customWidth="1"/>
    <col min="13590" max="13590" width="5.15625" style="511" bestFit="1" customWidth="1"/>
    <col min="13591" max="13596" width="0" style="511" hidden="1" customWidth="1"/>
    <col min="13597" max="13597" width="11" style="511" bestFit="1" customWidth="1"/>
    <col min="13598" max="13598" width="8.83984375" style="511"/>
    <col min="13599" max="13599" width="11.578125" style="511" bestFit="1" customWidth="1"/>
    <col min="13600" max="13837" width="8.83984375" style="511"/>
    <col min="13838" max="13838" width="7" style="511" bestFit="1" customWidth="1"/>
    <col min="13839" max="13839" width="32" style="511" customWidth="1"/>
    <col min="13840" max="13840" width="5.578125" style="511" customWidth="1"/>
    <col min="13841" max="13841" width="6.578125" style="511" customWidth="1"/>
    <col min="13842" max="13842" width="10" style="511" customWidth="1"/>
    <col min="13843" max="13843" width="7.83984375" style="511" bestFit="1" customWidth="1"/>
    <col min="13844" max="13844" width="8.83984375" style="511" bestFit="1" customWidth="1"/>
    <col min="13845" max="13845" width="10.578125" style="511" bestFit="1" customWidth="1"/>
    <col min="13846" max="13846" width="5.15625" style="511" bestFit="1" customWidth="1"/>
    <col min="13847" max="13852" width="0" style="511" hidden="1" customWidth="1"/>
    <col min="13853" max="13853" width="11" style="511" bestFit="1" customWidth="1"/>
    <col min="13854" max="13854" width="8.83984375" style="511"/>
    <col min="13855" max="13855" width="11.578125" style="511" bestFit="1" customWidth="1"/>
    <col min="13856" max="14093" width="8.83984375" style="511"/>
    <col min="14094" max="14094" width="7" style="511" bestFit="1" customWidth="1"/>
    <col min="14095" max="14095" width="32" style="511" customWidth="1"/>
    <col min="14096" max="14096" width="5.578125" style="511" customWidth="1"/>
    <col min="14097" max="14097" width="6.578125" style="511" customWidth="1"/>
    <col min="14098" max="14098" width="10" style="511" customWidth="1"/>
    <col min="14099" max="14099" width="7.83984375" style="511" bestFit="1" customWidth="1"/>
    <col min="14100" max="14100" width="8.83984375" style="511" bestFit="1" customWidth="1"/>
    <col min="14101" max="14101" width="10.578125" style="511" bestFit="1" customWidth="1"/>
    <col min="14102" max="14102" width="5.15625" style="511" bestFit="1" customWidth="1"/>
    <col min="14103" max="14108" width="0" style="511" hidden="1" customWidth="1"/>
    <col min="14109" max="14109" width="11" style="511" bestFit="1" customWidth="1"/>
    <col min="14110" max="14110" width="8.83984375" style="511"/>
    <col min="14111" max="14111" width="11.578125" style="511" bestFit="1" customWidth="1"/>
    <col min="14112" max="14349" width="8.83984375" style="511"/>
    <col min="14350" max="14350" width="7" style="511" bestFit="1" customWidth="1"/>
    <col min="14351" max="14351" width="32" style="511" customWidth="1"/>
    <col min="14352" max="14352" width="5.578125" style="511" customWidth="1"/>
    <col min="14353" max="14353" width="6.578125" style="511" customWidth="1"/>
    <col min="14354" max="14354" width="10" style="511" customWidth="1"/>
    <col min="14355" max="14355" width="7.83984375" style="511" bestFit="1" customWidth="1"/>
    <col min="14356" max="14356" width="8.83984375" style="511" bestFit="1" customWidth="1"/>
    <col min="14357" max="14357" width="10.578125" style="511" bestFit="1" customWidth="1"/>
    <col min="14358" max="14358" width="5.15625" style="511" bestFit="1" customWidth="1"/>
    <col min="14359" max="14364" width="0" style="511" hidden="1" customWidth="1"/>
    <col min="14365" max="14365" width="11" style="511" bestFit="1" customWidth="1"/>
    <col min="14366" max="14366" width="8.83984375" style="511"/>
    <col min="14367" max="14367" width="11.578125" style="511" bestFit="1" customWidth="1"/>
    <col min="14368" max="14605" width="8.83984375" style="511"/>
    <col min="14606" max="14606" width="7" style="511" bestFit="1" customWidth="1"/>
    <col min="14607" max="14607" width="32" style="511" customWidth="1"/>
    <col min="14608" max="14608" width="5.578125" style="511" customWidth="1"/>
    <col min="14609" max="14609" width="6.578125" style="511" customWidth="1"/>
    <col min="14610" max="14610" width="10" style="511" customWidth="1"/>
    <col min="14611" max="14611" width="7.83984375" style="511" bestFit="1" customWidth="1"/>
    <col min="14612" max="14612" width="8.83984375" style="511" bestFit="1" customWidth="1"/>
    <col min="14613" max="14613" width="10.578125" style="511" bestFit="1" customWidth="1"/>
    <col min="14614" max="14614" width="5.15625" style="511" bestFit="1" customWidth="1"/>
    <col min="14615" max="14620" width="0" style="511" hidden="1" customWidth="1"/>
    <col min="14621" max="14621" width="11" style="511" bestFit="1" customWidth="1"/>
    <col min="14622" max="14622" width="8.83984375" style="511"/>
    <col min="14623" max="14623" width="11.578125" style="511" bestFit="1" customWidth="1"/>
    <col min="14624" max="14861" width="8.83984375" style="511"/>
    <col min="14862" max="14862" width="7" style="511" bestFit="1" customWidth="1"/>
    <col min="14863" max="14863" width="32" style="511" customWidth="1"/>
    <col min="14864" max="14864" width="5.578125" style="511" customWidth="1"/>
    <col min="14865" max="14865" width="6.578125" style="511" customWidth="1"/>
    <col min="14866" max="14866" width="10" style="511" customWidth="1"/>
    <col min="14867" max="14867" width="7.83984375" style="511" bestFit="1" customWidth="1"/>
    <col min="14868" max="14868" width="8.83984375" style="511" bestFit="1" customWidth="1"/>
    <col min="14869" max="14869" width="10.578125" style="511" bestFit="1" customWidth="1"/>
    <col min="14870" max="14870" width="5.15625" style="511" bestFit="1" customWidth="1"/>
    <col min="14871" max="14876" width="0" style="511" hidden="1" customWidth="1"/>
    <col min="14877" max="14877" width="11" style="511" bestFit="1" customWidth="1"/>
    <col min="14878" max="14878" width="8.83984375" style="511"/>
    <col min="14879" max="14879" width="11.578125" style="511" bestFit="1" customWidth="1"/>
    <col min="14880" max="15117" width="8.83984375" style="511"/>
    <col min="15118" max="15118" width="7" style="511" bestFit="1" customWidth="1"/>
    <col min="15119" max="15119" width="32" style="511" customWidth="1"/>
    <col min="15120" max="15120" width="5.578125" style="511" customWidth="1"/>
    <col min="15121" max="15121" width="6.578125" style="511" customWidth="1"/>
    <col min="15122" max="15122" width="10" style="511" customWidth="1"/>
    <col min="15123" max="15123" width="7.83984375" style="511" bestFit="1" customWidth="1"/>
    <col min="15124" max="15124" width="8.83984375" style="511" bestFit="1" customWidth="1"/>
    <col min="15125" max="15125" width="10.578125" style="511" bestFit="1" customWidth="1"/>
    <col min="15126" max="15126" width="5.15625" style="511" bestFit="1" customWidth="1"/>
    <col min="15127" max="15132" width="0" style="511" hidden="1" customWidth="1"/>
    <col min="15133" max="15133" width="11" style="511" bestFit="1" customWidth="1"/>
    <col min="15134" max="15134" width="8.83984375" style="511"/>
    <col min="15135" max="15135" width="11.578125" style="511" bestFit="1" customWidth="1"/>
    <col min="15136" max="15373" width="8.83984375" style="511"/>
    <col min="15374" max="15374" width="7" style="511" bestFit="1" customWidth="1"/>
    <col min="15375" max="15375" width="32" style="511" customWidth="1"/>
    <col min="15376" max="15376" width="5.578125" style="511" customWidth="1"/>
    <col min="15377" max="15377" width="6.578125" style="511" customWidth="1"/>
    <col min="15378" max="15378" width="10" style="511" customWidth="1"/>
    <col min="15379" max="15379" width="7.83984375" style="511" bestFit="1" customWidth="1"/>
    <col min="15380" max="15380" width="8.83984375" style="511" bestFit="1" customWidth="1"/>
    <col min="15381" max="15381" width="10.578125" style="511" bestFit="1" customWidth="1"/>
    <col min="15382" max="15382" width="5.15625" style="511" bestFit="1" customWidth="1"/>
    <col min="15383" max="15388" width="0" style="511" hidden="1" customWidth="1"/>
    <col min="15389" max="15389" width="11" style="511" bestFit="1" customWidth="1"/>
    <col min="15390" max="15390" width="8.83984375" style="511"/>
    <col min="15391" max="15391" width="11.578125" style="511" bestFit="1" customWidth="1"/>
    <col min="15392" max="15629" width="8.83984375" style="511"/>
    <col min="15630" max="15630" width="7" style="511" bestFit="1" customWidth="1"/>
    <col min="15631" max="15631" width="32" style="511" customWidth="1"/>
    <col min="15632" max="15632" width="5.578125" style="511" customWidth="1"/>
    <col min="15633" max="15633" width="6.578125" style="511" customWidth="1"/>
    <col min="15634" max="15634" width="10" style="511" customWidth="1"/>
    <col min="15635" max="15635" width="7.83984375" style="511" bestFit="1" customWidth="1"/>
    <col min="15636" max="15636" width="8.83984375" style="511" bestFit="1" customWidth="1"/>
    <col min="15637" max="15637" width="10.578125" style="511" bestFit="1" customWidth="1"/>
    <col min="15638" max="15638" width="5.15625" style="511" bestFit="1" customWidth="1"/>
    <col min="15639" max="15644" width="0" style="511" hidden="1" customWidth="1"/>
    <col min="15645" max="15645" width="11" style="511" bestFit="1" customWidth="1"/>
    <col min="15646" max="15646" width="8.83984375" style="511"/>
    <col min="15647" max="15647" width="11.578125" style="511" bestFit="1" customWidth="1"/>
    <col min="15648" max="15885" width="8.83984375" style="511"/>
    <col min="15886" max="15886" width="7" style="511" bestFit="1" customWidth="1"/>
    <col min="15887" max="15887" width="32" style="511" customWidth="1"/>
    <col min="15888" max="15888" width="5.578125" style="511" customWidth="1"/>
    <col min="15889" max="15889" width="6.578125" style="511" customWidth="1"/>
    <col min="15890" max="15890" width="10" style="511" customWidth="1"/>
    <col min="15891" max="15891" width="7.83984375" style="511" bestFit="1" customWidth="1"/>
    <col min="15892" max="15892" width="8.83984375" style="511" bestFit="1" customWidth="1"/>
    <col min="15893" max="15893" width="10.578125" style="511" bestFit="1" customWidth="1"/>
    <col min="15894" max="15894" width="5.15625" style="511" bestFit="1" customWidth="1"/>
    <col min="15895" max="15900" width="0" style="511" hidden="1" customWidth="1"/>
    <col min="15901" max="15901" width="11" style="511" bestFit="1" customWidth="1"/>
    <col min="15902" max="15902" width="8.83984375" style="511"/>
    <col min="15903" max="15903" width="11.578125" style="511" bestFit="1" customWidth="1"/>
    <col min="15904" max="16162" width="8.83984375" style="511"/>
    <col min="16163" max="16384" width="8.83984375" style="511" customWidth="1"/>
  </cols>
  <sheetData>
    <row r="1" spans="1:9">
      <c r="A1" s="1585" t="s">
        <v>1677</v>
      </c>
      <c r="B1" s="1585"/>
      <c r="C1" s="1585"/>
      <c r="D1" s="1585"/>
      <c r="E1" s="1585"/>
      <c r="F1" s="1585"/>
      <c r="G1" s="1585"/>
      <c r="H1" s="1585"/>
      <c r="I1" s="1585"/>
    </row>
    <row r="2" spans="1:9" s="661" customFormat="1" ht="15" customHeight="1">
      <c r="A2" s="728" t="s">
        <v>1463</v>
      </c>
      <c r="B2" s="731" t="s">
        <v>116</v>
      </c>
      <c r="C2" s="728"/>
      <c r="D2" s="728" t="s">
        <v>607</v>
      </c>
      <c r="E2" s="520" t="s">
        <v>1464</v>
      </c>
      <c r="F2" s="520" t="s">
        <v>1465</v>
      </c>
      <c r="G2" s="520" t="s">
        <v>1466</v>
      </c>
      <c r="H2" s="1576" t="s">
        <v>1467</v>
      </c>
      <c r="I2" s="1576"/>
    </row>
    <row r="3" spans="1:9" ht="24.6">
      <c r="A3" s="1">
        <v>1</v>
      </c>
      <c r="B3" s="31" t="s">
        <v>1578</v>
      </c>
      <c r="C3" s="146"/>
      <c r="D3" s="146"/>
      <c r="E3" s="71"/>
      <c r="F3" s="71"/>
      <c r="G3" s="71"/>
      <c r="H3" s="70"/>
      <c r="I3" s="144"/>
    </row>
    <row r="4" spans="1:9">
      <c r="A4" s="1"/>
      <c r="B4" s="12" t="s">
        <v>1593</v>
      </c>
      <c r="C4" s="69"/>
      <c r="D4" s="146">
        <v>6</v>
      </c>
      <c r="E4" s="71">
        <f>1.2+0.15</f>
        <v>1.3499999999999999</v>
      </c>
      <c r="F4" s="71">
        <f>1.2+0.15</f>
        <v>1.3499999999999999</v>
      </c>
      <c r="G4" s="71">
        <v>2.4</v>
      </c>
      <c r="H4" s="70">
        <f t="shared" ref="H4:H5" si="0">D4*E4*F4*G4</f>
        <v>26.243999999999996</v>
      </c>
      <c r="I4" s="144"/>
    </row>
    <row r="5" spans="1:9">
      <c r="A5" s="1"/>
      <c r="B5" s="12" t="s">
        <v>1579</v>
      </c>
      <c r="C5" s="69"/>
      <c r="D5" s="146">
        <v>1</v>
      </c>
      <c r="E5" s="71">
        <f>2*(3.3+6.6)</f>
        <v>19.799999999999997</v>
      </c>
      <c r="F5" s="71">
        <v>0.3</v>
      </c>
      <c r="G5" s="71">
        <v>0.4</v>
      </c>
      <c r="H5" s="70">
        <f t="shared" si="0"/>
        <v>2.3759999999999994</v>
      </c>
      <c r="I5" s="144"/>
    </row>
    <row r="6" spans="1:9">
      <c r="A6" s="1"/>
      <c r="B6" s="72" t="s">
        <v>1468</v>
      </c>
      <c r="C6" s="69"/>
      <c r="D6" s="146"/>
      <c r="E6" s="71"/>
      <c r="F6" s="71"/>
      <c r="G6" s="71"/>
      <c r="H6" s="70"/>
      <c r="I6" s="144"/>
    </row>
    <row r="7" spans="1:9">
      <c r="A7" s="1"/>
      <c r="B7" s="12" t="s">
        <v>1593</v>
      </c>
      <c r="C7" s="69"/>
      <c r="D7" s="146">
        <v>-6</v>
      </c>
      <c r="E7" s="71">
        <f>1.2+0.15</f>
        <v>1.3499999999999999</v>
      </c>
      <c r="F7" s="71">
        <v>0.3</v>
      </c>
      <c r="G7" s="71">
        <v>0.4</v>
      </c>
      <c r="H7" s="70">
        <f>D7*E7*F7*G7</f>
        <v>-0.97199999999999998</v>
      </c>
      <c r="I7" s="144"/>
    </row>
    <row r="8" spans="1:9">
      <c r="A8" s="1"/>
      <c r="B8" s="12"/>
      <c r="C8" s="146"/>
      <c r="D8" s="146"/>
      <c r="E8" s="71"/>
      <c r="F8" s="71"/>
      <c r="G8" s="71"/>
      <c r="H8" s="70">
        <f>SUM(H4:H7)</f>
        <v>27.647999999999996</v>
      </c>
      <c r="I8" s="144"/>
    </row>
    <row r="9" spans="1:9">
      <c r="A9" s="1"/>
      <c r="B9" s="12"/>
      <c r="C9" s="146"/>
      <c r="D9" s="146"/>
      <c r="E9" s="71"/>
      <c r="F9" s="71"/>
      <c r="G9" s="65" t="s">
        <v>467</v>
      </c>
      <c r="H9" s="64">
        <f>ROUNDUP(H8,0)</f>
        <v>28</v>
      </c>
      <c r="I9" s="143" t="s">
        <v>465</v>
      </c>
    </row>
    <row r="10" spans="1:9">
      <c r="A10" s="1"/>
      <c r="B10" s="12"/>
      <c r="C10" s="146"/>
      <c r="D10" s="146"/>
      <c r="E10" s="71"/>
      <c r="F10" s="71"/>
      <c r="G10" s="65"/>
      <c r="H10" s="64"/>
      <c r="I10" s="143"/>
    </row>
    <row r="11" spans="1:9">
      <c r="A11" s="1">
        <f>A3+1</f>
        <v>2</v>
      </c>
      <c r="B11" s="72" t="s">
        <v>1469</v>
      </c>
      <c r="C11" s="146"/>
      <c r="D11" s="146"/>
      <c r="E11" s="71"/>
      <c r="F11" s="71"/>
      <c r="G11" s="71"/>
      <c r="H11" s="70"/>
      <c r="I11" s="144"/>
    </row>
    <row r="12" spans="1:9">
      <c r="A12" s="1"/>
      <c r="B12" s="72" t="s">
        <v>1470</v>
      </c>
      <c r="C12" s="146"/>
      <c r="D12" s="146"/>
      <c r="E12" s="71"/>
      <c r="F12" s="71"/>
      <c r="G12" s="71"/>
      <c r="H12" s="70"/>
      <c r="I12" s="144"/>
    </row>
    <row r="13" spans="1:9">
      <c r="A13" s="1"/>
      <c r="B13" s="12" t="s">
        <v>1593</v>
      </c>
      <c r="C13" s="69"/>
      <c r="D13" s="146">
        <v>6</v>
      </c>
      <c r="E13" s="71">
        <f>1.2+0.15</f>
        <v>1.3499999999999999</v>
      </c>
      <c r="F13" s="71">
        <f>1.2+0.15</f>
        <v>1.3499999999999999</v>
      </c>
      <c r="G13" s="71">
        <v>0.15</v>
      </c>
      <c r="H13" s="70">
        <f>D13*E13*F13*G13</f>
        <v>1.6402499999999998</v>
      </c>
      <c r="I13" s="144"/>
    </row>
    <row r="14" spans="1:9">
      <c r="A14" s="1"/>
      <c r="B14" s="12"/>
      <c r="C14" s="146"/>
      <c r="D14" s="146"/>
      <c r="E14" s="71"/>
      <c r="F14" s="71"/>
      <c r="G14" s="71"/>
      <c r="H14" s="70">
        <f>SUM(H13:H13)</f>
        <v>1.6402499999999998</v>
      </c>
      <c r="I14" s="144"/>
    </row>
    <row r="15" spans="1:9">
      <c r="A15" s="1"/>
      <c r="B15" s="12"/>
      <c r="C15" s="146"/>
      <c r="D15" s="146"/>
      <c r="E15" s="71"/>
      <c r="F15" s="71"/>
      <c r="G15" s="65" t="s">
        <v>467</v>
      </c>
      <c r="H15" s="64">
        <f>ROUND(H14,0)</f>
        <v>2</v>
      </c>
      <c r="I15" s="143" t="s">
        <v>465</v>
      </c>
    </row>
    <row r="16" spans="1:9">
      <c r="A16" s="1"/>
      <c r="B16" s="12"/>
      <c r="C16" s="146"/>
      <c r="D16" s="146"/>
      <c r="E16" s="71"/>
      <c r="F16" s="71"/>
      <c r="G16" s="65"/>
      <c r="H16" s="63"/>
      <c r="I16" s="143"/>
    </row>
    <row r="17" spans="1:9">
      <c r="A17" s="1">
        <f>A11+1</f>
        <v>3</v>
      </c>
      <c r="B17" s="72" t="s">
        <v>1471</v>
      </c>
      <c r="C17" s="146"/>
      <c r="D17" s="146"/>
      <c r="E17" s="71"/>
      <c r="F17" s="71"/>
      <c r="G17" s="71"/>
      <c r="H17" s="70"/>
      <c r="I17" s="144"/>
    </row>
    <row r="18" spans="1:9" ht="18.75" customHeight="1">
      <c r="A18" s="1"/>
      <c r="B18" s="12" t="s">
        <v>1579</v>
      </c>
      <c r="C18" s="69"/>
      <c r="D18" s="146">
        <v>1</v>
      </c>
      <c r="E18" s="71">
        <f>2*(3.3+6.6)</f>
        <v>19.799999999999997</v>
      </c>
      <c r="F18" s="71">
        <v>0.3</v>
      </c>
      <c r="G18" s="71">
        <v>0.1</v>
      </c>
      <c r="H18" s="70">
        <f>D18*E18*F18*G18</f>
        <v>0.59399999999999986</v>
      </c>
      <c r="I18" s="144"/>
    </row>
    <row r="19" spans="1:9">
      <c r="A19" s="1"/>
      <c r="B19" s="72" t="s">
        <v>1468</v>
      </c>
      <c r="C19" s="69"/>
      <c r="D19" s="146"/>
      <c r="E19" s="71"/>
      <c r="F19" s="71"/>
      <c r="G19" s="71"/>
      <c r="H19" s="70"/>
      <c r="I19" s="144"/>
    </row>
    <row r="20" spans="1:9">
      <c r="A20" s="1"/>
      <c r="B20" s="12" t="s">
        <v>1472</v>
      </c>
      <c r="C20" s="69"/>
      <c r="D20" s="146">
        <v>-6</v>
      </c>
      <c r="E20" s="71">
        <v>0.3</v>
      </c>
      <c r="F20" s="71">
        <v>0.3</v>
      </c>
      <c r="G20" s="71">
        <v>0.1</v>
      </c>
      <c r="H20" s="70">
        <f>D20*E20*F20*G20</f>
        <v>-5.3999999999999992E-2</v>
      </c>
      <c r="I20" s="144"/>
    </row>
    <row r="21" spans="1:9">
      <c r="A21" s="1"/>
      <c r="B21" s="72" t="s">
        <v>1474</v>
      </c>
      <c r="C21" s="69"/>
      <c r="D21" s="146"/>
      <c r="E21" s="71"/>
      <c r="F21" s="71"/>
      <c r="G21" s="71"/>
      <c r="H21" s="70"/>
      <c r="I21" s="144"/>
    </row>
    <row r="22" spans="1:9">
      <c r="A22" s="1"/>
      <c r="B22" s="72" t="s">
        <v>1475</v>
      </c>
      <c r="C22" s="146"/>
      <c r="D22" s="146"/>
      <c r="E22" s="71"/>
      <c r="F22" s="71"/>
      <c r="G22" s="71"/>
      <c r="H22" s="70"/>
      <c r="I22" s="144"/>
    </row>
    <row r="23" spans="1:9" ht="13.5" customHeight="1">
      <c r="A23" s="1"/>
      <c r="B23" s="62" t="s">
        <v>1282</v>
      </c>
      <c r="C23" s="69" t="s">
        <v>1602</v>
      </c>
      <c r="D23" s="146">
        <v>1</v>
      </c>
      <c r="E23" s="71">
        <v>3.07</v>
      </c>
      <c r="F23" s="71">
        <v>0.45</v>
      </c>
      <c r="G23" s="71">
        <v>0.1</v>
      </c>
      <c r="H23" s="70">
        <f t="shared" ref="H23" si="1">D23*E23*F23*G23</f>
        <v>0.13815</v>
      </c>
      <c r="I23" s="144"/>
    </row>
    <row r="24" spans="1:9">
      <c r="A24" s="1"/>
      <c r="B24" s="72" t="s">
        <v>1580</v>
      </c>
      <c r="C24" s="146"/>
      <c r="D24" s="146"/>
      <c r="E24" s="71"/>
      <c r="F24" s="71"/>
      <c r="G24" s="71"/>
      <c r="H24" s="70"/>
      <c r="I24" s="144"/>
    </row>
    <row r="25" spans="1:9">
      <c r="A25" s="1"/>
      <c r="B25" s="12" t="s">
        <v>1603</v>
      </c>
      <c r="C25" s="146"/>
      <c r="D25" s="146">
        <v>1</v>
      </c>
      <c r="E25" s="71">
        <f>$H$273</f>
        <v>2.36</v>
      </c>
      <c r="F25" s="70"/>
      <c r="G25" s="53">
        <v>0.1</v>
      </c>
      <c r="H25" s="33">
        <f>D25*E25*G25</f>
        <v>0.23599999999999999</v>
      </c>
      <c r="I25" s="144"/>
    </row>
    <row r="26" spans="1:9" ht="24.6">
      <c r="A26" s="1"/>
      <c r="B26" s="12" t="s">
        <v>1678</v>
      </c>
      <c r="C26" s="146"/>
      <c r="D26" s="146">
        <v>1</v>
      </c>
      <c r="E26" s="70">
        <f>$H$282</f>
        <v>20.650199999999998</v>
      </c>
      <c r="F26" s="70"/>
      <c r="G26" s="53">
        <v>0.1</v>
      </c>
      <c r="H26" s="33">
        <f>D26*E26*G26</f>
        <v>2.0650200000000001</v>
      </c>
      <c r="I26" s="144"/>
    </row>
    <row r="27" spans="1:9">
      <c r="A27" s="1"/>
      <c r="B27" s="12"/>
      <c r="C27" s="146"/>
      <c r="D27" s="146"/>
      <c r="E27" s="71"/>
      <c r="F27" s="71"/>
      <c r="G27" s="71"/>
      <c r="H27" s="70">
        <f>SUM(H18:H26)</f>
        <v>2.9791699999999999</v>
      </c>
      <c r="I27" s="144"/>
    </row>
    <row r="28" spans="1:9">
      <c r="A28" s="1"/>
      <c r="B28" s="12"/>
      <c r="C28" s="146"/>
      <c r="D28" s="146"/>
      <c r="E28" s="71"/>
      <c r="F28" s="71"/>
      <c r="G28" s="65" t="s">
        <v>467</v>
      </c>
      <c r="H28" s="64">
        <f>ROUNDUP(H27,0)</f>
        <v>3</v>
      </c>
      <c r="I28" s="143" t="s">
        <v>465</v>
      </c>
    </row>
    <row r="29" spans="1:9">
      <c r="A29" s="1"/>
      <c r="B29" s="12"/>
      <c r="C29" s="146"/>
      <c r="D29" s="146"/>
      <c r="E29" s="71"/>
      <c r="F29" s="71"/>
      <c r="G29" s="65"/>
      <c r="H29" s="64"/>
      <c r="I29" s="143"/>
    </row>
    <row r="30" spans="1:9">
      <c r="A30" s="1">
        <f>A17+1</f>
        <v>4</v>
      </c>
      <c r="B30" s="72" t="s">
        <v>1479</v>
      </c>
      <c r="C30" s="146"/>
      <c r="D30" s="146"/>
      <c r="E30" s="71"/>
      <c r="F30" s="71"/>
      <c r="G30" s="71"/>
      <c r="H30" s="70"/>
      <c r="I30" s="144"/>
    </row>
    <row r="31" spans="1:9">
      <c r="A31" s="1"/>
      <c r="B31" s="12" t="s">
        <v>1480</v>
      </c>
      <c r="C31" s="144"/>
      <c r="D31" s="146"/>
      <c r="E31" s="53">
        <f>H9</f>
        <v>28</v>
      </c>
      <c r="F31" s="71"/>
      <c r="G31" s="71"/>
      <c r="H31" s="70">
        <f>E31</f>
        <v>28</v>
      </c>
      <c r="I31" s="144"/>
    </row>
    <row r="32" spans="1:9">
      <c r="A32" s="1"/>
      <c r="B32" s="12" t="s">
        <v>1468</v>
      </c>
      <c r="C32" s="144"/>
      <c r="D32" s="146"/>
      <c r="E32" s="53"/>
      <c r="F32" s="71"/>
      <c r="G32" s="71"/>
      <c r="H32" s="70"/>
      <c r="I32" s="144"/>
    </row>
    <row r="33" spans="1:9">
      <c r="A33" s="1" t="s">
        <v>642</v>
      </c>
      <c r="B33" s="12" t="s">
        <v>1481</v>
      </c>
      <c r="C33" s="144"/>
      <c r="D33" s="146"/>
      <c r="E33" s="53">
        <f>-H14</f>
        <v>-1.6402499999999998</v>
      </c>
      <c r="F33" s="71"/>
      <c r="G33" s="71"/>
      <c r="H33" s="70"/>
      <c r="I33" s="144"/>
    </row>
    <row r="34" spans="1:9">
      <c r="A34" s="1" t="s">
        <v>2</v>
      </c>
      <c r="B34" s="12" t="s">
        <v>1482</v>
      </c>
      <c r="C34" s="144"/>
      <c r="D34" s="146"/>
      <c r="E34" s="53">
        <f>-H28</f>
        <v>-3</v>
      </c>
      <c r="F34" s="71"/>
      <c r="G34" s="71"/>
      <c r="H34" s="70"/>
      <c r="I34" s="144"/>
    </row>
    <row r="35" spans="1:9">
      <c r="A35" s="1" t="s">
        <v>3</v>
      </c>
      <c r="B35" s="12" t="s">
        <v>1483</v>
      </c>
      <c r="C35" s="144"/>
      <c r="D35" s="146"/>
      <c r="E35" s="53">
        <f>-H83</f>
        <v>-1.9439999999999997</v>
      </c>
      <c r="F35" s="71"/>
      <c r="G35" s="71"/>
      <c r="H35" s="70"/>
      <c r="I35" s="144"/>
    </row>
    <row r="36" spans="1:9">
      <c r="A36" s="1" t="s">
        <v>1131</v>
      </c>
      <c r="B36" s="12" t="s">
        <v>1714</v>
      </c>
      <c r="C36" s="144"/>
      <c r="D36" s="146"/>
      <c r="E36" s="53">
        <f>-H64</f>
        <v>-0.80999999999999983</v>
      </c>
      <c r="F36" s="71"/>
      <c r="G36" s="71"/>
      <c r="H36" s="70"/>
      <c r="I36" s="144"/>
    </row>
    <row r="37" spans="1:9">
      <c r="A37" s="1" t="s">
        <v>42</v>
      </c>
      <c r="B37" s="12" t="s">
        <v>1485</v>
      </c>
      <c r="C37" s="144"/>
      <c r="D37" s="146"/>
      <c r="E37" s="53">
        <f>-H99</f>
        <v>-1</v>
      </c>
      <c r="F37" s="71"/>
      <c r="G37" s="71"/>
      <c r="H37" s="70"/>
      <c r="I37" s="144"/>
    </row>
    <row r="38" spans="1:9">
      <c r="A38" s="1"/>
      <c r="B38" s="12"/>
      <c r="C38" s="144"/>
      <c r="D38" s="146"/>
      <c r="E38" s="53">
        <f>SUM(E31:E37)</f>
        <v>19.605750000000004</v>
      </c>
      <c r="F38" s="71"/>
      <c r="G38" s="71"/>
      <c r="H38" s="70">
        <f>SUM(E33:E37)</f>
        <v>-8.3942499999999995</v>
      </c>
      <c r="I38" s="144"/>
    </row>
    <row r="39" spans="1:9">
      <c r="A39" s="1"/>
      <c r="B39" s="12"/>
      <c r="C39" s="146"/>
      <c r="D39" s="146"/>
      <c r="E39" s="71"/>
      <c r="F39" s="71"/>
      <c r="G39" s="71"/>
      <c r="H39" s="70">
        <f>SUM(H31:H38)</f>
        <v>19.60575</v>
      </c>
      <c r="I39" s="144"/>
    </row>
    <row r="40" spans="1:9">
      <c r="A40" s="1"/>
      <c r="B40" s="12"/>
      <c r="C40" s="146"/>
      <c r="D40" s="146"/>
      <c r="E40" s="71"/>
      <c r="F40" s="71"/>
      <c r="G40" s="65" t="s">
        <v>467</v>
      </c>
      <c r="H40" s="64">
        <f>ROUNDUP(H39,0)</f>
        <v>20</v>
      </c>
      <c r="I40" s="143" t="s">
        <v>465</v>
      </c>
    </row>
    <row r="41" spans="1:9">
      <c r="A41" s="1">
        <f>A30+1</f>
        <v>5</v>
      </c>
      <c r="B41" s="72" t="s">
        <v>1486</v>
      </c>
      <c r="C41" s="146"/>
      <c r="D41" s="146"/>
      <c r="E41" s="71"/>
      <c r="F41" s="71"/>
      <c r="G41" s="65"/>
      <c r="H41" s="63"/>
      <c r="I41" s="143"/>
    </row>
    <row r="42" spans="1:9">
      <c r="A42" s="1"/>
      <c r="B42" s="12" t="s">
        <v>1603</v>
      </c>
      <c r="C42" s="146"/>
      <c r="D42" s="146">
        <v>1</v>
      </c>
      <c r="E42" s="71">
        <f>$H$273</f>
        <v>2.36</v>
      </c>
      <c r="F42" s="70"/>
      <c r="G42" s="53">
        <v>0.6</v>
      </c>
      <c r="H42" s="33">
        <f>D42*E42*G42</f>
        <v>1.4159999999999999</v>
      </c>
      <c r="I42" s="144"/>
    </row>
    <row r="43" spans="1:9" ht="24.6">
      <c r="A43" s="1"/>
      <c r="B43" s="12" t="s">
        <v>1679</v>
      </c>
      <c r="C43" s="146"/>
      <c r="D43" s="146">
        <v>1</v>
      </c>
      <c r="E43" s="70">
        <f>$H$282</f>
        <v>20.650199999999998</v>
      </c>
      <c r="F43" s="70"/>
      <c r="G43" s="53">
        <v>0.6</v>
      </c>
      <c r="H43" s="33">
        <f>D43*E43*G43</f>
        <v>12.390119999999998</v>
      </c>
      <c r="I43" s="144"/>
    </row>
    <row r="44" spans="1:9">
      <c r="A44" s="1"/>
      <c r="B44" s="12"/>
      <c r="C44" s="146"/>
      <c r="D44" s="146"/>
      <c r="E44" s="71"/>
      <c r="F44" s="71"/>
      <c r="G44" s="65"/>
      <c r="H44" s="63">
        <f>SUM(H42:H43)</f>
        <v>13.806119999999998</v>
      </c>
      <c r="I44" s="143"/>
    </row>
    <row r="45" spans="1:9">
      <c r="A45" s="1"/>
      <c r="B45" s="12"/>
      <c r="C45" s="146"/>
      <c r="D45" s="146"/>
      <c r="E45" s="71"/>
      <c r="F45" s="71"/>
      <c r="G45" s="65" t="s">
        <v>467</v>
      </c>
      <c r="H45" s="64">
        <f>ROUNDUP(H44,0)</f>
        <v>14</v>
      </c>
      <c r="I45" s="143" t="s">
        <v>465</v>
      </c>
    </row>
    <row r="46" spans="1:9">
      <c r="A46" s="1"/>
      <c r="B46" s="12"/>
      <c r="C46" s="146"/>
      <c r="D46" s="146"/>
      <c r="E46" s="71"/>
      <c r="F46" s="71"/>
      <c r="G46" s="65"/>
      <c r="H46" s="63"/>
      <c r="I46" s="143"/>
    </row>
    <row r="47" spans="1:9">
      <c r="A47" s="1">
        <f>A41+1</f>
        <v>6</v>
      </c>
      <c r="B47" s="72" t="s">
        <v>1581</v>
      </c>
      <c r="C47" s="146"/>
      <c r="D47" s="146"/>
      <c r="E47" s="71"/>
      <c r="F47" s="71"/>
      <c r="G47" s="71"/>
      <c r="H47" s="70"/>
      <c r="I47" s="144"/>
    </row>
    <row r="48" spans="1:9">
      <c r="A48" s="1"/>
      <c r="B48" s="12" t="s">
        <v>1582</v>
      </c>
      <c r="C48" s="146"/>
      <c r="D48" s="146"/>
      <c r="E48" s="71"/>
      <c r="F48" s="71"/>
      <c r="G48" s="71"/>
      <c r="H48" s="70">
        <f>H44</f>
        <v>13.806119999999998</v>
      </c>
      <c r="I48" s="144"/>
    </row>
    <row r="49" spans="1:9" ht="24.6">
      <c r="A49" s="1"/>
      <c r="B49" s="28" t="s">
        <v>1583</v>
      </c>
      <c r="C49" s="146"/>
      <c r="D49" s="146"/>
      <c r="E49" s="71"/>
      <c r="F49" s="71"/>
      <c r="G49" s="71"/>
      <c r="H49" s="70">
        <f>H40</f>
        <v>20</v>
      </c>
      <c r="I49" s="144"/>
    </row>
    <row r="50" spans="1:9">
      <c r="A50" s="1"/>
      <c r="B50" s="28"/>
      <c r="C50" s="146"/>
      <c r="D50" s="146"/>
      <c r="E50" s="71"/>
      <c r="F50" s="71"/>
      <c r="G50" s="71"/>
      <c r="H50" s="70">
        <f>SUM(H47:H49)</f>
        <v>33.80612</v>
      </c>
      <c r="I50" s="144"/>
    </row>
    <row r="51" spans="1:9">
      <c r="A51" s="1"/>
      <c r="B51" s="12"/>
      <c r="C51" s="146"/>
      <c r="D51" s="146"/>
      <c r="E51" s="71"/>
      <c r="F51" s="71"/>
      <c r="G51" s="65" t="s">
        <v>467</v>
      </c>
      <c r="H51" s="64">
        <f>ROUNDUP(H50,0)</f>
        <v>34</v>
      </c>
      <c r="I51" s="143" t="s">
        <v>465</v>
      </c>
    </row>
    <row r="52" spans="1:9">
      <c r="A52" s="1"/>
      <c r="B52" s="12"/>
      <c r="C52" s="146"/>
      <c r="D52" s="146"/>
      <c r="E52" s="71"/>
      <c r="F52" s="71"/>
      <c r="G52" s="65"/>
      <c r="H52" s="64"/>
      <c r="I52" s="143"/>
    </row>
    <row r="53" spans="1:9">
      <c r="A53" s="1">
        <f>A47+1</f>
        <v>7</v>
      </c>
      <c r="B53" s="72" t="s">
        <v>1584</v>
      </c>
      <c r="C53" s="146"/>
      <c r="D53" s="27">
        <v>0.8</v>
      </c>
      <c r="E53" s="71">
        <f>H8</f>
        <v>27.647999999999996</v>
      </c>
      <c r="F53" s="71"/>
      <c r="G53" s="65"/>
      <c r="H53" s="63">
        <f>D53*E53</f>
        <v>22.118399999999998</v>
      </c>
      <c r="I53" s="143"/>
    </row>
    <row r="54" spans="1:9">
      <c r="A54" s="1"/>
      <c r="B54" s="12"/>
      <c r="C54" s="146"/>
      <c r="D54" s="146"/>
      <c r="E54" s="71"/>
      <c r="F54" s="71"/>
      <c r="G54" s="65" t="s">
        <v>467</v>
      </c>
      <c r="H54" s="64">
        <f>ROUNDUP(H53,0)</f>
        <v>23</v>
      </c>
      <c r="I54" s="143" t="s">
        <v>465</v>
      </c>
    </row>
    <row r="55" spans="1:9">
      <c r="A55" s="1"/>
      <c r="B55" s="12"/>
      <c r="C55" s="146"/>
      <c r="D55" s="146"/>
      <c r="E55" s="71"/>
      <c r="F55" s="71"/>
      <c r="G55" s="65"/>
      <c r="H55" s="64"/>
      <c r="I55" s="143"/>
    </row>
    <row r="56" spans="1:9">
      <c r="A56" s="1">
        <f>A53+1</f>
        <v>8</v>
      </c>
      <c r="B56" s="72" t="s">
        <v>1585</v>
      </c>
      <c r="C56" s="146"/>
      <c r="D56" s="27"/>
      <c r="E56" s="71"/>
      <c r="F56" s="71"/>
      <c r="G56" s="65"/>
      <c r="H56" s="63">
        <f>H51-H54</f>
        <v>11</v>
      </c>
      <c r="I56" s="143"/>
    </row>
    <row r="57" spans="1:9">
      <c r="A57" s="1"/>
      <c r="B57" s="12"/>
      <c r="C57" s="146"/>
      <c r="D57" s="146"/>
      <c r="E57" s="71"/>
      <c r="F57" s="71"/>
      <c r="G57" s="65" t="s">
        <v>467</v>
      </c>
      <c r="H57" s="64">
        <f>ROUNDUP(H56,0)</f>
        <v>11</v>
      </c>
      <c r="I57" s="143" t="s">
        <v>465</v>
      </c>
    </row>
    <row r="58" spans="1:9">
      <c r="A58" s="1"/>
      <c r="B58" s="12"/>
      <c r="C58" s="146"/>
      <c r="D58" s="146"/>
      <c r="E58" s="71"/>
      <c r="F58" s="71"/>
      <c r="G58" s="65"/>
      <c r="H58" s="63"/>
      <c r="I58" s="143"/>
    </row>
    <row r="59" spans="1:9">
      <c r="A59" s="1">
        <f>A56+1</f>
        <v>9</v>
      </c>
      <c r="B59" s="72" t="s">
        <v>1715</v>
      </c>
      <c r="C59" s="146"/>
      <c r="D59" s="146"/>
      <c r="E59" s="71"/>
      <c r="F59" s="71"/>
      <c r="G59" s="71"/>
      <c r="H59" s="70"/>
      <c r="I59" s="144"/>
    </row>
    <row r="60" spans="1:9">
      <c r="A60" s="1" t="s">
        <v>642</v>
      </c>
      <c r="B60" s="72" t="s">
        <v>1487</v>
      </c>
      <c r="C60" s="146"/>
      <c r="D60" s="146"/>
      <c r="E60" s="71"/>
      <c r="F60" s="71"/>
      <c r="G60" s="71"/>
      <c r="H60" s="70"/>
      <c r="I60" s="144"/>
    </row>
    <row r="61" spans="1:9">
      <c r="A61" s="1"/>
      <c r="B61" s="12" t="s">
        <v>1579</v>
      </c>
      <c r="C61" s="69"/>
      <c r="D61" s="146">
        <v>1</v>
      </c>
      <c r="E61" s="71">
        <f>2*(3.3+6.6)</f>
        <v>19.799999999999997</v>
      </c>
      <c r="F61" s="71">
        <v>0.15</v>
      </c>
      <c r="G61" s="71">
        <v>0.3</v>
      </c>
      <c r="H61" s="70">
        <f>D61*E61*F61*G61</f>
        <v>0.89099999999999979</v>
      </c>
      <c r="I61" s="144"/>
    </row>
    <row r="62" spans="1:9">
      <c r="A62" s="1"/>
      <c r="B62" s="72" t="s">
        <v>1468</v>
      </c>
      <c r="C62" s="69"/>
      <c r="D62" s="146"/>
      <c r="E62" s="71"/>
      <c r="F62" s="71"/>
      <c r="G62" s="71"/>
      <c r="H62" s="70"/>
      <c r="I62" s="144"/>
    </row>
    <row r="63" spans="1:9">
      <c r="A63" s="1"/>
      <c r="B63" s="12" t="s">
        <v>1472</v>
      </c>
      <c r="C63" s="69"/>
      <c r="D63" s="146">
        <v>-6</v>
      </c>
      <c r="E63" s="71">
        <v>0.3</v>
      </c>
      <c r="F63" s="71">
        <v>0.15</v>
      </c>
      <c r="G63" s="71">
        <v>0.3</v>
      </c>
      <c r="H63" s="70">
        <f t="shared" ref="H63" si="2">D63*E63*F63*G63</f>
        <v>-8.0999999999999989E-2</v>
      </c>
      <c r="I63" s="144"/>
    </row>
    <row r="64" spans="1:9">
      <c r="A64" s="1"/>
      <c r="B64" s="12"/>
      <c r="C64" s="146"/>
      <c r="D64" s="146"/>
      <c r="E64" s="71"/>
      <c r="F64" s="71"/>
      <c r="G64" s="71"/>
      <c r="H64" s="70">
        <f>SUM(H60:H63)</f>
        <v>0.80999999999999983</v>
      </c>
      <c r="I64" s="144"/>
    </row>
    <row r="65" spans="1:9">
      <c r="A65" s="1"/>
      <c r="B65" s="12"/>
      <c r="C65" s="146"/>
      <c r="D65" s="146"/>
      <c r="E65" s="71"/>
      <c r="F65" s="71"/>
      <c r="G65" s="65" t="s">
        <v>467</v>
      </c>
      <c r="H65" s="64">
        <f>ROUNDUP(H64,1)</f>
        <v>0.9</v>
      </c>
      <c r="I65" s="143" t="s">
        <v>465</v>
      </c>
    </row>
    <row r="66" spans="1:9">
      <c r="A66" s="1"/>
      <c r="B66" s="12"/>
      <c r="C66" s="146"/>
      <c r="D66" s="146"/>
      <c r="E66" s="71"/>
      <c r="F66" s="71"/>
      <c r="G66" s="65"/>
      <c r="H66" s="63"/>
      <c r="I66" s="143"/>
    </row>
    <row r="67" spans="1:9">
      <c r="A67" s="1" t="s">
        <v>2</v>
      </c>
      <c r="B67" s="72" t="s">
        <v>1488</v>
      </c>
      <c r="C67" s="146"/>
      <c r="D67" s="146"/>
      <c r="E67" s="71"/>
      <c r="F67" s="71"/>
      <c r="G67" s="71"/>
      <c r="H67" s="70"/>
      <c r="I67" s="144"/>
    </row>
    <row r="68" spans="1:9">
      <c r="A68" s="1"/>
      <c r="B68" s="12" t="s">
        <v>1579</v>
      </c>
      <c r="C68" s="69"/>
      <c r="D68" s="146">
        <v>1</v>
      </c>
      <c r="E68" s="71">
        <f>2*(3.3+6.6)</f>
        <v>19.799999999999997</v>
      </c>
      <c r="F68" s="71">
        <v>0.15</v>
      </c>
      <c r="G68" s="71">
        <f>0.6-0.35</f>
        <v>0.25</v>
      </c>
      <c r="H68" s="70">
        <f>D68*E68*F68*G68</f>
        <v>0.74249999999999983</v>
      </c>
      <c r="I68" s="144"/>
    </row>
    <row r="69" spans="1:9">
      <c r="A69" s="143"/>
      <c r="B69" s="72" t="s">
        <v>1468</v>
      </c>
      <c r="C69" s="69"/>
      <c r="D69" s="146"/>
      <c r="E69" s="71"/>
      <c r="F69" s="71"/>
      <c r="G69" s="71"/>
      <c r="H69" s="70"/>
      <c r="I69" s="144"/>
    </row>
    <row r="70" spans="1:9">
      <c r="A70" s="1"/>
      <c r="B70" s="72" t="s">
        <v>1468</v>
      </c>
      <c r="C70" s="69"/>
      <c r="D70" s="146"/>
      <c r="E70" s="71"/>
      <c r="F70" s="71"/>
      <c r="G70" s="71"/>
      <c r="H70" s="70"/>
      <c r="I70" s="144"/>
    </row>
    <row r="71" spans="1:9">
      <c r="A71" s="1"/>
      <c r="B71" s="12" t="s">
        <v>1472</v>
      </c>
      <c r="C71" s="69"/>
      <c r="D71" s="146">
        <v>-6</v>
      </c>
      <c r="E71" s="71">
        <v>0.3</v>
      </c>
      <c r="F71" s="71">
        <v>0.15</v>
      </c>
      <c r="G71" s="71">
        <f>0.6-0.35</f>
        <v>0.25</v>
      </c>
      <c r="H71" s="70">
        <f>D71*E71*F71*G71</f>
        <v>-6.7499999999999991E-2</v>
      </c>
      <c r="I71" s="144"/>
    </row>
    <row r="72" spans="1:9">
      <c r="A72" s="1"/>
      <c r="B72" s="12"/>
      <c r="C72" s="146"/>
      <c r="D72" s="146"/>
      <c r="E72" s="71"/>
      <c r="F72" s="71"/>
      <c r="G72" s="71"/>
      <c r="H72" s="70">
        <f>SUM(H67:H71)</f>
        <v>0.67499999999999982</v>
      </c>
      <c r="I72" s="144"/>
    </row>
    <row r="73" spans="1:9">
      <c r="A73" s="1"/>
      <c r="B73" s="12"/>
      <c r="C73" s="146"/>
      <c r="D73" s="146"/>
      <c r="E73" s="71"/>
      <c r="F73" s="71"/>
      <c r="G73" s="65" t="s">
        <v>467</v>
      </c>
      <c r="H73" s="64">
        <f>ROUNDUP(H72,1)</f>
        <v>0.7</v>
      </c>
      <c r="I73" s="143" t="s">
        <v>465</v>
      </c>
    </row>
    <row r="74" spans="1:9" s="509" customFormat="1">
      <c r="A74" s="60"/>
      <c r="B74" s="72" t="s">
        <v>1715</v>
      </c>
      <c r="C74" s="59"/>
      <c r="D74" s="58"/>
      <c r="E74" s="67"/>
      <c r="F74" s="57"/>
      <c r="G74" s="5"/>
      <c r="H74" s="5"/>
      <c r="I74" s="56"/>
    </row>
    <row r="75" spans="1:9" s="509" customFormat="1">
      <c r="A75" s="60" t="s">
        <v>642</v>
      </c>
      <c r="B75" s="55" t="s">
        <v>1489</v>
      </c>
      <c r="C75" s="59"/>
      <c r="D75" s="58"/>
      <c r="E75" s="67"/>
      <c r="F75" s="57"/>
      <c r="G75" s="5"/>
      <c r="H75" s="57">
        <f>H64</f>
        <v>0.80999999999999983</v>
      </c>
      <c r="I75" s="56"/>
    </row>
    <row r="76" spans="1:9" s="509" customFormat="1">
      <c r="A76" s="60" t="s">
        <v>2</v>
      </c>
      <c r="B76" s="55" t="s">
        <v>1490</v>
      </c>
      <c r="C76" s="59"/>
      <c r="D76" s="58"/>
      <c r="E76" s="67"/>
      <c r="F76" s="57"/>
      <c r="G76" s="5"/>
      <c r="H76" s="57">
        <f>H72</f>
        <v>0.67499999999999982</v>
      </c>
      <c r="I76" s="56"/>
    </row>
    <row r="77" spans="1:9" s="509" customFormat="1">
      <c r="A77" s="60"/>
      <c r="B77" s="55"/>
      <c r="C77" s="59"/>
      <c r="D77" s="58"/>
      <c r="E77" s="67"/>
      <c r="F77" s="57"/>
      <c r="G77" s="5"/>
      <c r="H77" s="57">
        <f>SUM(H75:H76)</f>
        <v>1.4849999999999997</v>
      </c>
      <c r="I77" s="143"/>
    </row>
    <row r="78" spans="1:9">
      <c r="A78" s="1"/>
      <c r="B78" s="12"/>
      <c r="C78" s="146"/>
      <c r="D78" s="146"/>
      <c r="E78" s="71"/>
      <c r="F78" s="71"/>
      <c r="G78" s="65" t="s">
        <v>467</v>
      </c>
      <c r="H78" s="64">
        <f>ROUNDUP(H77,0)</f>
        <v>2</v>
      </c>
      <c r="I78" s="143" t="s">
        <v>465</v>
      </c>
    </row>
    <row r="79" spans="1:9">
      <c r="A79" s="1"/>
      <c r="B79" s="12"/>
      <c r="C79" s="146"/>
      <c r="D79" s="146"/>
      <c r="E79" s="71"/>
      <c r="F79" s="71"/>
      <c r="G79" s="65"/>
      <c r="H79" s="64"/>
      <c r="I79" s="143"/>
    </row>
    <row r="80" spans="1:9">
      <c r="A80" s="1">
        <f>A59+1</f>
        <v>10</v>
      </c>
      <c r="B80" s="72" t="s">
        <v>1491</v>
      </c>
      <c r="C80" s="146"/>
      <c r="D80" s="146"/>
      <c r="E80" s="71"/>
      <c r="F80" s="71"/>
      <c r="G80" s="71"/>
      <c r="H80" s="70"/>
      <c r="I80" s="144"/>
    </row>
    <row r="81" spans="1:9">
      <c r="A81" s="1" t="s">
        <v>469</v>
      </c>
      <c r="B81" s="72" t="s">
        <v>1445</v>
      </c>
      <c r="C81" s="146"/>
      <c r="D81" s="146"/>
      <c r="E81" s="71"/>
      <c r="F81" s="71"/>
      <c r="G81" s="71"/>
      <c r="H81" s="70"/>
      <c r="I81" s="144"/>
    </row>
    <row r="82" spans="1:9">
      <c r="A82" s="1"/>
      <c r="B82" s="12" t="s">
        <v>1593</v>
      </c>
      <c r="C82" s="69"/>
      <c r="D82" s="146">
        <v>6</v>
      </c>
      <c r="E82" s="71">
        <v>1.2</v>
      </c>
      <c r="F82" s="71">
        <v>1.2</v>
      </c>
      <c r="G82" s="71">
        <v>0.22500000000000001</v>
      </c>
      <c r="H82" s="70">
        <f>D82*E82*F82*G82</f>
        <v>1.9439999999999997</v>
      </c>
      <c r="I82" s="144"/>
    </row>
    <row r="83" spans="1:9">
      <c r="A83" s="1"/>
      <c r="B83" s="12"/>
      <c r="C83" s="146"/>
      <c r="D83" s="146"/>
      <c r="E83" s="71"/>
      <c r="F83" s="71"/>
      <c r="G83" s="71"/>
      <c r="H83" s="70">
        <f>SUM(H82:H82)</f>
        <v>1.9439999999999997</v>
      </c>
      <c r="I83" s="144"/>
    </row>
    <row r="84" spans="1:9">
      <c r="A84" s="1"/>
      <c r="B84" s="12"/>
      <c r="C84" s="146"/>
      <c r="D84" s="146"/>
      <c r="E84" s="71"/>
      <c r="F84" s="71"/>
      <c r="G84" s="65" t="s">
        <v>467</v>
      </c>
      <c r="H84" s="64">
        <f>ROUND(H83,1)</f>
        <v>1.9</v>
      </c>
      <c r="I84" s="143" t="s">
        <v>465</v>
      </c>
    </row>
    <row r="85" spans="1:9">
      <c r="A85" s="1"/>
      <c r="B85" s="12"/>
      <c r="C85" s="146"/>
      <c r="D85" s="146"/>
      <c r="E85" s="71"/>
      <c r="F85" s="71"/>
      <c r="G85" s="65"/>
      <c r="H85" s="64"/>
      <c r="I85" s="143"/>
    </row>
    <row r="86" spans="1:9">
      <c r="A86" s="1" t="s">
        <v>1</v>
      </c>
      <c r="B86" s="72" t="s">
        <v>1446</v>
      </c>
      <c r="C86" s="146"/>
      <c r="D86" s="146"/>
      <c r="E86" s="71"/>
      <c r="F86" s="71"/>
      <c r="G86" s="71"/>
      <c r="H86" s="70"/>
      <c r="I86" s="144"/>
    </row>
    <row r="87" spans="1:9">
      <c r="A87" s="1"/>
      <c r="B87" s="72" t="s">
        <v>1475</v>
      </c>
      <c r="C87" s="146"/>
      <c r="D87" s="146"/>
      <c r="E87" s="71"/>
      <c r="F87" s="71"/>
      <c r="G87" s="71"/>
      <c r="H87" s="70"/>
      <c r="I87" s="144"/>
    </row>
    <row r="88" spans="1:9">
      <c r="A88" s="1"/>
      <c r="B88" s="62" t="s">
        <v>1680</v>
      </c>
      <c r="C88" s="69" t="s">
        <v>1602</v>
      </c>
      <c r="D88" s="146">
        <v>3</v>
      </c>
      <c r="E88" s="71">
        <v>3.07</v>
      </c>
      <c r="F88" s="71">
        <v>0.23</v>
      </c>
      <c r="G88" s="71">
        <v>0.3</v>
      </c>
      <c r="H88" s="70">
        <f t="shared" ref="H88" si="3">D88*E88*F88*G88</f>
        <v>0.63549</v>
      </c>
      <c r="I88" s="144"/>
    </row>
    <row r="89" spans="1:9">
      <c r="A89" s="1"/>
      <c r="B89" s="72" t="s">
        <v>1477</v>
      </c>
      <c r="C89" s="69"/>
      <c r="D89" s="146"/>
      <c r="E89" s="71"/>
      <c r="F89" s="71"/>
      <c r="G89" s="71"/>
      <c r="H89" s="70"/>
      <c r="I89" s="144"/>
    </row>
    <row r="90" spans="1:9">
      <c r="A90" s="1"/>
      <c r="B90" s="12" t="s">
        <v>1681</v>
      </c>
      <c r="C90" s="69"/>
      <c r="D90" s="146">
        <v>2</v>
      </c>
      <c r="E90" s="71">
        <v>6.83</v>
      </c>
      <c r="F90" s="71">
        <v>0.23</v>
      </c>
      <c r="G90" s="71">
        <v>0.3</v>
      </c>
      <c r="H90" s="70">
        <f t="shared" ref="H90:H91" si="4">D90*E90*F90*G90</f>
        <v>0.94254000000000004</v>
      </c>
      <c r="I90" s="144"/>
    </row>
    <row r="91" spans="1:9">
      <c r="A91" s="1"/>
      <c r="B91" s="12" t="s">
        <v>1476</v>
      </c>
      <c r="C91" s="69"/>
      <c r="D91" s="146">
        <v>-6</v>
      </c>
      <c r="E91" s="71">
        <v>0.3</v>
      </c>
      <c r="F91" s="71">
        <v>0.23</v>
      </c>
      <c r="G91" s="71">
        <v>0.3</v>
      </c>
      <c r="H91" s="70">
        <f t="shared" si="4"/>
        <v>-0.12419999999999999</v>
      </c>
      <c r="I91" s="144"/>
    </row>
    <row r="92" spans="1:9">
      <c r="A92" s="1"/>
      <c r="B92" s="12"/>
      <c r="C92" s="146"/>
      <c r="D92" s="146"/>
      <c r="E92" s="71"/>
      <c r="F92" s="71"/>
      <c r="G92" s="71"/>
      <c r="H92" s="70">
        <f>SUM(H87:H91)</f>
        <v>1.45383</v>
      </c>
      <c r="I92" s="144"/>
    </row>
    <row r="93" spans="1:9">
      <c r="A93" s="1"/>
      <c r="B93" s="12"/>
      <c r="C93" s="146"/>
      <c r="D93" s="146"/>
      <c r="E93" s="71"/>
      <c r="F93" s="71"/>
      <c r="G93" s="65" t="s">
        <v>467</v>
      </c>
      <c r="H93" s="64">
        <f>ROUNDUP(H92,1)</f>
        <v>1.5</v>
      </c>
      <c r="I93" s="143" t="s">
        <v>465</v>
      </c>
    </row>
    <row r="94" spans="1:9">
      <c r="A94" s="1"/>
      <c r="B94" s="12"/>
      <c r="C94" s="146"/>
      <c r="D94" s="146"/>
      <c r="E94" s="71"/>
      <c r="F94" s="71"/>
      <c r="G94" s="65"/>
      <c r="H94" s="64"/>
      <c r="I94" s="143"/>
    </row>
    <row r="95" spans="1:9">
      <c r="A95" s="1">
        <f>A80+1</f>
        <v>11</v>
      </c>
      <c r="B95" s="72" t="s">
        <v>1492</v>
      </c>
      <c r="C95" s="146"/>
      <c r="D95" s="146"/>
      <c r="E95" s="71"/>
      <c r="F95" s="71"/>
      <c r="G95" s="71"/>
      <c r="H95" s="70"/>
      <c r="I95" s="144"/>
    </row>
    <row r="96" spans="1:9">
      <c r="A96" s="1" t="s">
        <v>1453</v>
      </c>
      <c r="B96" s="72" t="s">
        <v>1604</v>
      </c>
      <c r="C96" s="146"/>
      <c r="D96" s="146"/>
      <c r="E96" s="71"/>
      <c r="F96" s="71"/>
      <c r="G96" s="71"/>
      <c r="H96" s="70"/>
      <c r="I96" s="144"/>
    </row>
    <row r="97" spans="1:9">
      <c r="A97" s="1"/>
      <c r="B97" s="144" t="s">
        <v>1595</v>
      </c>
      <c r="C97" s="69"/>
      <c r="D97" s="146">
        <v>6</v>
      </c>
      <c r="E97" s="71">
        <v>0.23</v>
      </c>
      <c r="F97" s="71">
        <v>0.3</v>
      </c>
      <c r="G97" s="71">
        <f>2.4-0.15-0.225</f>
        <v>2.0249999999999999</v>
      </c>
      <c r="H97" s="70">
        <f>D97*E97*F97*G97</f>
        <v>0.83835000000000004</v>
      </c>
      <c r="I97" s="144"/>
    </row>
    <row r="98" spans="1:9">
      <c r="A98" s="1"/>
      <c r="B98" s="12"/>
      <c r="C98" s="146"/>
      <c r="D98" s="146">
        <f>SUM(D97:D97)</f>
        <v>6</v>
      </c>
      <c r="E98" s="71"/>
      <c r="F98" s="71"/>
      <c r="G98" s="71"/>
      <c r="H98" s="70">
        <f>SUM(H97:H97)</f>
        <v>0.83835000000000004</v>
      </c>
      <c r="I98" s="144"/>
    </row>
    <row r="99" spans="1:9">
      <c r="A99" s="1"/>
      <c r="B99" s="12"/>
      <c r="C99" s="146"/>
      <c r="D99" s="146"/>
      <c r="E99" s="71"/>
      <c r="F99" s="71"/>
      <c r="G99" s="65" t="s">
        <v>467</v>
      </c>
      <c r="H99" s="64">
        <f>ROUND(H98,0)</f>
        <v>1</v>
      </c>
      <c r="I99" s="143" t="s">
        <v>465</v>
      </c>
    </row>
    <row r="100" spans="1:9">
      <c r="A100" s="1"/>
      <c r="B100" s="12"/>
      <c r="C100" s="146"/>
      <c r="D100" s="146"/>
      <c r="E100" s="71"/>
      <c r="F100" s="71"/>
      <c r="G100" s="65"/>
      <c r="H100" s="64"/>
      <c r="I100" s="143"/>
    </row>
    <row r="101" spans="1:9">
      <c r="A101" s="1" t="s">
        <v>1458</v>
      </c>
      <c r="B101" s="72" t="s">
        <v>1493</v>
      </c>
      <c r="C101" s="146"/>
      <c r="D101" s="146"/>
      <c r="E101" s="71"/>
      <c r="F101" s="71"/>
      <c r="G101" s="71"/>
      <c r="H101" s="70"/>
      <c r="I101" s="144"/>
    </row>
    <row r="102" spans="1:9">
      <c r="A102" s="1"/>
      <c r="B102" s="12" t="s">
        <v>1472</v>
      </c>
      <c r="C102" s="69"/>
      <c r="D102" s="146">
        <v>6</v>
      </c>
      <c r="E102" s="71">
        <v>0.23</v>
      </c>
      <c r="F102" s="71">
        <v>0.3</v>
      </c>
      <c r="G102" s="71">
        <v>0.6</v>
      </c>
      <c r="H102" s="70">
        <f>D102*E102*F102*G102</f>
        <v>0.24840000000000001</v>
      </c>
      <c r="I102" s="144"/>
    </row>
    <row r="103" spans="1:9">
      <c r="A103" s="1"/>
      <c r="B103" s="12"/>
      <c r="C103" s="146"/>
      <c r="D103" s="146">
        <f>SUM(D102:D102)</f>
        <v>6</v>
      </c>
      <c r="E103" s="71"/>
      <c r="F103" s="71"/>
      <c r="G103" s="71"/>
      <c r="H103" s="70">
        <f>SUM(H102:H102)</f>
        <v>0.24840000000000001</v>
      </c>
      <c r="I103" s="144"/>
    </row>
    <row r="104" spans="1:9">
      <c r="A104" s="1"/>
      <c r="B104" s="12"/>
      <c r="C104" s="146"/>
      <c r="D104" s="146"/>
      <c r="E104" s="71"/>
      <c r="F104" s="71"/>
      <c r="G104" s="65" t="s">
        <v>467</v>
      </c>
      <c r="H104" s="64">
        <f>ROUND(H103,1)</f>
        <v>0.2</v>
      </c>
      <c r="I104" s="143" t="s">
        <v>465</v>
      </c>
    </row>
    <row r="105" spans="1:9">
      <c r="A105" s="1"/>
      <c r="B105" s="12"/>
      <c r="C105" s="146"/>
      <c r="D105" s="146"/>
      <c r="E105" s="71"/>
      <c r="F105" s="71"/>
      <c r="G105" s="65"/>
      <c r="H105" s="64"/>
      <c r="I105" s="143"/>
    </row>
    <row r="106" spans="1:9">
      <c r="A106" s="1" t="s">
        <v>1494</v>
      </c>
      <c r="B106" s="72" t="s">
        <v>1495</v>
      </c>
      <c r="C106" s="146"/>
      <c r="D106" s="146"/>
      <c r="E106" s="71"/>
      <c r="F106" s="71"/>
      <c r="G106" s="71"/>
      <c r="H106" s="70"/>
      <c r="I106" s="144"/>
    </row>
    <row r="107" spans="1:9">
      <c r="A107" s="1"/>
      <c r="B107" s="12" t="s">
        <v>1472</v>
      </c>
      <c r="C107" s="69"/>
      <c r="D107" s="146">
        <v>6</v>
      </c>
      <c r="E107" s="71">
        <v>0.23</v>
      </c>
      <c r="F107" s="71">
        <v>0.3</v>
      </c>
      <c r="G107" s="53">
        <f>3.3-0.125</f>
        <v>3.1749999999999998</v>
      </c>
      <c r="H107" s="70">
        <f>D107*E107*F107*G107</f>
        <v>1.3144500000000001</v>
      </c>
      <c r="I107" s="144"/>
    </row>
    <row r="108" spans="1:9">
      <c r="A108" s="1"/>
      <c r="B108" s="12"/>
      <c r="C108" s="146"/>
      <c r="D108" s="146">
        <f>SUM(D107:D107)</f>
        <v>6</v>
      </c>
      <c r="E108" s="71"/>
      <c r="F108" s="71"/>
      <c r="G108" s="71"/>
      <c r="H108" s="70">
        <f>SUM(H107:H107)</f>
        <v>1.3144500000000001</v>
      </c>
      <c r="I108" s="144"/>
    </row>
    <row r="109" spans="1:9">
      <c r="A109" s="1"/>
      <c r="B109" s="12"/>
      <c r="C109" s="146"/>
      <c r="D109" s="146"/>
      <c r="E109" s="71"/>
      <c r="F109" s="71"/>
      <c r="G109" s="65" t="s">
        <v>467</v>
      </c>
      <c r="H109" s="64">
        <f>ROUND(H108,1)</f>
        <v>1.3</v>
      </c>
      <c r="I109" s="143" t="s">
        <v>465</v>
      </c>
    </row>
    <row r="110" spans="1:9">
      <c r="A110" s="1"/>
      <c r="B110" s="72" t="s">
        <v>1496</v>
      </c>
      <c r="C110" s="146"/>
      <c r="D110" s="146"/>
      <c r="E110" s="71"/>
      <c r="F110" s="71"/>
      <c r="G110" s="71"/>
      <c r="H110" s="70"/>
      <c r="I110" s="144"/>
    </row>
    <row r="111" spans="1:9">
      <c r="A111" s="1" t="s">
        <v>1453</v>
      </c>
      <c r="B111" s="12" t="s">
        <v>1497</v>
      </c>
      <c r="C111" s="146"/>
      <c r="D111" s="146"/>
      <c r="E111" s="71"/>
      <c r="F111" s="71"/>
      <c r="G111" s="71"/>
      <c r="H111" s="70">
        <f>H98</f>
        <v>0.83835000000000004</v>
      </c>
      <c r="I111" s="144"/>
    </row>
    <row r="112" spans="1:9">
      <c r="A112" s="1" t="s">
        <v>1458</v>
      </c>
      <c r="B112" s="12" t="s">
        <v>1498</v>
      </c>
      <c r="C112" s="146"/>
      <c r="D112" s="146"/>
      <c r="E112" s="71"/>
      <c r="F112" s="71"/>
      <c r="G112" s="71"/>
      <c r="H112" s="70">
        <f>H103</f>
        <v>0.24840000000000001</v>
      </c>
      <c r="I112" s="144"/>
    </row>
    <row r="113" spans="1:9">
      <c r="A113" s="1" t="s">
        <v>1494</v>
      </c>
      <c r="B113" s="12" t="s">
        <v>1499</v>
      </c>
      <c r="C113" s="146"/>
      <c r="D113" s="146"/>
      <c r="E113" s="71"/>
      <c r="F113" s="71"/>
      <c r="G113" s="71"/>
      <c r="H113" s="70">
        <f>H108</f>
        <v>1.3144500000000001</v>
      </c>
      <c r="I113" s="144"/>
    </row>
    <row r="114" spans="1:9">
      <c r="A114" s="1"/>
      <c r="B114" s="12"/>
      <c r="C114" s="146"/>
      <c r="D114" s="146"/>
      <c r="E114" s="71"/>
      <c r="F114" s="71"/>
      <c r="G114" s="71"/>
      <c r="H114" s="70">
        <f>SUM(H111:H113)</f>
        <v>2.4012000000000002</v>
      </c>
      <c r="I114" s="144"/>
    </row>
    <row r="115" spans="1:9">
      <c r="A115" s="1"/>
      <c r="B115" s="12"/>
      <c r="C115" s="146"/>
      <c r="D115" s="146"/>
      <c r="E115" s="71"/>
      <c r="F115" s="71"/>
      <c r="G115" s="65" t="s">
        <v>467</v>
      </c>
      <c r="H115" s="64">
        <f>ROUND(H114,1)</f>
        <v>2.4</v>
      </c>
      <c r="I115" s="143" t="s">
        <v>465</v>
      </c>
    </row>
    <row r="116" spans="1:9">
      <c r="A116" s="1">
        <f>A95+1</f>
        <v>12</v>
      </c>
      <c r="B116" s="72" t="s">
        <v>1500</v>
      </c>
      <c r="C116" s="146"/>
      <c r="D116" s="146"/>
      <c r="E116" s="71"/>
      <c r="F116" s="71"/>
      <c r="G116" s="71"/>
      <c r="H116" s="70"/>
      <c r="I116" s="144"/>
    </row>
    <row r="117" spans="1:9">
      <c r="A117" s="51"/>
      <c r="B117" s="30" t="s">
        <v>1541</v>
      </c>
      <c r="C117" s="26"/>
      <c r="D117" s="61"/>
      <c r="E117" s="71"/>
      <c r="F117" s="71"/>
      <c r="G117" s="53"/>
      <c r="H117" s="66"/>
      <c r="I117" s="29"/>
    </row>
    <row r="118" spans="1:9">
      <c r="A118" s="1"/>
      <c r="B118" s="62" t="s">
        <v>1680</v>
      </c>
      <c r="C118" s="69" t="s">
        <v>1602</v>
      </c>
      <c r="D118" s="146">
        <v>3</v>
      </c>
      <c r="E118" s="71">
        <v>3.07</v>
      </c>
      <c r="F118" s="71">
        <v>0.23</v>
      </c>
      <c r="G118" s="71">
        <f>0.355-0.125</f>
        <v>0.22999999999999998</v>
      </c>
      <c r="H118" s="70">
        <f t="shared" ref="H118" si="5">D118*E118*F118*G118</f>
        <v>0.487209</v>
      </c>
      <c r="I118" s="144"/>
    </row>
    <row r="119" spans="1:9">
      <c r="A119" s="1"/>
      <c r="B119" s="72" t="s">
        <v>1477</v>
      </c>
      <c r="C119" s="69"/>
      <c r="D119" s="146"/>
      <c r="E119" s="71"/>
      <c r="F119" s="71"/>
      <c r="G119" s="71"/>
      <c r="H119" s="70"/>
      <c r="I119" s="144"/>
    </row>
    <row r="120" spans="1:9">
      <c r="A120" s="1"/>
      <c r="B120" s="12" t="s">
        <v>1681</v>
      </c>
      <c r="C120" s="69"/>
      <c r="D120" s="146">
        <v>2</v>
      </c>
      <c r="E120" s="71">
        <v>6.83</v>
      </c>
      <c r="F120" s="71">
        <v>0.23</v>
      </c>
      <c r="G120" s="71">
        <f>0.355-0.125</f>
        <v>0.22999999999999998</v>
      </c>
      <c r="H120" s="70">
        <f t="shared" ref="H120:H121" si="6">D120*E120*F120*G120</f>
        <v>0.72261399999999998</v>
      </c>
      <c r="I120" s="144"/>
    </row>
    <row r="121" spans="1:9">
      <c r="A121" s="1"/>
      <c r="B121" s="12" t="s">
        <v>1476</v>
      </c>
      <c r="C121" s="69"/>
      <c r="D121" s="146">
        <v>-6</v>
      </c>
      <c r="E121" s="71">
        <v>0.3</v>
      </c>
      <c r="F121" s="71">
        <v>0.23</v>
      </c>
      <c r="G121" s="71">
        <f>0.355-0.125</f>
        <v>0.22999999999999998</v>
      </c>
      <c r="H121" s="70">
        <f t="shared" si="6"/>
        <v>-9.5219999999999985E-2</v>
      </c>
      <c r="I121" s="144"/>
    </row>
    <row r="122" spans="1:9">
      <c r="A122" s="1"/>
      <c r="B122" s="12"/>
      <c r="C122" s="146"/>
      <c r="D122" s="146"/>
      <c r="E122" s="71"/>
      <c r="F122" s="71"/>
      <c r="G122" s="71"/>
      <c r="H122" s="70">
        <f>SUM(H117:H121)</f>
        <v>1.114603</v>
      </c>
      <c r="I122" s="144"/>
    </row>
    <row r="123" spans="1:9">
      <c r="A123" s="1"/>
      <c r="B123" s="12"/>
      <c r="C123" s="146"/>
      <c r="D123" s="146"/>
      <c r="E123" s="71"/>
      <c r="F123" s="71"/>
      <c r="G123" s="65" t="s">
        <v>467</v>
      </c>
      <c r="H123" s="64">
        <f>ROUND(H122,1)</f>
        <v>1.1000000000000001</v>
      </c>
      <c r="I123" s="143" t="s">
        <v>465</v>
      </c>
    </row>
    <row r="124" spans="1:9">
      <c r="A124" s="1"/>
      <c r="B124" s="12"/>
      <c r="C124" s="146"/>
      <c r="D124" s="146"/>
      <c r="E124" s="71"/>
      <c r="F124" s="71"/>
      <c r="G124" s="65"/>
      <c r="H124" s="64"/>
      <c r="I124" s="143"/>
    </row>
    <row r="125" spans="1:9">
      <c r="A125" s="1">
        <f>A116+1</f>
        <v>13</v>
      </c>
      <c r="B125" s="72" t="s">
        <v>1501</v>
      </c>
      <c r="C125" s="146"/>
      <c r="D125" s="146"/>
      <c r="E125" s="71"/>
      <c r="F125" s="71"/>
      <c r="G125" s="71"/>
      <c r="H125" s="70"/>
      <c r="I125" s="144"/>
    </row>
    <row r="126" spans="1:9">
      <c r="A126" s="1" t="s">
        <v>695</v>
      </c>
      <c r="B126" s="72" t="s">
        <v>1502</v>
      </c>
      <c r="C126" s="146"/>
      <c r="D126" s="146"/>
      <c r="E126" s="71"/>
      <c r="F126" s="71"/>
      <c r="G126" s="71"/>
      <c r="H126" s="70"/>
      <c r="I126" s="144"/>
    </row>
    <row r="127" spans="1:9">
      <c r="A127" s="1"/>
      <c r="B127" s="12"/>
      <c r="C127" s="69"/>
      <c r="D127" s="146">
        <v>1</v>
      </c>
      <c r="E127" s="71">
        <v>5.33</v>
      </c>
      <c r="F127" s="71">
        <v>8.6300000000000008</v>
      </c>
      <c r="G127" s="71"/>
      <c r="H127" s="70">
        <f>D127*E127*F127</f>
        <v>45.997900000000001</v>
      </c>
      <c r="I127" s="144"/>
    </row>
    <row r="128" spans="1:9">
      <c r="A128" s="1"/>
      <c r="B128" s="12"/>
      <c r="C128" s="146"/>
      <c r="D128" s="146"/>
      <c r="E128" s="71"/>
      <c r="F128" s="71"/>
      <c r="G128" s="71"/>
      <c r="H128" s="70">
        <f>SUM(H127:H127)</f>
        <v>45.997900000000001</v>
      </c>
      <c r="I128" s="144"/>
    </row>
    <row r="129" spans="1:10">
      <c r="A129" s="1"/>
      <c r="B129" s="12"/>
      <c r="C129" s="146"/>
      <c r="D129" s="146"/>
      <c r="E129" s="71"/>
      <c r="F129" s="71"/>
      <c r="G129" s="65" t="s">
        <v>467</v>
      </c>
      <c r="H129" s="64">
        <f>ROUNDUP(H128,0)</f>
        <v>46</v>
      </c>
      <c r="I129" s="143" t="s">
        <v>461</v>
      </c>
    </row>
    <row r="130" spans="1:10">
      <c r="A130" s="1"/>
      <c r="B130" s="12"/>
      <c r="C130" s="146"/>
      <c r="D130" s="146"/>
      <c r="E130" s="71"/>
      <c r="F130" s="71"/>
      <c r="G130" s="65"/>
      <c r="H130" s="64"/>
      <c r="I130" s="143"/>
    </row>
    <row r="131" spans="1:10">
      <c r="A131" s="51">
        <f>A125+1</f>
        <v>14</v>
      </c>
      <c r="B131" s="72" t="s">
        <v>1452</v>
      </c>
      <c r="C131" s="146"/>
      <c r="D131" s="146"/>
      <c r="E131" s="71"/>
      <c r="F131" s="71"/>
      <c r="G131" s="71"/>
      <c r="H131" s="70"/>
      <c r="I131" s="144"/>
    </row>
    <row r="132" spans="1:10">
      <c r="A132" s="1"/>
      <c r="B132" s="144" t="s">
        <v>1682</v>
      </c>
      <c r="C132" s="146"/>
      <c r="D132" s="146">
        <v>2</v>
      </c>
      <c r="E132" s="54">
        <f>1+0.46</f>
        <v>1.46</v>
      </c>
      <c r="F132" s="54">
        <v>0.23</v>
      </c>
      <c r="G132" s="54">
        <v>0.17499999999999999</v>
      </c>
      <c r="H132" s="63">
        <f>D132*E132*F132*G132</f>
        <v>0.11752999999999998</v>
      </c>
      <c r="I132" s="144"/>
      <c r="J132" s="674"/>
    </row>
    <row r="133" spans="1:10">
      <c r="A133" s="1"/>
      <c r="B133" s="144" t="s">
        <v>1683</v>
      </c>
      <c r="C133" s="146"/>
      <c r="D133" s="146">
        <v>1</v>
      </c>
      <c r="E133" s="54">
        <f>1.2+0.46</f>
        <v>1.66</v>
      </c>
      <c r="F133" s="54">
        <v>0.23</v>
      </c>
      <c r="G133" s="54">
        <v>0.17499999999999999</v>
      </c>
      <c r="H133" s="63">
        <f t="shared" ref="H133:H136" si="7">D133*E133*F133*G133</f>
        <v>6.6814999999999986E-2</v>
      </c>
      <c r="I133" s="144"/>
      <c r="J133" s="674"/>
    </row>
    <row r="134" spans="1:10">
      <c r="A134" s="1"/>
      <c r="B134" s="744" t="s">
        <v>1531</v>
      </c>
      <c r="C134" s="146"/>
      <c r="D134" s="146">
        <v>1</v>
      </c>
      <c r="E134" s="54">
        <f>0.6+0.46</f>
        <v>1.06</v>
      </c>
      <c r="F134" s="54">
        <v>0.23</v>
      </c>
      <c r="G134" s="54">
        <v>0.17499999999999999</v>
      </c>
      <c r="H134" s="63">
        <f t="shared" si="7"/>
        <v>4.2665000000000002E-2</v>
      </c>
      <c r="I134" s="144"/>
      <c r="J134" s="674"/>
    </row>
    <row r="135" spans="1:10">
      <c r="A135" s="1"/>
      <c r="B135" s="144" t="s">
        <v>1684</v>
      </c>
      <c r="C135" s="146"/>
      <c r="D135" s="146">
        <v>1</v>
      </c>
      <c r="E135" s="54">
        <f>2.61+0.46</f>
        <v>3.07</v>
      </c>
      <c r="F135" s="54">
        <v>0.23</v>
      </c>
      <c r="G135" s="54">
        <v>0.17499999999999999</v>
      </c>
      <c r="H135" s="63">
        <f t="shared" si="7"/>
        <v>0.12356749999999998</v>
      </c>
      <c r="I135" s="144"/>
      <c r="J135" s="674"/>
    </row>
    <row r="136" spans="1:10">
      <c r="A136" s="1"/>
      <c r="B136" s="144" t="s">
        <v>1685</v>
      </c>
      <c r="C136" s="146"/>
      <c r="D136" s="146">
        <v>2</v>
      </c>
      <c r="E136" s="54">
        <f>1.385+0.46</f>
        <v>1.845</v>
      </c>
      <c r="F136" s="54">
        <v>0.23</v>
      </c>
      <c r="G136" s="54">
        <v>0.17499999999999999</v>
      </c>
      <c r="H136" s="63">
        <f t="shared" si="7"/>
        <v>0.1485225</v>
      </c>
      <c r="I136" s="144"/>
      <c r="J136" s="674"/>
    </row>
    <row r="137" spans="1:10">
      <c r="A137" s="1"/>
      <c r="B137" s="144" t="s">
        <v>1686</v>
      </c>
      <c r="C137" s="146"/>
      <c r="D137" s="146">
        <v>2</v>
      </c>
      <c r="E137" s="54">
        <f>1+0.46</f>
        <v>1.46</v>
      </c>
      <c r="F137" s="54">
        <v>0.11</v>
      </c>
      <c r="G137" s="54">
        <v>0.17499999999999999</v>
      </c>
      <c r="H137" s="63">
        <f>D137*E137*F137*G137</f>
        <v>5.6209999999999996E-2</v>
      </c>
      <c r="I137" s="144"/>
    </row>
    <row r="138" spans="1:10">
      <c r="A138" s="1"/>
      <c r="B138" s="12"/>
      <c r="C138" s="146"/>
      <c r="D138" s="146">
        <f>SUM(D132:D137)</f>
        <v>9</v>
      </c>
      <c r="E138" s="71"/>
      <c r="F138" s="71"/>
      <c r="G138" s="71"/>
      <c r="H138" s="70">
        <f>SUM(H132:H137)</f>
        <v>0.55530999999999997</v>
      </c>
      <c r="I138" s="144"/>
    </row>
    <row r="139" spans="1:10">
      <c r="A139" s="1"/>
      <c r="B139" s="12"/>
      <c r="C139" s="146"/>
      <c r="D139" s="146"/>
      <c r="E139" s="71"/>
      <c r="F139" s="71"/>
      <c r="G139" s="65" t="s">
        <v>467</v>
      </c>
      <c r="H139" s="64">
        <f>ROUNDUP(H138,1)</f>
        <v>0.6</v>
      </c>
      <c r="I139" s="143" t="s">
        <v>465</v>
      </c>
    </row>
    <row r="140" spans="1:10">
      <c r="A140" s="1"/>
      <c r="B140" s="12"/>
      <c r="C140" s="146"/>
      <c r="D140" s="146"/>
      <c r="E140" s="71"/>
      <c r="F140" s="71"/>
      <c r="G140" s="65"/>
      <c r="H140" s="64"/>
      <c r="I140" s="143"/>
    </row>
    <row r="141" spans="1:10">
      <c r="A141" s="51">
        <f>A131+1</f>
        <v>15</v>
      </c>
      <c r="B141" s="72" t="s">
        <v>1504</v>
      </c>
      <c r="C141" s="146"/>
      <c r="D141" s="146"/>
      <c r="E141" s="71"/>
      <c r="F141" s="71"/>
      <c r="G141" s="71"/>
      <c r="H141" s="70"/>
      <c r="I141" s="144"/>
    </row>
    <row r="142" spans="1:10">
      <c r="A142" s="1" t="s">
        <v>1453</v>
      </c>
      <c r="B142" s="143" t="s">
        <v>1586</v>
      </c>
      <c r="C142" s="146"/>
      <c r="D142" s="146"/>
      <c r="E142" s="71"/>
      <c r="F142" s="71"/>
      <c r="G142" s="71"/>
      <c r="H142" s="70"/>
      <c r="I142" s="144"/>
    </row>
    <row r="143" spans="1:10">
      <c r="A143" s="143"/>
      <c r="B143" s="12" t="s">
        <v>1687</v>
      </c>
      <c r="C143" s="144"/>
      <c r="D143" s="146">
        <v>1</v>
      </c>
      <c r="E143" s="54">
        <f>3.08+2*1.345</f>
        <v>5.77</v>
      </c>
      <c r="F143" s="54">
        <v>0.6</v>
      </c>
      <c r="G143" s="54"/>
      <c r="H143" s="63">
        <f>D143*E143*F143</f>
        <v>3.4619999999999997</v>
      </c>
      <c r="I143" s="144"/>
    </row>
    <row r="144" spans="1:10">
      <c r="A144" s="1"/>
      <c r="B144" s="12"/>
      <c r="C144" s="146"/>
      <c r="D144" s="146"/>
      <c r="E144" s="71"/>
      <c r="F144" s="71"/>
      <c r="G144" s="71"/>
      <c r="H144" s="70">
        <f>SUM(H143:H143)</f>
        <v>3.4619999999999997</v>
      </c>
      <c r="I144" s="144"/>
    </row>
    <row r="145" spans="1:9">
      <c r="A145" s="1"/>
      <c r="B145" s="12"/>
      <c r="C145" s="146"/>
      <c r="D145" s="146"/>
      <c r="E145" s="71"/>
      <c r="F145" s="71"/>
      <c r="G145" s="65" t="s">
        <v>467</v>
      </c>
      <c r="H145" s="64">
        <f>ROUNDUP(H144,0)</f>
        <v>4</v>
      </c>
      <c r="I145" s="143" t="s">
        <v>461</v>
      </c>
    </row>
    <row r="146" spans="1:9">
      <c r="A146" s="1" t="s">
        <v>1458</v>
      </c>
      <c r="B146" s="143" t="s">
        <v>1505</v>
      </c>
      <c r="C146" s="146"/>
      <c r="D146" s="146"/>
      <c r="E146" s="71"/>
      <c r="F146" s="71"/>
      <c r="G146" s="71"/>
      <c r="H146" s="70"/>
      <c r="I146" s="144"/>
    </row>
    <row r="147" spans="1:9">
      <c r="A147" s="143"/>
      <c r="B147" s="12" t="s">
        <v>1587</v>
      </c>
      <c r="C147" s="144"/>
      <c r="D147" s="146">
        <v>1</v>
      </c>
      <c r="E147" s="54">
        <v>1.22</v>
      </c>
      <c r="F147" s="54">
        <v>0.6</v>
      </c>
      <c r="G147" s="54"/>
      <c r="H147" s="63">
        <f t="shared" ref="H147:H148" si="8">D147*E147*F147</f>
        <v>0.73199999999999998</v>
      </c>
      <c r="I147" s="144"/>
    </row>
    <row r="148" spans="1:9">
      <c r="A148" s="143"/>
      <c r="B148" s="12" t="s">
        <v>1587</v>
      </c>
      <c r="C148" s="144"/>
      <c r="D148" s="146">
        <v>1</v>
      </c>
      <c r="E148" s="54">
        <v>1.21</v>
      </c>
      <c r="F148" s="54">
        <v>0.6</v>
      </c>
      <c r="G148" s="54"/>
      <c r="H148" s="63">
        <f t="shared" si="8"/>
        <v>0.72599999999999998</v>
      </c>
      <c r="I148" s="144"/>
    </row>
    <row r="149" spans="1:9">
      <c r="A149" s="1"/>
      <c r="B149" s="12"/>
      <c r="C149" s="146"/>
      <c r="D149" s="146"/>
      <c r="E149" s="71"/>
      <c r="F149" s="71"/>
      <c r="G149" s="71"/>
      <c r="H149" s="70">
        <f>SUM(H147:H148)</f>
        <v>1.458</v>
      </c>
      <c r="I149" s="144"/>
    </row>
    <row r="150" spans="1:9">
      <c r="A150" s="1"/>
      <c r="B150" s="12"/>
      <c r="C150" s="146"/>
      <c r="D150" s="146"/>
      <c r="E150" s="71"/>
      <c r="F150" s="71"/>
      <c r="G150" s="65" t="s">
        <v>467</v>
      </c>
      <c r="H150" s="64">
        <f>ROUNDUP(H149,0)</f>
        <v>2</v>
      </c>
      <c r="I150" s="143" t="s">
        <v>461</v>
      </c>
    </row>
    <row r="151" spans="1:9">
      <c r="A151" s="1"/>
      <c r="B151" s="12"/>
      <c r="C151" s="146"/>
      <c r="D151" s="146"/>
      <c r="E151" s="71"/>
      <c r="F151" s="71"/>
      <c r="G151" s="65"/>
      <c r="H151" s="64"/>
      <c r="I151" s="143"/>
    </row>
    <row r="152" spans="1:9">
      <c r="A152" s="1"/>
      <c r="B152" s="72" t="s">
        <v>1605</v>
      </c>
      <c r="C152" s="146"/>
      <c r="D152" s="146"/>
      <c r="E152" s="71"/>
      <c r="F152" s="71"/>
      <c r="G152" s="65"/>
      <c r="H152" s="64">
        <f>H145+H150</f>
        <v>6</v>
      </c>
      <c r="I152" s="143" t="s">
        <v>461</v>
      </c>
    </row>
    <row r="153" spans="1:9">
      <c r="A153" s="1"/>
      <c r="B153" s="12"/>
      <c r="C153" s="146"/>
      <c r="D153" s="146"/>
      <c r="E153" s="71"/>
      <c r="F153" s="71"/>
      <c r="G153" s="65"/>
      <c r="H153" s="64"/>
      <c r="I153" s="143"/>
    </row>
    <row r="154" spans="1:9">
      <c r="A154" s="1" t="s">
        <v>1494</v>
      </c>
      <c r="B154" s="72" t="s">
        <v>1506</v>
      </c>
      <c r="C154" s="146"/>
      <c r="D154" s="146"/>
      <c r="E154" s="71"/>
      <c r="F154" s="71"/>
      <c r="G154" s="71"/>
      <c r="H154" s="70"/>
      <c r="I154" s="144"/>
    </row>
    <row r="155" spans="1:9">
      <c r="A155" s="143"/>
      <c r="B155" s="12" t="s">
        <v>1587</v>
      </c>
      <c r="C155" s="146">
        <v>3</v>
      </c>
      <c r="D155" s="146">
        <v>1</v>
      </c>
      <c r="E155" s="54">
        <v>1.22</v>
      </c>
      <c r="F155" s="54">
        <v>0.45</v>
      </c>
      <c r="G155" s="54"/>
      <c r="H155" s="63">
        <f>C155*D155*E155*F155</f>
        <v>1.647</v>
      </c>
      <c r="I155" s="144"/>
    </row>
    <row r="156" spans="1:9">
      <c r="A156" s="143"/>
      <c r="B156" s="12" t="s">
        <v>1587</v>
      </c>
      <c r="C156" s="146">
        <v>3</v>
      </c>
      <c r="D156" s="146">
        <v>1</v>
      </c>
      <c r="E156" s="54">
        <v>1.21</v>
      </c>
      <c r="F156" s="54">
        <v>0.45</v>
      </c>
      <c r="G156" s="54"/>
      <c r="H156" s="63">
        <f>C156*D156*E156*F156</f>
        <v>1.6335</v>
      </c>
      <c r="I156" s="144"/>
    </row>
    <row r="157" spans="1:9">
      <c r="A157" s="1"/>
      <c r="B157" s="12"/>
      <c r="C157" s="146"/>
      <c r="D157" s="146"/>
      <c r="E157" s="71"/>
      <c r="F157" s="71"/>
      <c r="G157" s="71"/>
      <c r="H157" s="70">
        <f>SUM(H155:H156)</f>
        <v>3.2805</v>
      </c>
      <c r="I157" s="144"/>
    </row>
    <row r="158" spans="1:9">
      <c r="A158" s="1"/>
      <c r="B158" s="12"/>
      <c r="C158" s="146"/>
      <c r="D158" s="146"/>
      <c r="E158" s="71"/>
      <c r="F158" s="71"/>
      <c r="G158" s="65" t="s">
        <v>467</v>
      </c>
      <c r="H158" s="64">
        <f>ROUNDUP(H157,0)</f>
        <v>4</v>
      </c>
      <c r="I158" s="143" t="s">
        <v>461</v>
      </c>
    </row>
    <row r="159" spans="1:9">
      <c r="A159" s="51">
        <f>A141+1</f>
        <v>16</v>
      </c>
      <c r="B159" s="72" t="s">
        <v>1507</v>
      </c>
      <c r="C159" s="146"/>
      <c r="D159" s="146"/>
      <c r="E159" s="71"/>
      <c r="F159" s="71"/>
      <c r="G159" s="71"/>
      <c r="H159" s="70"/>
      <c r="I159" s="144"/>
    </row>
    <row r="160" spans="1:9">
      <c r="A160" s="1"/>
      <c r="B160" s="143" t="s">
        <v>1541</v>
      </c>
      <c r="C160" s="144"/>
      <c r="D160" s="58">
        <v>2</v>
      </c>
      <c r="E160" s="50">
        <f>3.3+0.23</f>
        <v>3.53</v>
      </c>
      <c r="F160" s="50">
        <v>0.23</v>
      </c>
      <c r="G160" s="53">
        <f>3.3-0.355</f>
        <v>2.9449999999999998</v>
      </c>
      <c r="H160" s="66">
        <f t="shared" ref="H160:H167" si="9">E160*D160*F160*G160</f>
        <v>4.7820909999999994</v>
      </c>
      <c r="I160" s="144"/>
    </row>
    <row r="161" spans="1:9">
      <c r="A161" s="1"/>
      <c r="B161" s="12" t="s">
        <v>1508</v>
      </c>
      <c r="C161" s="144"/>
      <c r="D161" s="58">
        <v>-4</v>
      </c>
      <c r="E161" s="50">
        <v>0.23</v>
      </c>
      <c r="F161" s="50">
        <v>0.23</v>
      </c>
      <c r="G161" s="53">
        <f>3.3-0.355</f>
        <v>2.9449999999999998</v>
      </c>
      <c r="H161" s="66">
        <f t="shared" si="9"/>
        <v>-0.62316199999999999</v>
      </c>
      <c r="I161" s="144"/>
    </row>
    <row r="162" spans="1:9">
      <c r="A162" s="1"/>
      <c r="B162" s="72" t="s">
        <v>1477</v>
      </c>
      <c r="C162" s="69"/>
      <c r="D162" s="146">
        <v>2</v>
      </c>
      <c r="E162" s="71">
        <v>6.83</v>
      </c>
      <c r="F162" s="50">
        <v>0.23</v>
      </c>
      <c r="G162" s="53">
        <f>3.3-0.355</f>
        <v>2.9449999999999998</v>
      </c>
      <c r="H162" s="66">
        <f t="shared" si="9"/>
        <v>9.2526010000000003</v>
      </c>
      <c r="I162" s="144"/>
    </row>
    <row r="163" spans="1:9" ht="12" customHeight="1">
      <c r="A163" s="1"/>
      <c r="B163" s="12" t="s">
        <v>1508</v>
      </c>
      <c r="C163" s="144"/>
      <c r="D163" s="58">
        <v>-6</v>
      </c>
      <c r="E163" s="50">
        <v>0.3</v>
      </c>
      <c r="F163" s="50">
        <v>0.23</v>
      </c>
      <c r="G163" s="53">
        <f>3.3-0.355</f>
        <v>2.9449999999999998</v>
      </c>
      <c r="H163" s="66">
        <f t="shared" si="9"/>
        <v>-1.2192299999999998</v>
      </c>
      <c r="I163" s="144"/>
    </row>
    <row r="164" spans="1:9">
      <c r="A164" s="1"/>
      <c r="B164" s="744" t="s">
        <v>1688</v>
      </c>
      <c r="C164" s="146"/>
      <c r="D164" s="146">
        <v>10</v>
      </c>
      <c r="E164" s="71">
        <v>0.45</v>
      </c>
      <c r="F164" s="50">
        <v>0.23</v>
      </c>
      <c r="G164" s="53">
        <f>3.3-0.355</f>
        <v>2.9449999999999998</v>
      </c>
      <c r="H164" s="66">
        <f t="shared" si="9"/>
        <v>3.0480750000000003</v>
      </c>
      <c r="I164" s="144"/>
    </row>
    <row r="165" spans="1:9">
      <c r="A165" s="1"/>
      <c r="B165" s="12" t="s">
        <v>1689</v>
      </c>
      <c r="C165" s="146"/>
      <c r="D165" s="146">
        <v>1</v>
      </c>
      <c r="E165" s="71">
        <v>1.2</v>
      </c>
      <c r="F165" s="71">
        <v>0.3</v>
      </c>
      <c r="G165" s="71">
        <v>0.15</v>
      </c>
      <c r="H165" s="66">
        <f t="shared" si="9"/>
        <v>5.3999999999999999E-2</v>
      </c>
      <c r="I165" s="144"/>
    </row>
    <row r="166" spans="1:9">
      <c r="A166" s="1"/>
      <c r="B166" s="12" t="s">
        <v>1689</v>
      </c>
      <c r="C166" s="146"/>
      <c r="D166" s="146">
        <v>1</v>
      </c>
      <c r="E166" s="71">
        <v>1.2</v>
      </c>
      <c r="F166" s="71">
        <v>0.6</v>
      </c>
      <c r="G166" s="71">
        <v>0.15</v>
      </c>
      <c r="H166" s="66">
        <f t="shared" si="9"/>
        <v>0.108</v>
      </c>
      <c r="I166" s="144"/>
    </row>
    <row r="167" spans="1:9">
      <c r="A167" s="1"/>
      <c r="B167" s="12" t="s">
        <v>1689</v>
      </c>
      <c r="C167" s="146"/>
      <c r="D167" s="146">
        <v>1</v>
      </c>
      <c r="E167" s="71">
        <v>1.2</v>
      </c>
      <c r="F167" s="71">
        <v>0.9</v>
      </c>
      <c r="G167" s="71">
        <v>0.15</v>
      </c>
      <c r="H167" s="66">
        <f t="shared" si="9"/>
        <v>0.16200000000000001</v>
      </c>
      <c r="I167" s="144"/>
    </row>
    <row r="168" spans="1:9">
      <c r="A168" s="52"/>
      <c r="B168" s="72" t="s">
        <v>1468</v>
      </c>
      <c r="C168" s="144"/>
      <c r="D168" s="146"/>
      <c r="E168" s="54"/>
      <c r="F168" s="54"/>
      <c r="G168" s="53"/>
      <c r="H168" s="63"/>
      <c r="I168" s="144"/>
    </row>
    <row r="169" spans="1:9">
      <c r="A169" s="1"/>
      <c r="B169" s="144" t="s">
        <v>1682</v>
      </c>
      <c r="C169" s="146"/>
      <c r="D169" s="146">
        <v>-2</v>
      </c>
      <c r="E169" s="54">
        <v>1</v>
      </c>
      <c r="F169" s="54">
        <v>0.23</v>
      </c>
      <c r="G169" s="54">
        <v>2.1</v>
      </c>
      <c r="H169" s="63">
        <f>D169*E169*F169*G169</f>
        <v>-0.96600000000000008</v>
      </c>
      <c r="I169" s="144"/>
    </row>
    <row r="170" spans="1:9">
      <c r="A170" s="1"/>
      <c r="B170" s="144" t="s">
        <v>1683</v>
      </c>
      <c r="C170" s="146"/>
      <c r="D170" s="146">
        <v>-1</v>
      </c>
      <c r="E170" s="54">
        <v>1.2</v>
      </c>
      <c r="F170" s="54">
        <v>0.23</v>
      </c>
      <c r="G170" s="54">
        <v>1.3</v>
      </c>
      <c r="H170" s="63">
        <f>D170*E170*F170*G170</f>
        <v>-0.35880000000000006</v>
      </c>
      <c r="I170" s="144"/>
    </row>
    <row r="171" spans="1:9" s="742" customFormat="1">
      <c r="A171" s="745"/>
      <c r="B171" s="744" t="s">
        <v>1531</v>
      </c>
      <c r="C171" s="746"/>
      <c r="D171" s="146">
        <v>-1</v>
      </c>
      <c r="E171" s="54">
        <v>0.6</v>
      </c>
      <c r="F171" s="144">
        <v>0.23</v>
      </c>
      <c r="G171" s="54">
        <v>0.5</v>
      </c>
      <c r="H171" s="63">
        <f>D171*E171*F171*G171</f>
        <v>-6.9000000000000006E-2</v>
      </c>
      <c r="I171" s="747"/>
    </row>
    <row r="172" spans="1:9" s="742" customFormat="1">
      <c r="A172" s="745"/>
      <c r="B172" s="144" t="s">
        <v>1684</v>
      </c>
      <c r="C172" s="746"/>
      <c r="D172" s="146">
        <v>-1</v>
      </c>
      <c r="E172" s="54">
        <v>2.61</v>
      </c>
      <c r="F172" s="144">
        <v>0.23</v>
      </c>
      <c r="G172" s="54">
        <v>1.2</v>
      </c>
      <c r="H172" s="63">
        <f>D172*E172*F172*G172</f>
        <v>-0.72035999999999989</v>
      </c>
      <c r="I172" s="747"/>
    </row>
    <row r="173" spans="1:9" s="742" customFormat="1">
      <c r="A173" s="745"/>
      <c r="B173" s="144" t="s">
        <v>1685</v>
      </c>
      <c r="C173" s="746"/>
      <c r="D173" s="146">
        <v>-2</v>
      </c>
      <c r="E173" s="54">
        <v>1.385</v>
      </c>
      <c r="F173" s="144">
        <v>0.23</v>
      </c>
      <c r="G173" s="54">
        <v>1.2</v>
      </c>
      <c r="H173" s="63">
        <f>D173*E173*F173*G173</f>
        <v>-0.76451999999999998</v>
      </c>
      <c r="I173" s="747"/>
    </row>
    <row r="174" spans="1:9">
      <c r="A174" s="1"/>
      <c r="B174" s="143" t="s">
        <v>1452</v>
      </c>
      <c r="C174" s="146"/>
      <c r="D174" s="146"/>
      <c r="E174" s="54"/>
      <c r="F174" s="54"/>
      <c r="G174" s="54"/>
      <c r="H174" s="63"/>
      <c r="I174" s="144"/>
    </row>
    <row r="175" spans="1:9">
      <c r="A175" s="1"/>
      <c r="B175" s="144" t="s">
        <v>1682</v>
      </c>
      <c r="C175" s="146"/>
      <c r="D175" s="146">
        <v>-2</v>
      </c>
      <c r="E175" s="54">
        <f>1+0.46</f>
        <v>1.46</v>
      </c>
      <c r="F175" s="54">
        <v>0.23</v>
      </c>
      <c r="G175" s="54">
        <v>0.17499999999999999</v>
      </c>
      <c r="H175" s="63">
        <f>D175*E175*F175*G175</f>
        <v>-0.11752999999999998</v>
      </c>
      <c r="I175" s="144"/>
    </row>
    <row r="176" spans="1:9">
      <c r="A176" s="1"/>
      <c r="B176" s="144" t="s">
        <v>1683</v>
      </c>
      <c r="C176" s="146"/>
      <c r="D176" s="146">
        <v>-1</v>
      </c>
      <c r="E176" s="54">
        <f>1.2+0.46</f>
        <v>1.66</v>
      </c>
      <c r="F176" s="54">
        <v>0.23</v>
      </c>
      <c r="G176" s="54">
        <v>0.17499999999999999</v>
      </c>
      <c r="H176" s="63">
        <f t="shared" ref="H176:H179" si="10">D176*E176*F176*G176</f>
        <v>-6.6814999999999986E-2</v>
      </c>
      <c r="I176" s="144"/>
    </row>
    <row r="177" spans="1:9">
      <c r="A177" s="1"/>
      <c r="B177" s="744" t="s">
        <v>1531</v>
      </c>
      <c r="C177" s="146"/>
      <c r="D177" s="146">
        <v>-1</v>
      </c>
      <c r="E177" s="54">
        <f>0.6+0.46</f>
        <v>1.06</v>
      </c>
      <c r="F177" s="54">
        <v>0.23</v>
      </c>
      <c r="G177" s="54">
        <v>0.17499999999999999</v>
      </c>
      <c r="H177" s="63">
        <f t="shared" si="10"/>
        <v>-4.2665000000000002E-2</v>
      </c>
      <c r="I177" s="144"/>
    </row>
    <row r="178" spans="1:9">
      <c r="A178" s="1"/>
      <c r="B178" s="144" t="s">
        <v>1684</v>
      </c>
      <c r="C178" s="146"/>
      <c r="D178" s="146">
        <v>-1</v>
      </c>
      <c r="E178" s="54">
        <f>2.61+0.46</f>
        <v>3.07</v>
      </c>
      <c r="F178" s="54">
        <v>0.23</v>
      </c>
      <c r="G178" s="54">
        <v>0.17499999999999999</v>
      </c>
      <c r="H178" s="63">
        <f t="shared" si="10"/>
        <v>-0.12356749999999998</v>
      </c>
      <c r="I178" s="144"/>
    </row>
    <row r="179" spans="1:9">
      <c r="A179" s="1"/>
      <c r="B179" s="144" t="s">
        <v>1685</v>
      </c>
      <c r="C179" s="146"/>
      <c r="D179" s="146">
        <v>-2</v>
      </c>
      <c r="E179" s="54">
        <f>1.385+0.46</f>
        <v>1.845</v>
      </c>
      <c r="F179" s="54">
        <v>0.23</v>
      </c>
      <c r="G179" s="54">
        <v>0.17499999999999999</v>
      </c>
      <c r="H179" s="63">
        <f t="shared" si="10"/>
        <v>-0.1485225</v>
      </c>
      <c r="I179" s="144"/>
    </row>
    <row r="180" spans="1:9">
      <c r="A180" s="1"/>
      <c r="B180" s="12"/>
      <c r="C180" s="146"/>
      <c r="D180" s="146"/>
      <c r="E180" s="71"/>
      <c r="F180" s="71"/>
      <c r="G180" s="71"/>
      <c r="H180" s="70">
        <f>SUM(H160:H179)</f>
        <v>12.186595000000002</v>
      </c>
      <c r="I180" s="144"/>
    </row>
    <row r="181" spans="1:9">
      <c r="A181" s="1"/>
      <c r="B181" s="12"/>
      <c r="C181" s="146"/>
      <c r="D181" s="146"/>
      <c r="E181" s="71"/>
      <c r="F181" s="71"/>
      <c r="G181" s="65" t="s">
        <v>467</v>
      </c>
      <c r="H181" s="64">
        <f>ROUNDUP(H180,0)</f>
        <v>13</v>
      </c>
      <c r="I181" s="143" t="s">
        <v>465</v>
      </c>
    </row>
    <row r="182" spans="1:9">
      <c r="A182" s="1"/>
      <c r="B182" s="12"/>
      <c r="C182" s="146"/>
      <c r="D182" s="146"/>
      <c r="E182" s="71"/>
      <c r="F182" s="71"/>
      <c r="G182" s="65"/>
      <c r="H182" s="64"/>
      <c r="I182" s="143"/>
    </row>
    <row r="183" spans="1:9">
      <c r="A183" s="51">
        <f>A159+1</f>
        <v>17</v>
      </c>
      <c r="B183" s="72" t="s">
        <v>1690</v>
      </c>
      <c r="C183" s="146"/>
      <c r="D183" s="146"/>
      <c r="E183" s="71"/>
      <c r="F183" s="71"/>
      <c r="G183" s="71"/>
      <c r="H183" s="70"/>
      <c r="I183" s="144"/>
    </row>
    <row r="184" spans="1:9" s="522" customFormat="1">
      <c r="A184" s="46"/>
      <c r="B184" s="43" t="s">
        <v>1541</v>
      </c>
      <c r="C184" s="2"/>
      <c r="D184" s="48">
        <v>1</v>
      </c>
      <c r="E184" s="47">
        <v>1.21</v>
      </c>
      <c r="F184" s="47"/>
      <c r="G184" s="9">
        <f>3.3-0.125</f>
        <v>3.1749999999999998</v>
      </c>
      <c r="H184" s="42">
        <f t="shared" ref="H184:H185" si="11">D184*E184*G184</f>
        <v>3.8417499999999998</v>
      </c>
      <c r="I184" s="12"/>
    </row>
    <row r="185" spans="1:9" s="522" customFormat="1">
      <c r="A185" s="46"/>
      <c r="B185" s="145"/>
      <c r="C185" s="2"/>
      <c r="D185" s="48">
        <v>1</v>
      </c>
      <c r="E185" s="47">
        <v>1.0049999999999999</v>
      </c>
      <c r="F185" s="47"/>
      <c r="G185" s="9">
        <f>3.3-0.125</f>
        <v>3.1749999999999998</v>
      </c>
      <c r="H185" s="42">
        <f t="shared" si="11"/>
        <v>3.1908749999999997</v>
      </c>
      <c r="I185" s="12"/>
    </row>
    <row r="186" spans="1:9" s="522" customFormat="1">
      <c r="A186" s="46"/>
      <c r="B186" s="145"/>
      <c r="C186" s="2"/>
      <c r="D186" s="48"/>
      <c r="E186" s="47"/>
      <c r="F186" s="47"/>
      <c r="G186" s="9"/>
      <c r="H186" s="42"/>
      <c r="I186" s="12"/>
    </row>
    <row r="187" spans="1:9" s="522" customFormat="1">
      <c r="A187" s="46"/>
      <c r="B187" s="72" t="s">
        <v>1477</v>
      </c>
      <c r="C187" s="2"/>
      <c r="D187" s="48">
        <v>1</v>
      </c>
      <c r="E187" s="47">
        <f>2.36+0.6+0.1</f>
        <v>3.06</v>
      </c>
      <c r="F187" s="47"/>
      <c r="G187" s="9">
        <f>3.3-0.125</f>
        <v>3.1749999999999998</v>
      </c>
      <c r="H187" s="42">
        <f t="shared" ref="H187:H189" si="12">D187*E187*G187</f>
        <v>9.7155000000000005</v>
      </c>
      <c r="I187" s="12"/>
    </row>
    <row r="188" spans="1:9" s="522" customFormat="1">
      <c r="A188" s="46"/>
      <c r="B188" s="145"/>
      <c r="C188" s="2"/>
      <c r="D188" s="48">
        <v>1</v>
      </c>
      <c r="E188" s="47">
        <v>0.6</v>
      </c>
      <c r="F188" s="47"/>
      <c r="G188" s="9">
        <f>3.3-0.125</f>
        <v>3.1749999999999998</v>
      </c>
      <c r="H188" s="9">
        <f t="shared" si="12"/>
        <v>1.9049999999999998</v>
      </c>
      <c r="I188" s="12"/>
    </row>
    <row r="189" spans="1:9" s="522" customFormat="1">
      <c r="A189" s="46"/>
      <c r="B189" s="145" t="s">
        <v>1691</v>
      </c>
      <c r="C189" s="2"/>
      <c r="D189" s="48">
        <v>3</v>
      </c>
      <c r="E189" s="47">
        <v>0.6</v>
      </c>
      <c r="F189" s="47"/>
      <c r="G189" s="9">
        <v>0.8</v>
      </c>
      <c r="H189" s="9">
        <f t="shared" si="12"/>
        <v>1.44</v>
      </c>
      <c r="I189" s="12"/>
    </row>
    <row r="190" spans="1:9" s="675" customFormat="1">
      <c r="A190" s="1"/>
      <c r="B190" s="72" t="s">
        <v>1539</v>
      </c>
      <c r="C190" s="52"/>
      <c r="D190" s="52"/>
      <c r="E190" s="6"/>
      <c r="F190" s="6"/>
      <c r="G190" s="6"/>
      <c r="H190" s="64"/>
      <c r="I190" s="143"/>
    </row>
    <row r="191" spans="1:9">
      <c r="A191" s="1"/>
      <c r="B191" s="12" t="s">
        <v>1606</v>
      </c>
      <c r="C191" s="146"/>
      <c r="D191" s="146">
        <v>1</v>
      </c>
      <c r="E191" s="71">
        <f>2*(3.3+6.6)</f>
        <v>19.799999999999997</v>
      </c>
      <c r="F191" s="54"/>
      <c r="G191" s="54">
        <v>0.35</v>
      </c>
      <c r="H191" s="63">
        <f>D191*E191*G191</f>
        <v>6.9299999999999988</v>
      </c>
      <c r="I191" s="144"/>
    </row>
    <row r="192" spans="1:9">
      <c r="A192" s="1"/>
      <c r="B192" s="72" t="s">
        <v>1607</v>
      </c>
      <c r="C192" s="146"/>
      <c r="D192" s="146"/>
      <c r="E192" s="54"/>
      <c r="F192" s="54"/>
      <c r="G192" s="54"/>
      <c r="H192" s="63"/>
      <c r="I192" s="144"/>
    </row>
    <row r="193" spans="1:10">
      <c r="A193" s="1"/>
      <c r="B193" s="144" t="s">
        <v>1686</v>
      </c>
      <c r="C193" s="146"/>
      <c r="D193" s="146">
        <v>-2</v>
      </c>
      <c r="E193" s="54">
        <v>0.75</v>
      </c>
      <c r="F193" s="54"/>
      <c r="G193" s="54">
        <v>2.1</v>
      </c>
      <c r="H193" s="63">
        <f t="shared" ref="H193" si="13">D193*E193*G193</f>
        <v>-3.1500000000000004</v>
      </c>
      <c r="I193" s="144"/>
    </row>
    <row r="194" spans="1:10" s="675" customFormat="1">
      <c r="A194" s="1"/>
      <c r="B194" s="143" t="s">
        <v>1452</v>
      </c>
      <c r="C194" s="52"/>
      <c r="D194" s="52"/>
      <c r="E194" s="6"/>
      <c r="F194" s="6"/>
      <c r="G194" s="6"/>
      <c r="H194" s="64"/>
      <c r="I194" s="143"/>
    </row>
    <row r="195" spans="1:10">
      <c r="A195" s="143"/>
      <c r="B195" s="144" t="s">
        <v>1686</v>
      </c>
      <c r="C195" s="144"/>
      <c r="D195" s="146">
        <v>-2</v>
      </c>
      <c r="E195" s="54">
        <f>1+0.46</f>
        <v>1.46</v>
      </c>
      <c r="F195" s="54"/>
      <c r="G195" s="54">
        <v>0.17499999999999999</v>
      </c>
      <c r="H195" s="63">
        <f t="shared" ref="H195" si="14">D195*E195*G195</f>
        <v>-0.51100000000000001</v>
      </c>
      <c r="I195" s="144"/>
      <c r="J195" s="524"/>
    </row>
    <row r="196" spans="1:10">
      <c r="A196" s="1"/>
      <c r="B196" s="12"/>
      <c r="C196" s="146"/>
      <c r="D196" s="146"/>
      <c r="E196" s="71"/>
      <c r="F196" s="71"/>
      <c r="G196" s="71"/>
      <c r="H196" s="70">
        <f>SUM(H184:H195)</f>
        <v>23.362125000000002</v>
      </c>
      <c r="I196" s="144"/>
    </row>
    <row r="197" spans="1:10">
      <c r="A197" s="1"/>
      <c r="B197" s="12"/>
      <c r="C197" s="146"/>
      <c r="D197" s="146"/>
      <c r="E197" s="71"/>
      <c r="F197" s="71"/>
      <c r="G197" s="65" t="s">
        <v>467</v>
      </c>
      <c r="H197" s="64">
        <f>ROUNDUP(H196,0)</f>
        <v>24</v>
      </c>
      <c r="I197" s="143" t="s">
        <v>461</v>
      </c>
    </row>
    <row r="198" spans="1:10">
      <c r="A198" s="1"/>
      <c r="B198" s="12"/>
      <c r="C198" s="146"/>
      <c r="D198" s="146"/>
      <c r="E198" s="71"/>
      <c r="F198" s="71"/>
      <c r="G198" s="65"/>
      <c r="H198" s="64"/>
      <c r="I198" s="143"/>
    </row>
    <row r="199" spans="1:10">
      <c r="A199" s="51">
        <f>A183+1</f>
        <v>18</v>
      </c>
      <c r="B199" s="72" t="s">
        <v>1509</v>
      </c>
      <c r="C199" s="146"/>
      <c r="D199" s="146"/>
      <c r="E199" s="71"/>
      <c r="F199" s="71"/>
      <c r="G199" s="71"/>
      <c r="H199" s="70"/>
      <c r="I199" s="144"/>
    </row>
    <row r="200" spans="1:10" ht="12" customHeight="1">
      <c r="A200" s="1"/>
      <c r="B200" s="72" t="s">
        <v>1533</v>
      </c>
      <c r="C200" s="146"/>
      <c r="D200" s="146"/>
      <c r="E200" s="71"/>
      <c r="F200" s="71"/>
      <c r="G200" s="71"/>
      <c r="H200" s="70"/>
      <c r="I200" s="144"/>
    </row>
    <row r="201" spans="1:10">
      <c r="A201" s="1"/>
      <c r="B201" s="144" t="s">
        <v>1682</v>
      </c>
      <c r="C201" s="146">
        <v>2</v>
      </c>
      <c r="D201" s="146">
        <v>2</v>
      </c>
      <c r="E201" s="54">
        <v>0.3</v>
      </c>
      <c r="F201" s="54">
        <v>0.23</v>
      </c>
      <c r="G201" s="54">
        <v>0.15</v>
      </c>
      <c r="H201" s="63">
        <f>C201*D201*E201*F201*G201</f>
        <v>4.1399999999999999E-2</v>
      </c>
      <c r="I201" s="144"/>
    </row>
    <row r="202" spans="1:10">
      <c r="A202" s="1"/>
      <c r="B202" s="144" t="s">
        <v>1683</v>
      </c>
      <c r="C202" s="146">
        <v>2</v>
      </c>
      <c r="D202" s="146">
        <v>1</v>
      </c>
      <c r="E202" s="54">
        <v>0.3</v>
      </c>
      <c r="F202" s="54">
        <v>0.23</v>
      </c>
      <c r="G202" s="54">
        <v>0.15</v>
      </c>
      <c r="H202" s="63">
        <f>C202*D202*E202*F202*G202</f>
        <v>2.07E-2</v>
      </c>
      <c r="I202" s="144"/>
    </row>
    <row r="203" spans="1:10">
      <c r="A203" s="1"/>
      <c r="B203" s="144" t="s">
        <v>1531</v>
      </c>
      <c r="C203" s="146">
        <v>2</v>
      </c>
      <c r="D203" s="146">
        <v>1</v>
      </c>
      <c r="E203" s="54">
        <v>0.3</v>
      </c>
      <c r="F203" s="54">
        <v>0.23</v>
      </c>
      <c r="G203" s="54">
        <v>0.15</v>
      </c>
      <c r="H203" s="63">
        <f>C203*D203*E203*F203*G203</f>
        <v>2.07E-2</v>
      </c>
      <c r="I203" s="144"/>
    </row>
    <row r="204" spans="1:10">
      <c r="A204" s="1"/>
      <c r="B204" s="144" t="s">
        <v>1692</v>
      </c>
      <c r="C204" s="146">
        <v>2</v>
      </c>
      <c r="D204" s="146">
        <v>3</v>
      </c>
      <c r="E204" s="54">
        <v>0.3</v>
      </c>
      <c r="F204" s="54">
        <v>0.23</v>
      </c>
      <c r="G204" s="54">
        <v>0.15</v>
      </c>
      <c r="H204" s="63">
        <f t="shared" ref="H204" si="15">C204*D204*E204*F204*G204</f>
        <v>6.2099999999999995E-2</v>
      </c>
      <c r="I204" s="144"/>
    </row>
    <row r="205" spans="1:10">
      <c r="A205" s="1"/>
      <c r="B205" s="144" t="s">
        <v>1686</v>
      </c>
      <c r="C205" s="146">
        <v>2</v>
      </c>
      <c r="D205" s="146">
        <v>2</v>
      </c>
      <c r="E205" s="54">
        <v>0.3</v>
      </c>
      <c r="F205" s="54">
        <v>0.11</v>
      </c>
      <c r="G205" s="54">
        <v>0.15</v>
      </c>
      <c r="H205" s="63">
        <f>C205*D205*E205*F205*G205</f>
        <v>1.9800000000000002E-2</v>
      </c>
      <c r="I205" s="144"/>
    </row>
    <row r="206" spans="1:10">
      <c r="A206" s="1"/>
      <c r="B206" s="72" t="s">
        <v>1510</v>
      </c>
      <c r="C206" s="146"/>
      <c r="D206" s="146"/>
      <c r="E206" s="54"/>
      <c r="F206" s="54"/>
      <c r="G206" s="54"/>
      <c r="H206" s="63"/>
      <c r="I206" s="144"/>
    </row>
    <row r="207" spans="1:10">
      <c r="A207" s="1"/>
      <c r="B207" s="144" t="s">
        <v>1682</v>
      </c>
      <c r="C207" s="146">
        <v>6</v>
      </c>
      <c r="D207" s="146">
        <v>2</v>
      </c>
      <c r="E207" s="54">
        <v>0.23</v>
      </c>
      <c r="F207" s="54">
        <v>0.23</v>
      </c>
      <c r="G207" s="54">
        <v>0.15</v>
      </c>
      <c r="H207" s="63">
        <f>C207*D207*E207*F207*G207</f>
        <v>9.5219999999999999E-2</v>
      </c>
      <c r="I207" s="144"/>
    </row>
    <row r="208" spans="1:10">
      <c r="A208" s="1"/>
      <c r="B208" s="144" t="s">
        <v>1683</v>
      </c>
      <c r="C208" s="146">
        <v>4</v>
      </c>
      <c r="D208" s="146">
        <v>1</v>
      </c>
      <c r="E208" s="54">
        <v>0.23</v>
      </c>
      <c r="F208" s="54">
        <v>0.23</v>
      </c>
      <c r="G208" s="54">
        <v>0.15</v>
      </c>
      <c r="H208" s="63">
        <f>C208*D208*E208*F208*G208</f>
        <v>3.1739999999999997E-2</v>
      </c>
      <c r="I208" s="144"/>
    </row>
    <row r="209" spans="1:9">
      <c r="A209" s="1"/>
      <c r="B209" s="144" t="s">
        <v>1531</v>
      </c>
      <c r="C209" s="146">
        <v>2</v>
      </c>
      <c r="D209" s="146">
        <v>1</v>
      </c>
      <c r="E209" s="54">
        <v>0.23</v>
      </c>
      <c r="F209" s="54">
        <v>0.23</v>
      </c>
      <c r="G209" s="54">
        <v>0.15</v>
      </c>
      <c r="H209" s="63">
        <f t="shared" ref="H209:H210" si="16">C209*D209*E209*F209*G209</f>
        <v>1.5869999999999999E-2</v>
      </c>
      <c r="I209" s="144"/>
    </row>
    <row r="210" spans="1:9">
      <c r="A210" s="1"/>
      <c r="B210" s="144" t="s">
        <v>1686</v>
      </c>
      <c r="C210" s="146">
        <v>6</v>
      </c>
      <c r="D210" s="146">
        <v>2</v>
      </c>
      <c r="E210" s="54">
        <v>0.23</v>
      </c>
      <c r="F210" s="54">
        <v>0.11</v>
      </c>
      <c r="G210" s="54">
        <v>0.15</v>
      </c>
      <c r="H210" s="63">
        <f t="shared" si="16"/>
        <v>4.5540000000000004E-2</v>
      </c>
      <c r="I210" s="144"/>
    </row>
    <row r="211" spans="1:9">
      <c r="A211" s="1"/>
      <c r="B211" s="12"/>
      <c r="C211" s="146"/>
      <c r="D211" s="146"/>
      <c r="E211" s="71"/>
      <c r="F211" s="71"/>
      <c r="G211" s="71"/>
      <c r="H211" s="70">
        <f>SUM(H200:H210)</f>
        <v>0.35307000000000005</v>
      </c>
      <c r="I211" s="144"/>
    </row>
    <row r="212" spans="1:9">
      <c r="A212" s="1"/>
      <c r="B212" s="12"/>
      <c r="C212" s="146"/>
      <c r="D212" s="146"/>
      <c r="E212" s="71"/>
      <c r="F212" s="71"/>
      <c r="G212" s="65" t="s">
        <v>467</v>
      </c>
      <c r="H212" s="64">
        <f>ROUND(H211,1)</f>
        <v>0.4</v>
      </c>
      <c r="I212" s="143" t="s">
        <v>465</v>
      </c>
    </row>
    <row r="213" spans="1:9">
      <c r="A213" s="51">
        <f>A199+1</f>
        <v>19</v>
      </c>
      <c r="B213" s="72" t="s">
        <v>1543</v>
      </c>
      <c r="C213" s="146"/>
      <c r="D213" s="146"/>
      <c r="E213" s="71"/>
      <c r="F213" s="71"/>
      <c r="G213" s="71"/>
      <c r="H213" s="70"/>
      <c r="I213" s="144"/>
    </row>
    <row r="214" spans="1:9">
      <c r="A214" s="1"/>
      <c r="B214" s="12" t="s">
        <v>1472</v>
      </c>
      <c r="C214" s="69"/>
      <c r="D214" s="146">
        <v>6</v>
      </c>
      <c r="E214" s="71">
        <v>0.23</v>
      </c>
      <c r="F214" s="71">
        <v>0.3</v>
      </c>
      <c r="G214" s="53">
        <v>0.35</v>
      </c>
      <c r="H214" s="70">
        <f>D214*E214*F214*G214</f>
        <v>0.1449</v>
      </c>
      <c r="I214" s="144"/>
    </row>
    <row r="215" spans="1:9">
      <c r="A215" s="1"/>
      <c r="B215" s="12"/>
      <c r="C215" s="146"/>
      <c r="D215" s="146">
        <f>SUM(D214:D214)</f>
        <v>6</v>
      </c>
      <c r="E215" s="71"/>
      <c r="F215" s="71"/>
      <c r="G215" s="71"/>
      <c r="H215" s="70">
        <f>SUM(H214:H214)</f>
        <v>0.1449</v>
      </c>
      <c r="I215" s="144"/>
    </row>
    <row r="216" spans="1:9">
      <c r="A216" s="1"/>
      <c r="B216" s="12"/>
      <c r="C216" s="146"/>
      <c r="D216" s="146"/>
      <c r="E216" s="71"/>
      <c r="F216" s="71"/>
      <c r="G216" s="65" t="s">
        <v>467</v>
      </c>
      <c r="H216" s="64">
        <f>ROUND(H215,1)</f>
        <v>0.1</v>
      </c>
      <c r="I216" s="143" t="s">
        <v>465</v>
      </c>
    </row>
    <row r="217" spans="1:9">
      <c r="A217" s="1"/>
      <c r="B217" s="12"/>
      <c r="C217" s="146"/>
      <c r="D217" s="146"/>
      <c r="E217" s="71"/>
      <c r="F217" s="71"/>
      <c r="G217" s="65"/>
      <c r="H217" s="64"/>
      <c r="I217" s="143"/>
    </row>
    <row r="218" spans="1:9">
      <c r="A218" s="51">
        <f>A213+1</f>
        <v>20</v>
      </c>
      <c r="B218" s="72" t="s">
        <v>1589</v>
      </c>
      <c r="C218" s="146"/>
      <c r="D218" s="146"/>
      <c r="E218" s="71"/>
      <c r="F218" s="71"/>
      <c r="G218" s="71"/>
      <c r="H218" s="70"/>
      <c r="I218" s="144"/>
    </row>
    <row r="219" spans="1:9">
      <c r="A219" s="1"/>
      <c r="B219" s="12" t="s">
        <v>1511</v>
      </c>
      <c r="C219" s="146"/>
      <c r="D219" s="45">
        <f>H83</f>
        <v>1.9439999999999997</v>
      </c>
      <c r="E219" s="71">
        <v>80</v>
      </c>
      <c r="F219" s="71"/>
      <c r="G219" s="71" t="s">
        <v>1512</v>
      </c>
      <c r="H219" s="70">
        <f t="shared" ref="H219:H223" si="17">D219*E219</f>
        <v>155.51999999999998</v>
      </c>
      <c r="I219" s="144"/>
    </row>
    <row r="220" spans="1:9">
      <c r="A220" s="1"/>
      <c r="B220" s="12" t="s">
        <v>1446</v>
      </c>
      <c r="C220" s="146"/>
      <c r="D220" s="45">
        <f>H92</f>
        <v>1.45383</v>
      </c>
      <c r="E220" s="71">
        <v>110</v>
      </c>
      <c r="F220" s="71"/>
      <c r="G220" s="71" t="s">
        <v>1512</v>
      </c>
      <c r="H220" s="70">
        <f t="shared" si="17"/>
        <v>159.9213</v>
      </c>
      <c r="I220" s="144"/>
    </row>
    <row r="221" spans="1:9">
      <c r="A221" s="1"/>
      <c r="B221" s="12" t="s">
        <v>1608</v>
      </c>
      <c r="C221" s="146"/>
      <c r="D221" s="45">
        <f>H114</f>
        <v>2.4012000000000002</v>
      </c>
      <c r="E221" s="71">
        <v>200</v>
      </c>
      <c r="F221" s="71"/>
      <c r="G221" s="71" t="s">
        <v>1512</v>
      </c>
      <c r="H221" s="70">
        <f t="shared" si="17"/>
        <v>480.24000000000007</v>
      </c>
      <c r="I221" s="144"/>
    </row>
    <row r="222" spans="1:9">
      <c r="A222" s="1"/>
      <c r="B222" s="12" t="s">
        <v>1543</v>
      </c>
      <c r="C222" s="146"/>
      <c r="D222" s="45">
        <f>H215</f>
        <v>0.1449</v>
      </c>
      <c r="E222" s="71">
        <v>200</v>
      </c>
      <c r="F222" s="71"/>
      <c r="G222" s="71" t="s">
        <v>1512</v>
      </c>
      <c r="H222" s="70">
        <f t="shared" si="17"/>
        <v>28.98</v>
      </c>
      <c r="I222" s="144"/>
    </row>
    <row r="223" spans="1:9">
      <c r="A223" s="1"/>
      <c r="B223" s="12" t="s">
        <v>1513</v>
      </c>
      <c r="C223" s="146"/>
      <c r="D223" s="45">
        <f>H123</f>
        <v>1.1000000000000001</v>
      </c>
      <c r="E223" s="71">
        <v>200</v>
      </c>
      <c r="F223" s="71"/>
      <c r="G223" s="71" t="s">
        <v>1512</v>
      </c>
      <c r="H223" s="70">
        <f t="shared" si="17"/>
        <v>220.00000000000003</v>
      </c>
      <c r="I223" s="144"/>
    </row>
    <row r="224" spans="1:9">
      <c r="A224" s="1"/>
      <c r="B224" s="12" t="s">
        <v>1609</v>
      </c>
      <c r="C224" s="146"/>
      <c r="D224" s="45">
        <f>H129</f>
        <v>46</v>
      </c>
      <c r="E224" s="71">
        <v>80</v>
      </c>
      <c r="F224" s="71">
        <v>0.125</v>
      </c>
      <c r="G224" s="71" t="s">
        <v>1512</v>
      </c>
      <c r="H224" s="70">
        <f t="shared" ref="H224" si="18">D224*E224*F224</f>
        <v>460</v>
      </c>
      <c r="I224" s="144"/>
    </row>
    <row r="225" spans="1:9">
      <c r="A225" s="1"/>
      <c r="B225" s="12" t="s">
        <v>1452</v>
      </c>
      <c r="C225" s="146"/>
      <c r="D225" s="146">
        <f>H139</f>
        <v>0.6</v>
      </c>
      <c r="E225" s="71">
        <v>80</v>
      </c>
      <c r="F225" s="71"/>
      <c r="G225" s="71" t="s">
        <v>1512</v>
      </c>
      <c r="H225" s="70">
        <f>D225*E225</f>
        <v>48</v>
      </c>
      <c r="I225" s="144"/>
    </row>
    <row r="226" spans="1:9">
      <c r="A226" s="1"/>
      <c r="B226" s="12"/>
      <c r="C226" s="146"/>
      <c r="D226" s="146"/>
      <c r="E226" s="71"/>
      <c r="F226" s="71"/>
      <c r="G226" s="71"/>
      <c r="H226" s="70">
        <f>SUM(H219:H225)</f>
        <v>1552.6613</v>
      </c>
      <c r="I226" s="144"/>
    </row>
    <row r="227" spans="1:9">
      <c r="A227" s="1"/>
      <c r="B227" s="12"/>
      <c r="C227" s="146"/>
      <c r="D227" s="146"/>
      <c r="E227" s="71"/>
      <c r="F227" s="71"/>
      <c r="G227" s="65" t="s">
        <v>467</v>
      </c>
      <c r="H227" s="64">
        <f>ROUND(H226/1000,1)</f>
        <v>1.6</v>
      </c>
      <c r="I227" s="143" t="s">
        <v>50</v>
      </c>
    </row>
    <row r="228" spans="1:9">
      <c r="A228" s="1">
        <f>A218+1</f>
        <v>21</v>
      </c>
      <c r="B228" s="72" t="s">
        <v>1514</v>
      </c>
      <c r="C228" s="146"/>
      <c r="D228" s="146"/>
      <c r="E228" s="71"/>
      <c r="F228" s="71"/>
      <c r="G228" s="71"/>
      <c r="H228" s="70"/>
      <c r="I228" s="144"/>
    </row>
    <row r="229" spans="1:9">
      <c r="A229" s="1"/>
      <c r="B229" s="12" t="s">
        <v>1586</v>
      </c>
      <c r="C229" s="146"/>
      <c r="D229" s="44">
        <f>H144</f>
        <v>3.4619999999999997</v>
      </c>
      <c r="E229" s="71">
        <v>0.05</v>
      </c>
      <c r="F229" s="71">
        <v>80</v>
      </c>
      <c r="G229" s="71" t="s">
        <v>1512</v>
      </c>
      <c r="H229" s="70">
        <f>D229*E229*F229</f>
        <v>13.848000000000001</v>
      </c>
      <c r="I229" s="144"/>
    </row>
    <row r="230" spans="1:9">
      <c r="A230" s="1"/>
      <c r="B230" s="12" t="s">
        <v>1515</v>
      </c>
      <c r="C230" s="146"/>
      <c r="D230" s="44">
        <f>H149</f>
        <v>1.458</v>
      </c>
      <c r="E230" s="71">
        <v>0.05</v>
      </c>
      <c r="F230" s="71">
        <v>80</v>
      </c>
      <c r="G230" s="71" t="s">
        <v>1512</v>
      </c>
      <c r="H230" s="70">
        <f>D230*E230*F230</f>
        <v>5.8320000000000007</v>
      </c>
      <c r="I230" s="144"/>
    </row>
    <row r="231" spans="1:9">
      <c r="A231" s="1"/>
      <c r="B231" s="12" t="s">
        <v>1516</v>
      </c>
      <c r="C231" s="146"/>
      <c r="D231" s="146">
        <f>H158</f>
        <v>4</v>
      </c>
      <c r="E231" s="71">
        <v>2.5000000000000001E-2</v>
      </c>
      <c r="F231" s="71">
        <v>80</v>
      </c>
      <c r="G231" s="71" t="s">
        <v>1512</v>
      </c>
      <c r="H231" s="70">
        <f>D231*E231*F231</f>
        <v>8</v>
      </c>
      <c r="I231" s="144"/>
    </row>
    <row r="232" spans="1:9">
      <c r="A232" s="1"/>
      <c r="B232" s="12" t="s">
        <v>1517</v>
      </c>
      <c r="C232" s="146">
        <f>H197</f>
        <v>24</v>
      </c>
      <c r="D232" s="146"/>
      <c r="E232" s="71">
        <v>2</v>
      </c>
      <c r="F232" s="71"/>
      <c r="G232" s="71" t="s">
        <v>1518</v>
      </c>
      <c r="H232" s="70">
        <f>C232*E232</f>
        <v>48</v>
      </c>
      <c r="I232" s="144"/>
    </row>
    <row r="233" spans="1:9">
      <c r="A233" s="1"/>
      <c r="B233" s="12" t="s">
        <v>1590</v>
      </c>
      <c r="C233" s="146"/>
      <c r="D233" s="44">
        <f>H371</f>
        <v>48</v>
      </c>
      <c r="E233" s="71"/>
      <c r="F233" s="71">
        <v>3</v>
      </c>
      <c r="G233" s="71" t="s">
        <v>1518</v>
      </c>
      <c r="H233" s="70">
        <f>D233*F233</f>
        <v>144</v>
      </c>
      <c r="I233" s="144"/>
    </row>
    <row r="234" spans="1:9">
      <c r="A234" s="1"/>
      <c r="B234" s="12"/>
      <c r="C234" s="146"/>
      <c r="D234" s="146"/>
      <c r="E234" s="71"/>
      <c r="F234" s="71"/>
      <c r="G234" s="71"/>
      <c r="H234" s="70">
        <f>SUM(H229:H233)</f>
        <v>219.68</v>
      </c>
      <c r="I234" s="144"/>
    </row>
    <row r="235" spans="1:9">
      <c r="A235" s="1"/>
      <c r="B235" s="12"/>
      <c r="C235" s="146"/>
      <c r="D235" s="146"/>
      <c r="E235" s="71"/>
      <c r="F235" s="71"/>
      <c r="G235" s="65" t="s">
        <v>467</v>
      </c>
      <c r="H235" s="64">
        <f>ROUND(H234/1000,1)</f>
        <v>0.2</v>
      </c>
      <c r="I235" s="143" t="s">
        <v>50</v>
      </c>
    </row>
    <row r="236" spans="1:9">
      <c r="A236" s="1"/>
      <c r="B236" s="12"/>
      <c r="C236" s="146"/>
      <c r="D236" s="146"/>
      <c r="E236" s="71"/>
      <c r="F236" s="71"/>
      <c r="G236" s="65"/>
      <c r="H236" s="64"/>
      <c r="I236" s="143"/>
    </row>
    <row r="237" spans="1:9">
      <c r="A237" s="1">
        <f>A228+1</f>
        <v>22</v>
      </c>
      <c r="B237" s="72" t="s">
        <v>1591</v>
      </c>
      <c r="C237" s="146"/>
      <c r="D237" s="146"/>
      <c r="E237" s="71"/>
      <c r="F237" s="71"/>
      <c r="G237" s="71"/>
      <c r="H237" s="70"/>
      <c r="I237" s="144"/>
    </row>
    <row r="238" spans="1:9">
      <c r="A238" s="1"/>
      <c r="B238" s="12" t="s">
        <v>1579</v>
      </c>
      <c r="C238" s="146"/>
      <c r="D238" s="146">
        <v>1</v>
      </c>
      <c r="E238" s="54">
        <f>2*(3.53+6.83)</f>
        <v>20.72</v>
      </c>
      <c r="F238" s="54"/>
      <c r="G238" s="54">
        <f>3.3-0.125</f>
        <v>3.1749999999999998</v>
      </c>
      <c r="H238" s="63">
        <f t="shared" ref="H238:H241" si="19">D238*E238*G238</f>
        <v>65.785999999999987</v>
      </c>
      <c r="I238" s="144"/>
    </row>
    <row r="239" spans="1:9">
      <c r="A239" s="1"/>
      <c r="B239" s="12" t="s">
        <v>1693</v>
      </c>
      <c r="C239" s="146"/>
      <c r="D239" s="146">
        <v>20</v>
      </c>
      <c r="E239" s="54">
        <v>0.15</v>
      </c>
      <c r="F239" s="54"/>
      <c r="G239" s="54">
        <f>3.3-0.125</f>
        <v>3.1749999999999998</v>
      </c>
      <c r="H239" s="63">
        <f t="shared" si="19"/>
        <v>9.5249999999999986</v>
      </c>
      <c r="I239" s="144"/>
    </row>
    <row r="240" spans="1:9" s="675" customFormat="1">
      <c r="A240" s="1"/>
      <c r="B240" s="72" t="s">
        <v>1539</v>
      </c>
      <c r="C240" s="52"/>
      <c r="D240" s="52"/>
      <c r="E240" s="6"/>
      <c r="F240" s="6"/>
      <c r="G240" s="6"/>
      <c r="H240" s="64"/>
      <c r="I240" s="143"/>
    </row>
    <row r="241" spans="1:10">
      <c r="A241" s="1"/>
      <c r="B241" s="12" t="s">
        <v>1606</v>
      </c>
      <c r="C241" s="146"/>
      <c r="D241" s="146">
        <v>1</v>
      </c>
      <c r="E241" s="54">
        <f>2*(3.53+6.83)</f>
        <v>20.72</v>
      </c>
      <c r="F241" s="54"/>
      <c r="G241" s="54">
        <f>0.35*2+0.115</f>
        <v>0.81499999999999995</v>
      </c>
      <c r="H241" s="63">
        <f t="shared" si="19"/>
        <v>16.886799999999997</v>
      </c>
      <c r="I241" s="144"/>
    </row>
    <row r="242" spans="1:10">
      <c r="A242" s="1"/>
      <c r="B242" s="72" t="s">
        <v>1468</v>
      </c>
      <c r="C242" s="146"/>
      <c r="D242" s="146"/>
      <c r="E242" s="54"/>
      <c r="F242" s="54"/>
      <c r="G242" s="54"/>
      <c r="H242" s="63"/>
      <c r="I242" s="144"/>
    </row>
    <row r="243" spans="1:10">
      <c r="A243" s="1"/>
      <c r="B243" s="144" t="s">
        <v>1683</v>
      </c>
      <c r="C243" s="146"/>
      <c r="D243" s="146">
        <v>-1</v>
      </c>
      <c r="E243" s="54">
        <v>1.2</v>
      </c>
      <c r="F243" s="54"/>
      <c r="G243" s="54">
        <v>1.3</v>
      </c>
      <c r="H243" s="63">
        <f t="shared" ref="H243:H245" si="20">D243*E243*G243</f>
        <v>-1.56</v>
      </c>
      <c r="I243" s="144"/>
    </row>
    <row r="244" spans="1:10">
      <c r="A244" s="1"/>
      <c r="B244" s="144" t="s">
        <v>1692</v>
      </c>
      <c r="C244" s="146"/>
      <c r="D244" s="146">
        <v>-2</v>
      </c>
      <c r="E244" s="54">
        <v>1.385</v>
      </c>
      <c r="F244" s="54"/>
      <c r="G244" s="54">
        <v>1.2</v>
      </c>
      <c r="H244" s="63">
        <f t="shared" si="20"/>
        <v>-3.3239999999999998</v>
      </c>
      <c r="I244" s="144"/>
    </row>
    <row r="245" spans="1:10">
      <c r="A245" s="1"/>
      <c r="B245" s="144" t="s">
        <v>1692</v>
      </c>
      <c r="C245" s="146"/>
      <c r="D245" s="146">
        <v>-1</v>
      </c>
      <c r="E245" s="54">
        <v>2.61</v>
      </c>
      <c r="F245" s="54"/>
      <c r="G245" s="54">
        <v>1.2</v>
      </c>
      <c r="H245" s="63">
        <f t="shared" si="20"/>
        <v>-3.1319999999999997</v>
      </c>
      <c r="I245" s="144"/>
    </row>
    <row r="246" spans="1:10">
      <c r="A246" s="1"/>
      <c r="B246" s="12"/>
      <c r="C246" s="146"/>
      <c r="D246" s="146"/>
      <c r="E246" s="71"/>
      <c r="F246" s="71"/>
      <c r="G246" s="71"/>
      <c r="H246" s="70">
        <f>SUM(H238:H245)</f>
        <v>84.181799999999967</v>
      </c>
      <c r="I246" s="144"/>
    </row>
    <row r="247" spans="1:10">
      <c r="A247" s="1"/>
      <c r="B247" s="12"/>
      <c r="C247" s="146"/>
      <c r="D247" s="146"/>
      <c r="E247" s="71"/>
      <c r="F247" s="71"/>
      <c r="G247" s="65" t="s">
        <v>467</v>
      </c>
      <c r="H247" s="64">
        <f>ROUNDUP(H246,0)</f>
        <v>85</v>
      </c>
      <c r="I247" s="143" t="s">
        <v>461</v>
      </c>
    </row>
    <row r="248" spans="1:10">
      <c r="A248" s="1">
        <f>A237+1</f>
        <v>23</v>
      </c>
      <c r="B248" s="72" t="s">
        <v>1544</v>
      </c>
      <c r="C248" s="146"/>
      <c r="D248" s="146"/>
      <c r="E248" s="71"/>
      <c r="F248" s="71"/>
      <c r="G248" s="71"/>
      <c r="H248" s="70"/>
      <c r="I248" s="144"/>
    </row>
    <row r="249" spans="1:10">
      <c r="A249" s="1"/>
      <c r="B249" s="12" t="s">
        <v>1478</v>
      </c>
      <c r="C249" s="146"/>
      <c r="D249" s="146"/>
      <c r="E249" s="71"/>
      <c r="F249" s="71"/>
      <c r="G249" s="71"/>
      <c r="H249" s="70">
        <f>$H$273</f>
        <v>2.36</v>
      </c>
      <c r="I249" s="144"/>
    </row>
    <row r="250" spans="1:10" ht="24.6">
      <c r="A250" s="1"/>
      <c r="B250" s="12" t="s">
        <v>1694</v>
      </c>
      <c r="C250" s="146"/>
      <c r="D250" s="146"/>
      <c r="E250" s="71"/>
      <c r="F250" s="71"/>
      <c r="G250" s="71"/>
      <c r="H250" s="70">
        <f>H282</f>
        <v>20.650199999999998</v>
      </c>
      <c r="I250" s="144"/>
    </row>
    <row r="251" spans="1:10">
      <c r="A251" s="1"/>
      <c r="B251" s="12"/>
      <c r="C251" s="146"/>
      <c r="D251" s="146"/>
      <c r="E251" s="71"/>
      <c r="F251" s="71"/>
      <c r="G251" s="71"/>
      <c r="H251" s="70">
        <f>SUM(H249:H250)</f>
        <v>23.010199999999998</v>
      </c>
      <c r="I251" s="144"/>
    </row>
    <row r="252" spans="1:10">
      <c r="A252" s="1"/>
      <c r="B252" s="12"/>
      <c r="C252" s="146"/>
      <c r="D252" s="146"/>
      <c r="E252" s="71"/>
      <c r="F252" s="71"/>
      <c r="G252" s="65" t="s">
        <v>467</v>
      </c>
      <c r="H252" s="64">
        <f>ROUNDUP(H251,0)</f>
        <v>24</v>
      </c>
      <c r="I252" s="143" t="s">
        <v>461</v>
      </c>
    </row>
    <row r="253" spans="1:10">
      <c r="A253" s="1">
        <f>A248+1</f>
        <v>24</v>
      </c>
      <c r="B253" s="72" t="s">
        <v>1519</v>
      </c>
      <c r="C253" s="146"/>
      <c r="D253" s="146"/>
      <c r="E253" s="71"/>
      <c r="F253" s="71"/>
      <c r="G253" s="71"/>
      <c r="H253" s="70"/>
      <c r="I253" s="144"/>
    </row>
    <row r="254" spans="1:10">
      <c r="A254" s="1"/>
      <c r="B254" s="12" t="s">
        <v>1695</v>
      </c>
      <c r="C254" s="144"/>
      <c r="D254" s="146">
        <v>1</v>
      </c>
      <c r="E254" s="54">
        <f>2*(1.96+2.36)</f>
        <v>8.64</v>
      </c>
      <c r="F254" s="71"/>
      <c r="G254" s="71">
        <f>3.3-0.125</f>
        <v>3.1749999999999998</v>
      </c>
      <c r="H254" s="63">
        <f>D254*E254*G254</f>
        <v>27.431999999999999</v>
      </c>
      <c r="I254" s="144"/>
      <c r="J254" s="526"/>
    </row>
    <row r="255" spans="1:10">
      <c r="A255" s="143"/>
      <c r="B255" s="12" t="s">
        <v>1696</v>
      </c>
      <c r="C255" s="144"/>
      <c r="D255" s="146">
        <v>1</v>
      </c>
      <c r="E255" s="54">
        <f>2*(3.08+3.305)</f>
        <v>12.77</v>
      </c>
      <c r="F255" s="54"/>
      <c r="G255" s="71">
        <f t="shared" ref="G255:G258" si="21">3.3-0.125</f>
        <v>3.1749999999999998</v>
      </c>
      <c r="H255" s="63">
        <f t="shared" ref="H255:H258" si="22">D255*E255*G255</f>
        <v>40.544749999999993</v>
      </c>
      <c r="I255" s="144"/>
      <c r="J255" s="524"/>
    </row>
    <row r="256" spans="1:10">
      <c r="A256" s="143"/>
      <c r="B256" s="12" t="s">
        <v>1697</v>
      </c>
      <c r="C256" s="144"/>
      <c r="D256" s="146">
        <v>4</v>
      </c>
      <c r="E256" s="54">
        <v>0.6</v>
      </c>
      <c r="F256" s="54"/>
      <c r="G256" s="71">
        <v>2.1</v>
      </c>
      <c r="H256" s="63">
        <f t="shared" si="22"/>
        <v>5.04</v>
      </c>
      <c r="I256" s="144"/>
      <c r="J256" s="524"/>
    </row>
    <row r="257" spans="1:10">
      <c r="A257" s="143"/>
      <c r="B257" s="12" t="s">
        <v>1588</v>
      </c>
      <c r="C257" s="144"/>
      <c r="D257" s="146">
        <v>6</v>
      </c>
      <c r="E257" s="54">
        <v>0.6</v>
      </c>
      <c r="F257" s="54"/>
      <c r="G257" s="71">
        <v>0.8</v>
      </c>
      <c r="H257" s="63">
        <f t="shared" si="22"/>
        <v>2.88</v>
      </c>
      <c r="I257" s="144"/>
      <c r="J257" s="524"/>
    </row>
    <row r="258" spans="1:10">
      <c r="A258" s="143"/>
      <c r="B258" s="12" t="s">
        <v>1133</v>
      </c>
      <c r="C258" s="144"/>
      <c r="D258" s="146">
        <v>1</v>
      </c>
      <c r="E258" s="748">
        <f>2*(2.36+1.005)</f>
        <v>6.7299999999999995</v>
      </c>
      <c r="F258" s="54"/>
      <c r="G258" s="71">
        <f t="shared" si="21"/>
        <v>3.1749999999999998</v>
      </c>
      <c r="H258" s="63">
        <f t="shared" si="22"/>
        <v>21.367749999999997</v>
      </c>
      <c r="I258" s="144"/>
      <c r="J258" s="524"/>
    </row>
    <row r="259" spans="1:10" s="675" customFormat="1">
      <c r="A259" s="143"/>
      <c r="B259" s="72" t="s">
        <v>1468</v>
      </c>
      <c r="C259" s="52"/>
      <c r="D259" s="52"/>
      <c r="E259" s="41"/>
      <c r="F259" s="6"/>
      <c r="G259" s="6"/>
      <c r="H259" s="64"/>
      <c r="I259" s="143"/>
    </row>
    <row r="260" spans="1:10">
      <c r="A260" s="1"/>
      <c r="B260" s="144" t="s">
        <v>1682</v>
      </c>
      <c r="C260" s="146"/>
      <c r="D260" s="146">
        <v>-2</v>
      </c>
      <c r="E260" s="54">
        <v>1.05</v>
      </c>
      <c r="F260" s="54"/>
      <c r="G260" s="54">
        <v>2.1</v>
      </c>
      <c r="H260" s="63">
        <f>D260*E260*G260</f>
        <v>-4.41</v>
      </c>
      <c r="I260" s="144"/>
    </row>
    <row r="261" spans="1:10">
      <c r="A261" s="1"/>
      <c r="B261" s="144" t="s">
        <v>1686</v>
      </c>
      <c r="C261" s="146"/>
      <c r="D261" s="146">
        <v>-2</v>
      </c>
      <c r="E261" s="54">
        <v>0.75</v>
      </c>
      <c r="F261" s="54"/>
      <c r="G261" s="54">
        <v>2.1</v>
      </c>
      <c r="H261" s="63">
        <f>D261*E261*G261</f>
        <v>-3.1500000000000004</v>
      </c>
      <c r="I261" s="144"/>
    </row>
    <row r="262" spans="1:10">
      <c r="A262" s="1"/>
      <c r="B262" s="12" t="s">
        <v>1596</v>
      </c>
      <c r="C262" s="146"/>
      <c r="D262" s="146"/>
      <c r="E262" s="71"/>
      <c r="F262" s="71"/>
      <c r="G262" s="71"/>
      <c r="H262" s="70">
        <f>-H311</f>
        <v>-13</v>
      </c>
      <c r="I262" s="144"/>
    </row>
    <row r="263" spans="1:10">
      <c r="A263" s="1"/>
      <c r="B263" s="12"/>
      <c r="C263" s="146"/>
      <c r="D263" s="146"/>
      <c r="E263" s="71"/>
      <c r="F263" s="71"/>
      <c r="G263" s="71"/>
      <c r="H263" s="70">
        <f>SUM(H254:H262)</f>
        <v>76.704499999999996</v>
      </c>
      <c r="I263" s="144"/>
    </row>
    <row r="264" spans="1:10">
      <c r="A264" s="1"/>
      <c r="B264" s="12"/>
      <c r="C264" s="146"/>
      <c r="D264" s="146"/>
      <c r="E264" s="71"/>
      <c r="F264" s="71"/>
      <c r="G264" s="65" t="s">
        <v>467</v>
      </c>
      <c r="H264" s="64">
        <f>ROUND(H263,0)</f>
        <v>77</v>
      </c>
      <c r="I264" s="143" t="s">
        <v>461</v>
      </c>
    </row>
    <row r="265" spans="1:10">
      <c r="A265" s="51"/>
      <c r="B265" s="145"/>
      <c r="C265" s="68"/>
      <c r="D265" s="61"/>
      <c r="E265" s="71"/>
      <c r="F265" s="71"/>
      <c r="G265" s="65"/>
      <c r="H265" s="63"/>
      <c r="I265" s="143"/>
    </row>
    <row r="266" spans="1:10">
      <c r="A266" s="1">
        <f>A253+1</f>
        <v>25</v>
      </c>
      <c r="B266" s="72" t="s">
        <v>1698</v>
      </c>
      <c r="C266" s="146"/>
      <c r="D266" s="146"/>
      <c r="E266" s="71"/>
      <c r="F266" s="71"/>
      <c r="G266" s="71"/>
      <c r="H266" s="70"/>
      <c r="I266" s="144"/>
    </row>
    <row r="267" spans="1:10">
      <c r="A267" s="1"/>
      <c r="B267" s="12" t="s">
        <v>1579</v>
      </c>
      <c r="C267" s="146"/>
      <c r="D267" s="146">
        <v>1</v>
      </c>
      <c r="E267" s="54">
        <f>2*(3.53+6.83)</f>
        <v>20.72</v>
      </c>
      <c r="F267" s="54"/>
      <c r="G267" s="54">
        <v>0.6</v>
      </c>
      <c r="H267" s="63">
        <f>D267*E267*G267</f>
        <v>12.431999999999999</v>
      </c>
      <c r="I267" s="144"/>
    </row>
    <row r="268" spans="1:10">
      <c r="A268" s="1"/>
      <c r="B268" s="12"/>
      <c r="C268" s="146"/>
      <c r="D268" s="146"/>
      <c r="E268" s="71"/>
      <c r="F268" s="71"/>
      <c r="G268" s="71"/>
      <c r="H268" s="70">
        <f>SUM(H267:H267)</f>
        <v>12.431999999999999</v>
      </c>
      <c r="I268" s="144"/>
    </row>
    <row r="269" spans="1:10">
      <c r="A269" s="1"/>
      <c r="B269" s="12"/>
      <c r="C269" s="146"/>
      <c r="D269" s="146"/>
      <c r="E269" s="71"/>
      <c r="F269" s="71"/>
      <c r="G269" s="65" t="s">
        <v>467</v>
      </c>
      <c r="H269" s="64">
        <f>ROUND(H268,0)</f>
        <v>12</v>
      </c>
      <c r="I269" s="143" t="s">
        <v>461</v>
      </c>
    </row>
    <row r="270" spans="1:10">
      <c r="A270" s="1">
        <f>A266+1</f>
        <v>26</v>
      </c>
      <c r="B270" s="72" t="s">
        <v>1520</v>
      </c>
      <c r="C270" s="146"/>
      <c r="D270" s="146"/>
      <c r="E270" s="71"/>
      <c r="F270" s="71"/>
      <c r="G270" s="71"/>
      <c r="H270" s="70"/>
      <c r="I270" s="144"/>
    </row>
    <row r="271" spans="1:10">
      <c r="A271" s="1" t="s">
        <v>469</v>
      </c>
      <c r="B271" s="72" t="s">
        <v>1534</v>
      </c>
      <c r="C271" s="146"/>
      <c r="D271" s="146"/>
      <c r="E271" s="71"/>
      <c r="F271" s="71"/>
      <c r="G271" s="71"/>
      <c r="H271" s="70"/>
      <c r="I271" s="144"/>
    </row>
    <row r="272" spans="1:10">
      <c r="A272" s="1"/>
      <c r="B272" s="12" t="s">
        <v>1133</v>
      </c>
      <c r="C272" s="146"/>
      <c r="D272" s="146">
        <v>1</v>
      </c>
      <c r="E272" s="71">
        <v>1</v>
      </c>
      <c r="F272" s="71">
        <v>2.36</v>
      </c>
      <c r="G272" s="71"/>
      <c r="H272" s="70">
        <f>D272*E272*F272</f>
        <v>2.36</v>
      </c>
      <c r="I272" s="144"/>
    </row>
    <row r="273" spans="1:9">
      <c r="A273" s="1"/>
      <c r="B273" s="12"/>
      <c r="C273" s="146"/>
      <c r="D273" s="146"/>
      <c r="E273" s="71"/>
      <c r="F273" s="71"/>
      <c r="G273" s="71"/>
      <c r="H273" s="70">
        <f>SUM(H272:H272)</f>
        <v>2.36</v>
      </c>
      <c r="I273" s="144"/>
    </row>
    <row r="274" spans="1:9">
      <c r="A274" s="1"/>
      <c r="B274" s="12"/>
      <c r="C274" s="146"/>
      <c r="D274" s="146"/>
      <c r="E274" s="71"/>
      <c r="F274" s="71"/>
      <c r="G274" s="65" t="s">
        <v>467</v>
      </c>
      <c r="H274" s="64">
        <f>ROUNDUP(H273,0)</f>
        <v>3</v>
      </c>
      <c r="I274" s="143" t="s">
        <v>461</v>
      </c>
    </row>
    <row r="275" spans="1:9">
      <c r="A275" s="51"/>
      <c r="B275" s="145"/>
      <c r="C275" s="68"/>
      <c r="D275" s="61"/>
      <c r="E275" s="71"/>
      <c r="F275" s="71"/>
      <c r="G275" s="65"/>
      <c r="H275" s="63"/>
      <c r="I275" s="143"/>
    </row>
    <row r="276" spans="1:9">
      <c r="A276" s="1" t="s">
        <v>1</v>
      </c>
      <c r="B276" s="72" t="s">
        <v>1699</v>
      </c>
      <c r="C276" s="146"/>
      <c r="D276" s="146"/>
      <c r="E276" s="71"/>
      <c r="F276" s="71"/>
      <c r="G276" s="71"/>
      <c r="H276" s="70"/>
      <c r="I276" s="144"/>
    </row>
    <row r="277" spans="1:9">
      <c r="A277" s="143"/>
      <c r="B277" s="12" t="s">
        <v>1695</v>
      </c>
      <c r="C277" s="144"/>
      <c r="D277" s="146">
        <v>1</v>
      </c>
      <c r="E277" s="54">
        <v>1.96</v>
      </c>
      <c r="F277" s="54">
        <v>2.36</v>
      </c>
      <c r="G277" s="54"/>
      <c r="H277" s="63">
        <f t="shared" ref="H277:H281" si="23">D277*E277*F277</f>
        <v>4.6255999999999995</v>
      </c>
      <c r="I277" s="144"/>
    </row>
    <row r="278" spans="1:9">
      <c r="A278" s="143"/>
      <c r="B278" s="12" t="s">
        <v>1700</v>
      </c>
      <c r="C278" s="144"/>
      <c r="D278" s="146">
        <v>1</v>
      </c>
      <c r="E278" s="54">
        <v>3.08</v>
      </c>
      <c r="F278" s="54">
        <v>3.3050000000000002</v>
      </c>
      <c r="G278" s="54"/>
      <c r="H278" s="63">
        <f t="shared" si="23"/>
        <v>10.179400000000001</v>
      </c>
      <c r="I278" s="144"/>
    </row>
    <row r="279" spans="1:9">
      <c r="A279" s="143"/>
      <c r="B279" s="12" t="s">
        <v>1516</v>
      </c>
      <c r="C279" s="144"/>
      <c r="D279" s="146">
        <v>2</v>
      </c>
      <c r="E279" s="54">
        <v>0.6</v>
      </c>
      <c r="F279" s="54">
        <v>1.21</v>
      </c>
      <c r="G279" s="54"/>
      <c r="H279" s="63">
        <f t="shared" si="23"/>
        <v>1.452</v>
      </c>
      <c r="I279" s="144"/>
    </row>
    <row r="280" spans="1:9">
      <c r="A280" s="143"/>
      <c r="B280" s="12" t="s">
        <v>1701</v>
      </c>
      <c r="C280" s="144"/>
      <c r="D280" s="146">
        <v>1</v>
      </c>
      <c r="E280" s="54">
        <v>0.75</v>
      </c>
      <c r="F280" s="54">
        <v>0.6</v>
      </c>
      <c r="G280" s="54"/>
      <c r="H280" s="63">
        <f t="shared" si="23"/>
        <v>0.44999999999999996</v>
      </c>
      <c r="I280" s="144"/>
    </row>
    <row r="281" spans="1:9">
      <c r="A281" s="143"/>
      <c r="B281" s="12" t="s">
        <v>1132</v>
      </c>
      <c r="C281" s="144"/>
      <c r="D281" s="146">
        <v>2</v>
      </c>
      <c r="E281" s="54">
        <v>1.59</v>
      </c>
      <c r="F281" s="54">
        <v>1.24</v>
      </c>
      <c r="G281" s="54"/>
      <c r="H281" s="63">
        <f t="shared" si="23"/>
        <v>3.9432</v>
      </c>
      <c r="I281" s="144"/>
    </row>
    <row r="282" spans="1:9">
      <c r="A282" s="1"/>
      <c r="B282" s="12"/>
      <c r="C282" s="146"/>
      <c r="D282" s="146"/>
      <c r="E282" s="71"/>
      <c r="F282" s="71"/>
      <c r="G282" s="71"/>
      <c r="H282" s="70">
        <f>SUM(H277:H281)</f>
        <v>20.650199999999998</v>
      </c>
      <c r="I282" s="144"/>
    </row>
    <row r="283" spans="1:9">
      <c r="A283" s="1"/>
      <c r="B283" s="12"/>
      <c r="C283" s="146"/>
      <c r="D283" s="146"/>
      <c r="E283" s="71"/>
      <c r="F283" s="71"/>
      <c r="G283" s="65" t="s">
        <v>467</v>
      </c>
      <c r="H283" s="64">
        <f>ROUNDUP(H282,0)</f>
        <v>21</v>
      </c>
      <c r="I283" s="143" t="s">
        <v>461</v>
      </c>
    </row>
    <row r="284" spans="1:9">
      <c r="A284" s="51"/>
      <c r="B284" s="145"/>
      <c r="C284" s="68"/>
      <c r="D284" s="61"/>
      <c r="E284" s="71"/>
      <c r="F284" s="71"/>
      <c r="G284" s="65"/>
      <c r="H284" s="64"/>
      <c r="I284" s="143"/>
    </row>
    <row r="285" spans="1:9">
      <c r="A285" s="1" t="s">
        <v>363</v>
      </c>
      <c r="B285" s="143" t="s">
        <v>1540</v>
      </c>
      <c r="C285" s="146"/>
      <c r="D285" s="146"/>
      <c r="E285" s="71"/>
      <c r="F285" s="71"/>
      <c r="G285" s="71"/>
      <c r="H285" s="70"/>
      <c r="I285" s="144"/>
    </row>
    <row r="286" spans="1:9">
      <c r="A286" s="143"/>
      <c r="B286" s="12" t="s">
        <v>1687</v>
      </c>
      <c r="C286" s="144"/>
      <c r="D286" s="146">
        <v>1</v>
      </c>
      <c r="E286" s="54">
        <f>3.08+2*1.345</f>
        <v>5.77</v>
      </c>
      <c r="F286" s="54">
        <v>0.6</v>
      </c>
      <c r="G286" s="54"/>
      <c r="H286" s="63">
        <f>D286*E286*F286</f>
        <v>3.4619999999999997</v>
      </c>
      <c r="I286" s="144"/>
    </row>
    <row r="287" spans="1:9">
      <c r="A287" s="1"/>
      <c r="B287" s="12"/>
      <c r="C287" s="146"/>
      <c r="D287" s="146"/>
      <c r="E287" s="71"/>
      <c r="F287" s="71"/>
      <c r="G287" s="71"/>
      <c r="H287" s="70">
        <f>SUM(H286:H286)</f>
        <v>3.4619999999999997</v>
      </c>
      <c r="I287" s="144"/>
    </row>
    <row r="288" spans="1:9">
      <c r="A288" s="1"/>
      <c r="B288" s="12"/>
      <c r="C288" s="146"/>
      <c r="D288" s="146"/>
      <c r="E288" s="71"/>
      <c r="F288" s="71"/>
      <c r="G288" s="65" t="s">
        <v>467</v>
      </c>
      <c r="H288" s="64">
        <f>ROUNDUP(H287,0)</f>
        <v>4</v>
      </c>
      <c r="I288" s="143" t="s">
        <v>461</v>
      </c>
    </row>
    <row r="289" spans="1:10">
      <c r="A289" s="1" t="s">
        <v>326</v>
      </c>
      <c r="B289" s="143" t="s">
        <v>1702</v>
      </c>
      <c r="C289" s="146"/>
      <c r="D289" s="146"/>
      <c r="E289" s="71"/>
      <c r="F289" s="71"/>
      <c r="G289" s="71"/>
      <c r="H289" s="70"/>
      <c r="I289" s="144"/>
    </row>
    <row r="290" spans="1:10">
      <c r="A290" s="143"/>
      <c r="B290" s="12" t="s">
        <v>1687</v>
      </c>
      <c r="C290" s="144"/>
      <c r="D290" s="146">
        <v>1</v>
      </c>
      <c r="E290" s="54">
        <f>3.08+2*1.345</f>
        <v>5.77</v>
      </c>
      <c r="F290" s="54"/>
      <c r="G290" s="54"/>
      <c r="H290" s="63">
        <f>D290*E290</f>
        <v>5.77</v>
      </c>
      <c r="I290" s="144"/>
    </row>
    <row r="291" spans="1:10">
      <c r="A291" s="1"/>
      <c r="B291" s="12"/>
      <c r="C291" s="146"/>
      <c r="D291" s="146"/>
      <c r="E291" s="71"/>
      <c r="F291" s="71"/>
      <c r="G291" s="71"/>
      <c r="H291" s="70">
        <f>SUM(H290:H290)</f>
        <v>5.77</v>
      </c>
      <c r="I291" s="144"/>
    </row>
    <row r="292" spans="1:10">
      <c r="A292" s="1"/>
      <c r="B292" s="12"/>
      <c r="C292" s="146"/>
      <c r="D292" s="146"/>
      <c r="E292" s="71"/>
      <c r="F292" s="71"/>
      <c r="G292" s="65" t="s">
        <v>467</v>
      </c>
      <c r="H292" s="64">
        <f>ROUNDUP(H291,0)</f>
        <v>6</v>
      </c>
      <c r="I292" s="143" t="s">
        <v>468</v>
      </c>
    </row>
    <row r="293" spans="1:10" s="675" customFormat="1">
      <c r="A293" s="1" t="s">
        <v>460</v>
      </c>
      <c r="B293" s="72" t="s">
        <v>1597</v>
      </c>
      <c r="C293" s="52"/>
      <c r="D293" s="52"/>
      <c r="E293" s="41"/>
      <c r="F293" s="41"/>
      <c r="G293" s="65"/>
      <c r="H293" s="64"/>
      <c r="I293" s="143"/>
    </row>
    <row r="294" spans="1:10">
      <c r="A294" s="1"/>
      <c r="B294" s="12" t="s">
        <v>1539</v>
      </c>
      <c r="C294" s="146"/>
      <c r="D294" s="146">
        <v>1</v>
      </c>
      <c r="E294" s="71">
        <v>5.33</v>
      </c>
      <c r="F294" s="71">
        <v>8.6300000000000008</v>
      </c>
      <c r="G294" s="53"/>
      <c r="H294" s="63">
        <f>D294*E294*F294</f>
        <v>45.997900000000001</v>
      </c>
      <c r="I294" s="144"/>
    </row>
    <row r="295" spans="1:10">
      <c r="A295" s="1"/>
      <c r="B295" s="12"/>
      <c r="C295" s="146"/>
      <c r="D295" s="146"/>
      <c r="E295" s="71"/>
      <c r="F295" s="71"/>
      <c r="G295" s="71"/>
      <c r="H295" s="70">
        <f>SUM(H293:H294)</f>
        <v>45.997900000000001</v>
      </c>
      <c r="I295" s="144"/>
    </row>
    <row r="296" spans="1:10">
      <c r="A296" s="1"/>
      <c r="B296" s="12"/>
      <c r="C296" s="146"/>
      <c r="D296" s="146"/>
      <c r="E296" s="71"/>
      <c r="F296" s="71"/>
      <c r="G296" s="65" t="s">
        <v>467</v>
      </c>
      <c r="H296" s="64">
        <f>ROUNDUP(H295,0)</f>
        <v>46</v>
      </c>
      <c r="I296" s="143" t="s">
        <v>461</v>
      </c>
    </row>
    <row r="297" spans="1:10" ht="12" customHeight="1">
      <c r="A297" s="1">
        <f>A270+1</f>
        <v>27</v>
      </c>
      <c r="B297" s="72" t="s">
        <v>1535</v>
      </c>
      <c r="C297" s="146"/>
      <c r="D297" s="146"/>
      <c r="E297" s="71"/>
      <c r="F297" s="71"/>
      <c r="G297" s="65"/>
      <c r="H297" s="63"/>
      <c r="I297" s="143"/>
    </row>
    <row r="298" spans="1:10" ht="24.6">
      <c r="A298" s="1" t="s">
        <v>469</v>
      </c>
      <c r="B298" s="72" t="s">
        <v>1521</v>
      </c>
      <c r="C298" s="146"/>
      <c r="D298" s="146"/>
      <c r="E298" s="71"/>
      <c r="F298" s="71"/>
      <c r="G298" s="65"/>
      <c r="H298" s="63"/>
      <c r="I298" s="143"/>
    </row>
    <row r="299" spans="1:10">
      <c r="A299" s="143"/>
      <c r="B299" s="12" t="s">
        <v>1695</v>
      </c>
      <c r="C299" s="144"/>
      <c r="D299" s="146">
        <v>1</v>
      </c>
      <c r="E299" s="54">
        <f>2*(1.96+2.36)</f>
        <v>8.64</v>
      </c>
      <c r="F299" s="54"/>
      <c r="G299" s="54">
        <v>0.125</v>
      </c>
      <c r="H299" s="63">
        <f>D299*E299*G299</f>
        <v>1.08</v>
      </c>
      <c r="I299" s="144"/>
      <c r="J299" s="524"/>
    </row>
    <row r="300" spans="1:10">
      <c r="A300" s="143"/>
      <c r="B300" s="12" t="s">
        <v>1696</v>
      </c>
      <c r="C300" s="144"/>
      <c r="D300" s="146">
        <v>1</v>
      </c>
      <c r="E300" s="54">
        <f>2*(3.08+3.305)</f>
        <v>12.77</v>
      </c>
      <c r="F300" s="54"/>
      <c r="G300" s="54">
        <v>0.125</v>
      </c>
      <c r="H300" s="63">
        <f t="shared" ref="H300:H302" si="24">D300*E300*G300</f>
        <v>1.5962499999999999</v>
      </c>
      <c r="I300" s="144"/>
      <c r="J300" s="524"/>
    </row>
    <row r="301" spans="1:10">
      <c r="A301" s="143"/>
      <c r="B301" s="12" t="s">
        <v>1697</v>
      </c>
      <c r="C301" s="144"/>
      <c r="D301" s="146">
        <v>4</v>
      </c>
      <c r="E301" s="54">
        <v>0.6</v>
      </c>
      <c r="F301" s="54"/>
      <c r="G301" s="54">
        <v>0.125</v>
      </c>
      <c r="H301" s="63">
        <f t="shared" si="24"/>
        <v>0.3</v>
      </c>
      <c r="I301" s="144"/>
      <c r="J301" s="524"/>
    </row>
    <row r="302" spans="1:10">
      <c r="A302" s="143"/>
      <c r="B302" s="12" t="s">
        <v>1588</v>
      </c>
      <c r="C302" s="144"/>
      <c r="D302" s="146">
        <v>6</v>
      </c>
      <c r="E302" s="54">
        <v>0.6</v>
      </c>
      <c r="F302" s="54"/>
      <c r="G302" s="54">
        <v>0.125</v>
      </c>
      <c r="H302" s="63">
        <f t="shared" si="24"/>
        <v>0.44999999999999996</v>
      </c>
      <c r="I302" s="144"/>
      <c r="J302" s="524"/>
    </row>
    <row r="303" spans="1:10">
      <c r="A303" s="1"/>
      <c r="B303" s="12"/>
      <c r="C303" s="146"/>
      <c r="D303" s="146"/>
      <c r="E303" s="71"/>
      <c r="F303" s="71"/>
      <c r="G303" s="71"/>
      <c r="H303" s="70">
        <f>SUM(H299:H302)</f>
        <v>3.4262499999999996</v>
      </c>
      <c r="I303" s="144"/>
    </row>
    <row r="304" spans="1:10">
      <c r="A304" s="1"/>
      <c r="B304" s="12"/>
      <c r="C304" s="146"/>
      <c r="D304" s="146"/>
      <c r="E304" s="71"/>
      <c r="F304" s="71"/>
      <c r="G304" s="65" t="s">
        <v>467</v>
      </c>
      <c r="H304" s="64">
        <f>ROUNDUP(H303,0)</f>
        <v>4</v>
      </c>
      <c r="I304" s="143" t="s">
        <v>55</v>
      </c>
    </row>
    <row r="305" spans="1:10">
      <c r="A305" s="1"/>
      <c r="B305" s="12"/>
      <c r="C305" s="146"/>
      <c r="D305" s="146"/>
      <c r="E305" s="71"/>
      <c r="F305" s="71"/>
      <c r="G305" s="65"/>
      <c r="H305" s="64"/>
      <c r="I305" s="143"/>
    </row>
    <row r="306" spans="1:10">
      <c r="A306" s="51">
        <f>A297+1</f>
        <v>28</v>
      </c>
      <c r="B306" s="72" t="s">
        <v>1522</v>
      </c>
      <c r="C306" s="146"/>
      <c r="D306" s="146"/>
      <c r="E306" s="71"/>
      <c r="F306" s="71"/>
      <c r="G306" s="71"/>
      <c r="H306" s="70"/>
      <c r="I306" s="144"/>
    </row>
    <row r="307" spans="1:10">
      <c r="A307" s="1"/>
      <c r="B307" s="12" t="s">
        <v>1133</v>
      </c>
      <c r="C307" s="146"/>
      <c r="D307" s="146">
        <v>1</v>
      </c>
      <c r="E307" s="71">
        <f>2*(1.005+2.36)</f>
        <v>6.7299999999999995</v>
      </c>
      <c r="F307" s="71"/>
      <c r="G307" s="54">
        <v>2.1</v>
      </c>
      <c r="H307" s="63">
        <f t="shared" ref="H307" si="25">D307*E307*G307</f>
        <v>14.132999999999999</v>
      </c>
      <c r="I307" s="144"/>
      <c r="J307" s="526"/>
    </row>
    <row r="308" spans="1:10" s="675" customFormat="1">
      <c r="A308" s="143"/>
      <c r="B308" s="72" t="s">
        <v>1468</v>
      </c>
      <c r="C308" s="52"/>
      <c r="D308" s="52"/>
      <c r="E308" s="41"/>
      <c r="F308" s="6"/>
      <c r="G308" s="6"/>
      <c r="H308" s="64"/>
      <c r="I308" s="143"/>
    </row>
    <row r="309" spans="1:10">
      <c r="A309" s="1"/>
      <c r="B309" s="144" t="s">
        <v>1686</v>
      </c>
      <c r="C309" s="146"/>
      <c r="D309" s="146">
        <v>-1</v>
      </c>
      <c r="E309" s="54">
        <v>0.75</v>
      </c>
      <c r="F309" s="54"/>
      <c r="G309" s="54">
        <v>2.1</v>
      </c>
      <c r="H309" s="63">
        <f>D309*E309*G309</f>
        <v>-1.5750000000000002</v>
      </c>
      <c r="I309" s="144"/>
    </row>
    <row r="310" spans="1:10">
      <c r="A310" s="1"/>
      <c r="B310" s="12"/>
      <c r="C310" s="146"/>
      <c r="D310" s="146"/>
      <c r="E310" s="71"/>
      <c r="F310" s="71"/>
      <c r="G310" s="71"/>
      <c r="H310" s="70">
        <f>SUM(H307:H309)</f>
        <v>12.558</v>
      </c>
      <c r="I310" s="144"/>
    </row>
    <row r="311" spans="1:10">
      <c r="A311" s="1"/>
      <c r="B311" s="12"/>
      <c r="C311" s="146"/>
      <c r="D311" s="146"/>
      <c r="E311" s="71"/>
      <c r="F311" s="71"/>
      <c r="G311" s="65" t="s">
        <v>467</v>
      </c>
      <c r="H311" s="64">
        <f>ROUNDUP(H310,0)</f>
        <v>13</v>
      </c>
      <c r="I311" s="143" t="s">
        <v>461</v>
      </c>
    </row>
    <row r="312" spans="1:10">
      <c r="A312" s="51">
        <f>A306+1</f>
        <v>29</v>
      </c>
      <c r="B312" s="72" t="s">
        <v>1703</v>
      </c>
      <c r="C312" s="146"/>
      <c r="D312" s="146"/>
      <c r="E312" s="71"/>
      <c r="F312" s="71"/>
      <c r="G312" s="71"/>
      <c r="H312" s="70"/>
      <c r="I312" s="144"/>
    </row>
    <row r="313" spans="1:10">
      <c r="A313" s="1" t="s">
        <v>1453</v>
      </c>
      <c r="B313" s="72" t="s">
        <v>1523</v>
      </c>
      <c r="C313" s="144"/>
      <c r="D313" s="146"/>
      <c r="E313" s="71"/>
      <c r="F313" s="71"/>
      <c r="G313" s="71"/>
      <c r="H313" s="70"/>
      <c r="I313" s="144"/>
    </row>
    <row r="314" spans="1:10">
      <c r="A314" s="1"/>
      <c r="B314" s="12" t="s">
        <v>1689</v>
      </c>
      <c r="C314" s="146">
        <v>2</v>
      </c>
      <c r="D314" s="146">
        <v>3</v>
      </c>
      <c r="E314" s="71">
        <v>1.59</v>
      </c>
      <c r="F314" s="71">
        <v>0.3</v>
      </c>
      <c r="G314" s="71"/>
      <c r="H314" s="71">
        <f t="shared" ref="H314" si="26">C314*D314*E314*F314</f>
        <v>2.8620000000000001</v>
      </c>
      <c r="I314" s="144"/>
    </row>
    <row r="315" spans="1:10">
      <c r="A315" s="1"/>
      <c r="B315" s="12"/>
      <c r="C315" s="146"/>
      <c r="D315" s="146"/>
      <c r="E315" s="71"/>
      <c r="F315" s="71"/>
      <c r="G315" s="71"/>
      <c r="H315" s="70">
        <f>SUM(H313:H314)</f>
        <v>2.8620000000000001</v>
      </c>
      <c r="I315" s="144"/>
    </row>
    <row r="316" spans="1:10">
      <c r="A316" s="1"/>
      <c r="B316" s="12"/>
      <c r="C316" s="146"/>
      <c r="D316" s="146"/>
      <c r="E316" s="71"/>
      <c r="F316" s="71"/>
      <c r="G316" s="65" t="s">
        <v>467</v>
      </c>
      <c r="H316" s="64">
        <f>ROUNDUP(H315,0)</f>
        <v>3</v>
      </c>
      <c r="I316" s="143" t="s">
        <v>461</v>
      </c>
    </row>
    <row r="317" spans="1:10" ht="17.25" customHeight="1">
      <c r="A317" s="1"/>
      <c r="B317" s="12"/>
      <c r="C317" s="146"/>
      <c r="D317" s="146"/>
      <c r="E317" s="71"/>
      <c r="F317" s="71"/>
      <c r="G317" s="71"/>
      <c r="H317" s="70"/>
      <c r="I317" s="144"/>
    </row>
    <row r="318" spans="1:10">
      <c r="A318" s="1" t="s">
        <v>1458</v>
      </c>
      <c r="B318" s="72" t="s">
        <v>1524</v>
      </c>
      <c r="C318" s="146"/>
      <c r="D318" s="146"/>
      <c r="E318" s="71"/>
      <c r="F318" s="71"/>
      <c r="G318" s="71"/>
      <c r="H318" s="70"/>
      <c r="I318" s="144"/>
    </row>
    <row r="319" spans="1:10">
      <c r="A319" s="1"/>
      <c r="B319" s="12" t="s">
        <v>1689</v>
      </c>
      <c r="C319" s="146">
        <v>2</v>
      </c>
      <c r="D319" s="146">
        <v>4</v>
      </c>
      <c r="E319" s="71">
        <v>1.59</v>
      </c>
      <c r="F319" s="71">
        <v>0.15</v>
      </c>
      <c r="G319" s="71"/>
      <c r="H319" s="71">
        <f t="shared" ref="H319" si="27">C319*D319*E319*F319</f>
        <v>1.9079999999999999</v>
      </c>
      <c r="I319" s="144"/>
    </row>
    <row r="320" spans="1:10">
      <c r="A320" s="1"/>
      <c r="B320" s="12"/>
      <c r="C320" s="146"/>
      <c r="D320" s="146"/>
      <c r="E320" s="71"/>
      <c r="F320" s="71"/>
      <c r="G320" s="71"/>
      <c r="H320" s="70">
        <f>SUM(H318:H319)</f>
        <v>1.9079999999999999</v>
      </c>
      <c r="I320" s="144"/>
    </row>
    <row r="321" spans="1:9">
      <c r="A321" s="1"/>
      <c r="B321" s="12"/>
      <c r="C321" s="146"/>
      <c r="D321" s="146"/>
      <c r="E321" s="71"/>
      <c r="F321" s="71"/>
      <c r="G321" s="65" t="s">
        <v>467</v>
      </c>
      <c r="H321" s="64">
        <f>ROUNDUP(H320,0)</f>
        <v>2</v>
      </c>
      <c r="I321" s="143" t="s">
        <v>461</v>
      </c>
    </row>
    <row r="322" spans="1:9">
      <c r="A322" s="51">
        <f>A312+1</f>
        <v>30</v>
      </c>
      <c r="B322" s="72" t="s">
        <v>1536</v>
      </c>
      <c r="C322" s="146"/>
      <c r="D322" s="146"/>
      <c r="E322" s="71"/>
      <c r="F322" s="71"/>
      <c r="G322" s="71"/>
      <c r="H322" s="70"/>
      <c r="I322" s="144"/>
    </row>
    <row r="323" spans="1:9">
      <c r="A323" s="1"/>
      <c r="B323" s="12" t="s">
        <v>1525</v>
      </c>
      <c r="C323" s="146"/>
      <c r="D323" s="146"/>
      <c r="E323" s="71"/>
      <c r="F323" s="71"/>
      <c r="G323" s="71"/>
      <c r="H323" s="70">
        <f>H251</f>
        <v>23.010199999999998</v>
      </c>
      <c r="I323" s="144"/>
    </row>
    <row r="324" spans="1:9">
      <c r="A324" s="1"/>
      <c r="B324" s="12"/>
      <c r="C324" s="146"/>
      <c r="D324" s="146"/>
      <c r="E324" s="71"/>
      <c r="F324" s="71"/>
      <c r="G324" s="65" t="s">
        <v>467</v>
      </c>
      <c r="H324" s="64">
        <f>ROUNDUP(H323,0)</f>
        <v>24</v>
      </c>
      <c r="I324" s="143" t="s">
        <v>461</v>
      </c>
    </row>
    <row r="325" spans="1:9">
      <c r="A325" s="51"/>
      <c r="B325" s="145"/>
      <c r="C325" s="68"/>
      <c r="D325" s="61"/>
      <c r="E325" s="71"/>
      <c r="F325" s="71"/>
      <c r="G325" s="65"/>
      <c r="H325" s="63"/>
      <c r="I325" s="143"/>
    </row>
    <row r="326" spans="1:9" ht="24.6">
      <c r="A326" s="1">
        <f>A322+1</f>
        <v>31</v>
      </c>
      <c r="B326" s="40" t="s">
        <v>1526</v>
      </c>
      <c r="C326" s="146"/>
      <c r="D326" s="146"/>
      <c r="E326" s="71"/>
      <c r="F326" s="71"/>
      <c r="G326" s="71"/>
      <c r="H326" s="70"/>
      <c r="I326" s="144"/>
    </row>
    <row r="327" spans="1:9">
      <c r="A327" s="1"/>
      <c r="B327" s="12" t="s">
        <v>1527</v>
      </c>
      <c r="C327" s="146"/>
      <c r="D327" s="146"/>
      <c r="E327" s="71"/>
      <c r="F327" s="71"/>
      <c r="G327" s="71"/>
      <c r="H327" s="70">
        <f>$H$263</f>
        <v>76.704499999999996</v>
      </c>
      <c r="I327" s="144"/>
    </row>
    <row r="328" spans="1:9">
      <c r="A328" s="1"/>
      <c r="B328" s="12"/>
      <c r="C328" s="146"/>
      <c r="D328" s="146"/>
      <c r="E328" s="71"/>
      <c r="F328" s="71"/>
      <c r="G328" s="65" t="s">
        <v>467</v>
      </c>
      <c r="H328" s="64">
        <f>ROUNDUP(H327,0)</f>
        <v>77</v>
      </c>
      <c r="I328" s="143" t="s">
        <v>461</v>
      </c>
    </row>
    <row r="329" spans="1:9">
      <c r="A329" s="51"/>
      <c r="B329" s="145"/>
      <c r="C329" s="68"/>
      <c r="D329" s="61"/>
      <c r="E329" s="71"/>
      <c r="F329" s="71"/>
      <c r="G329" s="65"/>
      <c r="H329" s="63"/>
      <c r="I329" s="143"/>
    </row>
    <row r="330" spans="1:9" ht="24.6">
      <c r="A330" s="1">
        <f>A326+1</f>
        <v>32</v>
      </c>
      <c r="B330" s="72" t="s">
        <v>1528</v>
      </c>
      <c r="C330" s="146"/>
      <c r="D330" s="146"/>
      <c r="E330" s="71"/>
      <c r="F330" s="71"/>
      <c r="G330" s="71"/>
      <c r="H330" s="70"/>
      <c r="I330" s="144"/>
    </row>
    <row r="331" spans="1:9">
      <c r="A331" s="1"/>
      <c r="B331" s="12" t="s">
        <v>1704</v>
      </c>
      <c r="C331" s="146"/>
      <c r="D331" s="146"/>
      <c r="E331" s="71"/>
      <c r="F331" s="71"/>
      <c r="G331" s="71"/>
      <c r="H331" s="70">
        <f>H246</f>
        <v>84.181799999999967</v>
      </c>
      <c r="I331" s="144"/>
    </row>
    <row r="332" spans="1:9" ht="15" customHeight="1">
      <c r="A332" s="1"/>
      <c r="B332" s="12"/>
      <c r="C332" s="69"/>
      <c r="D332" s="146"/>
      <c r="E332" s="71"/>
      <c r="F332" s="71"/>
      <c r="G332" s="71"/>
      <c r="H332" s="70">
        <f>SUM(H331:H331)</f>
        <v>84.181799999999967</v>
      </c>
      <c r="I332" s="144"/>
    </row>
    <row r="333" spans="1:9">
      <c r="A333" s="1"/>
      <c r="B333" s="12"/>
      <c r="C333" s="146"/>
      <c r="D333" s="146"/>
      <c r="E333" s="71"/>
      <c r="F333" s="71"/>
      <c r="G333" s="65" t="s">
        <v>467</v>
      </c>
      <c r="H333" s="64">
        <f>ROUNDUP(H332,0)</f>
        <v>85</v>
      </c>
      <c r="I333" s="143" t="s">
        <v>461</v>
      </c>
    </row>
    <row r="334" spans="1:9">
      <c r="A334" s="1"/>
      <c r="B334" s="12"/>
      <c r="C334" s="146"/>
      <c r="D334" s="146"/>
      <c r="E334" s="71"/>
      <c r="F334" s="71"/>
      <c r="G334" s="65"/>
      <c r="H334" s="64"/>
      <c r="I334" s="143"/>
    </row>
    <row r="335" spans="1:9">
      <c r="A335" s="1">
        <f>A330+1</f>
        <v>33</v>
      </c>
      <c r="B335" s="72" t="s">
        <v>1529</v>
      </c>
      <c r="C335" s="146"/>
      <c r="D335" s="146"/>
      <c r="E335" s="71"/>
      <c r="F335" s="71"/>
      <c r="G335" s="71"/>
      <c r="H335" s="70"/>
      <c r="I335" s="144"/>
    </row>
    <row r="336" spans="1:9">
      <c r="A336" s="1"/>
      <c r="B336" s="144" t="s">
        <v>1682</v>
      </c>
      <c r="C336" s="146">
        <v>2.25</v>
      </c>
      <c r="D336" s="146">
        <v>2</v>
      </c>
      <c r="E336" s="54">
        <v>1</v>
      </c>
      <c r="F336" s="54"/>
      <c r="G336" s="54">
        <v>2.1</v>
      </c>
      <c r="H336" s="63">
        <f>C336*D336*E336*G336</f>
        <v>9.4500000000000011</v>
      </c>
      <c r="I336" s="144"/>
    </row>
    <row r="337" spans="1:9">
      <c r="A337" s="1"/>
      <c r="B337" s="12"/>
      <c r="C337" s="146"/>
      <c r="D337" s="146"/>
      <c r="E337" s="71"/>
      <c r="F337" s="71"/>
      <c r="G337" s="71"/>
      <c r="H337" s="70">
        <f>SUM(H336:H336)</f>
        <v>9.4500000000000011</v>
      </c>
      <c r="I337" s="144"/>
    </row>
    <row r="338" spans="1:9">
      <c r="A338" s="1"/>
      <c r="B338" s="12"/>
      <c r="C338" s="146"/>
      <c r="D338" s="146"/>
      <c r="E338" s="71"/>
      <c r="F338" s="71"/>
      <c r="G338" s="65" t="s">
        <v>467</v>
      </c>
      <c r="H338" s="64">
        <f>ROUNDUP(H337,0)</f>
        <v>10</v>
      </c>
      <c r="I338" s="143" t="s">
        <v>461</v>
      </c>
    </row>
    <row r="339" spans="1:9">
      <c r="A339" s="1"/>
      <c r="B339" s="12"/>
      <c r="C339" s="146"/>
      <c r="D339" s="146"/>
      <c r="E339" s="71"/>
      <c r="F339" s="71"/>
      <c r="G339" s="65"/>
      <c r="H339" s="64"/>
      <c r="I339" s="143"/>
    </row>
    <row r="340" spans="1:9">
      <c r="A340" s="1">
        <f>A335+1</f>
        <v>34</v>
      </c>
      <c r="B340" s="72" t="s">
        <v>1537</v>
      </c>
      <c r="C340" s="146"/>
      <c r="D340" s="146"/>
      <c r="E340" s="71"/>
      <c r="F340" s="71"/>
      <c r="G340" s="65"/>
      <c r="H340" s="63"/>
      <c r="I340" s="143"/>
    </row>
    <row r="341" spans="1:9">
      <c r="A341" s="1" t="s">
        <v>695</v>
      </c>
      <c r="B341" s="72" t="s">
        <v>1538</v>
      </c>
      <c r="C341" s="146"/>
      <c r="D341" s="146"/>
      <c r="E341" s="71"/>
      <c r="F341" s="71"/>
      <c r="G341" s="71"/>
      <c r="H341" s="70"/>
      <c r="I341" s="144"/>
    </row>
    <row r="342" spans="1:9">
      <c r="A342" s="1" t="s">
        <v>469</v>
      </c>
      <c r="B342" s="12" t="s">
        <v>1705</v>
      </c>
      <c r="C342" s="146"/>
      <c r="D342" s="146">
        <v>2</v>
      </c>
      <c r="E342" s="54"/>
      <c r="F342" s="54"/>
      <c r="G342" s="54"/>
      <c r="H342" s="63">
        <f>D342</f>
        <v>2</v>
      </c>
      <c r="I342" s="144"/>
    </row>
    <row r="343" spans="1:9">
      <c r="A343" s="1"/>
      <c r="B343" s="12"/>
      <c r="C343" s="146"/>
      <c r="D343" s="146"/>
      <c r="E343" s="71"/>
      <c r="F343" s="71"/>
      <c r="G343" s="71"/>
      <c r="H343" s="70">
        <f>SUM(H342)</f>
        <v>2</v>
      </c>
      <c r="I343" s="144"/>
    </row>
    <row r="344" spans="1:9">
      <c r="A344" s="1"/>
      <c r="B344" s="12"/>
      <c r="C344" s="146"/>
      <c r="D344" s="146"/>
      <c r="E344" s="71"/>
      <c r="F344" s="71"/>
      <c r="G344" s="65" t="s">
        <v>467</v>
      </c>
      <c r="H344" s="64">
        <f>ROUNDUP(H343,2)</f>
        <v>2</v>
      </c>
      <c r="I344" s="143" t="s">
        <v>329</v>
      </c>
    </row>
    <row r="345" spans="1:9">
      <c r="A345" s="1"/>
      <c r="B345" s="12"/>
      <c r="C345" s="146"/>
      <c r="D345" s="146"/>
      <c r="E345" s="71"/>
      <c r="F345" s="71"/>
      <c r="G345" s="65"/>
      <c r="H345" s="64"/>
      <c r="I345" s="143"/>
    </row>
    <row r="346" spans="1:9">
      <c r="A346" s="1" t="s">
        <v>1</v>
      </c>
      <c r="B346" s="12" t="s">
        <v>1716</v>
      </c>
      <c r="C346" s="68"/>
      <c r="D346" s="146">
        <v>2</v>
      </c>
      <c r="E346" s="54">
        <f>0.75+2*2.1</f>
        <v>4.95</v>
      </c>
      <c r="F346" s="144"/>
      <c r="G346" s="54"/>
      <c r="H346" s="63">
        <f>D346*E346</f>
        <v>9.9</v>
      </c>
      <c r="I346" s="144"/>
    </row>
    <row r="347" spans="1:9">
      <c r="A347" s="1"/>
      <c r="B347" s="12"/>
      <c r="C347" s="146"/>
      <c r="D347" s="146"/>
      <c r="E347" s="71"/>
      <c r="F347" s="71"/>
      <c r="G347" s="71"/>
      <c r="H347" s="70">
        <f>SUM(H346:H346)</f>
        <v>9.9</v>
      </c>
      <c r="I347" s="144"/>
    </row>
    <row r="348" spans="1:9">
      <c r="A348" s="1"/>
      <c r="B348" s="12"/>
      <c r="C348" s="146"/>
      <c r="D348" s="146"/>
      <c r="E348" s="71"/>
      <c r="F348" s="71"/>
      <c r="G348" s="65" t="s">
        <v>467</v>
      </c>
      <c r="H348" s="64">
        <f>ROUNDUP(H347,2)</f>
        <v>9.9</v>
      </c>
      <c r="I348" s="143" t="s">
        <v>468</v>
      </c>
    </row>
    <row r="349" spans="1:9">
      <c r="A349" s="1"/>
      <c r="B349" s="12"/>
      <c r="C349" s="146"/>
      <c r="D349" s="146"/>
      <c r="E349" s="71"/>
      <c r="F349" s="71"/>
      <c r="G349" s="65"/>
      <c r="H349" s="64"/>
      <c r="I349" s="143"/>
    </row>
    <row r="350" spans="1:9">
      <c r="A350" s="1" t="s">
        <v>363</v>
      </c>
      <c r="B350" s="12" t="s">
        <v>1717</v>
      </c>
      <c r="C350" s="68"/>
      <c r="D350" s="146">
        <v>2</v>
      </c>
      <c r="E350" s="54">
        <v>0.75</v>
      </c>
      <c r="F350" s="144"/>
      <c r="G350" s="54">
        <v>2.1</v>
      </c>
      <c r="H350" s="63">
        <f>D350*E350*G350</f>
        <v>3.1500000000000004</v>
      </c>
      <c r="I350" s="144"/>
    </row>
    <row r="351" spans="1:9">
      <c r="A351" s="1"/>
      <c r="B351" s="12"/>
      <c r="C351" s="146"/>
      <c r="D351" s="146"/>
      <c r="E351" s="71"/>
      <c r="F351" s="71"/>
      <c r="G351" s="71"/>
      <c r="H351" s="70">
        <f>SUM(H350:H350)</f>
        <v>3.1500000000000004</v>
      </c>
      <c r="I351" s="144"/>
    </row>
    <row r="352" spans="1:9">
      <c r="A352" s="1"/>
      <c r="B352" s="12"/>
      <c r="C352" s="146"/>
      <c r="D352" s="146"/>
      <c r="E352" s="71"/>
      <c r="F352" s="71"/>
      <c r="G352" s="65" t="s">
        <v>467</v>
      </c>
      <c r="H352" s="64">
        <f>ROUNDUP(H351,2)</f>
        <v>3.15</v>
      </c>
      <c r="I352" s="143" t="s">
        <v>461</v>
      </c>
    </row>
    <row r="353" spans="1:10">
      <c r="A353" s="1"/>
      <c r="B353" s="12"/>
      <c r="C353" s="146"/>
      <c r="D353" s="146"/>
      <c r="E353" s="71"/>
      <c r="F353" s="71"/>
      <c r="G353" s="65"/>
      <c r="H353" s="64"/>
      <c r="I353" s="143"/>
    </row>
    <row r="354" spans="1:10" ht="24.6">
      <c r="A354" s="1">
        <f>A340+1</f>
        <v>35</v>
      </c>
      <c r="B354" s="72" t="s">
        <v>1610</v>
      </c>
      <c r="C354" s="68"/>
      <c r="D354" s="146"/>
      <c r="E354" s="54"/>
      <c r="F354" s="54"/>
      <c r="G354" s="54"/>
      <c r="H354" s="70"/>
      <c r="I354" s="144"/>
    </row>
    <row r="355" spans="1:10">
      <c r="A355" s="1"/>
      <c r="B355" s="144" t="s">
        <v>1683</v>
      </c>
      <c r="C355" s="146"/>
      <c r="D355" s="146">
        <v>1</v>
      </c>
      <c r="E355" s="54">
        <v>1.2</v>
      </c>
      <c r="F355" s="54"/>
      <c r="G355" s="54">
        <v>1.3</v>
      </c>
      <c r="H355" s="63">
        <f>D355*E355*G355</f>
        <v>1.56</v>
      </c>
      <c r="I355" s="143" t="s">
        <v>461</v>
      </c>
    </row>
    <row r="356" spans="1:10" s="516" customFormat="1" ht="13.9" customHeight="1">
      <c r="A356" s="1"/>
      <c r="B356" s="144"/>
      <c r="C356" s="68"/>
      <c r="D356" s="146"/>
      <c r="E356" s="54"/>
      <c r="F356" s="54"/>
      <c r="G356" s="54"/>
      <c r="H356" s="70"/>
      <c r="I356" s="144"/>
      <c r="J356" s="511"/>
    </row>
    <row r="357" spans="1:10">
      <c r="A357" s="51">
        <f>A354+1</f>
        <v>36</v>
      </c>
      <c r="B357" s="72" t="s">
        <v>1530</v>
      </c>
      <c r="C357" s="146"/>
      <c r="D357" s="146"/>
      <c r="E357" s="71"/>
      <c r="F357" s="71"/>
      <c r="G357" s="71"/>
      <c r="H357" s="70"/>
      <c r="I357" s="144"/>
    </row>
    <row r="358" spans="1:10">
      <c r="A358" s="1"/>
      <c r="B358" s="144" t="s">
        <v>1503</v>
      </c>
      <c r="C358" s="146"/>
      <c r="D358" s="146">
        <v>1</v>
      </c>
      <c r="E358" s="54">
        <v>0.6</v>
      </c>
      <c r="F358" s="54"/>
      <c r="G358" s="54">
        <v>0.5</v>
      </c>
      <c r="H358" s="63">
        <f>D358*E358*G358</f>
        <v>0.3</v>
      </c>
      <c r="I358" s="144"/>
    </row>
    <row r="359" spans="1:10">
      <c r="A359" s="1"/>
      <c r="B359" s="12"/>
      <c r="C359" s="146"/>
      <c r="D359" s="146"/>
      <c r="E359" s="71"/>
      <c r="F359" s="71"/>
      <c r="G359" s="71"/>
      <c r="H359" s="70">
        <f>SUM(H358:H358)</f>
        <v>0.3</v>
      </c>
      <c r="I359" s="144"/>
    </row>
    <row r="360" spans="1:10">
      <c r="A360" s="1"/>
      <c r="B360" s="12"/>
      <c r="C360" s="146"/>
      <c r="D360" s="146"/>
      <c r="E360" s="71"/>
      <c r="F360" s="71"/>
      <c r="G360" s="65" t="s">
        <v>467</v>
      </c>
      <c r="H360" s="64">
        <f>ROUNDUP(H359,1)</f>
        <v>0.3</v>
      </c>
      <c r="I360" s="143" t="s">
        <v>461</v>
      </c>
    </row>
    <row r="361" spans="1:10">
      <c r="A361" s="1"/>
      <c r="B361" s="12"/>
      <c r="C361" s="146"/>
      <c r="D361" s="146"/>
      <c r="E361" s="71"/>
      <c r="F361" s="71"/>
      <c r="G361" s="71"/>
      <c r="H361" s="70"/>
      <c r="I361" s="144"/>
    </row>
    <row r="362" spans="1:10">
      <c r="A362" s="51">
        <f>A357+1</f>
        <v>37</v>
      </c>
      <c r="B362" s="72" t="s">
        <v>1706</v>
      </c>
      <c r="C362" s="146"/>
      <c r="D362" s="146"/>
      <c r="E362" s="71"/>
      <c r="F362" s="71"/>
      <c r="G362" s="71"/>
      <c r="H362" s="70"/>
      <c r="I362" s="144"/>
    </row>
    <row r="363" spans="1:10">
      <c r="A363" s="1"/>
      <c r="B363" s="749" t="s">
        <v>1684</v>
      </c>
      <c r="C363" s="146"/>
      <c r="D363" s="750">
        <v>1</v>
      </c>
      <c r="E363" s="751">
        <v>2.61</v>
      </c>
      <c r="F363" s="54"/>
      <c r="G363" s="54">
        <v>1.2</v>
      </c>
      <c r="H363" s="63">
        <f>D363*E363*G363</f>
        <v>3.1319999999999997</v>
      </c>
      <c r="I363" s="144"/>
    </row>
    <row r="364" spans="1:10">
      <c r="A364" s="1"/>
      <c r="B364" s="749" t="s">
        <v>1685</v>
      </c>
      <c r="C364" s="146"/>
      <c r="D364" s="750">
        <v>2</v>
      </c>
      <c r="E364" s="751">
        <v>1.385</v>
      </c>
      <c r="F364" s="54"/>
      <c r="G364" s="54">
        <v>1.2</v>
      </c>
      <c r="H364" s="63">
        <f>D364*E364*G364</f>
        <v>3.3239999999999998</v>
      </c>
      <c r="I364" s="144"/>
    </row>
    <row r="365" spans="1:10">
      <c r="A365" s="1"/>
      <c r="B365" s="12"/>
      <c r="C365" s="146"/>
      <c r="D365" s="146"/>
      <c r="E365" s="71"/>
      <c r="F365" s="71"/>
      <c r="G365" s="71"/>
      <c r="H365" s="70">
        <f>SUM(H363:H364)</f>
        <v>6.4559999999999995</v>
      </c>
      <c r="I365" s="144"/>
    </row>
    <row r="366" spans="1:10">
      <c r="A366" s="1"/>
      <c r="B366" s="12"/>
      <c r="C366" s="146"/>
      <c r="D366" s="146"/>
      <c r="E366" s="71"/>
      <c r="F366" s="71"/>
      <c r="G366" s="65" t="s">
        <v>467</v>
      </c>
      <c r="H366" s="64">
        <f>ROUNDUP(H365,1)</f>
        <v>6.5</v>
      </c>
      <c r="I366" s="143" t="s">
        <v>461</v>
      </c>
    </row>
    <row r="367" spans="1:10" ht="13.5" customHeight="1">
      <c r="A367" s="51">
        <f>A357+1</f>
        <v>37</v>
      </c>
      <c r="B367" s="72" t="s">
        <v>1611</v>
      </c>
      <c r="C367" s="146"/>
      <c r="D367" s="146"/>
      <c r="E367" s="71"/>
      <c r="F367" s="71"/>
      <c r="G367" s="71"/>
      <c r="H367" s="70"/>
      <c r="I367" s="144"/>
    </row>
    <row r="368" spans="1:10">
      <c r="A368" s="1"/>
      <c r="B368" s="12"/>
      <c r="C368" s="146"/>
      <c r="D368" s="146">
        <v>2</v>
      </c>
      <c r="E368" s="71">
        <v>5.33</v>
      </c>
      <c r="F368" s="71"/>
      <c r="G368" s="71">
        <f>0.35+0.425+0.125+0.25+0.1+0.35+0.1</f>
        <v>1.7000000000000002</v>
      </c>
      <c r="H368" s="70">
        <f>D368*E368*G368</f>
        <v>18.122000000000003</v>
      </c>
      <c r="I368" s="144"/>
    </row>
    <row r="369" spans="1:10">
      <c r="A369" s="1"/>
      <c r="B369" s="12"/>
      <c r="C369" s="146"/>
      <c r="D369" s="146">
        <v>2</v>
      </c>
      <c r="E369" s="71">
        <v>8.6300000000000008</v>
      </c>
      <c r="F369" s="71"/>
      <c r="G369" s="71">
        <f>0.35+0.425+0.125+0.25+0.1+0.35+0.1</f>
        <v>1.7000000000000002</v>
      </c>
      <c r="H369" s="70">
        <f>D369*E369*G369</f>
        <v>29.342000000000006</v>
      </c>
      <c r="I369" s="144"/>
    </row>
    <row r="370" spans="1:10">
      <c r="A370" s="1"/>
      <c r="B370" s="12"/>
      <c r="C370" s="146"/>
      <c r="D370" s="146"/>
      <c r="E370" s="71"/>
      <c r="F370" s="71"/>
      <c r="G370" s="71"/>
      <c r="H370" s="70">
        <f>SUM(H368:H369)</f>
        <v>47.464000000000013</v>
      </c>
      <c r="I370" s="144"/>
    </row>
    <row r="371" spans="1:10">
      <c r="A371" s="1"/>
      <c r="B371" s="12"/>
      <c r="C371" s="146"/>
      <c r="D371" s="146"/>
      <c r="E371" s="71" t="s">
        <v>455</v>
      </c>
      <c r="F371" s="71"/>
      <c r="G371" s="65" t="s">
        <v>467</v>
      </c>
      <c r="H371" s="64">
        <f>ROUNDUP(H370,0)</f>
        <v>48</v>
      </c>
      <c r="I371" s="143" t="s">
        <v>461</v>
      </c>
    </row>
    <row r="372" spans="1:10">
      <c r="A372" s="1"/>
      <c r="B372" s="12"/>
      <c r="C372" s="146"/>
      <c r="D372" s="146"/>
      <c r="E372" s="71"/>
      <c r="F372" s="71"/>
      <c r="G372" s="65"/>
      <c r="H372" s="64"/>
      <c r="I372" s="143"/>
    </row>
    <row r="373" spans="1:10" ht="11.25" customHeight="1">
      <c r="A373" s="1">
        <f>A367+1</f>
        <v>38</v>
      </c>
      <c r="B373" s="72" t="s">
        <v>1532</v>
      </c>
      <c r="C373" s="146"/>
      <c r="D373" s="146"/>
      <c r="E373" s="71"/>
      <c r="F373" s="71"/>
      <c r="G373" s="71"/>
      <c r="H373" s="70"/>
      <c r="I373" s="144"/>
    </row>
    <row r="374" spans="1:10">
      <c r="A374" s="143"/>
      <c r="B374" s="12" t="s">
        <v>1707</v>
      </c>
      <c r="C374" s="144"/>
      <c r="D374" s="146">
        <v>2</v>
      </c>
      <c r="E374" s="54">
        <v>1.2</v>
      </c>
      <c r="F374" s="54"/>
      <c r="G374" s="54">
        <v>2.1</v>
      </c>
      <c r="H374" s="63">
        <f t="shared" ref="H374" si="28">D374*E374*G374</f>
        <v>5.04</v>
      </c>
      <c r="I374" s="144"/>
    </row>
    <row r="375" spans="1:10">
      <c r="A375" s="1"/>
      <c r="B375" s="12"/>
      <c r="C375" s="146"/>
      <c r="D375" s="146"/>
      <c r="E375" s="71"/>
      <c r="F375" s="71"/>
      <c r="G375" s="71"/>
      <c r="H375" s="70">
        <f>SUM(H374:H374)</f>
        <v>5.04</v>
      </c>
      <c r="I375" s="144"/>
    </row>
    <row r="376" spans="1:10">
      <c r="A376" s="1"/>
      <c r="B376" s="12"/>
      <c r="C376" s="146"/>
      <c r="D376" s="146"/>
      <c r="E376" s="71"/>
      <c r="F376" s="71"/>
      <c r="G376" s="65" t="s">
        <v>467</v>
      </c>
      <c r="H376" s="64">
        <f>ROUNDUP(H375,0)</f>
        <v>6</v>
      </c>
      <c r="I376" s="143" t="s">
        <v>461</v>
      </c>
    </row>
    <row r="377" spans="1:10">
      <c r="A377" s="1"/>
      <c r="B377" s="12"/>
      <c r="C377" s="146"/>
      <c r="D377" s="146"/>
      <c r="E377" s="71"/>
      <c r="F377" s="71"/>
      <c r="G377" s="65"/>
      <c r="H377" s="64"/>
      <c r="I377" s="143"/>
    </row>
    <row r="378" spans="1:10" ht="15.75" customHeight="1">
      <c r="A378" s="1">
        <f>A373+1</f>
        <v>39</v>
      </c>
      <c r="B378" s="143" t="s">
        <v>1545</v>
      </c>
      <c r="C378" s="146"/>
      <c r="D378" s="68">
        <v>1</v>
      </c>
      <c r="E378" s="54">
        <f>3.3+0.6</f>
        <v>3.9</v>
      </c>
      <c r="F378" s="54"/>
      <c r="G378" s="54"/>
      <c r="H378" s="63">
        <f>D378*E378</f>
        <v>3.9</v>
      </c>
      <c r="I378" s="144"/>
    </row>
    <row r="379" spans="1:10">
      <c r="A379" s="1"/>
      <c r="B379" s="144"/>
      <c r="C379" s="146"/>
      <c r="D379" s="68"/>
      <c r="E379" s="54"/>
      <c r="F379" s="54"/>
      <c r="G379" s="54"/>
      <c r="H379" s="63">
        <f>SUM(H378)</f>
        <v>3.9</v>
      </c>
      <c r="I379" s="144"/>
    </row>
    <row r="380" spans="1:10">
      <c r="A380" s="39"/>
      <c r="B380" s="141"/>
      <c r="C380" s="142"/>
      <c r="D380" s="25"/>
      <c r="E380" s="24"/>
      <c r="F380" s="24"/>
      <c r="G380" s="38" t="s">
        <v>467</v>
      </c>
      <c r="H380" s="37">
        <f>ROUNDUP(H378,0)</f>
        <v>4</v>
      </c>
      <c r="I380" s="36" t="s">
        <v>222</v>
      </c>
    </row>
    <row r="381" spans="1:10" s="516" customFormat="1">
      <c r="A381" s="297"/>
      <c r="B381" s="522"/>
      <c r="C381" s="521"/>
      <c r="D381" s="674"/>
      <c r="E381" s="524"/>
      <c r="F381" s="524"/>
      <c r="G381" s="524"/>
      <c r="H381" s="527"/>
      <c r="I381" s="511"/>
      <c r="J381" s="511"/>
    </row>
    <row r="382" spans="1:10" s="516" customFormat="1">
      <c r="A382" s="297"/>
      <c r="B382" s="522"/>
      <c r="C382" s="521"/>
      <c r="D382" s="674"/>
      <c r="E382" s="524"/>
      <c r="F382" s="524"/>
      <c r="G382" s="524"/>
      <c r="H382" s="527"/>
      <c r="I382" s="511"/>
      <c r="J382" s="511"/>
    </row>
    <row r="383" spans="1:10" s="516" customFormat="1">
      <c r="A383" s="297"/>
      <c r="B383" s="522"/>
      <c r="C383" s="521"/>
      <c r="D383" s="674"/>
      <c r="E383" s="524"/>
      <c r="F383" s="524"/>
      <c r="G383" s="524"/>
      <c r="H383" s="527"/>
      <c r="I383" s="511"/>
      <c r="J383" s="511"/>
    </row>
    <row r="384" spans="1:10" s="516" customFormat="1">
      <c r="A384" s="297"/>
      <c r="B384" s="522"/>
      <c r="C384" s="521"/>
      <c r="D384" s="674"/>
      <c r="E384" s="524"/>
      <c r="F384" s="524"/>
      <c r="G384" s="524"/>
      <c r="H384" s="527"/>
      <c r="I384" s="511"/>
      <c r="J384" s="511"/>
    </row>
    <row r="385" spans="1:10" s="516" customFormat="1">
      <c r="A385" s="297"/>
      <c r="B385" s="522"/>
      <c r="C385" s="521"/>
      <c r="D385" s="674"/>
      <c r="E385" s="524"/>
      <c r="F385" s="524"/>
      <c r="G385" s="524"/>
      <c r="H385" s="527"/>
      <c r="I385" s="511"/>
      <c r="J385" s="511"/>
    </row>
    <row r="386" spans="1:10" s="516" customFormat="1">
      <c r="A386" s="297"/>
      <c r="B386" s="522"/>
      <c r="C386" s="521"/>
      <c r="D386" s="674"/>
      <c r="E386" s="524"/>
      <c r="F386" s="524"/>
      <c r="G386" s="524"/>
      <c r="H386" s="527"/>
      <c r="I386" s="511"/>
      <c r="J386" s="511"/>
    </row>
    <row r="387" spans="1:10" s="516" customFormat="1">
      <c r="A387" s="297"/>
      <c r="B387" s="522"/>
      <c r="C387" s="521"/>
      <c r="D387" s="674"/>
      <c r="E387" s="524"/>
      <c r="F387" s="524"/>
      <c r="G387" s="524"/>
      <c r="H387" s="527"/>
      <c r="I387" s="511"/>
      <c r="J387" s="511"/>
    </row>
    <row r="388" spans="1:10" s="516" customFormat="1">
      <c r="A388" s="297"/>
      <c r="B388" s="522"/>
      <c r="C388" s="521"/>
      <c r="D388" s="674"/>
      <c r="E388" s="524"/>
      <c r="F388" s="524"/>
      <c r="G388" s="524"/>
      <c r="H388" s="527"/>
      <c r="I388" s="511"/>
      <c r="J388" s="511"/>
    </row>
    <row r="389" spans="1:10" s="516" customFormat="1">
      <c r="A389" s="297"/>
      <c r="B389" s="522"/>
      <c r="C389" s="521"/>
      <c r="D389" s="674"/>
      <c r="E389" s="524"/>
      <c r="F389" s="524"/>
      <c r="G389" s="524"/>
      <c r="H389" s="527"/>
      <c r="I389" s="511"/>
      <c r="J389" s="511"/>
    </row>
    <row r="390" spans="1:10" s="516" customFormat="1">
      <c r="A390" s="297"/>
      <c r="B390" s="522"/>
      <c r="C390" s="521"/>
      <c r="D390" s="674"/>
      <c r="E390" s="524"/>
      <c r="F390" s="524"/>
      <c r="G390" s="524"/>
      <c r="H390" s="527"/>
      <c r="I390" s="511"/>
      <c r="J390" s="511"/>
    </row>
    <row r="391" spans="1:10" s="516" customFormat="1">
      <c r="A391" s="297"/>
      <c r="B391" s="522"/>
      <c r="C391" s="521"/>
      <c r="D391" s="674"/>
      <c r="E391" s="524"/>
      <c r="F391" s="524"/>
      <c r="G391" s="524"/>
      <c r="H391" s="527"/>
      <c r="I391" s="511"/>
      <c r="J391" s="511"/>
    </row>
    <row r="392" spans="1:10" s="516" customFormat="1">
      <c r="A392" s="297"/>
      <c r="B392" s="522"/>
      <c r="C392" s="521"/>
      <c r="D392" s="674"/>
      <c r="E392" s="524"/>
      <c r="F392" s="524"/>
      <c r="G392" s="524"/>
      <c r="H392" s="527"/>
      <c r="I392" s="511"/>
      <c r="J392" s="511"/>
    </row>
    <row r="393" spans="1:10" s="516" customFormat="1">
      <c r="A393" s="297"/>
      <c r="B393" s="522"/>
      <c r="C393" s="521"/>
      <c r="D393" s="674"/>
      <c r="E393" s="524"/>
      <c r="F393" s="524"/>
      <c r="G393" s="524"/>
      <c r="H393" s="527"/>
      <c r="I393" s="511"/>
      <c r="J393" s="511"/>
    </row>
    <row r="394" spans="1:10" s="516" customFormat="1">
      <c r="A394" s="297"/>
      <c r="B394" s="522"/>
      <c r="C394" s="521"/>
      <c r="D394" s="674"/>
      <c r="E394" s="524"/>
      <c r="F394" s="524"/>
      <c r="G394" s="524"/>
      <c r="H394" s="527"/>
      <c r="I394" s="511"/>
      <c r="J394" s="511"/>
    </row>
    <row r="395" spans="1:10" s="516" customFormat="1">
      <c r="A395" s="297"/>
      <c r="B395" s="522"/>
      <c r="C395" s="521"/>
      <c r="D395" s="674"/>
      <c r="E395" s="524"/>
      <c r="F395" s="524"/>
      <c r="G395" s="524"/>
      <c r="H395" s="527"/>
      <c r="I395" s="511"/>
      <c r="J395" s="511"/>
    </row>
    <row r="396" spans="1:10" s="516" customFormat="1">
      <c r="A396" s="297"/>
      <c r="B396" s="522"/>
      <c r="C396" s="521"/>
      <c r="D396" s="674"/>
      <c r="E396" s="524"/>
      <c r="F396" s="524"/>
      <c r="G396" s="524"/>
      <c r="H396" s="527"/>
      <c r="I396" s="511"/>
      <c r="J396" s="511"/>
    </row>
    <row r="397" spans="1:10" s="516" customFormat="1">
      <c r="A397" s="297"/>
      <c r="B397" s="522"/>
      <c r="C397" s="521"/>
      <c r="D397" s="674"/>
      <c r="E397" s="524"/>
      <c r="F397" s="524"/>
      <c r="G397" s="524"/>
      <c r="H397" s="527"/>
      <c r="I397" s="511"/>
      <c r="J397" s="511"/>
    </row>
    <row r="398" spans="1:10" s="516" customFormat="1">
      <c r="A398" s="297"/>
      <c r="B398" s="522"/>
      <c r="C398" s="521"/>
      <c r="D398" s="674"/>
      <c r="E398" s="524"/>
      <c r="F398" s="524"/>
      <c r="G398" s="524"/>
      <c r="H398" s="527"/>
      <c r="I398" s="511"/>
      <c r="J398" s="511"/>
    </row>
    <row r="399" spans="1:10" s="516" customFormat="1">
      <c r="A399" s="297"/>
      <c r="B399" s="522"/>
      <c r="C399" s="521"/>
      <c r="D399" s="674"/>
      <c r="E399" s="524"/>
      <c r="F399" s="524"/>
      <c r="G399" s="524"/>
      <c r="H399" s="527"/>
      <c r="I399" s="511"/>
      <c r="J399" s="511"/>
    </row>
    <row r="400" spans="1:10" s="516" customFormat="1">
      <c r="A400" s="297"/>
      <c r="B400" s="522"/>
      <c r="C400" s="521"/>
      <c r="D400" s="674"/>
      <c r="E400" s="524"/>
      <c r="F400" s="524"/>
      <c r="G400" s="524"/>
      <c r="H400" s="527"/>
      <c r="I400" s="511"/>
      <c r="J400" s="511"/>
    </row>
    <row r="401" spans="1:10" s="516" customFormat="1">
      <c r="A401" s="297"/>
      <c r="B401" s="522"/>
      <c r="C401" s="521"/>
      <c r="D401" s="674"/>
      <c r="E401" s="524"/>
      <c r="F401" s="524"/>
      <c r="G401" s="524"/>
      <c r="H401" s="527"/>
      <c r="I401" s="511"/>
      <c r="J401" s="511"/>
    </row>
    <row r="402" spans="1:10" s="516" customFormat="1">
      <c r="A402" s="297"/>
      <c r="B402" s="522"/>
      <c r="C402" s="521"/>
      <c r="D402" s="674"/>
      <c r="E402" s="524"/>
      <c r="F402" s="524"/>
      <c r="G402" s="524"/>
      <c r="H402" s="527"/>
      <c r="I402" s="511"/>
      <c r="J402" s="511"/>
    </row>
    <row r="403" spans="1:10" s="516" customFormat="1">
      <c r="A403" s="297"/>
      <c r="B403" s="522"/>
      <c r="C403" s="521"/>
      <c r="D403" s="674"/>
      <c r="E403" s="524"/>
      <c r="F403" s="524"/>
      <c r="G403" s="524"/>
      <c r="H403" s="527"/>
      <c r="I403" s="511"/>
      <c r="J403" s="511"/>
    </row>
    <row r="404" spans="1:10" s="516" customFormat="1">
      <c r="A404" s="297"/>
      <c r="B404" s="522"/>
      <c r="C404" s="521"/>
      <c r="D404" s="674"/>
      <c r="E404" s="524"/>
      <c r="F404" s="524"/>
      <c r="G404" s="524"/>
      <c r="H404" s="527"/>
      <c r="I404" s="511"/>
      <c r="J404" s="511"/>
    </row>
    <row r="405" spans="1:10" s="516" customFormat="1">
      <c r="A405" s="297"/>
      <c r="B405" s="522"/>
      <c r="C405" s="521"/>
      <c r="D405" s="674"/>
      <c r="E405" s="524"/>
      <c r="F405" s="524"/>
      <c r="G405" s="524"/>
      <c r="H405" s="527"/>
      <c r="I405" s="511"/>
      <c r="J405" s="511"/>
    </row>
    <row r="406" spans="1:10" s="516" customFormat="1">
      <c r="A406" s="297"/>
      <c r="B406" s="522"/>
      <c r="C406" s="521"/>
      <c r="D406" s="674"/>
      <c r="E406" s="524"/>
      <c r="F406" s="524"/>
      <c r="G406" s="524"/>
      <c r="H406" s="527"/>
      <c r="I406" s="511"/>
      <c r="J406" s="511"/>
    </row>
    <row r="407" spans="1:10" s="516" customFormat="1">
      <c r="A407" s="297"/>
      <c r="B407" s="522"/>
      <c r="C407" s="521"/>
      <c r="D407" s="674"/>
      <c r="E407" s="524"/>
      <c r="F407" s="524"/>
      <c r="G407" s="524"/>
      <c r="H407" s="527"/>
      <c r="I407" s="511"/>
      <c r="J407" s="511"/>
    </row>
    <row r="408" spans="1:10" s="516" customFormat="1">
      <c r="A408" s="297"/>
      <c r="B408" s="522"/>
      <c r="C408" s="521"/>
      <c r="D408" s="674"/>
      <c r="E408" s="524"/>
      <c r="F408" s="524"/>
      <c r="G408" s="524"/>
      <c r="H408" s="527"/>
      <c r="I408" s="511"/>
      <c r="J408" s="511"/>
    </row>
    <row r="409" spans="1:10" s="516" customFormat="1">
      <c r="A409" s="297"/>
      <c r="B409" s="522"/>
      <c r="C409" s="521"/>
      <c r="D409" s="674"/>
      <c r="E409" s="524"/>
      <c r="F409" s="524"/>
      <c r="G409" s="524"/>
      <c r="H409" s="527"/>
      <c r="I409" s="511"/>
      <c r="J409" s="511"/>
    </row>
    <row r="410" spans="1:10" s="516" customFormat="1">
      <c r="A410" s="297"/>
      <c r="B410" s="522"/>
      <c r="C410" s="521"/>
      <c r="D410" s="674"/>
      <c r="E410" s="524"/>
      <c r="F410" s="524"/>
      <c r="G410" s="524"/>
      <c r="H410" s="527"/>
      <c r="I410" s="511"/>
      <c r="J410" s="511"/>
    </row>
    <row r="411" spans="1:10" s="516" customFormat="1">
      <c r="A411" s="297"/>
      <c r="B411" s="522"/>
      <c r="C411" s="521"/>
      <c r="D411" s="674"/>
      <c r="E411" s="524"/>
      <c r="F411" s="524"/>
      <c r="G411" s="524"/>
      <c r="H411" s="527"/>
      <c r="I411" s="511"/>
      <c r="J411" s="511"/>
    </row>
    <row r="412" spans="1:10" s="516" customFormat="1">
      <c r="A412" s="297"/>
      <c r="B412" s="522"/>
      <c r="C412" s="521"/>
      <c r="D412" s="674"/>
      <c r="E412" s="524"/>
      <c r="F412" s="524"/>
      <c r="G412" s="524"/>
      <c r="H412" s="527"/>
      <c r="I412" s="511"/>
      <c r="J412" s="511"/>
    </row>
    <row r="413" spans="1:10" s="516" customFormat="1">
      <c r="A413" s="297"/>
      <c r="B413" s="522"/>
      <c r="C413" s="521"/>
      <c r="D413" s="674"/>
      <c r="E413" s="524"/>
      <c r="F413" s="524"/>
      <c r="G413" s="524"/>
      <c r="H413" s="527"/>
      <c r="I413" s="511"/>
      <c r="J413" s="511"/>
    </row>
    <row r="414" spans="1:10" s="516" customFormat="1">
      <c r="A414" s="297"/>
      <c r="B414" s="522"/>
      <c r="C414" s="521"/>
      <c r="D414" s="674"/>
      <c r="E414" s="524"/>
      <c r="F414" s="524"/>
      <c r="G414" s="524"/>
      <c r="H414" s="527"/>
      <c r="I414" s="511"/>
      <c r="J414" s="511"/>
    </row>
  </sheetData>
  <mergeCells count="2">
    <mergeCell ref="A1:I1"/>
    <mergeCell ref="H2:I2"/>
  </mergeCells>
  <printOptions horizontalCentered="1"/>
  <pageMargins left="0.47244094488188998" right="0.43307086614173201" top="0.511811023622047" bottom="0.70866141732283505" header="0.31496062992126" footer="0.35433070866141703"/>
  <pageSetup paperSize="9" orientation="portrait" r:id="rId1"/>
  <headerFooter alignWithMargins="0">
    <oddFooter>&amp;L&amp;"+,Italic"TSEWIDC-MBNR&amp;C&amp;"+,Italic"  Security G.F- Det&amp;R&amp;"+,Italic"&amp;P &amp; of &amp;N</oddFooter>
  </headerFooter>
  <rowBreaks count="4" manualBreakCount="4">
    <brk id="55" max="8" man="1"/>
    <brk id="115" max="8" man="1"/>
    <brk id="173" max="8" man="1"/>
    <brk id="353" max="8"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tabColor rgb="FFC00000"/>
  </sheetPr>
  <dimension ref="A1:I104"/>
  <sheetViews>
    <sheetView view="pageBreakPreview" topLeftCell="A79" zoomScale="130" zoomScaleNormal="115" zoomScaleSheetLayoutView="130" workbookViewId="0">
      <selection activeCell="K91" sqref="K91"/>
    </sheetView>
  </sheetViews>
  <sheetFormatPr defaultRowHeight="13.75" customHeight="1"/>
  <cols>
    <col min="1" max="1" width="5.41796875" style="677" bestFit="1" customWidth="1"/>
    <col min="2" max="2" width="31" style="687" customWidth="1"/>
    <col min="3" max="3" width="4.68359375" style="676" customWidth="1"/>
    <col min="4" max="4" width="7.68359375" style="688" customWidth="1"/>
    <col min="5" max="5" width="7.26171875" style="676" customWidth="1"/>
    <col min="6" max="6" width="8.83984375" style="676" customWidth="1"/>
    <col min="7" max="7" width="9.41796875" style="676" customWidth="1"/>
    <col min="8" max="8" width="10.83984375" style="689" customWidth="1"/>
    <col min="9" max="9" width="4.83984375" style="676" bestFit="1" customWidth="1"/>
    <col min="10" max="256" width="8.83984375" style="676"/>
    <col min="257" max="257" width="5.41796875" style="676" bestFit="1" customWidth="1"/>
    <col min="258" max="258" width="31" style="676" customWidth="1"/>
    <col min="259" max="259" width="4.68359375" style="676" customWidth="1"/>
    <col min="260" max="260" width="7.68359375" style="676" customWidth="1"/>
    <col min="261" max="261" width="6.41796875" style="676" customWidth="1"/>
    <col min="262" max="262" width="7.15625" style="676" customWidth="1"/>
    <col min="263" max="263" width="6.83984375" style="676" customWidth="1"/>
    <col min="264" max="264" width="10.83984375" style="676" customWidth="1"/>
    <col min="265" max="265" width="6.578125" style="676" customWidth="1"/>
    <col min="266" max="512" width="8.83984375" style="676"/>
    <col min="513" max="513" width="5.41796875" style="676" bestFit="1" customWidth="1"/>
    <col min="514" max="514" width="31" style="676" customWidth="1"/>
    <col min="515" max="515" width="4.68359375" style="676" customWidth="1"/>
    <col min="516" max="516" width="7.68359375" style="676" customWidth="1"/>
    <col min="517" max="517" width="6.41796875" style="676" customWidth="1"/>
    <col min="518" max="518" width="7.15625" style="676" customWidth="1"/>
    <col min="519" max="519" width="6.83984375" style="676" customWidth="1"/>
    <col min="520" max="520" width="10.83984375" style="676" customWidth="1"/>
    <col min="521" max="521" width="6.578125" style="676" customWidth="1"/>
    <col min="522" max="768" width="8.83984375" style="676"/>
    <col min="769" max="769" width="5.41796875" style="676" bestFit="1" customWidth="1"/>
    <col min="770" max="770" width="31" style="676" customWidth="1"/>
    <col min="771" max="771" width="4.68359375" style="676" customWidth="1"/>
    <col min="772" max="772" width="7.68359375" style="676" customWidth="1"/>
    <col min="773" max="773" width="6.41796875" style="676" customWidth="1"/>
    <col min="774" max="774" width="7.15625" style="676" customWidth="1"/>
    <col min="775" max="775" width="6.83984375" style="676" customWidth="1"/>
    <col min="776" max="776" width="10.83984375" style="676" customWidth="1"/>
    <col min="777" max="777" width="6.578125" style="676" customWidth="1"/>
    <col min="778" max="1024" width="8.83984375" style="676"/>
    <col min="1025" max="1025" width="5.41796875" style="676" bestFit="1" customWidth="1"/>
    <col min="1026" max="1026" width="31" style="676" customWidth="1"/>
    <col min="1027" max="1027" width="4.68359375" style="676" customWidth="1"/>
    <col min="1028" max="1028" width="7.68359375" style="676" customWidth="1"/>
    <col min="1029" max="1029" width="6.41796875" style="676" customWidth="1"/>
    <col min="1030" max="1030" width="7.15625" style="676" customWidth="1"/>
    <col min="1031" max="1031" width="6.83984375" style="676" customWidth="1"/>
    <col min="1032" max="1032" width="10.83984375" style="676" customWidth="1"/>
    <col min="1033" max="1033" width="6.578125" style="676" customWidth="1"/>
    <col min="1034" max="1280" width="8.83984375" style="676"/>
    <col min="1281" max="1281" width="5.41796875" style="676" bestFit="1" customWidth="1"/>
    <col min="1282" max="1282" width="31" style="676" customWidth="1"/>
    <col min="1283" max="1283" width="4.68359375" style="676" customWidth="1"/>
    <col min="1284" max="1284" width="7.68359375" style="676" customWidth="1"/>
    <col min="1285" max="1285" width="6.41796875" style="676" customWidth="1"/>
    <col min="1286" max="1286" width="7.15625" style="676" customWidth="1"/>
    <col min="1287" max="1287" width="6.83984375" style="676" customWidth="1"/>
    <col min="1288" max="1288" width="10.83984375" style="676" customWidth="1"/>
    <col min="1289" max="1289" width="6.578125" style="676" customWidth="1"/>
    <col min="1290" max="1536" width="8.83984375" style="676"/>
    <col min="1537" max="1537" width="5.41796875" style="676" bestFit="1" customWidth="1"/>
    <col min="1538" max="1538" width="31" style="676" customWidth="1"/>
    <col min="1539" max="1539" width="4.68359375" style="676" customWidth="1"/>
    <col min="1540" max="1540" width="7.68359375" style="676" customWidth="1"/>
    <col min="1541" max="1541" width="6.41796875" style="676" customWidth="1"/>
    <col min="1542" max="1542" width="7.15625" style="676" customWidth="1"/>
    <col min="1543" max="1543" width="6.83984375" style="676" customWidth="1"/>
    <col min="1544" max="1544" width="10.83984375" style="676" customWidth="1"/>
    <col min="1545" max="1545" width="6.578125" style="676" customWidth="1"/>
    <col min="1546" max="1792" width="8.83984375" style="676"/>
    <col min="1793" max="1793" width="5.41796875" style="676" bestFit="1" customWidth="1"/>
    <col min="1794" max="1794" width="31" style="676" customWidth="1"/>
    <col min="1795" max="1795" width="4.68359375" style="676" customWidth="1"/>
    <col min="1796" max="1796" width="7.68359375" style="676" customWidth="1"/>
    <col min="1797" max="1797" width="6.41796875" style="676" customWidth="1"/>
    <col min="1798" max="1798" width="7.15625" style="676" customWidth="1"/>
    <col min="1799" max="1799" width="6.83984375" style="676" customWidth="1"/>
    <col min="1800" max="1800" width="10.83984375" style="676" customWidth="1"/>
    <col min="1801" max="1801" width="6.578125" style="676" customWidth="1"/>
    <col min="1802" max="2048" width="8.83984375" style="676"/>
    <col min="2049" max="2049" width="5.41796875" style="676" bestFit="1" customWidth="1"/>
    <col min="2050" max="2050" width="31" style="676" customWidth="1"/>
    <col min="2051" max="2051" width="4.68359375" style="676" customWidth="1"/>
    <col min="2052" max="2052" width="7.68359375" style="676" customWidth="1"/>
    <col min="2053" max="2053" width="6.41796875" style="676" customWidth="1"/>
    <col min="2054" max="2054" width="7.15625" style="676" customWidth="1"/>
    <col min="2055" max="2055" width="6.83984375" style="676" customWidth="1"/>
    <col min="2056" max="2056" width="10.83984375" style="676" customWidth="1"/>
    <col min="2057" max="2057" width="6.578125" style="676" customWidth="1"/>
    <col min="2058" max="2304" width="8.83984375" style="676"/>
    <col min="2305" max="2305" width="5.41796875" style="676" bestFit="1" customWidth="1"/>
    <col min="2306" max="2306" width="31" style="676" customWidth="1"/>
    <col min="2307" max="2307" width="4.68359375" style="676" customWidth="1"/>
    <col min="2308" max="2308" width="7.68359375" style="676" customWidth="1"/>
    <col min="2309" max="2309" width="6.41796875" style="676" customWidth="1"/>
    <col min="2310" max="2310" width="7.15625" style="676" customWidth="1"/>
    <col min="2311" max="2311" width="6.83984375" style="676" customWidth="1"/>
    <col min="2312" max="2312" width="10.83984375" style="676" customWidth="1"/>
    <col min="2313" max="2313" width="6.578125" style="676" customWidth="1"/>
    <col min="2314" max="2560" width="8.83984375" style="676"/>
    <col min="2561" max="2561" width="5.41796875" style="676" bestFit="1" customWidth="1"/>
    <col min="2562" max="2562" width="31" style="676" customWidth="1"/>
    <col min="2563" max="2563" width="4.68359375" style="676" customWidth="1"/>
    <col min="2564" max="2564" width="7.68359375" style="676" customWidth="1"/>
    <col min="2565" max="2565" width="6.41796875" style="676" customWidth="1"/>
    <col min="2566" max="2566" width="7.15625" style="676" customWidth="1"/>
    <col min="2567" max="2567" width="6.83984375" style="676" customWidth="1"/>
    <col min="2568" max="2568" width="10.83984375" style="676" customWidth="1"/>
    <col min="2569" max="2569" width="6.578125" style="676" customWidth="1"/>
    <col min="2570" max="2816" width="8.83984375" style="676"/>
    <col min="2817" max="2817" width="5.41796875" style="676" bestFit="1" customWidth="1"/>
    <col min="2818" max="2818" width="31" style="676" customWidth="1"/>
    <col min="2819" max="2819" width="4.68359375" style="676" customWidth="1"/>
    <col min="2820" max="2820" width="7.68359375" style="676" customWidth="1"/>
    <col min="2821" max="2821" width="6.41796875" style="676" customWidth="1"/>
    <col min="2822" max="2822" width="7.15625" style="676" customWidth="1"/>
    <col min="2823" max="2823" width="6.83984375" style="676" customWidth="1"/>
    <col min="2824" max="2824" width="10.83984375" style="676" customWidth="1"/>
    <col min="2825" max="2825" width="6.578125" style="676" customWidth="1"/>
    <col min="2826" max="3072" width="8.83984375" style="676"/>
    <col min="3073" max="3073" width="5.41796875" style="676" bestFit="1" customWidth="1"/>
    <col min="3074" max="3074" width="31" style="676" customWidth="1"/>
    <col min="3075" max="3075" width="4.68359375" style="676" customWidth="1"/>
    <col min="3076" max="3076" width="7.68359375" style="676" customWidth="1"/>
    <col min="3077" max="3077" width="6.41796875" style="676" customWidth="1"/>
    <col min="3078" max="3078" width="7.15625" style="676" customWidth="1"/>
    <col min="3079" max="3079" width="6.83984375" style="676" customWidth="1"/>
    <col min="3080" max="3080" width="10.83984375" style="676" customWidth="1"/>
    <col min="3081" max="3081" width="6.578125" style="676" customWidth="1"/>
    <col min="3082" max="3328" width="8.83984375" style="676"/>
    <col min="3329" max="3329" width="5.41796875" style="676" bestFit="1" customWidth="1"/>
    <col min="3330" max="3330" width="31" style="676" customWidth="1"/>
    <col min="3331" max="3331" width="4.68359375" style="676" customWidth="1"/>
    <col min="3332" max="3332" width="7.68359375" style="676" customWidth="1"/>
    <col min="3333" max="3333" width="6.41796875" style="676" customWidth="1"/>
    <col min="3334" max="3334" width="7.15625" style="676" customWidth="1"/>
    <col min="3335" max="3335" width="6.83984375" style="676" customWidth="1"/>
    <col min="3336" max="3336" width="10.83984375" style="676" customWidth="1"/>
    <col min="3337" max="3337" width="6.578125" style="676" customWidth="1"/>
    <col min="3338" max="3584" width="8.83984375" style="676"/>
    <col min="3585" max="3585" width="5.41796875" style="676" bestFit="1" customWidth="1"/>
    <col min="3586" max="3586" width="31" style="676" customWidth="1"/>
    <col min="3587" max="3587" width="4.68359375" style="676" customWidth="1"/>
    <col min="3588" max="3588" width="7.68359375" style="676" customWidth="1"/>
    <col min="3589" max="3589" width="6.41796875" style="676" customWidth="1"/>
    <col min="3590" max="3590" width="7.15625" style="676" customWidth="1"/>
    <col min="3591" max="3591" width="6.83984375" style="676" customWidth="1"/>
    <col min="3592" max="3592" width="10.83984375" style="676" customWidth="1"/>
    <col min="3593" max="3593" width="6.578125" style="676" customWidth="1"/>
    <col min="3594" max="3840" width="8.83984375" style="676"/>
    <col min="3841" max="3841" width="5.41796875" style="676" bestFit="1" customWidth="1"/>
    <col min="3842" max="3842" width="31" style="676" customWidth="1"/>
    <col min="3843" max="3843" width="4.68359375" style="676" customWidth="1"/>
    <col min="3844" max="3844" width="7.68359375" style="676" customWidth="1"/>
    <col min="3845" max="3845" width="6.41796875" style="676" customWidth="1"/>
    <col min="3846" max="3846" width="7.15625" style="676" customWidth="1"/>
    <col min="3847" max="3847" width="6.83984375" style="676" customWidth="1"/>
    <col min="3848" max="3848" width="10.83984375" style="676" customWidth="1"/>
    <col min="3849" max="3849" width="6.578125" style="676" customWidth="1"/>
    <col min="3850" max="4096" width="8.83984375" style="676"/>
    <col min="4097" max="4097" width="5.41796875" style="676" bestFit="1" customWidth="1"/>
    <col min="4098" max="4098" width="31" style="676" customWidth="1"/>
    <col min="4099" max="4099" width="4.68359375" style="676" customWidth="1"/>
    <col min="4100" max="4100" width="7.68359375" style="676" customWidth="1"/>
    <col min="4101" max="4101" width="6.41796875" style="676" customWidth="1"/>
    <col min="4102" max="4102" width="7.15625" style="676" customWidth="1"/>
    <col min="4103" max="4103" width="6.83984375" style="676" customWidth="1"/>
    <col min="4104" max="4104" width="10.83984375" style="676" customWidth="1"/>
    <col min="4105" max="4105" width="6.578125" style="676" customWidth="1"/>
    <col min="4106" max="4352" width="8.83984375" style="676"/>
    <col min="4353" max="4353" width="5.41796875" style="676" bestFit="1" customWidth="1"/>
    <col min="4354" max="4354" width="31" style="676" customWidth="1"/>
    <col min="4355" max="4355" width="4.68359375" style="676" customWidth="1"/>
    <col min="4356" max="4356" width="7.68359375" style="676" customWidth="1"/>
    <col min="4357" max="4357" width="6.41796875" style="676" customWidth="1"/>
    <col min="4358" max="4358" width="7.15625" style="676" customWidth="1"/>
    <col min="4359" max="4359" width="6.83984375" style="676" customWidth="1"/>
    <col min="4360" max="4360" width="10.83984375" style="676" customWidth="1"/>
    <col min="4361" max="4361" width="6.578125" style="676" customWidth="1"/>
    <col min="4362" max="4608" width="8.83984375" style="676"/>
    <col min="4609" max="4609" width="5.41796875" style="676" bestFit="1" customWidth="1"/>
    <col min="4610" max="4610" width="31" style="676" customWidth="1"/>
    <col min="4611" max="4611" width="4.68359375" style="676" customWidth="1"/>
    <col min="4612" max="4612" width="7.68359375" style="676" customWidth="1"/>
    <col min="4613" max="4613" width="6.41796875" style="676" customWidth="1"/>
    <col min="4614" max="4614" width="7.15625" style="676" customWidth="1"/>
    <col min="4615" max="4615" width="6.83984375" style="676" customWidth="1"/>
    <col min="4616" max="4616" width="10.83984375" style="676" customWidth="1"/>
    <col min="4617" max="4617" width="6.578125" style="676" customWidth="1"/>
    <col min="4618" max="4864" width="8.83984375" style="676"/>
    <col min="4865" max="4865" width="5.41796875" style="676" bestFit="1" customWidth="1"/>
    <col min="4866" max="4866" width="31" style="676" customWidth="1"/>
    <col min="4867" max="4867" width="4.68359375" style="676" customWidth="1"/>
    <col min="4868" max="4868" width="7.68359375" style="676" customWidth="1"/>
    <col min="4869" max="4869" width="6.41796875" style="676" customWidth="1"/>
    <col min="4870" max="4870" width="7.15625" style="676" customWidth="1"/>
    <col min="4871" max="4871" width="6.83984375" style="676" customWidth="1"/>
    <col min="4872" max="4872" width="10.83984375" style="676" customWidth="1"/>
    <col min="4873" max="4873" width="6.578125" style="676" customWidth="1"/>
    <col min="4874" max="5120" width="8.83984375" style="676"/>
    <col min="5121" max="5121" width="5.41796875" style="676" bestFit="1" customWidth="1"/>
    <col min="5122" max="5122" width="31" style="676" customWidth="1"/>
    <col min="5123" max="5123" width="4.68359375" style="676" customWidth="1"/>
    <col min="5124" max="5124" width="7.68359375" style="676" customWidth="1"/>
    <col min="5125" max="5125" width="6.41796875" style="676" customWidth="1"/>
    <col min="5126" max="5126" width="7.15625" style="676" customWidth="1"/>
    <col min="5127" max="5127" width="6.83984375" style="676" customWidth="1"/>
    <col min="5128" max="5128" width="10.83984375" style="676" customWidth="1"/>
    <col min="5129" max="5129" width="6.578125" style="676" customWidth="1"/>
    <col min="5130" max="5376" width="8.83984375" style="676"/>
    <col min="5377" max="5377" width="5.41796875" style="676" bestFit="1" customWidth="1"/>
    <col min="5378" max="5378" width="31" style="676" customWidth="1"/>
    <col min="5379" max="5379" width="4.68359375" style="676" customWidth="1"/>
    <col min="5380" max="5380" width="7.68359375" style="676" customWidth="1"/>
    <col min="5381" max="5381" width="6.41796875" style="676" customWidth="1"/>
    <col min="5382" max="5382" width="7.15625" style="676" customWidth="1"/>
    <col min="5383" max="5383" width="6.83984375" style="676" customWidth="1"/>
    <col min="5384" max="5384" width="10.83984375" style="676" customWidth="1"/>
    <col min="5385" max="5385" width="6.578125" style="676" customWidth="1"/>
    <col min="5386" max="5632" width="8.83984375" style="676"/>
    <col min="5633" max="5633" width="5.41796875" style="676" bestFit="1" customWidth="1"/>
    <col min="5634" max="5634" width="31" style="676" customWidth="1"/>
    <col min="5635" max="5635" width="4.68359375" style="676" customWidth="1"/>
    <col min="5636" max="5636" width="7.68359375" style="676" customWidth="1"/>
    <col min="5637" max="5637" width="6.41796875" style="676" customWidth="1"/>
    <col min="5638" max="5638" width="7.15625" style="676" customWidth="1"/>
    <col min="5639" max="5639" width="6.83984375" style="676" customWidth="1"/>
    <col min="5640" max="5640" width="10.83984375" style="676" customWidth="1"/>
    <col min="5641" max="5641" width="6.578125" style="676" customWidth="1"/>
    <col min="5642" max="5888" width="8.83984375" style="676"/>
    <col min="5889" max="5889" width="5.41796875" style="676" bestFit="1" customWidth="1"/>
    <col min="5890" max="5890" width="31" style="676" customWidth="1"/>
    <col min="5891" max="5891" width="4.68359375" style="676" customWidth="1"/>
    <col min="5892" max="5892" width="7.68359375" style="676" customWidth="1"/>
    <col min="5893" max="5893" width="6.41796875" style="676" customWidth="1"/>
    <col min="5894" max="5894" width="7.15625" style="676" customWidth="1"/>
    <col min="5895" max="5895" width="6.83984375" style="676" customWidth="1"/>
    <col min="5896" max="5896" width="10.83984375" style="676" customWidth="1"/>
    <col min="5897" max="5897" width="6.578125" style="676" customWidth="1"/>
    <col min="5898" max="6144" width="8.83984375" style="676"/>
    <col min="6145" max="6145" width="5.41796875" style="676" bestFit="1" customWidth="1"/>
    <col min="6146" max="6146" width="31" style="676" customWidth="1"/>
    <col min="6147" max="6147" width="4.68359375" style="676" customWidth="1"/>
    <col min="6148" max="6148" width="7.68359375" style="676" customWidth="1"/>
    <col min="6149" max="6149" width="6.41796875" style="676" customWidth="1"/>
    <col min="6150" max="6150" width="7.15625" style="676" customWidth="1"/>
    <col min="6151" max="6151" width="6.83984375" style="676" customWidth="1"/>
    <col min="6152" max="6152" width="10.83984375" style="676" customWidth="1"/>
    <col min="6153" max="6153" width="6.578125" style="676" customWidth="1"/>
    <col min="6154" max="6400" width="8.83984375" style="676"/>
    <col min="6401" max="6401" width="5.41796875" style="676" bestFit="1" customWidth="1"/>
    <col min="6402" max="6402" width="31" style="676" customWidth="1"/>
    <col min="6403" max="6403" width="4.68359375" style="676" customWidth="1"/>
    <col min="6404" max="6404" width="7.68359375" style="676" customWidth="1"/>
    <col min="6405" max="6405" width="6.41796875" style="676" customWidth="1"/>
    <col min="6406" max="6406" width="7.15625" style="676" customWidth="1"/>
    <col min="6407" max="6407" width="6.83984375" style="676" customWidth="1"/>
    <col min="6408" max="6408" width="10.83984375" style="676" customWidth="1"/>
    <col min="6409" max="6409" width="6.578125" style="676" customWidth="1"/>
    <col min="6410" max="6656" width="8.83984375" style="676"/>
    <col min="6657" max="6657" width="5.41796875" style="676" bestFit="1" customWidth="1"/>
    <col min="6658" max="6658" width="31" style="676" customWidth="1"/>
    <col min="6659" max="6659" width="4.68359375" style="676" customWidth="1"/>
    <col min="6660" max="6660" width="7.68359375" style="676" customWidth="1"/>
    <col min="6661" max="6661" width="6.41796875" style="676" customWidth="1"/>
    <col min="6662" max="6662" width="7.15625" style="676" customWidth="1"/>
    <col min="6663" max="6663" width="6.83984375" style="676" customWidth="1"/>
    <col min="6664" max="6664" width="10.83984375" style="676" customWidth="1"/>
    <col min="6665" max="6665" width="6.578125" style="676" customWidth="1"/>
    <col min="6666" max="6912" width="8.83984375" style="676"/>
    <col min="6913" max="6913" width="5.41796875" style="676" bestFit="1" customWidth="1"/>
    <col min="6914" max="6914" width="31" style="676" customWidth="1"/>
    <col min="6915" max="6915" width="4.68359375" style="676" customWidth="1"/>
    <col min="6916" max="6916" width="7.68359375" style="676" customWidth="1"/>
    <col min="6917" max="6917" width="6.41796875" style="676" customWidth="1"/>
    <col min="6918" max="6918" width="7.15625" style="676" customWidth="1"/>
    <col min="6919" max="6919" width="6.83984375" style="676" customWidth="1"/>
    <col min="6920" max="6920" width="10.83984375" style="676" customWidth="1"/>
    <col min="6921" max="6921" width="6.578125" style="676" customWidth="1"/>
    <col min="6922" max="7168" width="8.83984375" style="676"/>
    <col min="7169" max="7169" width="5.41796875" style="676" bestFit="1" customWidth="1"/>
    <col min="7170" max="7170" width="31" style="676" customWidth="1"/>
    <col min="7171" max="7171" width="4.68359375" style="676" customWidth="1"/>
    <col min="7172" max="7172" width="7.68359375" style="676" customWidth="1"/>
    <col min="7173" max="7173" width="6.41796875" style="676" customWidth="1"/>
    <col min="7174" max="7174" width="7.15625" style="676" customWidth="1"/>
    <col min="7175" max="7175" width="6.83984375" style="676" customWidth="1"/>
    <col min="7176" max="7176" width="10.83984375" style="676" customWidth="1"/>
    <col min="7177" max="7177" width="6.578125" style="676" customWidth="1"/>
    <col min="7178" max="7424" width="8.83984375" style="676"/>
    <col min="7425" max="7425" width="5.41796875" style="676" bestFit="1" customWidth="1"/>
    <col min="7426" max="7426" width="31" style="676" customWidth="1"/>
    <col min="7427" max="7427" width="4.68359375" style="676" customWidth="1"/>
    <col min="7428" max="7428" width="7.68359375" style="676" customWidth="1"/>
    <col min="7429" max="7429" width="6.41796875" style="676" customWidth="1"/>
    <col min="7430" max="7430" width="7.15625" style="676" customWidth="1"/>
    <col min="7431" max="7431" width="6.83984375" style="676" customWidth="1"/>
    <col min="7432" max="7432" width="10.83984375" style="676" customWidth="1"/>
    <col min="7433" max="7433" width="6.578125" style="676" customWidth="1"/>
    <col min="7434" max="7680" width="8.83984375" style="676"/>
    <col min="7681" max="7681" width="5.41796875" style="676" bestFit="1" customWidth="1"/>
    <col min="7682" max="7682" width="31" style="676" customWidth="1"/>
    <col min="7683" max="7683" width="4.68359375" style="676" customWidth="1"/>
    <col min="7684" max="7684" width="7.68359375" style="676" customWidth="1"/>
    <col min="7685" max="7685" width="6.41796875" style="676" customWidth="1"/>
    <col min="7686" max="7686" width="7.15625" style="676" customWidth="1"/>
    <col min="7687" max="7687" width="6.83984375" style="676" customWidth="1"/>
    <col min="7688" max="7688" width="10.83984375" style="676" customWidth="1"/>
    <col min="7689" max="7689" width="6.578125" style="676" customWidth="1"/>
    <col min="7690" max="7936" width="8.83984375" style="676"/>
    <col min="7937" max="7937" width="5.41796875" style="676" bestFit="1" customWidth="1"/>
    <col min="7938" max="7938" width="31" style="676" customWidth="1"/>
    <col min="7939" max="7939" width="4.68359375" style="676" customWidth="1"/>
    <col min="7940" max="7940" width="7.68359375" style="676" customWidth="1"/>
    <col min="7941" max="7941" width="6.41796875" style="676" customWidth="1"/>
    <col min="7942" max="7942" width="7.15625" style="676" customWidth="1"/>
    <col min="7943" max="7943" width="6.83984375" style="676" customWidth="1"/>
    <col min="7944" max="7944" width="10.83984375" style="676" customWidth="1"/>
    <col min="7945" max="7945" width="6.578125" style="676" customWidth="1"/>
    <col min="7946" max="8192" width="8.83984375" style="676"/>
    <col min="8193" max="8193" width="5.41796875" style="676" bestFit="1" customWidth="1"/>
    <col min="8194" max="8194" width="31" style="676" customWidth="1"/>
    <col min="8195" max="8195" width="4.68359375" style="676" customWidth="1"/>
    <col min="8196" max="8196" width="7.68359375" style="676" customWidth="1"/>
    <col min="8197" max="8197" width="6.41796875" style="676" customWidth="1"/>
    <col min="8198" max="8198" width="7.15625" style="676" customWidth="1"/>
    <col min="8199" max="8199" width="6.83984375" style="676" customWidth="1"/>
    <col min="8200" max="8200" width="10.83984375" style="676" customWidth="1"/>
    <col min="8201" max="8201" width="6.578125" style="676" customWidth="1"/>
    <col min="8202" max="8448" width="8.83984375" style="676"/>
    <col min="8449" max="8449" width="5.41796875" style="676" bestFit="1" customWidth="1"/>
    <col min="8450" max="8450" width="31" style="676" customWidth="1"/>
    <col min="8451" max="8451" width="4.68359375" style="676" customWidth="1"/>
    <col min="8452" max="8452" width="7.68359375" style="676" customWidth="1"/>
    <col min="8453" max="8453" width="6.41796875" style="676" customWidth="1"/>
    <col min="8454" max="8454" width="7.15625" style="676" customWidth="1"/>
    <col min="8455" max="8455" width="6.83984375" style="676" customWidth="1"/>
    <col min="8456" max="8456" width="10.83984375" style="676" customWidth="1"/>
    <col min="8457" max="8457" width="6.578125" style="676" customWidth="1"/>
    <col min="8458" max="8704" width="8.83984375" style="676"/>
    <col min="8705" max="8705" width="5.41796875" style="676" bestFit="1" customWidth="1"/>
    <col min="8706" max="8706" width="31" style="676" customWidth="1"/>
    <col min="8707" max="8707" width="4.68359375" style="676" customWidth="1"/>
    <col min="8708" max="8708" width="7.68359375" style="676" customWidth="1"/>
    <col min="8709" max="8709" width="6.41796875" style="676" customWidth="1"/>
    <col min="8710" max="8710" width="7.15625" style="676" customWidth="1"/>
    <col min="8711" max="8711" width="6.83984375" style="676" customWidth="1"/>
    <col min="8712" max="8712" width="10.83984375" style="676" customWidth="1"/>
    <col min="8713" max="8713" width="6.578125" style="676" customWidth="1"/>
    <col min="8714" max="8960" width="8.83984375" style="676"/>
    <col min="8961" max="8961" width="5.41796875" style="676" bestFit="1" customWidth="1"/>
    <col min="8962" max="8962" width="31" style="676" customWidth="1"/>
    <col min="8963" max="8963" width="4.68359375" style="676" customWidth="1"/>
    <col min="8964" max="8964" width="7.68359375" style="676" customWidth="1"/>
    <col min="8965" max="8965" width="6.41796875" style="676" customWidth="1"/>
    <col min="8966" max="8966" width="7.15625" style="676" customWidth="1"/>
    <col min="8967" max="8967" width="6.83984375" style="676" customWidth="1"/>
    <col min="8968" max="8968" width="10.83984375" style="676" customWidth="1"/>
    <col min="8969" max="8969" width="6.578125" style="676" customWidth="1"/>
    <col min="8970" max="9216" width="8.83984375" style="676"/>
    <col min="9217" max="9217" width="5.41796875" style="676" bestFit="1" customWidth="1"/>
    <col min="9218" max="9218" width="31" style="676" customWidth="1"/>
    <col min="9219" max="9219" width="4.68359375" style="676" customWidth="1"/>
    <col min="9220" max="9220" width="7.68359375" style="676" customWidth="1"/>
    <col min="9221" max="9221" width="6.41796875" style="676" customWidth="1"/>
    <col min="9222" max="9222" width="7.15625" style="676" customWidth="1"/>
    <col min="9223" max="9223" width="6.83984375" style="676" customWidth="1"/>
    <col min="9224" max="9224" width="10.83984375" style="676" customWidth="1"/>
    <col min="9225" max="9225" width="6.578125" style="676" customWidth="1"/>
    <col min="9226" max="9472" width="8.83984375" style="676"/>
    <col min="9473" max="9473" width="5.41796875" style="676" bestFit="1" customWidth="1"/>
    <col min="9474" max="9474" width="31" style="676" customWidth="1"/>
    <col min="9475" max="9475" width="4.68359375" style="676" customWidth="1"/>
    <col min="9476" max="9476" width="7.68359375" style="676" customWidth="1"/>
    <col min="9477" max="9477" width="6.41796875" style="676" customWidth="1"/>
    <col min="9478" max="9478" width="7.15625" style="676" customWidth="1"/>
    <col min="9479" max="9479" width="6.83984375" style="676" customWidth="1"/>
    <col min="9480" max="9480" width="10.83984375" style="676" customWidth="1"/>
    <col min="9481" max="9481" width="6.578125" style="676" customWidth="1"/>
    <col min="9482" max="9728" width="8.83984375" style="676"/>
    <col min="9729" max="9729" width="5.41796875" style="676" bestFit="1" customWidth="1"/>
    <col min="9730" max="9730" width="31" style="676" customWidth="1"/>
    <col min="9731" max="9731" width="4.68359375" style="676" customWidth="1"/>
    <col min="9732" max="9732" width="7.68359375" style="676" customWidth="1"/>
    <col min="9733" max="9733" width="6.41796875" style="676" customWidth="1"/>
    <col min="9734" max="9734" width="7.15625" style="676" customWidth="1"/>
    <col min="9735" max="9735" width="6.83984375" style="676" customWidth="1"/>
    <col min="9736" max="9736" width="10.83984375" style="676" customWidth="1"/>
    <col min="9737" max="9737" width="6.578125" style="676" customWidth="1"/>
    <col min="9738" max="9984" width="8.83984375" style="676"/>
    <col min="9985" max="9985" width="5.41796875" style="676" bestFit="1" customWidth="1"/>
    <col min="9986" max="9986" width="31" style="676" customWidth="1"/>
    <col min="9987" max="9987" width="4.68359375" style="676" customWidth="1"/>
    <col min="9988" max="9988" width="7.68359375" style="676" customWidth="1"/>
    <col min="9989" max="9989" width="6.41796875" style="676" customWidth="1"/>
    <col min="9990" max="9990" width="7.15625" style="676" customWidth="1"/>
    <col min="9991" max="9991" width="6.83984375" style="676" customWidth="1"/>
    <col min="9992" max="9992" width="10.83984375" style="676" customWidth="1"/>
    <col min="9993" max="9993" width="6.578125" style="676" customWidth="1"/>
    <col min="9994" max="10240" width="8.83984375" style="676"/>
    <col min="10241" max="10241" width="5.41796875" style="676" bestFit="1" customWidth="1"/>
    <col min="10242" max="10242" width="31" style="676" customWidth="1"/>
    <col min="10243" max="10243" width="4.68359375" style="676" customWidth="1"/>
    <col min="10244" max="10244" width="7.68359375" style="676" customWidth="1"/>
    <col min="10245" max="10245" width="6.41796875" style="676" customWidth="1"/>
    <col min="10246" max="10246" width="7.15625" style="676" customWidth="1"/>
    <col min="10247" max="10247" width="6.83984375" style="676" customWidth="1"/>
    <col min="10248" max="10248" width="10.83984375" style="676" customWidth="1"/>
    <col min="10249" max="10249" width="6.578125" style="676" customWidth="1"/>
    <col min="10250" max="10496" width="8.83984375" style="676"/>
    <col min="10497" max="10497" width="5.41796875" style="676" bestFit="1" customWidth="1"/>
    <col min="10498" max="10498" width="31" style="676" customWidth="1"/>
    <col min="10499" max="10499" width="4.68359375" style="676" customWidth="1"/>
    <col min="10500" max="10500" width="7.68359375" style="676" customWidth="1"/>
    <col min="10501" max="10501" width="6.41796875" style="676" customWidth="1"/>
    <col min="10502" max="10502" width="7.15625" style="676" customWidth="1"/>
    <col min="10503" max="10503" width="6.83984375" style="676" customWidth="1"/>
    <col min="10504" max="10504" width="10.83984375" style="676" customWidth="1"/>
    <col min="10505" max="10505" width="6.578125" style="676" customWidth="1"/>
    <col min="10506" max="10752" width="8.83984375" style="676"/>
    <col min="10753" max="10753" width="5.41796875" style="676" bestFit="1" customWidth="1"/>
    <col min="10754" max="10754" width="31" style="676" customWidth="1"/>
    <col min="10755" max="10755" width="4.68359375" style="676" customWidth="1"/>
    <col min="10756" max="10756" width="7.68359375" style="676" customWidth="1"/>
    <col min="10757" max="10757" width="6.41796875" style="676" customWidth="1"/>
    <col min="10758" max="10758" width="7.15625" style="676" customWidth="1"/>
    <col min="10759" max="10759" width="6.83984375" style="676" customWidth="1"/>
    <col min="10760" max="10760" width="10.83984375" style="676" customWidth="1"/>
    <col min="10761" max="10761" width="6.578125" style="676" customWidth="1"/>
    <col min="10762" max="11008" width="8.83984375" style="676"/>
    <col min="11009" max="11009" width="5.41796875" style="676" bestFit="1" customWidth="1"/>
    <col min="11010" max="11010" width="31" style="676" customWidth="1"/>
    <col min="11011" max="11011" width="4.68359375" style="676" customWidth="1"/>
    <col min="11012" max="11012" width="7.68359375" style="676" customWidth="1"/>
    <col min="11013" max="11013" width="6.41796875" style="676" customWidth="1"/>
    <col min="11014" max="11014" width="7.15625" style="676" customWidth="1"/>
    <col min="11015" max="11015" width="6.83984375" style="676" customWidth="1"/>
    <col min="11016" max="11016" width="10.83984375" style="676" customWidth="1"/>
    <col min="11017" max="11017" width="6.578125" style="676" customWidth="1"/>
    <col min="11018" max="11264" width="8.83984375" style="676"/>
    <col min="11265" max="11265" width="5.41796875" style="676" bestFit="1" customWidth="1"/>
    <col min="11266" max="11266" width="31" style="676" customWidth="1"/>
    <col min="11267" max="11267" width="4.68359375" style="676" customWidth="1"/>
    <col min="11268" max="11268" width="7.68359375" style="676" customWidth="1"/>
    <col min="11269" max="11269" width="6.41796875" style="676" customWidth="1"/>
    <col min="11270" max="11270" width="7.15625" style="676" customWidth="1"/>
    <col min="11271" max="11271" width="6.83984375" style="676" customWidth="1"/>
    <col min="11272" max="11272" width="10.83984375" style="676" customWidth="1"/>
    <col min="11273" max="11273" width="6.578125" style="676" customWidth="1"/>
    <col min="11274" max="11520" width="8.83984375" style="676"/>
    <col min="11521" max="11521" width="5.41796875" style="676" bestFit="1" customWidth="1"/>
    <col min="11522" max="11522" width="31" style="676" customWidth="1"/>
    <col min="11523" max="11523" width="4.68359375" style="676" customWidth="1"/>
    <col min="11524" max="11524" width="7.68359375" style="676" customWidth="1"/>
    <col min="11525" max="11525" width="6.41796875" style="676" customWidth="1"/>
    <col min="11526" max="11526" width="7.15625" style="676" customWidth="1"/>
    <col min="11527" max="11527" width="6.83984375" style="676" customWidth="1"/>
    <col min="11528" max="11528" width="10.83984375" style="676" customWidth="1"/>
    <col min="11529" max="11529" width="6.578125" style="676" customWidth="1"/>
    <col min="11530" max="11776" width="8.83984375" style="676"/>
    <col min="11777" max="11777" width="5.41796875" style="676" bestFit="1" customWidth="1"/>
    <col min="11778" max="11778" width="31" style="676" customWidth="1"/>
    <col min="11779" max="11779" width="4.68359375" style="676" customWidth="1"/>
    <col min="11780" max="11780" width="7.68359375" style="676" customWidth="1"/>
    <col min="11781" max="11781" width="6.41796875" style="676" customWidth="1"/>
    <col min="11782" max="11782" width="7.15625" style="676" customWidth="1"/>
    <col min="11783" max="11783" width="6.83984375" style="676" customWidth="1"/>
    <col min="11784" max="11784" width="10.83984375" style="676" customWidth="1"/>
    <col min="11785" max="11785" width="6.578125" style="676" customWidth="1"/>
    <col min="11786" max="12032" width="8.83984375" style="676"/>
    <col min="12033" max="12033" width="5.41796875" style="676" bestFit="1" customWidth="1"/>
    <col min="12034" max="12034" width="31" style="676" customWidth="1"/>
    <col min="12035" max="12035" width="4.68359375" style="676" customWidth="1"/>
    <col min="12036" max="12036" width="7.68359375" style="676" customWidth="1"/>
    <col min="12037" max="12037" width="6.41796875" style="676" customWidth="1"/>
    <col min="12038" max="12038" width="7.15625" style="676" customWidth="1"/>
    <col min="12039" max="12039" width="6.83984375" style="676" customWidth="1"/>
    <col min="12040" max="12040" width="10.83984375" style="676" customWidth="1"/>
    <col min="12041" max="12041" width="6.578125" style="676" customWidth="1"/>
    <col min="12042" max="12288" width="8.83984375" style="676"/>
    <col min="12289" max="12289" width="5.41796875" style="676" bestFit="1" customWidth="1"/>
    <col min="12290" max="12290" width="31" style="676" customWidth="1"/>
    <col min="12291" max="12291" width="4.68359375" style="676" customWidth="1"/>
    <col min="12292" max="12292" width="7.68359375" style="676" customWidth="1"/>
    <col min="12293" max="12293" width="6.41796875" style="676" customWidth="1"/>
    <col min="12294" max="12294" width="7.15625" style="676" customWidth="1"/>
    <col min="12295" max="12295" width="6.83984375" style="676" customWidth="1"/>
    <col min="12296" max="12296" width="10.83984375" style="676" customWidth="1"/>
    <col min="12297" max="12297" width="6.578125" style="676" customWidth="1"/>
    <col min="12298" max="12544" width="8.83984375" style="676"/>
    <col min="12545" max="12545" width="5.41796875" style="676" bestFit="1" customWidth="1"/>
    <col min="12546" max="12546" width="31" style="676" customWidth="1"/>
    <col min="12547" max="12547" width="4.68359375" style="676" customWidth="1"/>
    <col min="12548" max="12548" width="7.68359375" style="676" customWidth="1"/>
    <col min="12549" max="12549" width="6.41796875" style="676" customWidth="1"/>
    <col min="12550" max="12550" width="7.15625" style="676" customWidth="1"/>
    <col min="12551" max="12551" width="6.83984375" style="676" customWidth="1"/>
    <col min="12552" max="12552" width="10.83984375" style="676" customWidth="1"/>
    <col min="12553" max="12553" width="6.578125" style="676" customWidth="1"/>
    <col min="12554" max="12800" width="8.83984375" style="676"/>
    <col min="12801" max="12801" width="5.41796875" style="676" bestFit="1" customWidth="1"/>
    <col min="12802" max="12802" width="31" style="676" customWidth="1"/>
    <col min="12803" max="12803" width="4.68359375" style="676" customWidth="1"/>
    <col min="12804" max="12804" width="7.68359375" style="676" customWidth="1"/>
    <col min="12805" max="12805" width="6.41796875" style="676" customWidth="1"/>
    <col min="12806" max="12806" width="7.15625" style="676" customWidth="1"/>
    <col min="12807" max="12807" width="6.83984375" style="676" customWidth="1"/>
    <col min="12808" max="12808" width="10.83984375" style="676" customWidth="1"/>
    <col min="12809" max="12809" width="6.578125" style="676" customWidth="1"/>
    <col min="12810" max="13056" width="8.83984375" style="676"/>
    <col min="13057" max="13057" width="5.41796875" style="676" bestFit="1" customWidth="1"/>
    <col min="13058" max="13058" width="31" style="676" customWidth="1"/>
    <col min="13059" max="13059" width="4.68359375" style="676" customWidth="1"/>
    <col min="13060" max="13060" width="7.68359375" style="676" customWidth="1"/>
    <col min="13061" max="13061" width="6.41796875" style="676" customWidth="1"/>
    <col min="13062" max="13062" width="7.15625" style="676" customWidth="1"/>
    <col min="13063" max="13063" width="6.83984375" style="676" customWidth="1"/>
    <col min="13064" max="13064" width="10.83984375" style="676" customWidth="1"/>
    <col min="13065" max="13065" width="6.578125" style="676" customWidth="1"/>
    <col min="13066" max="13312" width="8.83984375" style="676"/>
    <col min="13313" max="13313" width="5.41796875" style="676" bestFit="1" customWidth="1"/>
    <col min="13314" max="13314" width="31" style="676" customWidth="1"/>
    <col min="13315" max="13315" width="4.68359375" style="676" customWidth="1"/>
    <col min="13316" max="13316" width="7.68359375" style="676" customWidth="1"/>
    <col min="13317" max="13317" width="6.41796875" style="676" customWidth="1"/>
    <col min="13318" max="13318" width="7.15625" style="676" customWidth="1"/>
    <col min="13319" max="13319" width="6.83984375" style="676" customWidth="1"/>
    <col min="13320" max="13320" width="10.83984375" style="676" customWidth="1"/>
    <col min="13321" max="13321" width="6.578125" style="676" customWidth="1"/>
    <col min="13322" max="13568" width="8.83984375" style="676"/>
    <col min="13569" max="13569" width="5.41796875" style="676" bestFit="1" customWidth="1"/>
    <col min="13570" max="13570" width="31" style="676" customWidth="1"/>
    <col min="13571" max="13571" width="4.68359375" style="676" customWidth="1"/>
    <col min="13572" max="13572" width="7.68359375" style="676" customWidth="1"/>
    <col min="13573" max="13573" width="6.41796875" style="676" customWidth="1"/>
    <col min="13574" max="13574" width="7.15625" style="676" customWidth="1"/>
    <col min="13575" max="13575" width="6.83984375" style="676" customWidth="1"/>
    <col min="13576" max="13576" width="10.83984375" style="676" customWidth="1"/>
    <col min="13577" max="13577" width="6.578125" style="676" customWidth="1"/>
    <col min="13578" max="13824" width="8.83984375" style="676"/>
    <col min="13825" max="13825" width="5.41796875" style="676" bestFit="1" customWidth="1"/>
    <col min="13826" max="13826" width="31" style="676" customWidth="1"/>
    <col min="13827" max="13827" width="4.68359375" style="676" customWidth="1"/>
    <col min="13828" max="13828" width="7.68359375" style="676" customWidth="1"/>
    <col min="13829" max="13829" width="6.41796875" style="676" customWidth="1"/>
    <col min="13830" max="13830" width="7.15625" style="676" customWidth="1"/>
    <col min="13831" max="13831" width="6.83984375" style="676" customWidth="1"/>
    <col min="13832" max="13832" width="10.83984375" style="676" customWidth="1"/>
    <col min="13833" max="13833" width="6.578125" style="676" customWidth="1"/>
    <col min="13834" max="14080" width="8.83984375" style="676"/>
    <col min="14081" max="14081" width="5.41796875" style="676" bestFit="1" customWidth="1"/>
    <col min="14082" max="14082" width="31" style="676" customWidth="1"/>
    <col min="14083" max="14083" width="4.68359375" style="676" customWidth="1"/>
    <col min="14084" max="14084" width="7.68359375" style="676" customWidth="1"/>
    <col min="14085" max="14085" width="6.41796875" style="676" customWidth="1"/>
    <col min="14086" max="14086" width="7.15625" style="676" customWidth="1"/>
    <col min="14087" max="14087" width="6.83984375" style="676" customWidth="1"/>
    <col min="14088" max="14088" width="10.83984375" style="676" customWidth="1"/>
    <col min="14089" max="14089" width="6.578125" style="676" customWidth="1"/>
    <col min="14090" max="14336" width="8.83984375" style="676"/>
    <col min="14337" max="14337" width="5.41796875" style="676" bestFit="1" customWidth="1"/>
    <col min="14338" max="14338" width="31" style="676" customWidth="1"/>
    <col min="14339" max="14339" width="4.68359375" style="676" customWidth="1"/>
    <col min="14340" max="14340" width="7.68359375" style="676" customWidth="1"/>
    <col min="14341" max="14341" width="6.41796875" style="676" customWidth="1"/>
    <col min="14342" max="14342" width="7.15625" style="676" customWidth="1"/>
    <col min="14343" max="14343" width="6.83984375" style="676" customWidth="1"/>
    <col min="14344" max="14344" width="10.83984375" style="676" customWidth="1"/>
    <col min="14345" max="14345" width="6.578125" style="676" customWidth="1"/>
    <col min="14346" max="14592" width="8.83984375" style="676"/>
    <col min="14593" max="14593" width="5.41796875" style="676" bestFit="1" customWidth="1"/>
    <col min="14594" max="14594" width="31" style="676" customWidth="1"/>
    <col min="14595" max="14595" width="4.68359375" style="676" customWidth="1"/>
    <col min="14596" max="14596" width="7.68359375" style="676" customWidth="1"/>
    <col min="14597" max="14597" width="6.41796875" style="676" customWidth="1"/>
    <col min="14598" max="14598" width="7.15625" style="676" customWidth="1"/>
    <col min="14599" max="14599" width="6.83984375" style="676" customWidth="1"/>
    <col min="14600" max="14600" width="10.83984375" style="676" customWidth="1"/>
    <col min="14601" max="14601" width="6.578125" style="676" customWidth="1"/>
    <col min="14602" max="14848" width="8.83984375" style="676"/>
    <col min="14849" max="14849" width="5.41796875" style="676" bestFit="1" customWidth="1"/>
    <col min="14850" max="14850" width="31" style="676" customWidth="1"/>
    <col min="14851" max="14851" width="4.68359375" style="676" customWidth="1"/>
    <col min="14852" max="14852" width="7.68359375" style="676" customWidth="1"/>
    <col min="14853" max="14853" width="6.41796875" style="676" customWidth="1"/>
    <col min="14854" max="14854" width="7.15625" style="676" customWidth="1"/>
    <col min="14855" max="14855" width="6.83984375" style="676" customWidth="1"/>
    <col min="14856" max="14856" width="10.83984375" style="676" customWidth="1"/>
    <col min="14857" max="14857" width="6.578125" style="676" customWidth="1"/>
    <col min="14858" max="15104" width="8.83984375" style="676"/>
    <col min="15105" max="15105" width="5.41796875" style="676" bestFit="1" customWidth="1"/>
    <col min="15106" max="15106" width="31" style="676" customWidth="1"/>
    <col min="15107" max="15107" width="4.68359375" style="676" customWidth="1"/>
    <col min="15108" max="15108" width="7.68359375" style="676" customWidth="1"/>
    <col min="15109" max="15109" width="6.41796875" style="676" customWidth="1"/>
    <col min="15110" max="15110" width="7.15625" style="676" customWidth="1"/>
    <col min="15111" max="15111" width="6.83984375" style="676" customWidth="1"/>
    <col min="15112" max="15112" width="10.83984375" style="676" customWidth="1"/>
    <col min="15113" max="15113" width="6.578125" style="676" customWidth="1"/>
    <col min="15114" max="15360" width="8.83984375" style="676"/>
    <col min="15361" max="15361" width="5.41796875" style="676" bestFit="1" customWidth="1"/>
    <col min="15362" max="15362" width="31" style="676" customWidth="1"/>
    <col min="15363" max="15363" width="4.68359375" style="676" customWidth="1"/>
    <col min="15364" max="15364" width="7.68359375" style="676" customWidth="1"/>
    <col min="15365" max="15365" width="6.41796875" style="676" customWidth="1"/>
    <col min="15366" max="15366" width="7.15625" style="676" customWidth="1"/>
    <col min="15367" max="15367" width="6.83984375" style="676" customWidth="1"/>
    <col min="15368" max="15368" width="10.83984375" style="676" customWidth="1"/>
    <col min="15369" max="15369" width="6.578125" style="676" customWidth="1"/>
    <col min="15370" max="15616" width="8.83984375" style="676"/>
    <col min="15617" max="15617" width="5.41796875" style="676" bestFit="1" customWidth="1"/>
    <col min="15618" max="15618" width="31" style="676" customWidth="1"/>
    <col min="15619" max="15619" width="4.68359375" style="676" customWidth="1"/>
    <col min="15620" max="15620" width="7.68359375" style="676" customWidth="1"/>
    <col min="15621" max="15621" width="6.41796875" style="676" customWidth="1"/>
    <col min="15622" max="15622" width="7.15625" style="676" customWidth="1"/>
    <col min="15623" max="15623" width="6.83984375" style="676" customWidth="1"/>
    <col min="15624" max="15624" width="10.83984375" style="676" customWidth="1"/>
    <col min="15625" max="15625" width="6.578125" style="676" customWidth="1"/>
    <col min="15626" max="15872" width="8.83984375" style="676"/>
    <col min="15873" max="15873" width="5.41796875" style="676" bestFit="1" customWidth="1"/>
    <col min="15874" max="15874" width="31" style="676" customWidth="1"/>
    <col min="15875" max="15875" width="4.68359375" style="676" customWidth="1"/>
    <col min="15876" max="15876" width="7.68359375" style="676" customWidth="1"/>
    <col min="15877" max="15877" width="6.41796875" style="676" customWidth="1"/>
    <col min="15878" max="15878" width="7.15625" style="676" customWidth="1"/>
    <col min="15879" max="15879" width="6.83984375" style="676" customWidth="1"/>
    <col min="15880" max="15880" width="10.83984375" style="676" customWidth="1"/>
    <col min="15881" max="15881" width="6.578125" style="676" customWidth="1"/>
    <col min="15882" max="16128" width="8.83984375" style="676"/>
    <col min="16129" max="16129" width="5.41796875" style="676" bestFit="1" customWidth="1"/>
    <col min="16130" max="16130" width="31" style="676" customWidth="1"/>
    <col min="16131" max="16131" width="4.68359375" style="676" customWidth="1"/>
    <col min="16132" max="16132" width="7.68359375" style="676" customWidth="1"/>
    <col min="16133" max="16133" width="6.41796875" style="676" customWidth="1"/>
    <col min="16134" max="16134" width="7.15625" style="676" customWidth="1"/>
    <col min="16135" max="16135" width="6.83984375" style="676" customWidth="1"/>
    <col min="16136" max="16136" width="10.83984375" style="676" customWidth="1"/>
    <col min="16137" max="16137" width="6.578125" style="676" customWidth="1"/>
    <col min="16138" max="16384" width="8.83984375" style="676"/>
  </cols>
  <sheetData>
    <row r="1" spans="1:9" ht="30" customHeight="1">
      <c r="A1" s="1573" t="s">
        <v>1709</v>
      </c>
      <c r="B1" s="1573"/>
      <c r="C1" s="1573"/>
      <c r="D1" s="1573"/>
      <c r="E1" s="1573"/>
      <c r="F1" s="1573"/>
      <c r="G1" s="1573"/>
      <c r="H1" s="1573"/>
      <c r="I1" s="1573"/>
    </row>
    <row r="2" spans="1:9" s="35" customFormat="1" ht="20.25" customHeight="1">
      <c r="A2" s="728" t="s">
        <v>1395</v>
      </c>
      <c r="B2" s="728" t="s">
        <v>116</v>
      </c>
      <c r="C2" s="728"/>
      <c r="D2" s="728" t="s">
        <v>607</v>
      </c>
      <c r="E2" s="728" t="s">
        <v>1464</v>
      </c>
      <c r="F2" s="728" t="s">
        <v>1465</v>
      </c>
      <c r="G2" s="728" t="s">
        <v>1466</v>
      </c>
      <c r="H2" s="1576" t="s">
        <v>1467</v>
      </c>
      <c r="I2" s="1576"/>
    </row>
    <row r="3" spans="1:9" ht="13.75" customHeight="1">
      <c r="A3" s="678">
        <v>1</v>
      </c>
      <c r="B3" s="752" t="s">
        <v>1546</v>
      </c>
      <c r="C3" s="669"/>
      <c r="D3" s="666"/>
      <c r="E3" s="669"/>
      <c r="F3" s="669"/>
      <c r="G3" s="669"/>
      <c r="H3" s="680"/>
      <c r="I3" s="669"/>
    </row>
    <row r="4" spans="1:9" ht="13.75" customHeight="1">
      <c r="A4" s="678" t="s">
        <v>469</v>
      </c>
      <c r="B4" s="752" t="s">
        <v>1547</v>
      </c>
      <c r="C4" s="669"/>
      <c r="D4" s="666"/>
      <c r="E4" s="669"/>
      <c r="F4" s="669"/>
      <c r="G4" s="669"/>
      <c r="H4" s="680"/>
      <c r="I4" s="669"/>
    </row>
    <row r="5" spans="1:9" ht="13.75" customHeight="1">
      <c r="A5" s="678"/>
      <c r="B5" s="679" t="s">
        <v>1548</v>
      </c>
      <c r="C5" s="669"/>
      <c r="D5" s="666">
        <v>1</v>
      </c>
      <c r="E5" s="680">
        <v>1</v>
      </c>
      <c r="F5" s="669"/>
      <c r="G5" s="669"/>
      <c r="H5" s="680">
        <f>D5*E5</f>
        <v>1</v>
      </c>
      <c r="I5" s="669"/>
    </row>
    <row r="6" spans="1:9" ht="13.75" customHeight="1">
      <c r="A6" s="678"/>
      <c r="B6" s="679" t="s">
        <v>1549</v>
      </c>
      <c r="C6" s="669"/>
      <c r="D6" s="666">
        <v>1</v>
      </c>
      <c r="E6" s="680">
        <v>2</v>
      </c>
      <c r="F6" s="669"/>
      <c r="G6" s="669"/>
      <c r="H6" s="680">
        <f>D6*E6</f>
        <v>2</v>
      </c>
      <c r="I6" s="669"/>
    </row>
    <row r="7" spans="1:9" ht="13.75" customHeight="1">
      <c r="A7" s="678"/>
      <c r="B7" s="679"/>
      <c r="C7" s="669"/>
      <c r="D7" s="666"/>
      <c r="E7" s="680"/>
      <c r="F7" s="669"/>
      <c r="G7" s="669"/>
      <c r="H7" s="680">
        <f>SUM(H5:H6)</f>
        <v>3</v>
      </c>
      <c r="I7" s="669"/>
    </row>
    <row r="8" spans="1:9" s="518" customFormat="1" ht="13.75" customHeight="1">
      <c r="A8" s="678"/>
      <c r="B8" s="752"/>
      <c r="C8" s="667"/>
      <c r="D8" s="678"/>
      <c r="E8" s="667"/>
      <c r="F8" s="667"/>
      <c r="G8" s="667" t="s">
        <v>467</v>
      </c>
      <c r="H8" s="726">
        <f>ROUNDUP(H7,0)</f>
        <v>3</v>
      </c>
      <c r="I8" s="667" t="s">
        <v>222</v>
      </c>
    </row>
    <row r="9" spans="1:9" ht="13.75" customHeight="1">
      <c r="A9" s="678" t="s">
        <v>1</v>
      </c>
      <c r="B9" s="752" t="s">
        <v>1550</v>
      </c>
      <c r="C9" s="669"/>
      <c r="D9" s="666"/>
      <c r="E9" s="669"/>
      <c r="F9" s="669"/>
      <c r="G9" s="669"/>
      <c r="H9" s="680"/>
      <c r="I9" s="669"/>
    </row>
    <row r="10" spans="1:9" ht="13.75" customHeight="1">
      <c r="A10" s="678"/>
      <c r="B10" s="679"/>
      <c r="C10" s="669"/>
      <c r="D10" s="666">
        <v>1</v>
      </c>
      <c r="E10" s="680">
        <v>5</v>
      </c>
      <c r="F10" s="669"/>
      <c r="G10" s="669"/>
      <c r="H10" s="680">
        <f>D10*E10</f>
        <v>5</v>
      </c>
      <c r="I10" s="669"/>
    </row>
    <row r="11" spans="1:9" ht="13.75" customHeight="1">
      <c r="A11" s="678"/>
      <c r="B11" s="679"/>
      <c r="C11" s="669"/>
      <c r="D11" s="666"/>
      <c r="E11" s="680"/>
      <c r="F11" s="669"/>
      <c r="G11" s="669"/>
      <c r="H11" s="680">
        <f>SUM(H10:H10)</f>
        <v>5</v>
      </c>
      <c r="I11" s="669"/>
    </row>
    <row r="12" spans="1:9" s="518" customFormat="1" ht="13.75" customHeight="1">
      <c r="A12" s="678"/>
      <c r="B12" s="752"/>
      <c r="C12" s="667"/>
      <c r="D12" s="678"/>
      <c r="E12" s="667"/>
      <c r="F12" s="667"/>
      <c r="G12" s="667" t="s">
        <v>467</v>
      </c>
      <c r="H12" s="726">
        <f>ROUNDUP(H11,0)</f>
        <v>5</v>
      </c>
      <c r="I12" s="667" t="s">
        <v>222</v>
      </c>
    </row>
    <row r="13" spans="1:9" ht="13.75" customHeight="1">
      <c r="A13" s="678">
        <f>A3+1</f>
        <v>2</v>
      </c>
      <c r="B13" s="752" t="s">
        <v>1551</v>
      </c>
      <c r="C13" s="669"/>
      <c r="D13" s="666"/>
      <c r="E13" s="669"/>
      <c r="F13" s="669"/>
      <c r="G13" s="669"/>
      <c r="H13" s="680"/>
      <c r="I13" s="669"/>
    </row>
    <row r="14" spans="1:9" s="518" customFormat="1" ht="13.75" customHeight="1">
      <c r="A14" s="678"/>
      <c r="B14" s="752"/>
      <c r="C14" s="667"/>
      <c r="D14" s="678"/>
      <c r="E14" s="667"/>
      <c r="F14" s="667"/>
      <c r="G14" s="667" t="s">
        <v>467</v>
      </c>
      <c r="H14" s="726">
        <v>1</v>
      </c>
      <c r="I14" s="667" t="s">
        <v>327</v>
      </c>
    </row>
    <row r="15" spans="1:9" ht="13.75" customHeight="1">
      <c r="A15" s="678"/>
      <c r="B15" s="679"/>
      <c r="C15" s="669"/>
      <c r="D15" s="666"/>
      <c r="E15" s="669"/>
      <c r="F15" s="669"/>
      <c r="G15" s="669"/>
      <c r="H15" s="680"/>
      <c r="I15" s="669"/>
    </row>
    <row r="16" spans="1:9" ht="13.75" customHeight="1">
      <c r="A16" s="678">
        <f>A13+1</f>
        <v>3</v>
      </c>
      <c r="B16" s="752" t="s">
        <v>1552</v>
      </c>
      <c r="C16" s="669"/>
      <c r="D16" s="666"/>
      <c r="E16" s="669"/>
      <c r="F16" s="669"/>
      <c r="G16" s="669"/>
      <c r="H16" s="680"/>
      <c r="I16" s="669"/>
    </row>
    <row r="17" spans="1:9" s="518" customFormat="1" ht="13.75" customHeight="1">
      <c r="A17" s="678"/>
      <c r="B17" s="752"/>
      <c r="C17" s="667"/>
      <c r="D17" s="678"/>
      <c r="E17" s="667"/>
      <c r="F17" s="667"/>
      <c r="G17" s="667" t="s">
        <v>467</v>
      </c>
      <c r="H17" s="726">
        <v>1</v>
      </c>
      <c r="I17" s="667" t="s">
        <v>327</v>
      </c>
    </row>
    <row r="18" spans="1:9" ht="13.75" customHeight="1">
      <c r="A18" s="678"/>
      <c r="B18" s="679"/>
      <c r="C18" s="669"/>
      <c r="D18" s="666"/>
      <c r="E18" s="669"/>
      <c r="F18" s="669"/>
      <c r="G18" s="669"/>
      <c r="H18" s="680"/>
      <c r="I18" s="669"/>
    </row>
    <row r="19" spans="1:9" ht="13.75" customHeight="1">
      <c r="A19" s="678">
        <f>A16+1</f>
        <v>4</v>
      </c>
      <c r="B19" s="752" t="s">
        <v>1553</v>
      </c>
      <c r="C19" s="669"/>
      <c r="D19" s="666"/>
      <c r="E19" s="669"/>
      <c r="F19" s="669"/>
      <c r="G19" s="669"/>
      <c r="H19" s="680"/>
      <c r="I19" s="669"/>
    </row>
    <row r="20" spans="1:9" ht="13.75" customHeight="1">
      <c r="A20" s="678"/>
      <c r="B20" s="679" t="s">
        <v>1554</v>
      </c>
      <c r="C20" s="669"/>
      <c r="D20" s="666"/>
      <c r="E20" s="669"/>
      <c r="F20" s="669"/>
      <c r="G20" s="669"/>
      <c r="H20" s="666">
        <v>1</v>
      </c>
      <c r="I20" s="669"/>
    </row>
    <row r="21" spans="1:9" s="518" customFormat="1" ht="13.75" customHeight="1">
      <c r="A21" s="678"/>
      <c r="B21" s="752"/>
      <c r="C21" s="667"/>
      <c r="D21" s="678"/>
      <c r="E21" s="667"/>
      <c r="F21" s="667"/>
      <c r="G21" s="667" t="s">
        <v>467</v>
      </c>
      <c r="H21" s="678">
        <f>SUM(H20:H20)</f>
        <v>1</v>
      </c>
      <c r="I21" s="667" t="s">
        <v>327</v>
      </c>
    </row>
    <row r="22" spans="1:9" ht="13.75" customHeight="1">
      <c r="A22" s="678">
        <f>A19+1</f>
        <v>5</v>
      </c>
      <c r="B22" s="752" t="s">
        <v>1555</v>
      </c>
      <c r="C22" s="669"/>
      <c r="D22" s="666"/>
      <c r="E22" s="669"/>
      <c r="F22" s="669"/>
      <c r="G22" s="669"/>
      <c r="H22" s="680"/>
      <c r="I22" s="669"/>
    </row>
    <row r="23" spans="1:9" ht="13.75" customHeight="1">
      <c r="A23" s="666"/>
      <c r="B23" s="679" t="s">
        <v>745</v>
      </c>
      <c r="C23" s="669"/>
      <c r="D23" s="666">
        <v>2</v>
      </c>
      <c r="E23" s="669"/>
      <c r="F23" s="669"/>
      <c r="G23" s="669"/>
      <c r="H23" s="666">
        <f>D23</f>
        <v>2</v>
      </c>
      <c r="I23" s="669"/>
    </row>
    <row r="24" spans="1:9" s="518" customFormat="1" ht="13.75" customHeight="1">
      <c r="A24" s="678"/>
      <c r="B24" s="752"/>
      <c r="C24" s="667"/>
      <c r="D24" s="678"/>
      <c r="E24" s="667"/>
      <c r="F24" s="667"/>
      <c r="G24" s="667" t="s">
        <v>467</v>
      </c>
      <c r="H24" s="726">
        <f>SUM(H23:H23)</f>
        <v>2</v>
      </c>
      <c r="I24" s="667" t="s">
        <v>327</v>
      </c>
    </row>
    <row r="25" spans="1:9" s="518" customFormat="1" ht="13.75" customHeight="1">
      <c r="A25" s="678"/>
      <c r="B25" s="752"/>
      <c r="C25" s="667"/>
      <c r="D25" s="678"/>
      <c r="E25" s="667"/>
      <c r="F25" s="667"/>
      <c r="G25" s="667"/>
      <c r="H25" s="726"/>
      <c r="I25" s="667"/>
    </row>
    <row r="26" spans="1:9" ht="13.75" customHeight="1">
      <c r="A26" s="678">
        <f>A22+1</f>
        <v>6</v>
      </c>
      <c r="B26" s="752" t="s">
        <v>1557</v>
      </c>
      <c r="C26" s="669"/>
      <c r="D26" s="666"/>
      <c r="E26" s="669"/>
      <c r="F26" s="669"/>
      <c r="G26" s="669"/>
      <c r="H26" s="680"/>
      <c r="I26" s="669"/>
    </row>
    <row r="27" spans="1:9" ht="13.75" customHeight="1">
      <c r="A27" s="666"/>
      <c r="B27" s="679" t="s">
        <v>745</v>
      </c>
      <c r="C27" s="669"/>
      <c r="D27" s="666">
        <v>1</v>
      </c>
      <c r="E27" s="669"/>
      <c r="F27" s="669"/>
      <c r="G27" s="669"/>
      <c r="H27" s="666">
        <f>D27</f>
        <v>1</v>
      </c>
      <c r="I27" s="669"/>
    </row>
    <row r="28" spans="1:9" s="518" customFormat="1" ht="13.75" customHeight="1">
      <c r="A28" s="678"/>
      <c r="B28" s="752"/>
      <c r="C28" s="667"/>
      <c r="D28" s="678"/>
      <c r="E28" s="667"/>
      <c r="F28" s="667"/>
      <c r="G28" s="667" t="s">
        <v>467</v>
      </c>
      <c r="H28" s="726">
        <f>SUM(H27:H27)</f>
        <v>1</v>
      </c>
      <c r="I28" s="667" t="s">
        <v>327</v>
      </c>
    </row>
    <row r="29" spans="1:9" ht="13.75" customHeight="1">
      <c r="A29" s="678">
        <f>A26+1</f>
        <v>7</v>
      </c>
      <c r="B29" s="752" t="s">
        <v>1558</v>
      </c>
      <c r="C29" s="669"/>
      <c r="D29" s="666"/>
      <c r="E29" s="669"/>
      <c r="F29" s="669"/>
      <c r="G29" s="669"/>
      <c r="H29" s="680"/>
      <c r="I29" s="669"/>
    </row>
    <row r="30" spans="1:9" ht="13.75" customHeight="1">
      <c r="A30" s="666"/>
      <c r="B30" s="679" t="s">
        <v>745</v>
      </c>
      <c r="C30" s="669"/>
      <c r="D30" s="666">
        <v>1</v>
      </c>
      <c r="E30" s="669"/>
      <c r="F30" s="669"/>
      <c r="G30" s="669"/>
      <c r="H30" s="666">
        <f>D30</f>
        <v>1</v>
      </c>
      <c r="I30" s="669"/>
    </row>
    <row r="31" spans="1:9" s="518" customFormat="1" ht="13.75" customHeight="1">
      <c r="A31" s="678"/>
      <c r="B31" s="752"/>
      <c r="C31" s="667"/>
      <c r="D31" s="678"/>
      <c r="E31" s="667"/>
      <c r="F31" s="667"/>
      <c r="G31" s="667" t="s">
        <v>467</v>
      </c>
      <c r="H31" s="726">
        <f>SUM(H30:H30)</f>
        <v>1</v>
      </c>
      <c r="I31" s="667" t="s">
        <v>327</v>
      </c>
    </row>
    <row r="32" spans="1:9" ht="13.75" customHeight="1">
      <c r="A32" s="678">
        <f>A29+1</f>
        <v>8</v>
      </c>
      <c r="B32" s="752" t="s">
        <v>1559</v>
      </c>
      <c r="C32" s="669"/>
      <c r="D32" s="666"/>
      <c r="E32" s="669"/>
      <c r="F32" s="669"/>
      <c r="G32" s="669"/>
      <c r="H32" s="680"/>
      <c r="I32" s="669"/>
    </row>
    <row r="33" spans="1:9" ht="13.75" customHeight="1">
      <c r="A33" s="666"/>
      <c r="B33" s="679" t="s">
        <v>745</v>
      </c>
      <c r="C33" s="669"/>
      <c r="D33" s="666">
        <v>1</v>
      </c>
      <c r="E33" s="669"/>
      <c r="F33" s="669"/>
      <c r="G33" s="669"/>
      <c r="H33" s="666">
        <f>D33</f>
        <v>1</v>
      </c>
      <c r="I33" s="669"/>
    </row>
    <row r="34" spans="1:9" s="518" customFormat="1" ht="13.75" customHeight="1">
      <c r="A34" s="678"/>
      <c r="B34" s="752"/>
      <c r="C34" s="667"/>
      <c r="D34" s="678"/>
      <c r="E34" s="667"/>
      <c r="F34" s="667"/>
      <c r="G34" s="667" t="s">
        <v>467</v>
      </c>
      <c r="H34" s="726">
        <f>SUM(H33:H33)</f>
        <v>1</v>
      </c>
      <c r="I34" s="667" t="s">
        <v>327</v>
      </c>
    </row>
    <row r="35" spans="1:9" ht="13.75" customHeight="1">
      <c r="A35" s="678">
        <f>A32+1</f>
        <v>9</v>
      </c>
      <c r="B35" s="752" t="s">
        <v>1560</v>
      </c>
      <c r="C35" s="669"/>
      <c r="D35" s="666"/>
      <c r="E35" s="669"/>
      <c r="F35" s="669"/>
      <c r="G35" s="669"/>
      <c r="H35" s="680"/>
      <c r="I35" s="669"/>
    </row>
    <row r="36" spans="1:9" ht="13.75" customHeight="1">
      <c r="A36" s="666"/>
      <c r="B36" s="679" t="s">
        <v>745</v>
      </c>
      <c r="C36" s="669"/>
      <c r="D36" s="666">
        <v>1</v>
      </c>
      <c r="E36" s="669"/>
      <c r="F36" s="669"/>
      <c r="G36" s="669"/>
      <c r="H36" s="666">
        <f>D36</f>
        <v>1</v>
      </c>
      <c r="I36" s="669"/>
    </row>
    <row r="37" spans="1:9" s="518" customFormat="1" ht="13.75" customHeight="1">
      <c r="A37" s="678"/>
      <c r="B37" s="752"/>
      <c r="C37" s="667"/>
      <c r="D37" s="678"/>
      <c r="E37" s="667"/>
      <c r="F37" s="667"/>
      <c r="G37" s="667" t="s">
        <v>467</v>
      </c>
      <c r="H37" s="726">
        <f>SUM(H36:H36)</f>
        <v>1</v>
      </c>
      <c r="I37" s="667" t="s">
        <v>327</v>
      </c>
    </row>
    <row r="38" spans="1:9" ht="13.75" customHeight="1">
      <c r="A38" s="678">
        <f>A35+1</f>
        <v>10</v>
      </c>
      <c r="B38" s="752" t="s">
        <v>1561</v>
      </c>
      <c r="C38" s="669"/>
      <c r="D38" s="666"/>
      <c r="E38" s="669"/>
      <c r="F38" s="669"/>
      <c r="G38" s="669"/>
      <c r="H38" s="680"/>
      <c r="I38" s="669"/>
    </row>
    <row r="39" spans="1:9" ht="13.75" customHeight="1">
      <c r="A39" s="666"/>
      <c r="B39" s="679" t="s">
        <v>745</v>
      </c>
      <c r="C39" s="669"/>
      <c r="D39" s="666">
        <v>1</v>
      </c>
      <c r="E39" s="669"/>
      <c r="F39" s="669"/>
      <c r="G39" s="669"/>
      <c r="H39" s="666">
        <f>D39</f>
        <v>1</v>
      </c>
      <c r="I39" s="669"/>
    </row>
    <row r="40" spans="1:9" s="518" customFormat="1" ht="13.75" customHeight="1">
      <c r="A40" s="678"/>
      <c r="B40" s="752"/>
      <c r="C40" s="667"/>
      <c r="D40" s="678"/>
      <c r="E40" s="667"/>
      <c r="F40" s="667"/>
      <c r="G40" s="667" t="s">
        <v>467</v>
      </c>
      <c r="H40" s="726">
        <f>SUM(H39:H39)</f>
        <v>1</v>
      </c>
      <c r="I40" s="667" t="s">
        <v>327</v>
      </c>
    </row>
    <row r="41" spans="1:9" ht="13.75" customHeight="1">
      <c r="A41" s="678">
        <f>A38+1</f>
        <v>11</v>
      </c>
      <c r="B41" s="752" t="s">
        <v>1562</v>
      </c>
      <c r="C41" s="669"/>
      <c r="D41" s="666"/>
      <c r="E41" s="669"/>
      <c r="F41" s="669"/>
      <c r="G41" s="669"/>
      <c r="H41" s="680"/>
      <c r="I41" s="669"/>
    </row>
    <row r="42" spans="1:9" ht="13.75" customHeight="1">
      <c r="A42" s="678" t="s">
        <v>642</v>
      </c>
      <c r="B42" s="752" t="s">
        <v>1710</v>
      </c>
      <c r="C42" s="669"/>
      <c r="D42" s="666"/>
      <c r="E42" s="669"/>
      <c r="F42" s="669"/>
      <c r="G42" s="669"/>
      <c r="H42" s="680"/>
      <c r="I42" s="669"/>
    </row>
    <row r="43" spans="1:9" ht="13.75" customHeight="1">
      <c r="A43" s="666"/>
      <c r="B43" s="679" t="s">
        <v>745</v>
      </c>
      <c r="C43" s="669"/>
      <c r="D43" s="666">
        <v>2</v>
      </c>
      <c r="E43" s="669"/>
      <c r="F43" s="669"/>
      <c r="G43" s="669"/>
      <c r="H43" s="666">
        <f>D43</f>
        <v>2</v>
      </c>
      <c r="I43" s="669"/>
    </row>
    <row r="44" spans="1:9" s="518" customFormat="1" ht="15.75" customHeight="1">
      <c r="A44" s="678"/>
      <c r="B44" s="752"/>
      <c r="C44" s="667"/>
      <c r="D44" s="678"/>
      <c r="E44" s="667"/>
      <c r="F44" s="667"/>
      <c r="G44" s="667" t="s">
        <v>467</v>
      </c>
      <c r="H44" s="726">
        <f>SUM(H43:H43)</f>
        <v>2</v>
      </c>
      <c r="I44" s="667" t="s">
        <v>327</v>
      </c>
    </row>
    <row r="45" spans="1:9" s="518" customFormat="1" ht="13.75" customHeight="1">
      <c r="A45" s="678">
        <f>A41+1</f>
        <v>12</v>
      </c>
      <c r="B45" s="752" t="s">
        <v>1563</v>
      </c>
      <c r="C45" s="667"/>
      <c r="D45" s="678"/>
      <c r="E45" s="667"/>
      <c r="F45" s="667"/>
      <c r="G45" s="667"/>
      <c r="H45" s="726"/>
      <c r="I45" s="667"/>
    </row>
    <row r="46" spans="1:9" ht="13.75" customHeight="1">
      <c r="A46" s="678" t="s">
        <v>469</v>
      </c>
      <c r="B46" s="752" t="s">
        <v>1399</v>
      </c>
      <c r="C46" s="669"/>
      <c r="D46" s="666"/>
      <c r="E46" s="669"/>
      <c r="F46" s="669"/>
      <c r="G46" s="669"/>
      <c r="H46" s="680"/>
      <c r="I46" s="669"/>
    </row>
    <row r="47" spans="1:9" ht="13.75" customHeight="1">
      <c r="A47" s="666"/>
      <c r="B47" s="752" t="s">
        <v>1556</v>
      </c>
      <c r="C47" s="669"/>
      <c r="D47" s="666"/>
      <c r="E47" s="669"/>
      <c r="F47" s="669"/>
      <c r="G47" s="669"/>
      <c r="H47" s="681"/>
      <c r="I47" s="669"/>
    </row>
    <row r="48" spans="1:9" ht="13.75" customHeight="1">
      <c r="A48" s="666"/>
      <c r="B48" s="679" t="s">
        <v>745</v>
      </c>
      <c r="C48" s="669"/>
      <c r="D48" s="666">
        <v>1</v>
      </c>
      <c r="E48" s="669">
        <v>0.2</v>
      </c>
      <c r="F48" s="669"/>
      <c r="G48" s="669"/>
      <c r="H48" s="681">
        <f>D48*E48</f>
        <v>0.2</v>
      </c>
      <c r="I48" s="669"/>
    </row>
    <row r="49" spans="1:9" ht="13.75" customHeight="1">
      <c r="A49" s="666"/>
      <c r="B49" s="752" t="s">
        <v>1564</v>
      </c>
      <c r="C49" s="669"/>
      <c r="D49" s="666"/>
      <c r="E49" s="669"/>
      <c r="F49" s="669"/>
      <c r="G49" s="669"/>
      <c r="H49" s="681"/>
      <c r="I49" s="669"/>
    </row>
    <row r="50" spans="1:9" ht="13.75" customHeight="1">
      <c r="A50" s="666"/>
      <c r="B50" s="752" t="s">
        <v>1565</v>
      </c>
      <c r="C50" s="669"/>
      <c r="D50" s="666"/>
      <c r="E50" s="669"/>
      <c r="F50" s="669"/>
      <c r="G50" s="669"/>
      <c r="H50" s="681"/>
      <c r="I50" s="669"/>
    </row>
    <row r="51" spans="1:9" ht="13.75" customHeight="1">
      <c r="A51" s="666"/>
      <c r="B51" s="679" t="s">
        <v>745</v>
      </c>
      <c r="C51" s="669"/>
      <c r="D51" s="666">
        <v>2</v>
      </c>
      <c r="E51" s="669">
        <v>0.9</v>
      </c>
      <c r="F51" s="669"/>
      <c r="G51" s="669"/>
      <c r="H51" s="681">
        <f>D51*E51</f>
        <v>1.8</v>
      </c>
      <c r="I51" s="669"/>
    </row>
    <row r="52" spans="1:9" ht="13.75" customHeight="1">
      <c r="A52" s="666"/>
      <c r="B52" s="752" t="s">
        <v>1566</v>
      </c>
      <c r="C52" s="669"/>
      <c r="D52" s="666"/>
      <c r="E52" s="669"/>
      <c r="F52" s="669"/>
      <c r="G52" s="669"/>
      <c r="H52" s="681"/>
      <c r="I52" s="669"/>
    </row>
    <row r="53" spans="1:9" ht="13.75" customHeight="1">
      <c r="A53" s="666"/>
      <c r="B53" s="679" t="s">
        <v>745</v>
      </c>
      <c r="C53" s="669"/>
      <c r="D53" s="666">
        <v>1</v>
      </c>
      <c r="E53" s="669">
        <v>0.8</v>
      </c>
      <c r="F53" s="669"/>
      <c r="G53" s="669"/>
      <c r="H53" s="681">
        <f>D53*E53</f>
        <v>0.8</v>
      </c>
      <c r="I53" s="669"/>
    </row>
    <row r="54" spans="1:9" ht="13.75" customHeight="1">
      <c r="A54" s="678"/>
      <c r="B54" s="679"/>
      <c r="C54" s="669"/>
      <c r="D54" s="666"/>
      <c r="E54" s="669"/>
      <c r="F54" s="669"/>
      <c r="G54" s="669"/>
      <c r="H54" s="681">
        <f>SUM(H48:H53)</f>
        <v>2.8</v>
      </c>
      <c r="I54" s="669"/>
    </row>
    <row r="55" spans="1:9" s="518" customFormat="1" ht="13.75" customHeight="1">
      <c r="A55" s="678"/>
      <c r="B55" s="752"/>
      <c r="C55" s="667"/>
      <c r="D55" s="678"/>
      <c r="E55" s="667"/>
      <c r="F55" s="667"/>
      <c r="G55" s="667" t="s">
        <v>467</v>
      </c>
      <c r="H55" s="753">
        <f>ROUNDUP(H54,0)</f>
        <v>3</v>
      </c>
      <c r="I55" s="667" t="s">
        <v>222</v>
      </c>
    </row>
    <row r="56" spans="1:9" ht="13.75" customHeight="1">
      <c r="A56" s="678"/>
      <c r="B56" s="679"/>
      <c r="C56" s="669"/>
      <c r="D56" s="666"/>
      <c r="E56" s="669"/>
      <c r="F56" s="669"/>
      <c r="G56" s="669"/>
      <c r="H56" s="681"/>
      <c r="I56" s="669"/>
    </row>
    <row r="57" spans="1:9" ht="13.75" customHeight="1">
      <c r="A57" s="678" t="s">
        <v>1</v>
      </c>
      <c r="B57" s="752" t="s">
        <v>1400</v>
      </c>
      <c r="C57" s="669"/>
      <c r="D57" s="666"/>
      <c r="E57" s="669"/>
      <c r="F57" s="669"/>
      <c r="G57" s="669"/>
      <c r="H57" s="681"/>
      <c r="I57" s="669"/>
    </row>
    <row r="58" spans="1:9" ht="13.75" customHeight="1">
      <c r="A58" s="678"/>
      <c r="B58" s="752" t="s">
        <v>1567</v>
      </c>
      <c r="C58" s="669"/>
      <c r="D58" s="666"/>
      <c r="E58" s="669"/>
      <c r="F58" s="669"/>
      <c r="G58" s="669"/>
      <c r="H58" s="681"/>
      <c r="I58" s="669"/>
    </row>
    <row r="59" spans="1:9" ht="13.75" customHeight="1">
      <c r="A59" s="678"/>
      <c r="B59" s="679" t="s">
        <v>745</v>
      </c>
      <c r="C59" s="669"/>
      <c r="D59" s="666">
        <v>1</v>
      </c>
      <c r="E59" s="743">
        <v>5</v>
      </c>
      <c r="F59" s="754"/>
      <c r="G59" s="669"/>
      <c r="H59" s="681">
        <f>D59*E59</f>
        <v>5</v>
      </c>
      <c r="I59" s="667"/>
    </row>
    <row r="60" spans="1:9" ht="13.75" customHeight="1">
      <c r="A60" s="678"/>
      <c r="B60" s="679"/>
      <c r="C60" s="669"/>
      <c r="D60" s="666"/>
      <c r="E60" s="669"/>
      <c r="F60" s="669"/>
      <c r="G60" s="669"/>
      <c r="H60" s="681">
        <f>SUM(H59:H59)</f>
        <v>5</v>
      </c>
      <c r="I60" s="669"/>
    </row>
    <row r="61" spans="1:9" s="518" customFormat="1" ht="13.75" customHeight="1">
      <c r="A61" s="678"/>
      <c r="B61" s="752"/>
      <c r="C61" s="667"/>
      <c r="D61" s="678"/>
      <c r="E61" s="667"/>
      <c r="F61" s="667"/>
      <c r="G61" s="667" t="s">
        <v>467</v>
      </c>
      <c r="H61" s="753">
        <f>ROUNDUP(H60,0)</f>
        <v>5</v>
      </c>
      <c r="I61" s="667" t="s">
        <v>222</v>
      </c>
    </row>
    <row r="62" spans="1:9" ht="13.75" customHeight="1">
      <c r="A62" s="678" t="s">
        <v>363</v>
      </c>
      <c r="B62" s="752" t="s">
        <v>1401</v>
      </c>
      <c r="C62" s="669"/>
      <c r="D62" s="666"/>
      <c r="E62" s="669"/>
      <c r="F62" s="669"/>
      <c r="G62" s="669"/>
      <c r="H62" s="681"/>
      <c r="I62" s="669"/>
    </row>
    <row r="63" spans="1:9" ht="13.75" customHeight="1">
      <c r="A63" s="678"/>
      <c r="B63" s="752" t="s">
        <v>1568</v>
      </c>
      <c r="C63" s="669"/>
      <c r="D63" s="666"/>
      <c r="E63" s="669"/>
      <c r="F63" s="669"/>
      <c r="G63" s="669"/>
      <c r="H63" s="681"/>
      <c r="I63" s="669"/>
    </row>
    <row r="64" spans="1:9" ht="13.75" customHeight="1">
      <c r="A64" s="678"/>
      <c r="B64" s="679"/>
      <c r="C64" s="669"/>
      <c r="D64" s="666">
        <v>1</v>
      </c>
      <c r="E64" s="666">
        <v>3.3</v>
      </c>
      <c r="F64" s="669"/>
      <c r="G64" s="669"/>
      <c r="H64" s="681">
        <f>E64*D64</f>
        <v>3.3</v>
      </c>
      <c r="I64" s="667"/>
    </row>
    <row r="65" spans="1:9" ht="13.75" customHeight="1">
      <c r="A65" s="678"/>
      <c r="B65" s="679" t="s">
        <v>1569</v>
      </c>
      <c r="C65" s="669"/>
      <c r="D65" s="666">
        <v>1</v>
      </c>
      <c r="E65" s="666">
        <v>3.3</v>
      </c>
      <c r="F65" s="669"/>
      <c r="G65" s="669"/>
      <c r="H65" s="681">
        <f>E65*D65</f>
        <v>3.3</v>
      </c>
      <c r="I65" s="667"/>
    </row>
    <row r="66" spans="1:9" ht="13.75" customHeight="1">
      <c r="A66" s="678"/>
      <c r="B66" s="679"/>
      <c r="C66" s="669"/>
      <c r="D66" s="666"/>
      <c r="E66" s="669"/>
      <c r="F66" s="669"/>
      <c r="G66" s="669"/>
      <c r="H66" s="681">
        <f>SUM(H64:H65)</f>
        <v>6.6</v>
      </c>
      <c r="I66" s="669"/>
    </row>
    <row r="67" spans="1:9" s="518" customFormat="1" ht="13.75" customHeight="1">
      <c r="A67" s="678"/>
      <c r="B67" s="752"/>
      <c r="C67" s="667"/>
      <c r="D67" s="678"/>
      <c r="E67" s="667"/>
      <c r="F67" s="667"/>
      <c r="G67" s="667" t="s">
        <v>467</v>
      </c>
      <c r="H67" s="753">
        <f>ROUNDUP(H66,0)</f>
        <v>7</v>
      </c>
      <c r="I67" s="667" t="s">
        <v>222</v>
      </c>
    </row>
    <row r="68" spans="1:9" ht="13.75" customHeight="1">
      <c r="A68" s="678"/>
      <c r="B68" s="679"/>
      <c r="C68" s="669"/>
      <c r="D68" s="666"/>
      <c r="E68" s="669"/>
      <c r="F68" s="669"/>
      <c r="G68" s="669"/>
      <c r="H68" s="681"/>
      <c r="I68" s="669"/>
    </row>
    <row r="69" spans="1:9" ht="13.75" customHeight="1">
      <c r="A69" s="678">
        <f>A45+1</f>
        <v>13</v>
      </c>
      <c r="B69" s="752" t="s">
        <v>1570</v>
      </c>
      <c r="C69" s="669"/>
      <c r="D69" s="666"/>
      <c r="E69" s="669"/>
      <c r="F69" s="669"/>
      <c r="G69" s="669"/>
      <c r="H69" s="681"/>
      <c r="I69" s="669"/>
    </row>
    <row r="70" spans="1:9" ht="13.75" customHeight="1">
      <c r="A70" s="678" t="s">
        <v>469</v>
      </c>
      <c r="B70" s="752" t="s">
        <v>1571</v>
      </c>
      <c r="C70" s="669"/>
      <c r="D70" s="666"/>
      <c r="E70" s="669"/>
      <c r="F70" s="669"/>
      <c r="G70" s="669"/>
      <c r="H70" s="681"/>
      <c r="I70" s="669"/>
    </row>
    <row r="71" spans="1:9" ht="13.75" customHeight="1">
      <c r="A71" s="678"/>
      <c r="B71" s="752" t="s">
        <v>1572</v>
      </c>
      <c r="C71" s="669"/>
      <c r="D71" s="666"/>
      <c r="E71" s="669"/>
      <c r="F71" s="669"/>
      <c r="G71" s="669"/>
      <c r="H71" s="681"/>
      <c r="I71" s="667"/>
    </row>
    <row r="72" spans="1:9" ht="13.75" customHeight="1">
      <c r="A72" s="678"/>
      <c r="B72" s="679" t="s">
        <v>745</v>
      </c>
      <c r="C72" s="669"/>
      <c r="D72" s="666"/>
      <c r="E72" s="669"/>
      <c r="F72" s="669"/>
      <c r="G72" s="669"/>
      <c r="H72" s="681">
        <f>3.3+0.6</f>
        <v>3.9</v>
      </c>
      <c r="I72" s="667"/>
    </row>
    <row r="73" spans="1:9" ht="13.75" customHeight="1">
      <c r="A73" s="678"/>
      <c r="B73" s="679"/>
      <c r="C73" s="669"/>
      <c r="D73" s="666"/>
      <c r="E73" s="669"/>
      <c r="F73" s="669"/>
      <c r="G73" s="669"/>
      <c r="H73" s="681">
        <f>SUM(H72)</f>
        <v>3.9</v>
      </c>
      <c r="I73" s="669"/>
    </row>
    <row r="74" spans="1:9" s="518" customFormat="1" ht="13.75" customHeight="1">
      <c r="A74" s="678"/>
      <c r="B74" s="752"/>
      <c r="C74" s="667"/>
      <c r="D74" s="678"/>
      <c r="E74" s="667"/>
      <c r="F74" s="667"/>
      <c r="G74" s="667" t="s">
        <v>467</v>
      </c>
      <c r="H74" s="753">
        <f>ROUNDUP(H73,0)</f>
        <v>4</v>
      </c>
      <c r="I74" s="667" t="s">
        <v>222</v>
      </c>
    </row>
    <row r="75" spans="1:9" ht="13.75" customHeight="1">
      <c r="A75" s="678" t="s">
        <v>1</v>
      </c>
      <c r="B75" s="752" t="s">
        <v>1573</v>
      </c>
      <c r="C75" s="669"/>
      <c r="D75" s="666"/>
      <c r="E75" s="669"/>
      <c r="F75" s="669"/>
      <c r="G75" s="669"/>
      <c r="H75" s="681"/>
      <c r="I75" s="669"/>
    </row>
    <row r="76" spans="1:9" ht="13.75" customHeight="1">
      <c r="A76" s="678"/>
      <c r="B76" s="752" t="s">
        <v>1572</v>
      </c>
      <c r="C76" s="669"/>
      <c r="D76" s="666"/>
      <c r="E76" s="669"/>
      <c r="F76" s="669"/>
      <c r="G76" s="669"/>
      <c r="H76" s="681"/>
      <c r="I76" s="667"/>
    </row>
    <row r="77" spans="1:9" ht="13.75" customHeight="1">
      <c r="A77" s="678"/>
      <c r="B77" s="679" t="s">
        <v>745</v>
      </c>
      <c r="C77" s="669"/>
      <c r="D77" s="666"/>
      <c r="E77" s="669"/>
      <c r="F77" s="669"/>
      <c r="G77" s="669"/>
      <c r="H77" s="681">
        <f>3.3+0.6</f>
        <v>3.9</v>
      </c>
      <c r="I77" s="667"/>
    </row>
    <row r="78" spans="1:9" ht="13.75" customHeight="1">
      <c r="A78" s="678"/>
      <c r="B78" s="679"/>
      <c r="C78" s="669"/>
      <c r="D78" s="666"/>
      <c r="E78" s="669"/>
      <c r="F78" s="669"/>
      <c r="G78" s="669"/>
      <c r="H78" s="681">
        <f>SUM(H77)</f>
        <v>3.9</v>
      </c>
      <c r="I78" s="669"/>
    </row>
    <row r="79" spans="1:9" s="518" customFormat="1" ht="13.75" customHeight="1">
      <c r="A79" s="678"/>
      <c r="B79" s="752"/>
      <c r="C79" s="667"/>
      <c r="D79" s="678"/>
      <c r="E79" s="667"/>
      <c r="F79" s="667"/>
      <c r="G79" s="667" t="s">
        <v>467</v>
      </c>
      <c r="H79" s="753">
        <f>ROUNDUP(H78,0)</f>
        <v>4</v>
      </c>
      <c r="I79" s="667" t="s">
        <v>222</v>
      </c>
    </row>
    <row r="80" spans="1:9" ht="13.75" customHeight="1">
      <c r="A80" s="678">
        <f>A69+1</f>
        <v>14</v>
      </c>
      <c r="B80" s="752" t="s">
        <v>1574</v>
      </c>
      <c r="C80" s="669"/>
      <c r="D80" s="666"/>
      <c r="E80" s="669"/>
      <c r="F80" s="669"/>
      <c r="G80" s="669"/>
      <c r="H80" s="680"/>
      <c r="I80" s="669"/>
    </row>
    <row r="81" spans="1:9" ht="13.75" customHeight="1">
      <c r="A81" s="678"/>
      <c r="B81" s="752" t="s">
        <v>1575</v>
      </c>
      <c r="C81" s="669"/>
      <c r="D81" s="666"/>
      <c r="E81" s="669"/>
      <c r="F81" s="669"/>
      <c r="G81" s="669"/>
      <c r="H81" s="680"/>
      <c r="I81" s="669"/>
    </row>
    <row r="82" spans="1:9" ht="13.75" customHeight="1">
      <c r="A82" s="678"/>
      <c r="B82" s="679"/>
      <c r="C82" s="669"/>
      <c r="D82" s="666"/>
      <c r="E82" s="669"/>
      <c r="F82" s="669"/>
      <c r="G82" s="669"/>
      <c r="H82" s="681"/>
      <c r="I82" s="667"/>
    </row>
    <row r="83" spans="1:9" ht="13.75" customHeight="1">
      <c r="A83" s="678" t="s">
        <v>469</v>
      </c>
      <c r="B83" s="679" t="s">
        <v>1711</v>
      </c>
      <c r="C83" s="669"/>
      <c r="D83" s="666"/>
      <c r="E83" s="669"/>
      <c r="F83" s="669"/>
      <c r="G83" s="669"/>
      <c r="H83" s="681">
        <v>2</v>
      </c>
      <c r="I83" s="667" t="s">
        <v>222</v>
      </c>
    </row>
    <row r="84" spans="1:9" ht="13.75" customHeight="1">
      <c r="A84" s="678"/>
      <c r="B84" s="679"/>
      <c r="C84" s="669"/>
      <c r="D84" s="666"/>
      <c r="E84" s="669"/>
      <c r="F84" s="669"/>
      <c r="G84" s="669"/>
      <c r="H84" s="680"/>
      <c r="I84" s="669"/>
    </row>
    <row r="85" spans="1:9" ht="13.75" customHeight="1">
      <c r="A85" s="678">
        <f>A80+1</f>
        <v>15</v>
      </c>
      <c r="B85" s="752" t="s">
        <v>1576</v>
      </c>
      <c r="C85" s="669"/>
      <c r="D85" s="666"/>
      <c r="E85" s="669"/>
      <c r="F85" s="669"/>
      <c r="G85" s="669"/>
      <c r="H85" s="680"/>
      <c r="I85" s="669"/>
    </row>
    <row r="86" spans="1:9" ht="13.75" customHeight="1">
      <c r="A86" s="678"/>
      <c r="B86" s="752"/>
      <c r="C86" s="669"/>
      <c r="D86" s="666"/>
      <c r="E86" s="669"/>
      <c r="F86" s="669"/>
      <c r="G86" s="669"/>
      <c r="H86" s="680"/>
      <c r="I86" s="669"/>
    </row>
    <row r="87" spans="1:9" ht="13.75" customHeight="1">
      <c r="A87" s="678"/>
      <c r="B87" s="679" t="s">
        <v>1712</v>
      </c>
      <c r="C87" s="669"/>
      <c r="D87" s="666"/>
      <c r="E87" s="669"/>
      <c r="F87" s="669"/>
      <c r="G87" s="667"/>
      <c r="H87" s="666">
        <v>1</v>
      </c>
      <c r="I87" s="667" t="s">
        <v>327</v>
      </c>
    </row>
    <row r="88" spans="1:9" ht="13.75" customHeight="1">
      <c r="A88" s="678"/>
      <c r="B88" s="679"/>
      <c r="C88" s="669"/>
      <c r="D88" s="666"/>
      <c r="E88" s="669"/>
      <c r="F88" s="669"/>
      <c r="G88" s="669"/>
      <c r="H88" s="680"/>
      <c r="I88" s="669"/>
    </row>
    <row r="89" spans="1:9" ht="13.75" customHeight="1">
      <c r="A89" s="678">
        <f>A85+1</f>
        <v>16</v>
      </c>
      <c r="B89" s="752" t="s">
        <v>1577</v>
      </c>
      <c r="C89" s="669"/>
      <c r="D89" s="666"/>
      <c r="E89" s="669"/>
      <c r="F89" s="669"/>
      <c r="G89" s="667"/>
      <c r="H89" s="726">
        <v>2</v>
      </c>
      <c r="I89" s="667" t="s">
        <v>1278</v>
      </c>
    </row>
    <row r="90" spans="1:9" ht="13.75" customHeight="1">
      <c r="A90" s="678"/>
      <c r="B90" s="752"/>
      <c r="C90" s="669"/>
      <c r="D90" s="666"/>
      <c r="E90" s="669"/>
      <c r="F90" s="669"/>
      <c r="G90" s="667"/>
      <c r="H90" s="726"/>
      <c r="I90" s="667"/>
    </row>
    <row r="91" spans="1:9" ht="13.75" customHeight="1">
      <c r="A91" s="678">
        <f>A89+1</f>
        <v>17</v>
      </c>
      <c r="B91" s="752" t="s">
        <v>1713</v>
      </c>
      <c r="C91" s="669"/>
      <c r="D91" s="666"/>
      <c r="E91" s="669"/>
      <c r="F91" s="669"/>
      <c r="G91" s="667"/>
      <c r="H91" s="726">
        <v>500</v>
      </c>
      <c r="I91" s="667" t="s">
        <v>411</v>
      </c>
    </row>
    <row r="92" spans="1:9" ht="13.75" customHeight="1">
      <c r="A92" s="514"/>
      <c r="B92" s="507"/>
      <c r="C92" s="513"/>
      <c r="D92" s="504"/>
      <c r="E92" s="513"/>
      <c r="F92" s="513"/>
      <c r="G92" s="513"/>
      <c r="H92" s="523"/>
      <c r="I92" s="513"/>
    </row>
    <row r="93" spans="1:9" s="511" customFormat="1" ht="13.75" customHeight="1">
      <c r="A93" s="682"/>
      <c r="B93" s="683"/>
      <c r="D93" s="674"/>
      <c r="H93" s="684"/>
    </row>
    <row r="94" spans="1:9" s="511" customFormat="1" ht="13.75" customHeight="1">
      <c r="A94" s="675"/>
      <c r="B94" s="685"/>
      <c r="D94" s="674"/>
      <c r="H94" s="674"/>
    </row>
    <row r="95" spans="1:9" s="511" customFormat="1" ht="13.75" customHeight="1">
      <c r="A95" s="675"/>
      <c r="B95" s="685"/>
      <c r="D95" s="674"/>
      <c r="H95" s="674"/>
    </row>
    <row r="96" spans="1:9" s="511" customFormat="1" ht="13.75" customHeight="1">
      <c r="A96" s="682"/>
      <c r="B96" s="685"/>
      <c r="D96" s="674"/>
      <c r="H96" s="686"/>
    </row>
    <row r="97" spans="1:8" s="511" customFormat="1" ht="13.75" customHeight="1">
      <c r="A97" s="682"/>
      <c r="B97" s="685"/>
      <c r="D97" s="674"/>
      <c r="H97" s="684"/>
    </row>
    <row r="98" spans="1:8" s="511" customFormat="1" ht="13.75" customHeight="1">
      <c r="A98" s="682"/>
      <c r="B98" s="685"/>
      <c r="D98" s="674"/>
      <c r="H98" s="684"/>
    </row>
    <row r="99" spans="1:8" s="511" customFormat="1" ht="13.75" customHeight="1">
      <c r="A99" s="682"/>
      <c r="B99" s="685"/>
      <c r="D99" s="674"/>
      <c r="H99" s="684"/>
    </row>
    <row r="100" spans="1:8" s="511" customFormat="1" ht="13.75" customHeight="1">
      <c r="A100" s="682"/>
      <c r="B100" s="685"/>
      <c r="D100" s="674"/>
      <c r="H100" s="684"/>
    </row>
    <row r="101" spans="1:8" s="511" customFormat="1" ht="13.75" customHeight="1">
      <c r="A101" s="682"/>
      <c r="B101" s="685"/>
      <c r="D101" s="674"/>
      <c r="H101" s="684"/>
    </row>
    <row r="102" spans="1:8" s="511" customFormat="1" ht="13.75" customHeight="1">
      <c r="A102" s="682"/>
      <c r="B102" s="685"/>
      <c r="D102" s="674"/>
      <c r="H102" s="684"/>
    </row>
    <row r="103" spans="1:8" s="511" customFormat="1" ht="13.75" customHeight="1">
      <c r="A103" s="682"/>
      <c r="B103" s="685"/>
      <c r="D103" s="674"/>
      <c r="H103" s="684"/>
    </row>
    <row r="104" spans="1:8" s="511" customFormat="1" ht="13.75" customHeight="1">
      <c r="A104" s="682"/>
      <c r="B104" s="685"/>
      <c r="D104" s="674"/>
      <c r="H104" s="684"/>
    </row>
  </sheetData>
  <mergeCells count="2">
    <mergeCell ref="A1:I1"/>
    <mergeCell ref="H2:I2"/>
  </mergeCells>
  <printOptions horizontalCentered="1"/>
  <pageMargins left="0.39370078740157499" right="0.27559055118110198" top="0.78740157480314998" bottom="0.66929133858267698" header="0.511811023622047" footer="0.31496062992126"/>
  <pageSetup paperSize="9" orientation="portrait" blackAndWhite="1" r:id="rId1"/>
  <headerFooter alignWithMargins="0">
    <oddFooter>&amp;L&amp;"+,Italic"TSEWIDC- MBNR&amp;C&amp;"+,Italic"Security-WS &amp;&amp; SA - Det&amp;R&amp;"+,Italic"&amp;P of &amp;N</oddFooter>
  </headerFooter>
  <rowBreaks count="1" manualBreakCount="1">
    <brk id="5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47">
    <tabColor rgb="FF00B050"/>
  </sheetPr>
  <dimension ref="A1:Q91"/>
  <sheetViews>
    <sheetView view="pageBreakPreview" topLeftCell="A79" zoomScale="115" zoomScaleNormal="85" zoomScaleSheetLayoutView="115" workbookViewId="0">
      <selection activeCell="E81" sqref="E81"/>
    </sheetView>
  </sheetViews>
  <sheetFormatPr defaultColWidth="10.26171875" defaultRowHeight="12.3"/>
  <cols>
    <col min="1" max="1" width="4.41796875" style="559" customWidth="1"/>
    <col min="2" max="2" width="23.578125" style="550" customWidth="1"/>
    <col min="3" max="3" width="4.68359375" style="551" customWidth="1"/>
    <col min="4" max="4" width="3.15625" style="551" customWidth="1"/>
    <col min="5" max="5" width="5.26171875" style="551" customWidth="1"/>
    <col min="6" max="6" width="7.26171875" style="560" bestFit="1" customWidth="1"/>
    <col min="7" max="7" width="8.15625" style="560" bestFit="1" customWidth="1"/>
    <col min="8" max="8" width="7.15625" style="560" bestFit="1" customWidth="1"/>
    <col min="9" max="9" width="7.578125" style="561" bestFit="1" customWidth="1"/>
    <col min="10" max="10" width="8.68359375" style="560" bestFit="1" customWidth="1"/>
    <col min="11" max="11" width="10.578125" style="561" bestFit="1" customWidth="1"/>
    <col min="12" max="13" width="14" style="550" customWidth="1"/>
    <col min="14" max="16" width="10.578125" style="550" customWidth="1"/>
    <col min="17" max="256" width="10.26171875" style="550"/>
    <col min="257" max="257" width="4.41796875" style="550" customWidth="1"/>
    <col min="258" max="258" width="23.578125" style="550" customWidth="1"/>
    <col min="259" max="259" width="4.68359375" style="550" customWidth="1"/>
    <col min="260" max="260" width="3.15625" style="550" customWidth="1"/>
    <col min="261" max="261" width="5.26171875" style="550" customWidth="1"/>
    <col min="262" max="262" width="7.26171875" style="550" bestFit="1" customWidth="1"/>
    <col min="263" max="263" width="8.15625" style="550" bestFit="1" customWidth="1"/>
    <col min="264" max="264" width="7.15625" style="550" bestFit="1" customWidth="1"/>
    <col min="265" max="265" width="7.578125" style="550" bestFit="1" customWidth="1"/>
    <col min="266" max="266" width="8.578125" style="550" bestFit="1" customWidth="1"/>
    <col min="267" max="267" width="10.578125" style="550" bestFit="1" customWidth="1"/>
    <col min="268" max="269" width="14" style="550" customWidth="1"/>
    <col min="270" max="272" width="10.578125" style="550" customWidth="1"/>
    <col min="273" max="512" width="10.26171875" style="550"/>
    <col min="513" max="513" width="4.41796875" style="550" customWidth="1"/>
    <col min="514" max="514" width="23.578125" style="550" customWidth="1"/>
    <col min="515" max="515" width="4.68359375" style="550" customWidth="1"/>
    <col min="516" max="516" width="3.15625" style="550" customWidth="1"/>
    <col min="517" max="517" width="5.26171875" style="550" customWidth="1"/>
    <col min="518" max="518" width="7.26171875" style="550" bestFit="1" customWidth="1"/>
    <col min="519" max="519" width="8.15625" style="550" bestFit="1" customWidth="1"/>
    <col min="520" max="520" width="7.15625" style="550" bestFit="1" customWidth="1"/>
    <col min="521" max="521" width="7.578125" style="550" bestFit="1" customWidth="1"/>
    <col min="522" max="522" width="8.578125" style="550" bestFit="1" customWidth="1"/>
    <col min="523" max="523" width="10.578125" style="550" bestFit="1" customWidth="1"/>
    <col min="524" max="525" width="14" style="550" customWidth="1"/>
    <col min="526" max="528" width="10.578125" style="550" customWidth="1"/>
    <col min="529" max="768" width="10.26171875" style="550"/>
    <col min="769" max="769" width="4.41796875" style="550" customWidth="1"/>
    <col min="770" max="770" width="23.578125" style="550" customWidth="1"/>
    <col min="771" max="771" width="4.68359375" style="550" customWidth="1"/>
    <col min="772" max="772" width="3.15625" style="550" customWidth="1"/>
    <col min="773" max="773" width="5.26171875" style="550" customWidth="1"/>
    <col min="774" max="774" width="7.26171875" style="550" bestFit="1" customWidth="1"/>
    <col min="775" max="775" width="8.15625" style="550" bestFit="1" customWidth="1"/>
    <col min="776" max="776" width="7.15625" style="550" bestFit="1" customWidth="1"/>
    <col min="777" max="777" width="7.578125" style="550" bestFit="1" customWidth="1"/>
    <col min="778" max="778" width="8.578125" style="550" bestFit="1" customWidth="1"/>
    <col min="779" max="779" width="10.578125" style="550" bestFit="1" customWidth="1"/>
    <col min="780" max="781" width="14" style="550" customWidth="1"/>
    <col min="782" max="784" width="10.578125" style="550" customWidth="1"/>
    <col min="785" max="1024" width="10.26171875" style="550"/>
    <col min="1025" max="1025" width="4.41796875" style="550" customWidth="1"/>
    <col min="1026" max="1026" width="23.578125" style="550" customWidth="1"/>
    <col min="1027" max="1027" width="4.68359375" style="550" customWidth="1"/>
    <col min="1028" max="1028" width="3.15625" style="550" customWidth="1"/>
    <col min="1029" max="1029" width="5.26171875" style="550" customWidth="1"/>
    <col min="1030" max="1030" width="7.26171875" style="550" bestFit="1" customWidth="1"/>
    <col min="1031" max="1031" width="8.15625" style="550" bestFit="1" customWidth="1"/>
    <col min="1032" max="1032" width="7.15625" style="550" bestFit="1" customWidth="1"/>
    <col min="1033" max="1033" width="7.578125" style="550" bestFit="1" customWidth="1"/>
    <col min="1034" max="1034" width="8.578125" style="550" bestFit="1" customWidth="1"/>
    <col min="1035" max="1035" width="10.578125" style="550" bestFit="1" customWidth="1"/>
    <col min="1036" max="1037" width="14" style="550" customWidth="1"/>
    <col min="1038" max="1040" width="10.578125" style="550" customWidth="1"/>
    <col min="1041" max="1280" width="10.26171875" style="550"/>
    <col min="1281" max="1281" width="4.41796875" style="550" customWidth="1"/>
    <col min="1282" max="1282" width="23.578125" style="550" customWidth="1"/>
    <col min="1283" max="1283" width="4.68359375" style="550" customWidth="1"/>
    <col min="1284" max="1284" width="3.15625" style="550" customWidth="1"/>
    <col min="1285" max="1285" width="5.26171875" style="550" customWidth="1"/>
    <col min="1286" max="1286" width="7.26171875" style="550" bestFit="1" customWidth="1"/>
    <col min="1287" max="1287" width="8.15625" style="550" bestFit="1" customWidth="1"/>
    <col min="1288" max="1288" width="7.15625" style="550" bestFit="1" customWidth="1"/>
    <col min="1289" max="1289" width="7.578125" style="550" bestFit="1" customWidth="1"/>
    <col min="1290" max="1290" width="8.578125" style="550" bestFit="1" customWidth="1"/>
    <col min="1291" max="1291" width="10.578125" style="550" bestFit="1" customWidth="1"/>
    <col min="1292" max="1293" width="14" style="550" customWidth="1"/>
    <col min="1294" max="1296" width="10.578125" style="550" customWidth="1"/>
    <col min="1297" max="1536" width="10.26171875" style="550"/>
    <col min="1537" max="1537" width="4.41796875" style="550" customWidth="1"/>
    <col min="1538" max="1538" width="23.578125" style="550" customWidth="1"/>
    <col min="1539" max="1539" width="4.68359375" style="550" customWidth="1"/>
    <col min="1540" max="1540" width="3.15625" style="550" customWidth="1"/>
    <col min="1541" max="1541" width="5.26171875" style="550" customWidth="1"/>
    <col min="1542" max="1542" width="7.26171875" style="550" bestFit="1" customWidth="1"/>
    <col min="1543" max="1543" width="8.15625" style="550" bestFit="1" customWidth="1"/>
    <col min="1544" max="1544" width="7.15625" style="550" bestFit="1" customWidth="1"/>
    <col min="1545" max="1545" width="7.578125" style="550" bestFit="1" customWidth="1"/>
    <col min="1546" max="1546" width="8.578125" style="550" bestFit="1" customWidth="1"/>
    <col min="1547" max="1547" width="10.578125" style="550" bestFit="1" customWidth="1"/>
    <col min="1548" max="1549" width="14" style="550" customWidth="1"/>
    <col min="1550" max="1552" width="10.578125" style="550" customWidth="1"/>
    <col min="1553" max="1792" width="10.26171875" style="550"/>
    <col min="1793" max="1793" width="4.41796875" style="550" customWidth="1"/>
    <col min="1794" max="1794" width="23.578125" style="550" customWidth="1"/>
    <col min="1795" max="1795" width="4.68359375" style="550" customWidth="1"/>
    <col min="1796" max="1796" width="3.15625" style="550" customWidth="1"/>
    <col min="1797" max="1797" width="5.26171875" style="550" customWidth="1"/>
    <col min="1798" max="1798" width="7.26171875" style="550" bestFit="1" customWidth="1"/>
    <col min="1799" max="1799" width="8.15625" style="550" bestFit="1" customWidth="1"/>
    <col min="1800" max="1800" width="7.15625" style="550" bestFit="1" customWidth="1"/>
    <col min="1801" max="1801" width="7.578125" style="550" bestFit="1" customWidth="1"/>
    <col min="1802" max="1802" width="8.578125" style="550" bestFit="1" customWidth="1"/>
    <col min="1803" max="1803" width="10.578125" style="550" bestFit="1" customWidth="1"/>
    <col min="1804" max="1805" width="14" style="550" customWidth="1"/>
    <col min="1806" max="1808" width="10.578125" style="550" customWidth="1"/>
    <col min="1809" max="2048" width="10.26171875" style="550"/>
    <col min="2049" max="2049" width="4.41796875" style="550" customWidth="1"/>
    <col min="2050" max="2050" width="23.578125" style="550" customWidth="1"/>
    <col min="2051" max="2051" width="4.68359375" style="550" customWidth="1"/>
    <col min="2052" max="2052" width="3.15625" style="550" customWidth="1"/>
    <col min="2053" max="2053" width="5.26171875" style="550" customWidth="1"/>
    <col min="2054" max="2054" width="7.26171875" style="550" bestFit="1" customWidth="1"/>
    <col min="2055" max="2055" width="8.15625" style="550" bestFit="1" customWidth="1"/>
    <col min="2056" max="2056" width="7.15625" style="550" bestFit="1" customWidth="1"/>
    <col min="2057" max="2057" width="7.578125" style="550" bestFit="1" customWidth="1"/>
    <col min="2058" max="2058" width="8.578125" style="550" bestFit="1" customWidth="1"/>
    <col min="2059" max="2059" width="10.578125" style="550" bestFit="1" customWidth="1"/>
    <col min="2060" max="2061" width="14" style="550" customWidth="1"/>
    <col min="2062" max="2064" width="10.578125" style="550" customWidth="1"/>
    <col min="2065" max="2304" width="10.26171875" style="550"/>
    <col min="2305" max="2305" width="4.41796875" style="550" customWidth="1"/>
    <col min="2306" max="2306" width="23.578125" style="550" customWidth="1"/>
    <col min="2307" max="2307" width="4.68359375" style="550" customWidth="1"/>
    <col min="2308" max="2308" width="3.15625" style="550" customWidth="1"/>
    <col min="2309" max="2309" width="5.26171875" style="550" customWidth="1"/>
    <col min="2310" max="2310" width="7.26171875" style="550" bestFit="1" customWidth="1"/>
    <col min="2311" max="2311" width="8.15625" style="550" bestFit="1" customWidth="1"/>
    <col min="2312" max="2312" width="7.15625" style="550" bestFit="1" customWidth="1"/>
    <col min="2313" max="2313" width="7.578125" style="550" bestFit="1" customWidth="1"/>
    <col min="2314" max="2314" width="8.578125" style="550" bestFit="1" customWidth="1"/>
    <col min="2315" max="2315" width="10.578125" style="550" bestFit="1" customWidth="1"/>
    <col min="2316" max="2317" width="14" style="550" customWidth="1"/>
    <col min="2318" max="2320" width="10.578125" style="550" customWidth="1"/>
    <col min="2321" max="2560" width="10.26171875" style="550"/>
    <col min="2561" max="2561" width="4.41796875" style="550" customWidth="1"/>
    <col min="2562" max="2562" width="23.578125" style="550" customWidth="1"/>
    <col min="2563" max="2563" width="4.68359375" style="550" customWidth="1"/>
    <col min="2564" max="2564" width="3.15625" style="550" customWidth="1"/>
    <col min="2565" max="2565" width="5.26171875" style="550" customWidth="1"/>
    <col min="2566" max="2566" width="7.26171875" style="550" bestFit="1" customWidth="1"/>
    <col min="2567" max="2567" width="8.15625" style="550" bestFit="1" customWidth="1"/>
    <col min="2568" max="2568" width="7.15625" style="550" bestFit="1" customWidth="1"/>
    <col min="2569" max="2569" width="7.578125" style="550" bestFit="1" customWidth="1"/>
    <col min="2570" max="2570" width="8.578125" style="550" bestFit="1" customWidth="1"/>
    <col min="2571" max="2571" width="10.578125" style="550" bestFit="1" customWidth="1"/>
    <col min="2572" max="2573" width="14" style="550" customWidth="1"/>
    <col min="2574" max="2576" width="10.578125" style="550" customWidth="1"/>
    <col min="2577" max="2816" width="10.26171875" style="550"/>
    <col min="2817" max="2817" width="4.41796875" style="550" customWidth="1"/>
    <col min="2818" max="2818" width="23.578125" style="550" customWidth="1"/>
    <col min="2819" max="2819" width="4.68359375" style="550" customWidth="1"/>
    <col min="2820" max="2820" width="3.15625" style="550" customWidth="1"/>
    <col min="2821" max="2821" width="5.26171875" style="550" customWidth="1"/>
    <col min="2822" max="2822" width="7.26171875" style="550" bestFit="1" customWidth="1"/>
    <col min="2823" max="2823" width="8.15625" style="550" bestFit="1" customWidth="1"/>
    <col min="2824" max="2824" width="7.15625" style="550" bestFit="1" customWidth="1"/>
    <col min="2825" max="2825" width="7.578125" style="550" bestFit="1" customWidth="1"/>
    <col min="2826" max="2826" width="8.578125" style="550" bestFit="1" customWidth="1"/>
    <col min="2827" max="2827" width="10.578125" style="550" bestFit="1" customWidth="1"/>
    <col min="2828" max="2829" width="14" style="550" customWidth="1"/>
    <col min="2830" max="2832" width="10.578125" style="550" customWidth="1"/>
    <col min="2833" max="3072" width="10.26171875" style="550"/>
    <col min="3073" max="3073" width="4.41796875" style="550" customWidth="1"/>
    <col min="3074" max="3074" width="23.578125" style="550" customWidth="1"/>
    <col min="3075" max="3075" width="4.68359375" style="550" customWidth="1"/>
    <col min="3076" max="3076" width="3.15625" style="550" customWidth="1"/>
    <col min="3077" max="3077" width="5.26171875" style="550" customWidth="1"/>
    <col min="3078" max="3078" width="7.26171875" style="550" bestFit="1" customWidth="1"/>
    <col min="3079" max="3079" width="8.15625" style="550" bestFit="1" customWidth="1"/>
    <col min="3080" max="3080" width="7.15625" style="550" bestFit="1" customWidth="1"/>
    <col min="3081" max="3081" width="7.578125" style="550" bestFit="1" customWidth="1"/>
    <col min="3082" max="3082" width="8.578125" style="550" bestFit="1" customWidth="1"/>
    <col min="3083" max="3083" width="10.578125" style="550" bestFit="1" customWidth="1"/>
    <col min="3084" max="3085" width="14" style="550" customWidth="1"/>
    <col min="3086" max="3088" width="10.578125" style="550" customWidth="1"/>
    <col min="3089" max="3328" width="10.26171875" style="550"/>
    <col min="3329" max="3329" width="4.41796875" style="550" customWidth="1"/>
    <col min="3330" max="3330" width="23.578125" style="550" customWidth="1"/>
    <col min="3331" max="3331" width="4.68359375" style="550" customWidth="1"/>
    <col min="3332" max="3332" width="3.15625" style="550" customWidth="1"/>
    <col min="3333" max="3333" width="5.26171875" style="550" customWidth="1"/>
    <col min="3334" max="3334" width="7.26171875" style="550" bestFit="1" customWidth="1"/>
    <col min="3335" max="3335" width="8.15625" style="550" bestFit="1" customWidth="1"/>
    <col min="3336" max="3336" width="7.15625" style="550" bestFit="1" customWidth="1"/>
    <col min="3337" max="3337" width="7.578125" style="550" bestFit="1" customWidth="1"/>
    <col min="3338" max="3338" width="8.578125" style="550" bestFit="1" customWidth="1"/>
    <col min="3339" max="3339" width="10.578125" style="550" bestFit="1" customWidth="1"/>
    <col min="3340" max="3341" width="14" style="550" customWidth="1"/>
    <col min="3342" max="3344" width="10.578125" style="550" customWidth="1"/>
    <col min="3345" max="3584" width="10.26171875" style="550"/>
    <col min="3585" max="3585" width="4.41796875" style="550" customWidth="1"/>
    <col min="3586" max="3586" width="23.578125" style="550" customWidth="1"/>
    <col min="3587" max="3587" width="4.68359375" style="550" customWidth="1"/>
    <col min="3588" max="3588" width="3.15625" style="550" customWidth="1"/>
    <col min="3589" max="3589" width="5.26171875" style="550" customWidth="1"/>
    <col min="3590" max="3590" width="7.26171875" style="550" bestFit="1" customWidth="1"/>
    <col min="3591" max="3591" width="8.15625" style="550" bestFit="1" customWidth="1"/>
    <col min="3592" max="3592" width="7.15625" style="550" bestFit="1" customWidth="1"/>
    <col min="3593" max="3593" width="7.578125" style="550" bestFit="1" customWidth="1"/>
    <col min="3594" max="3594" width="8.578125" style="550" bestFit="1" customWidth="1"/>
    <col min="3595" max="3595" width="10.578125" style="550" bestFit="1" customWidth="1"/>
    <col min="3596" max="3597" width="14" style="550" customWidth="1"/>
    <col min="3598" max="3600" width="10.578125" style="550" customWidth="1"/>
    <col min="3601" max="3840" width="10.26171875" style="550"/>
    <col min="3841" max="3841" width="4.41796875" style="550" customWidth="1"/>
    <col min="3842" max="3842" width="23.578125" style="550" customWidth="1"/>
    <col min="3843" max="3843" width="4.68359375" style="550" customWidth="1"/>
    <col min="3844" max="3844" width="3.15625" style="550" customWidth="1"/>
    <col min="3845" max="3845" width="5.26171875" style="550" customWidth="1"/>
    <col min="3846" max="3846" width="7.26171875" style="550" bestFit="1" customWidth="1"/>
    <col min="3847" max="3847" width="8.15625" style="550" bestFit="1" customWidth="1"/>
    <col min="3848" max="3848" width="7.15625" style="550" bestFit="1" customWidth="1"/>
    <col min="3849" max="3849" width="7.578125" style="550" bestFit="1" customWidth="1"/>
    <col min="3850" max="3850" width="8.578125" style="550" bestFit="1" customWidth="1"/>
    <col min="3851" max="3851" width="10.578125" style="550" bestFit="1" customWidth="1"/>
    <col min="3852" max="3853" width="14" style="550" customWidth="1"/>
    <col min="3854" max="3856" width="10.578125" style="550" customWidth="1"/>
    <col min="3857" max="4096" width="10.26171875" style="550"/>
    <col min="4097" max="4097" width="4.41796875" style="550" customWidth="1"/>
    <col min="4098" max="4098" width="23.578125" style="550" customWidth="1"/>
    <col min="4099" max="4099" width="4.68359375" style="550" customWidth="1"/>
    <col min="4100" max="4100" width="3.15625" style="550" customWidth="1"/>
    <col min="4101" max="4101" width="5.26171875" style="550" customWidth="1"/>
    <col min="4102" max="4102" width="7.26171875" style="550" bestFit="1" customWidth="1"/>
    <col min="4103" max="4103" width="8.15625" style="550" bestFit="1" customWidth="1"/>
    <col min="4104" max="4104" width="7.15625" style="550" bestFit="1" customWidth="1"/>
    <col min="4105" max="4105" width="7.578125" style="550" bestFit="1" customWidth="1"/>
    <col min="4106" max="4106" width="8.578125" style="550" bestFit="1" customWidth="1"/>
    <col min="4107" max="4107" width="10.578125" style="550" bestFit="1" customWidth="1"/>
    <col min="4108" max="4109" width="14" style="550" customWidth="1"/>
    <col min="4110" max="4112" width="10.578125" style="550" customWidth="1"/>
    <col min="4113" max="4352" width="10.26171875" style="550"/>
    <col min="4353" max="4353" width="4.41796875" style="550" customWidth="1"/>
    <col min="4354" max="4354" width="23.578125" style="550" customWidth="1"/>
    <col min="4355" max="4355" width="4.68359375" style="550" customWidth="1"/>
    <col min="4356" max="4356" width="3.15625" style="550" customWidth="1"/>
    <col min="4357" max="4357" width="5.26171875" style="550" customWidth="1"/>
    <col min="4358" max="4358" width="7.26171875" style="550" bestFit="1" customWidth="1"/>
    <col min="4359" max="4359" width="8.15625" style="550" bestFit="1" customWidth="1"/>
    <col min="4360" max="4360" width="7.15625" style="550" bestFit="1" customWidth="1"/>
    <col min="4361" max="4361" width="7.578125" style="550" bestFit="1" customWidth="1"/>
    <col min="4362" max="4362" width="8.578125" style="550" bestFit="1" customWidth="1"/>
    <col min="4363" max="4363" width="10.578125" style="550" bestFit="1" customWidth="1"/>
    <col min="4364" max="4365" width="14" style="550" customWidth="1"/>
    <col min="4366" max="4368" width="10.578125" style="550" customWidth="1"/>
    <col min="4369" max="4608" width="10.26171875" style="550"/>
    <col min="4609" max="4609" width="4.41796875" style="550" customWidth="1"/>
    <col min="4610" max="4610" width="23.578125" style="550" customWidth="1"/>
    <col min="4611" max="4611" width="4.68359375" style="550" customWidth="1"/>
    <col min="4612" max="4612" width="3.15625" style="550" customWidth="1"/>
    <col min="4613" max="4613" width="5.26171875" style="550" customWidth="1"/>
    <col min="4614" max="4614" width="7.26171875" style="550" bestFit="1" customWidth="1"/>
    <col min="4615" max="4615" width="8.15625" style="550" bestFit="1" customWidth="1"/>
    <col min="4616" max="4616" width="7.15625" style="550" bestFit="1" customWidth="1"/>
    <col min="4617" max="4617" width="7.578125" style="550" bestFit="1" customWidth="1"/>
    <col min="4618" max="4618" width="8.578125" style="550" bestFit="1" customWidth="1"/>
    <col min="4619" max="4619" width="10.578125" style="550" bestFit="1" customWidth="1"/>
    <col min="4620" max="4621" width="14" style="550" customWidth="1"/>
    <col min="4622" max="4624" width="10.578125" style="550" customWidth="1"/>
    <col min="4625" max="4864" width="10.26171875" style="550"/>
    <col min="4865" max="4865" width="4.41796875" style="550" customWidth="1"/>
    <col min="4866" max="4866" width="23.578125" style="550" customWidth="1"/>
    <col min="4867" max="4867" width="4.68359375" style="550" customWidth="1"/>
    <col min="4868" max="4868" width="3.15625" style="550" customWidth="1"/>
    <col min="4869" max="4869" width="5.26171875" style="550" customWidth="1"/>
    <col min="4870" max="4870" width="7.26171875" style="550" bestFit="1" customWidth="1"/>
    <col min="4871" max="4871" width="8.15625" style="550" bestFit="1" customWidth="1"/>
    <col min="4872" max="4872" width="7.15625" style="550" bestFit="1" customWidth="1"/>
    <col min="4873" max="4873" width="7.578125" style="550" bestFit="1" customWidth="1"/>
    <col min="4874" max="4874" width="8.578125" style="550" bestFit="1" customWidth="1"/>
    <col min="4875" max="4875" width="10.578125" style="550" bestFit="1" customWidth="1"/>
    <col min="4876" max="4877" width="14" style="550" customWidth="1"/>
    <col min="4878" max="4880" width="10.578125" style="550" customWidth="1"/>
    <col min="4881" max="5120" width="10.26171875" style="550"/>
    <col min="5121" max="5121" width="4.41796875" style="550" customWidth="1"/>
    <col min="5122" max="5122" width="23.578125" style="550" customWidth="1"/>
    <col min="5123" max="5123" width="4.68359375" style="550" customWidth="1"/>
    <col min="5124" max="5124" width="3.15625" style="550" customWidth="1"/>
    <col min="5125" max="5125" width="5.26171875" style="550" customWidth="1"/>
    <col min="5126" max="5126" width="7.26171875" style="550" bestFit="1" customWidth="1"/>
    <col min="5127" max="5127" width="8.15625" style="550" bestFit="1" customWidth="1"/>
    <col min="5128" max="5128" width="7.15625" style="550" bestFit="1" customWidth="1"/>
    <col min="5129" max="5129" width="7.578125" style="550" bestFit="1" customWidth="1"/>
    <col min="5130" max="5130" width="8.578125" style="550" bestFit="1" customWidth="1"/>
    <col min="5131" max="5131" width="10.578125" style="550" bestFit="1" customWidth="1"/>
    <col min="5132" max="5133" width="14" style="550" customWidth="1"/>
    <col min="5134" max="5136" width="10.578125" style="550" customWidth="1"/>
    <col min="5137" max="5376" width="10.26171875" style="550"/>
    <col min="5377" max="5377" width="4.41796875" style="550" customWidth="1"/>
    <col min="5378" max="5378" width="23.578125" style="550" customWidth="1"/>
    <col min="5379" max="5379" width="4.68359375" style="550" customWidth="1"/>
    <col min="5380" max="5380" width="3.15625" style="550" customWidth="1"/>
    <col min="5381" max="5381" width="5.26171875" style="550" customWidth="1"/>
    <col min="5382" max="5382" width="7.26171875" style="550" bestFit="1" customWidth="1"/>
    <col min="5383" max="5383" width="8.15625" style="550" bestFit="1" customWidth="1"/>
    <col min="5384" max="5384" width="7.15625" style="550" bestFit="1" customWidth="1"/>
    <col min="5385" max="5385" width="7.578125" style="550" bestFit="1" customWidth="1"/>
    <col min="5386" max="5386" width="8.578125" style="550" bestFit="1" customWidth="1"/>
    <col min="5387" max="5387" width="10.578125" style="550" bestFit="1" customWidth="1"/>
    <col min="5388" max="5389" width="14" style="550" customWidth="1"/>
    <col min="5390" max="5392" width="10.578125" style="550" customWidth="1"/>
    <col min="5393" max="5632" width="10.26171875" style="550"/>
    <col min="5633" max="5633" width="4.41796875" style="550" customWidth="1"/>
    <col min="5634" max="5634" width="23.578125" style="550" customWidth="1"/>
    <col min="5635" max="5635" width="4.68359375" style="550" customWidth="1"/>
    <col min="5636" max="5636" width="3.15625" style="550" customWidth="1"/>
    <col min="5637" max="5637" width="5.26171875" style="550" customWidth="1"/>
    <col min="5638" max="5638" width="7.26171875" style="550" bestFit="1" customWidth="1"/>
    <col min="5639" max="5639" width="8.15625" style="550" bestFit="1" customWidth="1"/>
    <col min="5640" max="5640" width="7.15625" style="550" bestFit="1" customWidth="1"/>
    <col min="5641" max="5641" width="7.578125" style="550" bestFit="1" customWidth="1"/>
    <col min="5642" max="5642" width="8.578125" style="550" bestFit="1" customWidth="1"/>
    <col min="5643" max="5643" width="10.578125" style="550" bestFit="1" customWidth="1"/>
    <col min="5644" max="5645" width="14" style="550" customWidth="1"/>
    <col min="5646" max="5648" width="10.578125" style="550" customWidth="1"/>
    <col min="5649" max="5888" width="10.26171875" style="550"/>
    <col min="5889" max="5889" width="4.41796875" style="550" customWidth="1"/>
    <col min="5890" max="5890" width="23.578125" style="550" customWidth="1"/>
    <col min="5891" max="5891" width="4.68359375" style="550" customWidth="1"/>
    <col min="5892" max="5892" width="3.15625" style="550" customWidth="1"/>
    <col min="5893" max="5893" width="5.26171875" style="550" customWidth="1"/>
    <col min="5894" max="5894" width="7.26171875" style="550" bestFit="1" customWidth="1"/>
    <col min="5895" max="5895" width="8.15625" style="550" bestFit="1" customWidth="1"/>
    <col min="5896" max="5896" width="7.15625" style="550" bestFit="1" customWidth="1"/>
    <col min="5897" max="5897" width="7.578125" style="550" bestFit="1" customWidth="1"/>
    <col min="5898" max="5898" width="8.578125" style="550" bestFit="1" customWidth="1"/>
    <col min="5899" max="5899" width="10.578125" style="550" bestFit="1" customWidth="1"/>
    <col min="5900" max="5901" width="14" style="550" customWidth="1"/>
    <col min="5902" max="5904" width="10.578125" style="550" customWidth="1"/>
    <col min="5905" max="6144" width="10.26171875" style="550"/>
    <col min="6145" max="6145" width="4.41796875" style="550" customWidth="1"/>
    <col min="6146" max="6146" width="23.578125" style="550" customWidth="1"/>
    <col min="6147" max="6147" width="4.68359375" style="550" customWidth="1"/>
    <col min="6148" max="6148" width="3.15625" style="550" customWidth="1"/>
    <col min="6149" max="6149" width="5.26171875" style="550" customWidth="1"/>
    <col min="6150" max="6150" width="7.26171875" style="550" bestFit="1" customWidth="1"/>
    <col min="6151" max="6151" width="8.15625" style="550" bestFit="1" customWidth="1"/>
    <col min="6152" max="6152" width="7.15625" style="550" bestFit="1" customWidth="1"/>
    <col min="6153" max="6153" width="7.578125" style="550" bestFit="1" customWidth="1"/>
    <col min="6154" max="6154" width="8.578125" style="550" bestFit="1" customWidth="1"/>
    <col min="6155" max="6155" width="10.578125" style="550" bestFit="1" customWidth="1"/>
    <col min="6156" max="6157" width="14" style="550" customWidth="1"/>
    <col min="6158" max="6160" width="10.578125" style="550" customWidth="1"/>
    <col min="6161" max="6400" width="10.26171875" style="550"/>
    <col min="6401" max="6401" width="4.41796875" style="550" customWidth="1"/>
    <col min="6402" max="6402" width="23.578125" style="550" customWidth="1"/>
    <col min="6403" max="6403" width="4.68359375" style="550" customWidth="1"/>
    <col min="6404" max="6404" width="3.15625" style="550" customWidth="1"/>
    <col min="6405" max="6405" width="5.26171875" style="550" customWidth="1"/>
    <col min="6406" max="6406" width="7.26171875" style="550" bestFit="1" customWidth="1"/>
    <col min="6407" max="6407" width="8.15625" style="550" bestFit="1" customWidth="1"/>
    <col min="6408" max="6408" width="7.15625" style="550" bestFit="1" customWidth="1"/>
    <col min="6409" max="6409" width="7.578125" style="550" bestFit="1" customWidth="1"/>
    <col min="6410" max="6410" width="8.578125" style="550" bestFit="1" customWidth="1"/>
    <col min="6411" max="6411" width="10.578125" style="550" bestFit="1" customWidth="1"/>
    <col min="6412" max="6413" width="14" style="550" customWidth="1"/>
    <col min="6414" max="6416" width="10.578125" style="550" customWidth="1"/>
    <col min="6417" max="6656" width="10.26171875" style="550"/>
    <col min="6657" max="6657" width="4.41796875" style="550" customWidth="1"/>
    <col min="6658" max="6658" width="23.578125" style="550" customWidth="1"/>
    <col min="6659" max="6659" width="4.68359375" style="550" customWidth="1"/>
    <col min="6660" max="6660" width="3.15625" style="550" customWidth="1"/>
    <col min="6661" max="6661" width="5.26171875" style="550" customWidth="1"/>
    <col min="6662" max="6662" width="7.26171875" style="550" bestFit="1" customWidth="1"/>
    <col min="6663" max="6663" width="8.15625" style="550" bestFit="1" customWidth="1"/>
    <col min="6664" max="6664" width="7.15625" style="550" bestFit="1" customWidth="1"/>
    <col min="6665" max="6665" width="7.578125" style="550" bestFit="1" customWidth="1"/>
    <col min="6666" max="6666" width="8.578125" style="550" bestFit="1" customWidth="1"/>
    <col min="6667" max="6667" width="10.578125" style="550" bestFit="1" customWidth="1"/>
    <col min="6668" max="6669" width="14" style="550" customWidth="1"/>
    <col min="6670" max="6672" width="10.578125" style="550" customWidth="1"/>
    <col min="6673" max="6912" width="10.26171875" style="550"/>
    <col min="6913" max="6913" width="4.41796875" style="550" customWidth="1"/>
    <col min="6914" max="6914" width="23.578125" style="550" customWidth="1"/>
    <col min="6915" max="6915" width="4.68359375" style="550" customWidth="1"/>
    <col min="6916" max="6916" width="3.15625" style="550" customWidth="1"/>
    <col min="6917" max="6917" width="5.26171875" style="550" customWidth="1"/>
    <col min="6918" max="6918" width="7.26171875" style="550" bestFit="1" customWidth="1"/>
    <col min="6919" max="6919" width="8.15625" style="550" bestFit="1" customWidth="1"/>
    <col min="6920" max="6920" width="7.15625" style="550" bestFit="1" customWidth="1"/>
    <col min="6921" max="6921" width="7.578125" style="550" bestFit="1" customWidth="1"/>
    <col min="6922" max="6922" width="8.578125" style="550" bestFit="1" customWidth="1"/>
    <col min="6923" max="6923" width="10.578125" style="550" bestFit="1" customWidth="1"/>
    <col min="6924" max="6925" width="14" style="550" customWidth="1"/>
    <col min="6926" max="6928" width="10.578125" style="550" customWidth="1"/>
    <col min="6929" max="7168" width="10.26171875" style="550"/>
    <col min="7169" max="7169" width="4.41796875" style="550" customWidth="1"/>
    <col min="7170" max="7170" width="23.578125" style="550" customWidth="1"/>
    <col min="7171" max="7171" width="4.68359375" style="550" customWidth="1"/>
    <col min="7172" max="7172" width="3.15625" style="550" customWidth="1"/>
    <col min="7173" max="7173" width="5.26171875" style="550" customWidth="1"/>
    <col min="7174" max="7174" width="7.26171875" style="550" bestFit="1" customWidth="1"/>
    <col min="7175" max="7175" width="8.15625" style="550" bestFit="1" customWidth="1"/>
    <col min="7176" max="7176" width="7.15625" style="550" bestFit="1" customWidth="1"/>
    <col min="7177" max="7177" width="7.578125" style="550" bestFit="1" customWidth="1"/>
    <col min="7178" max="7178" width="8.578125" style="550" bestFit="1" customWidth="1"/>
    <col min="7179" max="7179" width="10.578125" style="550" bestFit="1" customWidth="1"/>
    <col min="7180" max="7181" width="14" style="550" customWidth="1"/>
    <col min="7182" max="7184" width="10.578125" style="550" customWidth="1"/>
    <col min="7185" max="7424" width="10.26171875" style="550"/>
    <col min="7425" max="7425" width="4.41796875" style="550" customWidth="1"/>
    <col min="7426" max="7426" width="23.578125" style="550" customWidth="1"/>
    <col min="7427" max="7427" width="4.68359375" style="550" customWidth="1"/>
    <col min="7428" max="7428" width="3.15625" style="550" customWidth="1"/>
    <col min="7429" max="7429" width="5.26171875" style="550" customWidth="1"/>
    <col min="7430" max="7430" width="7.26171875" style="550" bestFit="1" customWidth="1"/>
    <col min="7431" max="7431" width="8.15625" style="550" bestFit="1" customWidth="1"/>
    <col min="7432" max="7432" width="7.15625" style="550" bestFit="1" customWidth="1"/>
    <col min="7433" max="7433" width="7.578125" style="550" bestFit="1" customWidth="1"/>
    <col min="7434" max="7434" width="8.578125" style="550" bestFit="1" customWidth="1"/>
    <col min="7435" max="7435" width="10.578125" style="550" bestFit="1" customWidth="1"/>
    <col min="7436" max="7437" width="14" style="550" customWidth="1"/>
    <col min="7438" max="7440" width="10.578125" style="550" customWidth="1"/>
    <col min="7441" max="7680" width="10.26171875" style="550"/>
    <col min="7681" max="7681" width="4.41796875" style="550" customWidth="1"/>
    <col min="7682" max="7682" width="23.578125" style="550" customWidth="1"/>
    <col min="7683" max="7683" width="4.68359375" style="550" customWidth="1"/>
    <col min="7684" max="7684" width="3.15625" style="550" customWidth="1"/>
    <col min="7685" max="7685" width="5.26171875" style="550" customWidth="1"/>
    <col min="7686" max="7686" width="7.26171875" style="550" bestFit="1" customWidth="1"/>
    <col min="7687" max="7687" width="8.15625" style="550" bestFit="1" customWidth="1"/>
    <col min="7688" max="7688" width="7.15625" style="550" bestFit="1" customWidth="1"/>
    <col min="7689" max="7689" width="7.578125" style="550" bestFit="1" customWidth="1"/>
    <col min="7690" max="7690" width="8.578125" style="550" bestFit="1" customWidth="1"/>
    <col min="7691" max="7691" width="10.578125" style="550" bestFit="1" customWidth="1"/>
    <col min="7692" max="7693" width="14" style="550" customWidth="1"/>
    <col min="7694" max="7696" width="10.578125" style="550" customWidth="1"/>
    <col min="7697" max="7936" width="10.26171875" style="550"/>
    <col min="7937" max="7937" width="4.41796875" style="550" customWidth="1"/>
    <col min="7938" max="7938" width="23.578125" style="550" customWidth="1"/>
    <col min="7939" max="7939" width="4.68359375" style="550" customWidth="1"/>
    <col min="7940" max="7940" width="3.15625" style="550" customWidth="1"/>
    <col min="7941" max="7941" width="5.26171875" style="550" customWidth="1"/>
    <col min="7942" max="7942" width="7.26171875" style="550" bestFit="1" customWidth="1"/>
    <col min="7943" max="7943" width="8.15625" style="550" bestFit="1" customWidth="1"/>
    <col min="7944" max="7944" width="7.15625" style="550" bestFit="1" customWidth="1"/>
    <col min="7945" max="7945" width="7.578125" style="550" bestFit="1" customWidth="1"/>
    <col min="7946" max="7946" width="8.578125" style="550" bestFit="1" customWidth="1"/>
    <col min="7947" max="7947" width="10.578125" style="550" bestFit="1" customWidth="1"/>
    <col min="7948" max="7949" width="14" style="550" customWidth="1"/>
    <col min="7950" max="7952" width="10.578125" style="550" customWidth="1"/>
    <col min="7953" max="8192" width="10.26171875" style="550"/>
    <col min="8193" max="8193" width="4.41796875" style="550" customWidth="1"/>
    <col min="8194" max="8194" width="23.578125" style="550" customWidth="1"/>
    <col min="8195" max="8195" width="4.68359375" style="550" customWidth="1"/>
    <col min="8196" max="8196" width="3.15625" style="550" customWidth="1"/>
    <col min="8197" max="8197" width="5.26171875" style="550" customWidth="1"/>
    <col min="8198" max="8198" width="7.26171875" style="550" bestFit="1" customWidth="1"/>
    <col min="8199" max="8199" width="8.15625" style="550" bestFit="1" customWidth="1"/>
    <col min="8200" max="8200" width="7.15625" style="550" bestFit="1" customWidth="1"/>
    <col min="8201" max="8201" width="7.578125" style="550" bestFit="1" customWidth="1"/>
    <col min="8202" max="8202" width="8.578125" style="550" bestFit="1" customWidth="1"/>
    <col min="8203" max="8203" width="10.578125" style="550" bestFit="1" customWidth="1"/>
    <col min="8204" max="8205" width="14" style="550" customWidth="1"/>
    <col min="8206" max="8208" width="10.578125" style="550" customWidth="1"/>
    <col min="8209" max="8448" width="10.26171875" style="550"/>
    <col min="8449" max="8449" width="4.41796875" style="550" customWidth="1"/>
    <col min="8450" max="8450" width="23.578125" style="550" customWidth="1"/>
    <col min="8451" max="8451" width="4.68359375" style="550" customWidth="1"/>
    <col min="8452" max="8452" width="3.15625" style="550" customWidth="1"/>
    <col min="8453" max="8453" width="5.26171875" style="550" customWidth="1"/>
    <col min="8454" max="8454" width="7.26171875" style="550" bestFit="1" customWidth="1"/>
    <col min="8455" max="8455" width="8.15625" style="550" bestFit="1" customWidth="1"/>
    <col min="8456" max="8456" width="7.15625" style="550" bestFit="1" customWidth="1"/>
    <col min="8457" max="8457" width="7.578125" style="550" bestFit="1" customWidth="1"/>
    <col min="8458" max="8458" width="8.578125" style="550" bestFit="1" customWidth="1"/>
    <col min="8459" max="8459" width="10.578125" style="550" bestFit="1" customWidth="1"/>
    <col min="8460" max="8461" width="14" style="550" customWidth="1"/>
    <col min="8462" max="8464" width="10.578125" style="550" customWidth="1"/>
    <col min="8465" max="8704" width="10.26171875" style="550"/>
    <col min="8705" max="8705" width="4.41796875" style="550" customWidth="1"/>
    <col min="8706" max="8706" width="23.578125" style="550" customWidth="1"/>
    <col min="8707" max="8707" width="4.68359375" style="550" customWidth="1"/>
    <col min="8708" max="8708" width="3.15625" style="550" customWidth="1"/>
    <col min="8709" max="8709" width="5.26171875" style="550" customWidth="1"/>
    <col min="8710" max="8710" width="7.26171875" style="550" bestFit="1" customWidth="1"/>
    <col min="8711" max="8711" width="8.15625" style="550" bestFit="1" customWidth="1"/>
    <col min="8712" max="8712" width="7.15625" style="550" bestFit="1" customWidth="1"/>
    <col min="8713" max="8713" width="7.578125" style="550" bestFit="1" customWidth="1"/>
    <col min="8714" max="8714" width="8.578125" style="550" bestFit="1" customWidth="1"/>
    <col min="8715" max="8715" width="10.578125" style="550" bestFit="1" customWidth="1"/>
    <col min="8716" max="8717" width="14" style="550" customWidth="1"/>
    <col min="8718" max="8720" width="10.578125" style="550" customWidth="1"/>
    <col min="8721" max="8960" width="10.26171875" style="550"/>
    <col min="8961" max="8961" width="4.41796875" style="550" customWidth="1"/>
    <col min="8962" max="8962" width="23.578125" style="550" customWidth="1"/>
    <col min="8963" max="8963" width="4.68359375" style="550" customWidth="1"/>
    <col min="8964" max="8964" width="3.15625" style="550" customWidth="1"/>
    <col min="8965" max="8965" width="5.26171875" style="550" customWidth="1"/>
    <col min="8966" max="8966" width="7.26171875" style="550" bestFit="1" customWidth="1"/>
    <col min="8967" max="8967" width="8.15625" style="550" bestFit="1" customWidth="1"/>
    <col min="8968" max="8968" width="7.15625" style="550" bestFit="1" customWidth="1"/>
    <col min="8969" max="8969" width="7.578125" style="550" bestFit="1" customWidth="1"/>
    <col min="8970" max="8970" width="8.578125" style="550" bestFit="1" customWidth="1"/>
    <col min="8971" max="8971" width="10.578125" style="550" bestFit="1" customWidth="1"/>
    <col min="8972" max="8973" width="14" style="550" customWidth="1"/>
    <col min="8974" max="8976" width="10.578125" style="550" customWidth="1"/>
    <col min="8977" max="9216" width="10.26171875" style="550"/>
    <col min="9217" max="9217" width="4.41796875" style="550" customWidth="1"/>
    <col min="9218" max="9218" width="23.578125" style="550" customWidth="1"/>
    <col min="9219" max="9219" width="4.68359375" style="550" customWidth="1"/>
    <col min="9220" max="9220" width="3.15625" style="550" customWidth="1"/>
    <col min="9221" max="9221" width="5.26171875" style="550" customWidth="1"/>
    <col min="9222" max="9222" width="7.26171875" style="550" bestFit="1" customWidth="1"/>
    <col min="9223" max="9223" width="8.15625" style="550" bestFit="1" customWidth="1"/>
    <col min="9224" max="9224" width="7.15625" style="550" bestFit="1" customWidth="1"/>
    <col min="9225" max="9225" width="7.578125" style="550" bestFit="1" customWidth="1"/>
    <col min="9226" max="9226" width="8.578125" style="550" bestFit="1" customWidth="1"/>
    <col min="9227" max="9227" width="10.578125" style="550" bestFit="1" customWidth="1"/>
    <col min="9228" max="9229" width="14" style="550" customWidth="1"/>
    <col min="9230" max="9232" width="10.578125" style="550" customWidth="1"/>
    <col min="9233" max="9472" width="10.26171875" style="550"/>
    <col min="9473" max="9473" width="4.41796875" style="550" customWidth="1"/>
    <col min="9474" max="9474" width="23.578125" style="550" customWidth="1"/>
    <col min="9475" max="9475" width="4.68359375" style="550" customWidth="1"/>
    <col min="9476" max="9476" width="3.15625" style="550" customWidth="1"/>
    <col min="9477" max="9477" width="5.26171875" style="550" customWidth="1"/>
    <col min="9478" max="9478" width="7.26171875" style="550" bestFit="1" customWidth="1"/>
    <col min="9479" max="9479" width="8.15625" style="550" bestFit="1" customWidth="1"/>
    <col min="9480" max="9480" width="7.15625" style="550" bestFit="1" customWidth="1"/>
    <col min="9481" max="9481" width="7.578125" style="550" bestFit="1" customWidth="1"/>
    <col min="9482" max="9482" width="8.578125" style="550" bestFit="1" customWidth="1"/>
    <col min="9483" max="9483" width="10.578125" style="550" bestFit="1" customWidth="1"/>
    <col min="9484" max="9485" width="14" style="550" customWidth="1"/>
    <col min="9486" max="9488" width="10.578125" style="550" customWidth="1"/>
    <col min="9489" max="9728" width="10.26171875" style="550"/>
    <col min="9729" max="9729" width="4.41796875" style="550" customWidth="1"/>
    <col min="9730" max="9730" width="23.578125" style="550" customWidth="1"/>
    <col min="9731" max="9731" width="4.68359375" style="550" customWidth="1"/>
    <col min="9732" max="9732" width="3.15625" style="550" customWidth="1"/>
    <col min="9733" max="9733" width="5.26171875" style="550" customWidth="1"/>
    <col min="9734" max="9734" width="7.26171875" style="550" bestFit="1" customWidth="1"/>
    <col min="9735" max="9735" width="8.15625" style="550" bestFit="1" customWidth="1"/>
    <col min="9736" max="9736" width="7.15625" style="550" bestFit="1" customWidth="1"/>
    <col min="9737" max="9737" width="7.578125" style="550" bestFit="1" customWidth="1"/>
    <col min="9738" max="9738" width="8.578125" style="550" bestFit="1" customWidth="1"/>
    <col min="9739" max="9739" width="10.578125" style="550" bestFit="1" customWidth="1"/>
    <col min="9740" max="9741" width="14" style="550" customWidth="1"/>
    <col min="9742" max="9744" width="10.578125" style="550" customWidth="1"/>
    <col min="9745" max="9984" width="10.26171875" style="550"/>
    <col min="9985" max="9985" width="4.41796875" style="550" customWidth="1"/>
    <col min="9986" max="9986" width="23.578125" style="550" customWidth="1"/>
    <col min="9987" max="9987" width="4.68359375" style="550" customWidth="1"/>
    <col min="9988" max="9988" width="3.15625" style="550" customWidth="1"/>
    <col min="9989" max="9989" width="5.26171875" style="550" customWidth="1"/>
    <col min="9990" max="9990" width="7.26171875" style="550" bestFit="1" customWidth="1"/>
    <col min="9991" max="9991" width="8.15625" style="550" bestFit="1" customWidth="1"/>
    <col min="9992" max="9992" width="7.15625" style="550" bestFit="1" customWidth="1"/>
    <col min="9993" max="9993" width="7.578125" style="550" bestFit="1" customWidth="1"/>
    <col min="9994" max="9994" width="8.578125" style="550" bestFit="1" customWidth="1"/>
    <col min="9995" max="9995" width="10.578125" style="550" bestFit="1" customWidth="1"/>
    <col min="9996" max="9997" width="14" style="550" customWidth="1"/>
    <col min="9998" max="10000" width="10.578125" style="550" customWidth="1"/>
    <col min="10001" max="10240" width="10.26171875" style="550"/>
    <col min="10241" max="10241" width="4.41796875" style="550" customWidth="1"/>
    <col min="10242" max="10242" width="23.578125" style="550" customWidth="1"/>
    <col min="10243" max="10243" width="4.68359375" style="550" customWidth="1"/>
    <col min="10244" max="10244" width="3.15625" style="550" customWidth="1"/>
    <col min="10245" max="10245" width="5.26171875" style="550" customWidth="1"/>
    <col min="10246" max="10246" width="7.26171875" style="550" bestFit="1" customWidth="1"/>
    <col min="10247" max="10247" width="8.15625" style="550" bestFit="1" customWidth="1"/>
    <col min="10248" max="10248" width="7.15625" style="550" bestFit="1" customWidth="1"/>
    <col min="10249" max="10249" width="7.578125" style="550" bestFit="1" customWidth="1"/>
    <col min="10250" max="10250" width="8.578125" style="550" bestFit="1" customWidth="1"/>
    <col min="10251" max="10251" width="10.578125" style="550" bestFit="1" customWidth="1"/>
    <col min="10252" max="10253" width="14" style="550" customWidth="1"/>
    <col min="10254" max="10256" width="10.578125" style="550" customWidth="1"/>
    <col min="10257" max="10496" width="10.26171875" style="550"/>
    <col min="10497" max="10497" width="4.41796875" style="550" customWidth="1"/>
    <col min="10498" max="10498" width="23.578125" style="550" customWidth="1"/>
    <col min="10499" max="10499" width="4.68359375" style="550" customWidth="1"/>
    <col min="10500" max="10500" width="3.15625" style="550" customWidth="1"/>
    <col min="10501" max="10501" width="5.26171875" style="550" customWidth="1"/>
    <col min="10502" max="10502" width="7.26171875" style="550" bestFit="1" customWidth="1"/>
    <col min="10503" max="10503" width="8.15625" style="550" bestFit="1" customWidth="1"/>
    <col min="10504" max="10504" width="7.15625" style="550" bestFit="1" customWidth="1"/>
    <col min="10505" max="10505" width="7.578125" style="550" bestFit="1" customWidth="1"/>
    <col min="10506" max="10506" width="8.578125" style="550" bestFit="1" customWidth="1"/>
    <col min="10507" max="10507" width="10.578125" style="550" bestFit="1" customWidth="1"/>
    <col min="10508" max="10509" width="14" style="550" customWidth="1"/>
    <col min="10510" max="10512" width="10.578125" style="550" customWidth="1"/>
    <col min="10513" max="10752" width="10.26171875" style="550"/>
    <col min="10753" max="10753" width="4.41796875" style="550" customWidth="1"/>
    <col min="10754" max="10754" width="23.578125" style="550" customWidth="1"/>
    <col min="10755" max="10755" width="4.68359375" style="550" customWidth="1"/>
    <col min="10756" max="10756" width="3.15625" style="550" customWidth="1"/>
    <col min="10757" max="10757" width="5.26171875" style="550" customWidth="1"/>
    <col min="10758" max="10758" width="7.26171875" style="550" bestFit="1" customWidth="1"/>
    <col min="10759" max="10759" width="8.15625" style="550" bestFit="1" customWidth="1"/>
    <col min="10760" max="10760" width="7.15625" style="550" bestFit="1" customWidth="1"/>
    <col min="10761" max="10761" width="7.578125" style="550" bestFit="1" customWidth="1"/>
    <col min="10762" max="10762" width="8.578125" style="550" bestFit="1" customWidth="1"/>
    <col min="10763" max="10763" width="10.578125" style="550" bestFit="1" customWidth="1"/>
    <col min="10764" max="10765" width="14" style="550" customWidth="1"/>
    <col min="10766" max="10768" width="10.578125" style="550" customWidth="1"/>
    <col min="10769" max="11008" width="10.26171875" style="550"/>
    <col min="11009" max="11009" width="4.41796875" style="550" customWidth="1"/>
    <col min="11010" max="11010" width="23.578125" style="550" customWidth="1"/>
    <col min="11011" max="11011" width="4.68359375" style="550" customWidth="1"/>
    <col min="11012" max="11012" width="3.15625" style="550" customWidth="1"/>
    <col min="11013" max="11013" width="5.26171875" style="550" customWidth="1"/>
    <col min="11014" max="11014" width="7.26171875" style="550" bestFit="1" customWidth="1"/>
    <col min="11015" max="11015" width="8.15625" style="550" bestFit="1" customWidth="1"/>
    <col min="11016" max="11016" width="7.15625" style="550" bestFit="1" customWidth="1"/>
    <col min="11017" max="11017" width="7.578125" style="550" bestFit="1" customWidth="1"/>
    <col min="11018" max="11018" width="8.578125" style="550" bestFit="1" customWidth="1"/>
    <col min="11019" max="11019" width="10.578125" style="550" bestFit="1" customWidth="1"/>
    <col min="11020" max="11021" width="14" style="550" customWidth="1"/>
    <col min="11022" max="11024" width="10.578125" style="550" customWidth="1"/>
    <col min="11025" max="11264" width="10.26171875" style="550"/>
    <col min="11265" max="11265" width="4.41796875" style="550" customWidth="1"/>
    <col min="11266" max="11266" width="23.578125" style="550" customWidth="1"/>
    <col min="11267" max="11267" width="4.68359375" style="550" customWidth="1"/>
    <col min="11268" max="11268" width="3.15625" style="550" customWidth="1"/>
    <col min="11269" max="11269" width="5.26171875" style="550" customWidth="1"/>
    <col min="11270" max="11270" width="7.26171875" style="550" bestFit="1" customWidth="1"/>
    <col min="11271" max="11271" width="8.15625" style="550" bestFit="1" customWidth="1"/>
    <col min="11272" max="11272" width="7.15625" style="550" bestFit="1" customWidth="1"/>
    <col min="11273" max="11273" width="7.578125" style="550" bestFit="1" customWidth="1"/>
    <col min="11274" max="11274" width="8.578125" style="550" bestFit="1" customWidth="1"/>
    <col min="11275" max="11275" width="10.578125" style="550" bestFit="1" customWidth="1"/>
    <col min="11276" max="11277" width="14" style="550" customWidth="1"/>
    <col min="11278" max="11280" width="10.578125" style="550" customWidth="1"/>
    <col min="11281" max="11520" width="10.26171875" style="550"/>
    <col min="11521" max="11521" width="4.41796875" style="550" customWidth="1"/>
    <col min="11522" max="11522" width="23.578125" style="550" customWidth="1"/>
    <col min="11523" max="11523" width="4.68359375" style="550" customWidth="1"/>
    <col min="11524" max="11524" width="3.15625" style="550" customWidth="1"/>
    <col min="11525" max="11525" width="5.26171875" style="550" customWidth="1"/>
    <col min="11526" max="11526" width="7.26171875" style="550" bestFit="1" customWidth="1"/>
    <col min="11527" max="11527" width="8.15625" style="550" bestFit="1" customWidth="1"/>
    <col min="11528" max="11528" width="7.15625" style="550" bestFit="1" customWidth="1"/>
    <col min="11529" max="11529" width="7.578125" style="550" bestFit="1" customWidth="1"/>
    <col min="11530" max="11530" width="8.578125" style="550" bestFit="1" customWidth="1"/>
    <col min="11531" max="11531" width="10.578125" style="550" bestFit="1" customWidth="1"/>
    <col min="11532" max="11533" width="14" style="550" customWidth="1"/>
    <col min="11534" max="11536" width="10.578125" style="550" customWidth="1"/>
    <col min="11537" max="11776" width="10.26171875" style="550"/>
    <col min="11777" max="11777" width="4.41796875" style="550" customWidth="1"/>
    <col min="11778" max="11778" width="23.578125" style="550" customWidth="1"/>
    <col min="11779" max="11779" width="4.68359375" style="550" customWidth="1"/>
    <col min="11780" max="11780" width="3.15625" style="550" customWidth="1"/>
    <col min="11781" max="11781" width="5.26171875" style="550" customWidth="1"/>
    <col min="11782" max="11782" width="7.26171875" style="550" bestFit="1" customWidth="1"/>
    <col min="11783" max="11783" width="8.15625" style="550" bestFit="1" customWidth="1"/>
    <col min="11784" max="11784" width="7.15625" style="550" bestFit="1" customWidth="1"/>
    <col min="11785" max="11785" width="7.578125" style="550" bestFit="1" customWidth="1"/>
    <col min="11786" max="11786" width="8.578125" style="550" bestFit="1" customWidth="1"/>
    <col min="11787" max="11787" width="10.578125" style="550" bestFit="1" customWidth="1"/>
    <col min="11788" max="11789" width="14" style="550" customWidth="1"/>
    <col min="11790" max="11792" width="10.578125" style="550" customWidth="1"/>
    <col min="11793" max="12032" width="10.26171875" style="550"/>
    <col min="12033" max="12033" width="4.41796875" style="550" customWidth="1"/>
    <col min="12034" max="12034" width="23.578125" style="550" customWidth="1"/>
    <col min="12035" max="12035" width="4.68359375" style="550" customWidth="1"/>
    <col min="12036" max="12036" width="3.15625" style="550" customWidth="1"/>
    <col min="12037" max="12037" width="5.26171875" style="550" customWidth="1"/>
    <col min="12038" max="12038" width="7.26171875" style="550" bestFit="1" customWidth="1"/>
    <col min="12039" max="12039" width="8.15625" style="550" bestFit="1" customWidth="1"/>
    <col min="12040" max="12040" width="7.15625" style="550" bestFit="1" customWidth="1"/>
    <col min="12041" max="12041" width="7.578125" style="550" bestFit="1" customWidth="1"/>
    <col min="12042" max="12042" width="8.578125" style="550" bestFit="1" customWidth="1"/>
    <col min="12043" max="12043" width="10.578125" style="550" bestFit="1" customWidth="1"/>
    <col min="12044" max="12045" width="14" style="550" customWidth="1"/>
    <col min="12046" max="12048" width="10.578125" style="550" customWidth="1"/>
    <col min="12049" max="12288" width="10.26171875" style="550"/>
    <col min="12289" max="12289" width="4.41796875" style="550" customWidth="1"/>
    <col min="12290" max="12290" width="23.578125" style="550" customWidth="1"/>
    <col min="12291" max="12291" width="4.68359375" style="550" customWidth="1"/>
    <col min="12292" max="12292" width="3.15625" style="550" customWidth="1"/>
    <col min="12293" max="12293" width="5.26171875" style="550" customWidth="1"/>
    <col min="12294" max="12294" width="7.26171875" style="550" bestFit="1" customWidth="1"/>
    <col min="12295" max="12295" width="8.15625" style="550" bestFit="1" customWidth="1"/>
    <col min="12296" max="12296" width="7.15625" style="550" bestFit="1" customWidth="1"/>
    <col min="12297" max="12297" width="7.578125" style="550" bestFit="1" customWidth="1"/>
    <col min="12298" max="12298" width="8.578125" style="550" bestFit="1" customWidth="1"/>
    <col min="12299" max="12299" width="10.578125" style="550" bestFit="1" customWidth="1"/>
    <col min="12300" max="12301" width="14" style="550" customWidth="1"/>
    <col min="12302" max="12304" width="10.578125" style="550" customWidth="1"/>
    <col min="12305" max="12544" width="10.26171875" style="550"/>
    <col min="12545" max="12545" width="4.41796875" style="550" customWidth="1"/>
    <col min="12546" max="12546" width="23.578125" style="550" customWidth="1"/>
    <col min="12547" max="12547" width="4.68359375" style="550" customWidth="1"/>
    <col min="12548" max="12548" width="3.15625" style="550" customWidth="1"/>
    <col min="12549" max="12549" width="5.26171875" style="550" customWidth="1"/>
    <col min="12550" max="12550" width="7.26171875" style="550" bestFit="1" customWidth="1"/>
    <col min="12551" max="12551" width="8.15625" style="550" bestFit="1" customWidth="1"/>
    <col min="12552" max="12552" width="7.15625" style="550" bestFit="1" customWidth="1"/>
    <col min="12553" max="12553" width="7.578125" style="550" bestFit="1" customWidth="1"/>
    <col min="12554" max="12554" width="8.578125" style="550" bestFit="1" customWidth="1"/>
    <col min="12555" max="12555" width="10.578125" style="550" bestFit="1" customWidth="1"/>
    <col min="12556" max="12557" width="14" style="550" customWidth="1"/>
    <col min="12558" max="12560" width="10.578125" style="550" customWidth="1"/>
    <col min="12561" max="12800" width="10.26171875" style="550"/>
    <col min="12801" max="12801" width="4.41796875" style="550" customWidth="1"/>
    <col min="12802" max="12802" width="23.578125" style="550" customWidth="1"/>
    <col min="12803" max="12803" width="4.68359375" style="550" customWidth="1"/>
    <col min="12804" max="12804" width="3.15625" style="550" customWidth="1"/>
    <col min="12805" max="12805" width="5.26171875" style="550" customWidth="1"/>
    <col min="12806" max="12806" width="7.26171875" style="550" bestFit="1" customWidth="1"/>
    <col min="12807" max="12807" width="8.15625" style="550" bestFit="1" customWidth="1"/>
    <col min="12808" max="12808" width="7.15625" style="550" bestFit="1" customWidth="1"/>
    <col min="12809" max="12809" width="7.578125" style="550" bestFit="1" customWidth="1"/>
    <col min="12810" max="12810" width="8.578125" style="550" bestFit="1" customWidth="1"/>
    <col min="12811" max="12811" width="10.578125" style="550" bestFit="1" customWidth="1"/>
    <col min="12812" max="12813" width="14" style="550" customWidth="1"/>
    <col min="12814" max="12816" width="10.578125" style="550" customWidth="1"/>
    <col min="12817" max="13056" width="10.26171875" style="550"/>
    <col min="13057" max="13057" width="4.41796875" style="550" customWidth="1"/>
    <col min="13058" max="13058" width="23.578125" style="550" customWidth="1"/>
    <col min="13059" max="13059" width="4.68359375" style="550" customWidth="1"/>
    <col min="13060" max="13060" width="3.15625" style="550" customWidth="1"/>
    <col min="13061" max="13061" width="5.26171875" style="550" customWidth="1"/>
    <col min="13062" max="13062" width="7.26171875" style="550" bestFit="1" customWidth="1"/>
    <col min="13063" max="13063" width="8.15625" style="550" bestFit="1" customWidth="1"/>
    <col min="13064" max="13064" width="7.15625" style="550" bestFit="1" customWidth="1"/>
    <col min="13065" max="13065" width="7.578125" style="550" bestFit="1" customWidth="1"/>
    <col min="13066" max="13066" width="8.578125" style="550" bestFit="1" customWidth="1"/>
    <col min="13067" max="13067" width="10.578125" style="550" bestFit="1" customWidth="1"/>
    <col min="13068" max="13069" width="14" style="550" customWidth="1"/>
    <col min="13070" max="13072" width="10.578125" style="550" customWidth="1"/>
    <col min="13073" max="13312" width="10.26171875" style="550"/>
    <col min="13313" max="13313" width="4.41796875" style="550" customWidth="1"/>
    <col min="13314" max="13314" width="23.578125" style="550" customWidth="1"/>
    <col min="13315" max="13315" width="4.68359375" style="550" customWidth="1"/>
    <col min="13316" max="13316" width="3.15625" style="550" customWidth="1"/>
    <col min="13317" max="13317" width="5.26171875" style="550" customWidth="1"/>
    <col min="13318" max="13318" width="7.26171875" style="550" bestFit="1" customWidth="1"/>
    <col min="13319" max="13319" width="8.15625" style="550" bestFit="1" customWidth="1"/>
    <col min="13320" max="13320" width="7.15625" style="550" bestFit="1" customWidth="1"/>
    <col min="13321" max="13321" width="7.578125" style="550" bestFit="1" customWidth="1"/>
    <col min="13322" max="13322" width="8.578125" style="550" bestFit="1" customWidth="1"/>
    <col min="13323" max="13323" width="10.578125" style="550" bestFit="1" customWidth="1"/>
    <col min="13324" max="13325" width="14" style="550" customWidth="1"/>
    <col min="13326" max="13328" width="10.578125" style="550" customWidth="1"/>
    <col min="13329" max="13568" width="10.26171875" style="550"/>
    <col min="13569" max="13569" width="4.41796875" style="550" customWidth="1"/>
    <col min="13570" max="13570" width="23.578125" style="550" customWidth="1"/>
    <col min="13571" max="13571" width="4.68359375" style="550" customWidth="1"/>
    <col min="13572" max="13572" width="3.15625" style="550" customWidth="1"/>
    <col min="13573" max="13573" width="5.26171875" style="550" customWidth="1"/>
    <col min="13574" max="13574" width="7.26171875" style="550" bestFit="1" customWidth="1"/>
    <col min="13575" max="13575" width="8.15625" style="550" bestFit="1" customWidth="1"/>
    <col min="13576" max="13576" width="7.15625" style="550" bestFit="1" customWidth="1"/>
    <col min="13577" max="13577" width="7.578125" style="550" bestFit="1" customWidth="1"/>
    <col min="13578" max="13578" width="8.578125" style="550" bestFit="1" customWidth="1"/>
    <col min="13579" max="13579" width="10.578125" style="550" bestFit="1" customWidth="1"/>
    <col min="13580" max="13581" width="14" style="550" customWidth="1"/>
    <col min="13582" max="13584" width="10.578125" style="550" customWidth="1"/>
    <col min="13585" max="13824" width="10.26171875" style="550"/>
    <col min="13825" max="13825" width="4.41796875" style="550" customWidth="1"/>
    <col min="13826" max="13826" width="23.578125" style="550" customWidth="1"/>
    <col min="13827" max="13827" width="4.68359375" style="550" customWidth="1"/>
    <col min="13828" max="13828" width="3.15625" style="550" customWidth="1"/>
    <col min="13829" max="13829" width="5.26171875" style="550" customWidth="1"/>
    <col min="13830" max="13830" width="7.26171875" style="550" bestFit="1" customWidth="1"/>
    <col min="13831" max="13831" width="8.15625" style="550" bestFit="1" customWidth="1"/>
    <col min="13832" max="13832" width="7.15625" style="550" bestFit="1" customWidth="1"/>
    <col min="13833" max="13833" width="7.578125" style="550" bestFit="1" customWidth="1"/>
    <col min="13834" max="13834" width="8.578125" style="550" bestFit="1" customWidth="1"/>
    <col min="13835" max="13835" width="10.578125" style="550" bestFit="1" customWidth="1"/>
    <col min="13836" max="13837" width="14" style="550" customWidth="1"/>
    <col min="13838" max="13840" width="10.578125" style="550" customWidth="1"/>
    <col min="13841" max="14080" width="10.26171875" style="550"/>
    <col min="14081" max="14081" width="4.41796875" style="550" customWidth="1"/>
    <col min="14082" max="14082" width="23.578125" style="550" customWidth="1"/>
    <col min="14083" max="14083" width="4.68359375" style="550" customWidth="1"/>
    <col min="14084" max="14084" width="3.15625" style="550" customWidth="1"/>
    <col min="14085" max="14085" width="5.26171875" style="550" customWidth="1"/>
    <col min="14086" max="14086" width="7.26171875" style="550" bestFit="1" customWidth="1"/>
    <col min="14087" max="14087" width="8.15625" style="550" bestFit="1" customWidth="1"/>
    <col min="14088" max="14088" width="7.15625" style="550" bestFit="1" customWidth="1"/>
    <col min="14089" max="14089" width="7.578125" style="550" bestFit="1" customWidth="1"/>
    <col min="14090" max="14090" width="8.578125" style="550" bestFit="1" customWidth="1"/>
    <col min="14091" max="14091" width="10.578125" style="550" bestFit="1" customWidth="1"/>
    <col min="14092" max="14093" width="14" style="550" customWidth="1"/>
    <col min="14094" max="14096" width="10.578125" style="550" customWidth="1"/>
    <col min="14097" max="14336" width="10.26171875" style="550"/>
    <col min="14337" max="14337" width="4.41796875" style="550" customWidth="1"/>
    <col min="14338" max="14338" width="23.578125" style="550" customWidth="1"/>
    <col min="14339" max="14339" width="4.68359375" style="550" customWidth="1"/>
    <col min="14340" max="14340" width="3.15625" style="550" customWidth="1"/>
    <col min="14341" max="14341" width="5.26171875" style="550" customWidth="1"/>
    <col min="14342" max="14342" width="7.26171875" style="550" bestFit="1" customWidth="1"/>
    <col min="14343" max="14343" width="8.15625" style="550" bestFit="1" customWidth="1"/>
    <col min="14344" max="14344" width="7.15625" style="550" bestFit="1" customWidth="1"/>
    <col min="14345" max="14345" width="7.578125" style="550" bestFit="1" customWidth="1"/>
    <col min="14346" max="14346" width="8.578125" style="550" bestFit="1" customWidth="1"/>
    <col min="14347" max="14347" width="10.578125" style="550" bestFit="1" customWidth="1"/>
    <col min="14348" max="14349" width="14" style="550" customWidth="1"/>
    <col min="14350" max="14352" width="10.578125" style="550" customWidth="1"/>
    <col min="14353" max="14592" width="10.26171875" style="550"/>
    <col min="14593" max="14593" width="4.41796875" style="550" customWidth="1"/>
    <col min="14594" max="14594" width="23.578125" style="550" customWidth="1"/>
    <col min="14595" max="14595" width="4.68359375" style="550" customWidth="1"/>
    <col min="14596" max="14596" width="3.15625" style="550" customWidth="1"/>
    <col min="14597" max="14597" width="5.26171875" style="550" customWidth="1"/>
    <col min="14598" max="14598" width="7.26171875" style="550" bestFit="1" customWidth="1"/>
    <col min="14599" max="14599" width="8.15625" style="550" bestFit="1" customWidth="1"/>
    <col min="14600" max="14600" width="7.15625" style="550" bestFit="1" customWidth="1"/>
    <col min="14601" max="14601" width="7.578125" style="550" bestFit="1" customWidth="1"/>
    <col min="14602" max="14602" width="8.578125" style="550" bestFit="1" customWidth="1"/>
    <col min="14603" max="14603" width="10.578125" style="550" bestFit="1" customWidth="1"/>
    <col min="14604" max="14605" width="14" style="550" customWidth="1"/>
    <col min="14606" max="14608" width="10.578125" style="550" customWidth="1"/>
    <col min="14609" max="14848" width="10.26171875" style="550"/>
    <col min="14849" max="14849" width="4.41796875" style="550" customWidth="1"/>
    <col min="14850" max="14850" width="23.578125" style="550" customWidth="1"/>
    <col min="14851" max="14851" width="4.68359375" style="550" customWidth="1"/>
    <col min="14852" max="14852" width="3.15625" style="550" customWidth="1"/>
    <col min="14853" max="14853" width="5.26171875" style="550" customWidth="1"/>
    <col min="14854" max="14854" width="7.26171875" style="550" bestFit="1" customWidth="1"/>
    <col min="14855" max="14855" width="8.15625" style="550" bestFit="1" customWidth="1"/>
    <col min="14856" max="14856" width="7.15625" style="550" bestFit="1" customWidth="1"/>
    <col min="14857" max="14857" width="7.578125" style="550" bestFit="1" customWidth="1"/>
    <col min="14858" max="14858" width="8.578125" style="550" bestFit="1" customWidth="1"/>
    <col min="14859" max="14859" width="10.578125" style="550" bestFit="1" customWidth="1"/>
    <col min="14860" max="14861" width="14" style="550" customWidth="1"/>
    <col min="14862" max="14864" width="10.578125" style="550" customWidth="1"/>
    <col min="14865" max="15104" width="10.26171875" style="550"/>
    <col min="15105" max="15105" width="4.41796875" style="550" customWidth="1"/>
    <col min="15106" max="15106" width="23.578125" style="550" customWidth="1"/>
    <col min="15107" max="15107" width="4.68359375" style="550" customWidth="1"/>
    <col min="15108" max="15108" width="3.15625" style="550" customWidth="1"/>
    <col min="15109" max="15109" width="5.26171875" style="550" customWidth="1"/>
    <col min="15110" max="15110" width="7.26171875" style="550" bestFit="1" customWidth="1"/>
    <col min="15111" max="15111" width="8.15625" style="550" bestFit="1" customWidth="1"/>
    <col min="15112" max="15112" width="7.15625" style="550" bestFit="1" customWidth="1"/>
    <col min="15113" max="15113" width="7.578125" style="550" bestFit="1" customWidth="1"/>
    <col min="15114" max="15114" width="8.578125" style="550" bestFit="1" customWidth="1"/>
    <col min="15115" max="15115" width="10.578125" style="550" bestFit="1" customWidth="1"/>
    <col min="15116" max="15117" width="14" style="550" customWidth="1"/>
    <col min="15118" max="15120" width="10.578125" style="550" customWidth="1"/>
    <col min="15121" max="15360" width="10.26171875" style="550"/>
    <col min="15361" max="15361" width="4.41796875" style="550" customWidth="1"/>
    <col min="15362" max="15362" width="23.578125" style="550" customWidth="1"/>
    <col min="15363" max="15363" width="4.68359375" style="550" customWidth="1"/>
    <col min="15364" max="15364" width="3.15625" style="550" customWidth="1"/>
    <col min="15365" max="15365" width="5.26171875" style="550" customWidth="1"/>
    <col min="15366" max="15366" width="7.26171875" style="550" bestFit="1" customWidth="1"/>
    <col min="15367" max="15367" width="8.15625" style="550" bestFit="1" customWidth="1"/>
    <col min="15368" max="15368" width="7.15625" style="550" bestFit="1" customWidth="1"/>
    <col min="15369" max="15369" width="7.578125" style="550" bestFit="1" customWidth="1"/>
    <col min="15370" max="15370" width="8.578125" style="550" bestFit="1" customWidth="1"/>
    <col min="15371" max="15371" width="10.578125" style="550" bestFit="1" customWidth="1"/>
    <col min="15372" max="15373" width="14" style="550" customWidth="1"/>
    <col min="15374" max="15376" width="10.578125" style="550" customWidth="1"/>
    <col min="15377" max="15616" width="10.26171875" style="550"/>
    <col min="15617" max="15617" width="4.41796875" style="550" customWidth="1"/>
    <col min="15618" max="15618" width="23.578125" style="550" customWidth="1"/>
    <col min="15619" max="15619" width="4.68359375" style="550" customWidth="1"/>
    <col min="15620" max="15620" width="3.15625" style="550" customWidth="1"/>
    <col min="15621" max="15621" width="5.26171875" style="550" customWidth="1"/>
    <col min="15622" max="15622" width="7.26171875" style="550" bestFit="1" customWidth="1"/>
    <col min="15623" max="15623" width="8.15625" style="550" bestFit="1" customWidth="1"/>
    <col min="15624" max="15624" width="7.15625" style="550" bestFit="1" customWidth="1"/>
    <col min="15625" max="15625" width="7.578125" style="550" bestFit="1" customWidth="1"/>
    <col min="15626" max="15626" width="8.578125" style="550" bestFit="1" customWidth="1"/>
    <col min="15627" max="15627" width="10.578125" style="550" bestFit="1" customWidth="1"/>
    <col min="15628" max="15629" width="14" style="550" customWidth="1"/>
    <col min="15630" max="15632" width="10.578125" style="550" customWidth="1"/>
    <col min="15633" max="15872" width="10.26171875" style="550"/>
    <col min="15873" max="15873" width="4.41796875" style="550" customWidth="1"/>
    <col min="15874" max="15874" width="23.578125" style="550" customWidth="1"/>
    <col min="15875" max="15875" width="4.68359375" style="550" customWidth="1"/>
    <col min="15876" max="15876" width="3.15625" style="550" customWidth="1"/>
    <col min="15877" max="15877" width="5.26171875" style="550" customWidth="1"/>
    <col min="15878" max="15878" width="7.26171875" style="550" bestFit="1" customWidth="1"/>
    <col min="15879" max="15879" width="8.15625" style="550" bestFit="1" customWidth="1"/>
    <col min="15880" max="15880" width="7.15625" style="550" bestFit="1" customWidth="1"/>
    <col min="15881" max="15881" width="7.578125" style="550" bestFit="1" customWidth="1"/>
    <col min="15882" max="15882" width="8.578125" style="550" bestFit="1" customWidth="1"/>
    <col min="15883" max="15883" width="10.578125" style="550" bestFit="1" customWidth="1"/>
    <col min="15884" max="15885" width="14" style="550" customWidth="1"/>
    <col min="15886" max="15888" width="10.578125" style="550" customWidth="1"/>
    <col min="15889" max="16128" width="10.26171875" style="550"/>
    <col min="16129" max="16129" width="4.41796875" style="550" customWidth="1"/>
    <col min="16130" max="16130" width="23.578125" style="550" customWidth="1"/>
    <col min="16131" max="16131" width="4.68359375" style="550" customWidth="1"/>
    <col min="16132" max="16132" width="3.15625" style="550" customWidth="1"/>
    <col min="16133" max="16133" width="5.26171875" style="550" customWidth="1"/>
    <col min="16134" max="16134" width="7.26171875" style="550" bestFit="1" customWidth="1"/>
    <col min="16135" max="16135" width="8.15625" style="550" bestFit="1" customWidth="1"/>
    <col min="16136" max="16136" width="7.15625" style="550" bestFit="1" customWidth="1"/>
    <col min="16137" max="16137" width="7.578125" style="550" bestFit="1" customWidth="1"/>
    <col min="16138" max="16138" width="8.578125" style="550" bestFit="1" customWidth="1"/>
    <col min="16139" max="16139" width="10.578125" style="550" bestFit="1" customWidth="1"/>
    <col min="16140" max="16141" width="14" style="550" customWidth="1"/>
    <col min="16142" max="16144" width="10.578125" style="550" customWidth="1"/>
    <col min="16145" max="16384" width="10.26171875" style="550"/>
  </cols>
  <sheetData>
    <row r="1" spans="1:17">
      <c r="A1" s="1587" t="s">
        <v>1612</v>
      </c>
      <c r="B1" s="1587"/>
      <c r="C1" s="1587"/>
      <c r="D1" s="1587"/>
      <c r="E1" s="1587"/>
      <c r="F1" s="1587"/>
      <c r="G1" s="1587"/>
      <c r="H1" s="1587"/>
      <c r="I1" s="1587"/>
      <c r="J1" s="1587"/>
      <c r="K1" s="1587"/>
      <c r="L1" s="531"/>
      <c r="M1" s="531"/>
      <c r="N1" s="531"/>
      <c r="O1" s="531"/>
      <c r="P1" s="531"/>
      <c r="Q1" s="531"/>
    </row>
    <row r="2" spans="1:17" ht="31.5" customHeight="1">
      <c r="A2" s="1588" t="str">
        <f>LEAD!A2</f>
        <v>Construction of Kitchen shed at ZPHS  Bijwar(V) of Utkoor(M)</v>
      </c>
      <c r="B2" s="1588"/>
      <c r="C2" s="1588"/>
      <c r="D2" s="1588"/>
      <c r="E2" s="1588"/>
      <c r="F2" s="1588"/>
      <c r="G2" s="1588"/>
      <c r="H2" s="1588"/>
      <c r="I2" s="1588"/>
      <c r="J2" s="1588"/>
      <c r="K2" s="1588"/>
      <c r="L2" s="531"/>
      <c r="M2" s="531"/>
      <c r="N2" s="531"/>
      <c r="O2" s="531"/>
      <c r="P2" s="531"/>
      <c r="Q2" s="531"/>
    </row>
    <row r="3" spans="1:17" ht="24" customHeight="1">
      <c r="A3" s="1587" t="s">
        <v>1629</v>
      </c>
      <c r="B3" s="1587"/>
      <c r="C3" s="1587"/>
      <c r="D3" s="1587"/>
      <c r="E3" s="1587"/>
      <c r="F3" s="1587"/>
      <c r="G3" s="1587"/>
      <c r="H3" s="1587"/>
      <c r="I3" s="1587"/>
      <c r="J3" s="1587"/>
      <c r="K3" s="1587"/>
      <c r="L3" s="531"/>
      <c r="M3" s="531"/>
      <c r="N3" s="531"/>
      <c r="O3" s="531"/>
      <c r="P3" s="531"/>
      <c r="Q3" s="531"/>
    </row>
    <row r="4" spans="1:17" s="551" customFormat="1" ht="30" customHeight="1">
      <c r="A4" s="532" t="s">
        <v>1613</v>
      </c>
      <c r="B4" s="532" t="s">
        <v>563</v>
      </c>
      <c r="C4" s="1589" t="s">
        <v>329</v>
      </c>
      <c r="D4" s="1589"/>
      <c r="E4" s="1589"/>
      <c r="F4" s="533" t="s">
        <v>1614</v>
      </c>
      <c r="G4" s="533" t="s">
        <v>1615</v>
      </c>
      <c r="H4" s="533" t="s">
        <v>1616</v>
      </c>
      <c r="I4" s="533" t="s">
        <v>150</v>
      </c>
      <c r="J4" s="533" t="s">
        <v>92</v>
      </c>
      <c r="K4" s="544" t="s">
        <v>151</v>
      </c>
      <c r="L4" s="534"/>
      <c r="M4" s="534"/>
      <c r="N4" s="534"/>
      <c r="O4" s="534"/>
      <c r="P4" s="534"/>
    </row>
    <row r="5" spans="1:17" ht="123" customHeight="1">
      <c r="A5" s="535">
        <v>1</v>
      </c>
      <c r="B5" s="1586" t="s">
        <v>1667</v>
      </c>
      <c r="C5" s="1586"/>
      <c r="D5" s="1586"/>
      <c r="E5" s="1586"/>
      <c r="F5" s="1586"/>
      <c r="G5" s="1586"/>
      <c r="H5" s="1586"/>
      <c r="I5" s="756"/>
      <c r="J5" s="536"/>
      <c r="K5" s="538"/>
    </row>
    <row r="6" spans="1:17">
      <c r="A6" s="535"/>
      <c r="B6" s="757" t="s">
        <v>1630</v>
      </c>
      <c r="C6" s="537"/>
      <c r="D6" s="537"/>
      <c r="E6" s="537"/>
      <c r="F6" s="537"/>
      <c r="G6" s="537"/>
      <c r="H6" s="537"/>
      <c r="I6" s="758"/>
      <c r="J6" s="536"/>
      <c r="K6" s="538"/>
    </row>
    <row r="7" spans="1:17">
      <c r="A7" s="535"/>
      <c r="B7" s="757"/>
      <c r="C7" s="537">
        <v>60</v>
      </c>
      <c r="D7" s="537" t="s">
        <v>33</v>
      </c>
      <c r="E7" s="537">
        <v>1</v>
      </c>
      <c r="F7" s="536">
        <f>0.75+0.2</f>
        <v>0.95</v>
      </c>
      <c r="G7" s="536">
        <v>0.95</v>
      </c>
      <c r="H7" s="536">
        <v>1</v>
      </c>
      <c r="I7" s="538">
        <f>+TRUNC(PRODUCT(C7:H7),2)</f>
        <v>54.15</v>
      </c>
      <c r="J7" s="536"/>
      <c r="K7" s="538"/>
    </row>
    <row r="8" spans="1:17">
      <c r="A8" s="535"/>
      <c r="B8" s="757"/>
      <c r="C8" s="537">
        <v>4</v>
      </c>
      <c r="D8" s="537" t="s">
        <v>33</v>
      </c>
      <c r="E8" s="537">
        <v>1</v>
      </c>
      <c r="F8" s="536">
        <v>1.1000000000000001</v>
      </c>
      <c r="G8" s="536">
        <v>1.1000000000000001</v>
      </c>
      <c r="H8" s="536">
        <v>1</v>
      </c>
      <c r="I8" s="538">
        <f>+TRUNC(PRODUCT(C8:H8),2)</f>
        <v>4.84</v>
      </c>
      <c r="J8" s="536"/>
      <c r="K8" s="538"/>
    </row>
    <row r="9" spans="1:17">
      <c r="A9" s="535"/>
      <c r="B9" s="757"/>
      <c r="C9" s="537"/>
      <c r="D9" s="537"/>
      <c r="E9" s="537"/>
      <c r="F9" s="536"/>
      <c r="G9" s="536"/>
      <c r="H9" s="536"/>
      <c r="I9" s="538">
        <f>SUM(I7:I8)</f>
        <v>58.989999999999995</v>
      </c>
      <c r="J9" s="536"/>
      <c r="K9" s="538"/>
    </row>
    <row r="10" spans="1:17">
      <c r="A10" s="535"/>
      <c r="B10" s="546"/>
      <c r="C10" s="537"/>
      <c r="D10" s="537"/>
      <c r="E10" s="537"/>
      <c r="F10" s="536"/>
      <c r="G10" s="536"/>
      <c r="H10" s="539" t="s">
        <v>1617</v>
      </c>
      <c r="I10" s="737">
        <f>CEILING(I9,1)</f>
        <v>59</v>
      </c>
      <c r="J10" s="539">
        <f>'C-data'!I218</f>
        <v>312.15000000000003</v>
      </c>
      <c r="K10" s="763">
        <f>ROUND(I10*J10,0)</f>
        <v>18417</v>
      </c>
    </row>
    <row r="11" spans="1:17">
      <c r="A11" s="535"/>
      <c r="B11" s="546"/>
      <c r="C11" s="537"/>
      <c r="D11" s="537"/>
      <c r="E11" s="537"/>
      <c r="F11" s="536"/>
      <c r="G11" s="536"/>
      <c r="H11" s="539"/>
      <c r="I11" s="540" t="s">
        <v>465</v>
      </c>
      <c r="J11" s="539" t="s">
        <v>367</v>
      </c>
      <c r="K11" s="538"/>
    </row>
    <row r="12" spans="1:17" ht="145.5" customHeight="1">
      <c r="A12" s="535">
        <v>2</v>
      </c>
      <c r="B12" s="1586" t="s">
        <v>1665</v>
      </c>
      <c r="C12" s="1586"/>
      <c r="D12" s="1586"/>
      <c r="E12" s="1586"/>
      <c r="F12" s="1586"/>
      <c r="G12" s="1586"/>
      <c r="H12" s="1586"/>
      <c r="I12" s="760"/>
      <c r="J12" s="536"/>
      <c r="K12" s="538"/>
    </row>
    <row r="13" spans="1:17">
      <c r="A13" s="535"/>
      <c r="B13" s="757" t="s">
        <v>1631</v>
      </c>
      <c r="C13" s="537"/>
      <c r="D13" s="537"/>
      <c r="E13" s="537"/>
      <c r="F13" s="536"/>
      <c r="G13" s="536"/>
      <c r="H13" s="536"/>
      <c r="I13" s="538"/>
      <c r="J13" s="536"/>
      <c r="K13" s="538"/>
    </row>
    <row r="14" spans="1:17">
      <c r="A14" s="535"/>
      <c r="B14" s="757"/>
      <c r="C14" s="537">
        <v>60</v>
      </c>
      <c r="D14" s="537" t="s">
        <v>33</v>
      </c>
      <c r="E14" s="537">
        <v>1</v>
      </c>
      <c r="F14" s="536">
        <f>0.75+0.2</f>
        <v>0.95</v>
      </c>
      <c r="G14" s="536">
        <v>0.95</v>
      </c>
      <c r="H14" s="536">
        <v>0.1</v>
      </c>
      <c r="I14" s="538">
        <f t="shared" ref="I14:I16" si="0">+TRUNC(PRODUCT(C14:H14),2)</f>
        <v>5.41</v>
      </c>
      <c r="J14" s="536"/>
      <c r="K14" s="538"/>
    </row>
    <row r="15" spans="1:17">
      <c r="A15" s="535"/>
      <c r="B15" s="757"/>
      <c r="C15" s="537">
        <v>4</v>
      </c>
      <c r="D15" s="537" t="s">
        <v>33</v>
      </c>
      <c r="E15" s="537">
        <v>1</v>
      </c>
      <c r="F15" s="536">
        <v>1.1000000000000001</v>
      </c>
      <c r="G15" s="536">
        <v>1.1000000000000001</v>
      </c>
      <c r="H15" s="536">
        <v>0.1</v>
      </c>
      <c r="I15" s="538">
        <f t="shared" si="0"/>
        <v>0.48</v>
      </c>
      <c r="J15" s="536"/>
      <c r="K15" s="538"/>
    </row>
    <row r="16" spans="1:17">
      <c r="A16" s="535"/>
      <c r="B16" s="757" t="s">
        <v>1632</v>
      </c>
      <c r="C16" s="537">
        <v>1</v>
      </c>
      <c r="D16" s="537" t="s">
        <v>33</v>
      </c>
      <c r="E16" s="537">
        <v>1</v>
      </c>
      <c r="F16" s="536">
        <v>150</v>
      </c>
      <c r="G16" s="536">
        <v>0.43</v>
      </c>
      <c r="H16" s="536">
        <v>7.4999999999999997E-2</v>
      </c>
      <c r="I16" s="538">
        <f t="shared" si="0"/>
        <v>4.83</v>
      </c>
      <c r="J16" s="536"/>
      <c r="K16" s="538"/>
    </row>
    <row r="17" spans="1:11">
      <c r="A17" s="535"/>
      <c r="B17" s="757"/>
      <c r="C17" s="537"/>
      <c r="D17" s="537"/>
      <c r="E17" s="537"/>
      <c r="F17" s="536"/>
      <c r="G17" s="536"/>
      <c r="H17" s="536"/>
      <c r="I17" s="538">
        <f>SUM(I14:I16)</f>
        <v>10.72</v>
      </c>
      <c r="J17" s="536"/>
      <c r="K17" s="538"/>
    </row>
    <row r="18" spans="1:11">
      <c r="A18" s="535"/>
      <c r="B18" s="546"/>
      <c r="C18" s="537"/>
      <c r="D18" s="537"/>
      <c r="E18" s="537"/>
      <c r="F18" s="536"/>
      <c r="G18" s="536"/>
      <c r="H18" s="539" t="s">
        <v>1617</v>
      </c>
      <c r="I18" s="737">
        <f>CEILING(I17,1)</f>
        <v>11</v>
      </c>
      <c r="J18" s="539">
        <f>'C-data'!I276</f>
        <v>3537.3</v>
      </c>
      <c r="K18" s="763">
        <f>ROUND(I18*J18,0)</f>
        <v>38910</v>
      </c>
    </row>
    <row r="19" spans="1:11">
      <c r="A19" s="535"/>
      <c r="B19" s="546"/>
      <c r="C19" s="537"/>
      <c r="D19" s="537"/>
      <c r="E19" s="537"/>
      <c r="F19" s="536"/>
      <c r="G19" s="536"/>
      <c r="H19" s="539"/>
      <c r="I19" s="540" t="s">
        <v>465</v>
      </c>
      <c r="J19" s="539" t="s">
        <v>367</v>
      </c>
      <c r="K19" s="538"/>
    </row>
    <row r="20" spans="1:11" ht="165.75" customHeight="1">
      <c r="A20" s="535">
        <v>3</v>
      </c>
      <c r="B20" s="1586" t="s">
        <v>1381</v>
      </c>
      <c r="C20" s="1586"/>
      <c r="D20" s="1586"/>
      <c r="E20" s="1586"/>
      <c r="F20" s="1586"/>
      <c r="G20" s="1586"/>
      <c r="H20" s="1586"/>
      <c r="I20" s="540"/>
      <c r="J20" s="539"/>
      <c r="K20" s="538"/>
    </row>
    <row r="21" spans="1:11" s="765" customFormat="1">
      <c r="A21" s="535"/>
      <c r="B21" s="761" t="s">
        <v>1633</v>
      </c>
      <c r="C21" s="764"/>
      <c r="D21" s="764"/>
      <c r="E21" s="764"/>
      <c r="F21" s="539"/>
      <c r="G21" s="539"/>
      <c r="H21" s="539"/>
      <c r="I21" s="540"/>
      <c r="J21" s="539"/>
      <c r="K21" s="540"/>
    </row>
    <row r="22" spans="1:11">
      <c r="A22" s="535"/>
      <c r="B22" s="757"/>
      <c r="C22" s="537">
        <v>60</v>
      </c>
      <c r="D22" s="537" t="s">
        <v>33</v>
      </c>
      <c r="E22" s="537">
        <v>1</v>
      </c>
      <c r="F22" s="536">
        <v>0.75</v>
      </c>
      <c r="G22" s="536">
        <v>0.75</v>
      </c>
      <c r="H22" s="536">
        <v>0.25</v>
      </c>
      <c r="I22" s="538">
        <f>+TRUNC(PRODUCT(C22:H22),2)</f>
        <v>8.43</v>
      </c>
      <c r="J22" s="536"/>
      <c r="K22" s="538"/>
    </row>
    <row r="23" spans="1:11">
      <c r="A23" s="535"/>
      <c r="B23" s="757"/>
      <c r="C23" s="537">
        <v>4</v>
      </c>
      <c r="D23" s="537" t="s">
        <v>33</v>
      </c>
      <c r="E23" s="537">
        <v>1</v>
      </c>
      <c r="F23" s="536">
        <v>0.9</v>
      </c>
      <c r="G23" s="536">
        <v>0.9</v>
      </c>
      <c r="H23" s="536">
        <v>0.25</v>
      </c>
      <c r="I23" s="538">
        <f>+TRUNC(PRODUCT(C23:H23),2)</f>
        <v>0.81</v>
      </c>
      <c r="J23" s="536"/>
      <c r="K23" s="538"/>
    </row>
    <row r="24" spans="1:11">
      <c r="A24" s="535"/>
      <c r="B24" s="757"/>
      <c r="C24" s="537"/>
      <c r="D24" s="537"/>
      <c r="E24" s="537"/>
      <c r="F24" s="536"/>
      <c r="G24" s="536"/>
      <c r="H24" s="536"/>
      <c r="I24" s="538">
        <f>SUM(I22:I23)</f>
        <v>9.24</v>
      </c>
      <c r="J24" s="536"/>
      <c r="K24" s="538"/>
    </row>
    <row r="25" spans="1:11">
      <c r="A25" s="535"/>
      <c r="B25" s="546"/>
      <c r="C25" s="537"/>
      <c r="D25" s="537"/>
      <c r="E25" s="537"/>
      <c r="F25" s="536"/>
      <c r="G25" s="536"/>
      <c r="H25" s="539" t="s">
        <v>1617</v>
      </c>
      <c r="I25" s="737">
        <f>CEILING(I24,1)</f>
        <v>10</v>
      </c>
      <c r="J25" s="539">
        <f>'C-data'!I428</f>
        <v>8755.9</v>
      </c>
      <c r="K25" s="763">
        <f>ROUND(I25*J25,0)</f>
        <v>87559</v>
      </c>
    </row>
    <row r="26" spans="1:11">
      <c r="A26" s="535"/>
      <c r="B26" s="546"/>
      <c r="C26" s="537"/>
      <c r="D26" s="537"/>
      <c r="E26" s="537"/>
      <c r="F26" s="536"/>
      <c r="G26" s="536"/>
      <c r="H26" s="539"/>
      <c r="I26" s="540" t="s">
        <v>465</v>
      </c>
      <c r="J26" s="539" t="s">
        <v>367</v>
      </c>
      <c r="K26" s="763"/>
    </row>
    <row r="27" spans="1:11" ht="155.25" customHeight="1">
      <c r="A27" s="535">
        <v>4</v>
      </c>
      <c r="B27" s="1586" t="s">
        <v>1381</v>
      </c>
      <c r="C27" s="1586"/>
      <c r="D27" s="1586"/>
      <c r="E27" s="1586"/>
      <c r="F27" s="1586"/>
      <c r="G27" s="1586"/>
      <c r="H27" s="1586"/>
      <c r="I27" s="540"/>
      <c r="J27" s="539"/>
      <c r="K27" s="538"/>
    </row>
    <row r="28" spans="1:11" s="765" customFormat="1">
      <c r="A28" s="535"/>
      <c r="B28" s="761" t="s">
        <v>1634</v>
      </c>
      <c r="C28" s="764"/>
      <c r="D28" s="764"/>
      <c r="E28" s="764"/>
      <c r="F28" s="539"/>
      <c r="G28" s="539"/>
      <c r="H28" s="539"/>
      <c r="I28" s="540"/>
      <c r="J28" s="539"/>
      <c r="K28" s="540"/>
    </row>
    <row r="29" spans="1:11">
      <c r="A29" s="535"/>
      <c r="B29" s="546" t="s">
        <v>1635</v>
      </c>
      <c r="C29" s="537">
        <v>1</v>
      </c>
      <c r="D29" s="537" t="s">
        <v>33</v>
      </c>
      <c r="E29" s="537">
        <v>1</v>
      </c>
      <c r="F29" s="536">
        <v>150</v>
      </c>
      <c r="G29" s="536">
        <v>0.23</v>
      </c>
      <c r="H29" s="536">
        <v>0.3</v>
      </c>
      <c r="I29" s="538">
        <f>+TRUNC(PRODUCT(C29:H29),2)</f>
        <v>10.35</v>
      </c>
      <c r="J29" s="539"/>
      <c r="K29" s="538"/>
    </row>
    <row r="30" spans="1:11">
      <c r="A30" s="535"/>
      <c r="B30" s="546" t="s">
        <v>1636</v>
      </c>
      <c r="C30" s="537">
        <v>1</v>
      </c>
      <c r="D30" s="537" t="s">
        <v>33</v>
      </c>
      <c r="E30" s="537">
        <v>64</v>
      </c>
      <c r="F30" s="536">
        <v>0.23</v>
      </c>
      <c r="G30" s="536">
        <v>0.23</v>
      </c>
      <c r="H30" s="536">
        <v>0.3</v>
      </c>
      <c r="I30" s="762">
        <f>-TRUNC(PRODUCT(C30:H30),2)</f>
        <v>-1.01</v>
      </c>
      <c r="J30" s="539"/>
      <c r="K30" s="538"/>
    </row>
    <row r="31" spans="1:11">
      <c r="A31" s="535"/>
      <c r="B31" s="546"/>
      <c r="C31" s="537"/>
      <c r="D31" s="537"/>
      <c r="E31" s="537"/>
      <c r="F31" s="536"/>
      <c r="G31" s="536"/>
      <c r="H31" s="536"/>
      <c r="I31" s="762">
        <f>SUM(I29:I30)</f>
        <v>9.34</v>
      </c>
      <c r="J31" s="539"/>
      <c r="K31" s="538"/>
    </row>
    <row r="32" spans="1:11">
      <c r="A32" s="535"/>
      <c r="B32" s="546"/>
      <c r="C32" s="537"/>
      <c r="D32" s="537"/>
      <c r="E32" s="537"/>
      <c r="F32" s="536"/>
      <c r="G32" s="536"/>
      <c r="H32" s="539" t="s">
        <v>1617</v>
      </c>
      <c r="I32" s="737">
        <f>CEILING(I31,1)</f>
        <v>10</v>
      </c>
      <c r="J32" s="539">
        <f>'C-data'!I434</f>
        <v>10930.900000000001</v>
      </c>
      <c r="K32" s="763">
        <f>ROUND(I32*J32,0)</f>
        <v>109309</v>
      </c>
    </row>
    <row r="33" spans="1:11">
      <c r="A33" s="535"/>
      <c r="B33" s="546"/>
      <c r="C33" s="537"/>
      <c r="D33" s="537"/>
      <c r="E33" s="537"/>
      <c r="F33" s="536"/>
      <c r="G33" s="536"/>
      <c r="H33" s="539"/>
      <c r="I33" s="540" t="s">
        <v>465</v>
      </c>
      <c r="J33" s="539" t="s">
        <v>367</v>
      </c>
      <c r="K33" s="538"/>
    </row>
    <row r="34" spans="1:11" ht="162" customHeight="1">
      <c r="A34" s="535">
        <v>5</v>
      </c>
      <c r="B34" s="1586" t="s">
        <v>1668</v>
      </c>
      <c r="C34" s="1586"/>
      <c r="D34" s="1586"/>
      <c r="E34" s="1586"/>
      <c r="F34" s="1586"/>
      <c r="G34" s="1586"/>
      <c r="H34" s="1586"/>
      <c r="I34" s="540"/>
      <c r="J34" s="539"/>
      <c r="K34" s="538"/>
    </row>
    <row r="35" spans="1:11">
      <c r="A35" s="535"/>
      <c r="B35" s="546" t="s">
        <v>1637</v>
      </c>
      <c r="C35" s="537"/>
      <c r="D35" s="537"/>
      <c r="E35" s="537"/>
      <c r="F35" s="536"/>
      <c r="G35" s="536"/>
      <c r="H35" s="539"/>
      <c r="I35" s="540"/>
      <c r="J35" s="539"/>
      <c r="K35" s="538"/>
    </row>
    <row r="36" spans="1:11">
      <c r="A36" s="535"/>
      <c r="B36" s="757"/>
      <c r="C36" s="537">
        <v>1</v>
      </c>
      <c r="D36" s="537" t="s">
        <v>33</v>
      </c>
      <c r="E36" s="537">
        <v>1</v>
      </c>
      <c r="F36" s="536">
        <v>10</v>
      </c>
      <c r="G36" s="536">
        <v>0.15</v>
      </c>
      <c r="H36" s="536">
        <v>1</v>
      </c>
      <c r="I36" s="538">
        <f>+TRUNC(PRODUCT(C36:H36),2)</f>
        <v>1.5</v>
      </c>
      <c r="J36" s="539"/>
      <c r="K36" s="538"/>
    </row>
    <row r="37" spans="1:11">
      <c r="A37" s="535"/>
      <c r="B37" s="546"/>
      <c r="C37" s="537"/>
      <c r="D37" s="537"/>
      <c r="E37" s="537"/>
      <c r="F37" s="536"/>
      <c r="G37" s="536"/>
      <c r="H37" s="539" t="s">
        <v>1617</v>
      </c>
      <c r="I37" s="737">
        <f>CEILING(I36,1)</f>
        <v>2</v>
      </c>
      <c r="J37" s="539">
        <f>'C-data'!E468</f>
        <v>10405.900000000001</v>
      </c>
      <c r="K37" s="763">
        <f>ROUND(I37*J37,0)</f>
        <v>20812</v>
      </c>
    </row>
    <row r="38" spans="1:11">
      <c r="A38" s="535"/>
      <c r="B38" s="546"/>
      <c r="C38" s="537"/>
      <c r="D38" s="537"/>
      <c r="E38" s="537"/>
      <c r="F38" s="537"/>
      <c r="G38" s="537"/>
      <c r="H38" s="537"/>
      <c r="I38" s="758" t="s">
        <v>465</v>
      </c>
      <c r="J38" s="536" t="s">
        <v>367</v>
      </c>
      <c r="K38" s="538"/>
    </row>
    <row r="39" spans="1:11" ht="153.75" customHeight="1">
      <c r="A39" s="535">
        <v>6</v>
      </c>
      <c r="B39" s="1586" t="s">
        <v>1380</v>
      </c>
      <c r="C39" s="1586"/>
      <c r="D39" s="1586"/>
      <c r="E39" s="1586"/>
      <c r="F39" s="1586"/>
      <c r="G39" s="1586"/>
      <c r="H39" s="1586"/>
      <c r="I39" s="540"/>
      <c r="J39" s="539"/>
      <c r="K39" s="538"/>
    </row>
    <row r="40" spans="1:11">
      <c r="A40" s="535"/>
      <c r="B40" s="766" t="s">
        <v>1638</v>
      </c>
      <c r="C40" s="537"/>
      <c r="D40" s="537"/>
      <c r="E40" s="537"/>
      <c r="F40" s="536"/>
      <c r="G40" s="536"/>
      <c r="H40" s="539"/>
      <c r="I40" s="540"/>
      <c r="J40" s="539"/>
      <c r="K40" s="538"/>
    </row>
    <row r="41" spans="1:11">
      <c r="A41" s="535"/>
      <c r="B41" s="766" t="s">
        <v>1639</v>
      </c>
      <c r="C41" s="537"/>
      <c r="D41" s="537"/>
      <c r="E41" s="537"/>
      <c r="F41" s="536"/>
      <c r="G41" s="536"/>
      <c r="H41" s="539"/>
      <c r="I41" s="540"/>
      <c r="J41" s="539"/>
      <c r="K41" s="538"/>
    </row>
    <row r="42" spans="1:11">
      <c r="A42" s="535"/>
      <c r="B42" s="757"/>
      <c r="C42" s="537">
        <v>60</v>
      </c>
      <c r="D42" s="537" t="s">
        <v>33</v>
      </c>
      <c r="E42" s="537">
        <v>1</v>
      </c>
      <c r="F42" s="536">
        <v>0.23</v>
      </c>
      <c r="G42" s="536">
        <v>0.23</v>
      </c>
      <c r="H42" s="536">
        <v>0.6</v>
      </c>
      <c r="I42" s="538">
        <f>+TRUNC(PRODUCT(C42:H42),2)</f>
        <v>1.9</v>
      </c>
      <c r="J42" s="539"/>
      <c r="K42" s="538"/>
    </row>
    <row r="43" spans="1:11">
      <c r="A43" s="535"/>
      <c r="B43" s="757"/>
      <c r="C43" s="537">
        <v>4</v>
      </c>
      <c r="D43" s="537" t="s">
        <v>33</v>
      </c>
      <c r="E43" s="537">
        <v>1</v>
      </c>
      <c r="F43" s="536">
        <v>0.23</v>
      </c>
      <c r="G43" s="536">
        <v>0.23</v>
      </c>
      <c r="H43" s="536">
        <v>0.6</v>
      </c>
      <c r="I43" s="538">
        <f>+TRUNC(PRODUCT(C43:H43),2)</f>
        <v>0.12</v>
      </c>
      <c r="J43" s="539"/>
      <c r="K43" s="538"/>
    </row>
    <row r="44" spans="1:11">
      <c r="A44" s="535"/>
      <c r="B44" s="766" t="s">
        <v>1640</v>
      </c>
      <c r="C44" s="537"/>
      <c r="D44" s="537"/>
      <c r="E44" s="537"/>
      <c r="F44" s="536"/>
      <c r="G44" s="536"/>
      <c r="H44" s="539"/>
      <c r="I44" s="540"/>
      <c r="J44" s="539"/>
      <c r="K44" s="538"/>
    </row>
    <row r="45" spans="1:11">
      <c r="A45" s="535"/>
      <c r="B45" s="757"/>
      <c r="C45" s="537">
        <v>60</v>
      </c>
      <c r="D45" s="537" t="s">
        <v>33</v>
      </c>
      <c r="E45" s="537">
        <v>1</v>
      </c>
      <c r="F45" s="536">
        <v>0.23</v>
      </c>
      <c r="G45" s="536">
        <v>0.23</v>
      </c>
      <c r="H45" s="536">
        <f>1.5+0.3</f>
        <v>1.8</v>
      </c>
      <c r="I45" s="538">
        <f>+TRUNC(PRODUCT(C45:H45),2)</f>
        <v>5.71</v>
      </c>
      <c r="J45" s="539"/>
      <c r="K45" s="538"/>
    </row>
    <row r="46" spans="1:11">
      <c r="A46" s="535"/>
      <c r="B46" s="757"/>
      <c r="C46" s="537">
        <v>4</v>
      </c>
      <c r="D46" s="537" t="s">
        <v>33</v>
      </c>
      <c r="E46" s="537">
        <v>1</v>
      </c>
      <c r="F46" s="536">
        <v>0.23</v>
      </c>
      <c r="G46" s="536">
        <v>0.23</v>
      </c>
      <c r="H46" s="536">
        <v>1.8</v>
      </c>
      <c r="I46" s="538">
        <f>+TRUNC(PRODUCT(C46:H46),2)</f>
        <v>0.38</v>
      </c>
      <c r="J46" s="539"/>
      <c r="K46" s="538"/>
    </row>
    <row r="47" spans="1:11">
      <c r="A47" s="535"/>
      <c r="B47" s="757"/>
      <c r="C47" s="537"/>
      <c r="D47" s="537"/>
      <c r="E47" s="537"/>
      <c r="F47" s="536"/>
      <c r="G47" s="536"/>
      <c r="H47" s="536"/>
      <c r="I47" s="538">
        <f>SUM(I41:I46)</f>
        <v>8.1100000000000012</v>
      </c>
      <c r="J47" s="539"/>
      <c r="K47" s="538"/>
    </row>
    <row r="48" spans="1:11">
      <c r="A48" s="535"/>
      <c r="B48" s="546"/>
      <c r="C48" s="537"/>
      <c r="D48" s="537"/>
      <c r="E48" s="537"/>
      <c r="F48" s="536"/>
      <c r="G48" s="536"/>
      <c r="H48" s="539" t="s">
        <v>1617</v>
      </c>
      <c r="I48" s="737">
        <f>CEILING(I47,1)</f>
        <v>9</v>
      </c>
      <c r="J48" s="539">
        <f>'C-data'!E468</f>
        <v>10405.900000000001</v>
      </c>
      <c r="K48" s="763">
        <f>ROUND(I48*J48,0)</f>
        <v>93653</v>
      </c>
    </row>
    <row r="49" spans="1:16">
      <c r="A49" s="535"/>
      <c r="B49" s="546"/>
      <c r="C49" s="537"/>
      <c r="D49" s="537"/>
      <c r="E49" s="537"/>
      <c r="F49" s="536"/>
      <c r="G49" s="536"/>
      <c r="H49" s="539"/>
      <c r="I49" s="540" t="s">
        <v>465</v>
      </c>
      <c r="J49" s="539" t="s">
        <v>367</v>
      </c>
      <c r="K49" s="538"/>
    </row>
    <row r="50" spans="1:16" ht="153" customHeight="1">
      <c r="A50" s="535">
        <v>7</v>
      </c>
      <c r="B50" s="1586" t="s">
        <v>1666</v>
      </c>
      <c r="C50" s="1586"/>
      <c r="D50" s="1586"/>
      <c r="E50" s="1586"/>
      <c r="F50" s="1586"/>
      <c r="G50" s="1586"/>
      <c r="H50" s="1586"/>
      <c r="I50" s="760"/>
      <c r="J50" s="536"/>
      <c r="K50" s="538"/>
    </row>
    <row r="51" spans="1:16">
      <c r="A51" s="535"/>
      <c r="B51" s="761" t="s">
        <v>1641</v>
      </c>
      <c r="C51" s="759"/>
      <c r="D51" s="759"/>
      <c r="E51" s="759"/>
      <c r="F51" s="759"/>
      <c r="G51" s="759"/>
      <c r="H51" s="759" t="s">
        <v>364</v>
      </c>
      <c r="I51" s="538">
        <f>'C.wall-Steel'!L21</f>
        <v>2.1339999999999999</v>
      </c>
      <c r="J51" s="536"/>
      <c r="K51" s="538"/>
    </row>
    <row r="52" spans="1:16">
      <c r="A52" s="535"/>
      <c r="B52" s="546"/>
      <c r="C52" s="537"/>
      <c r="D52" s="537"/>
      <c r="E52" s="545"/>
      <c r="F52" s="536"/>
      <c r="G52" s="536"/>
      <c r="H52" s="539" t="s">
        <v>1617</v>
      </c>
      <c r="I52" s="737">
        <f>CEILING(I51,1)</f>
        <v>3</v>
      </c>
      <c r="J52" s="539">
        <f>'C-data'!E895</f>
        <v>98665</v>
      </c>
      <c r="K52" s="763">
        <f>ROUND(I52*J52,0)</f>
        <v>295995</v>
      </c>
      <c r="L52" s="755"/>
      <c r="M52" s="767"/>
      <c r="N52" s="767"/>
      <c r="O52" s="755"/>
      <c r="P52" s="755"/>
    </row>
    <row r="53" spans="1:16">
      <c r="A53" s="535"/>
      <c r="B53" s="761"/>
      <c r="C53" s="537"/>
      <c r="D53" s="537"/>
      <c r="E53" s="545"/>
      <c r="F53" s="536"/>
      <c r="G53" s="536"/>
      <c r="H53" s="539"/>
      <c r="I53" s="540" t="s">
        <v>50</v>
      </c>
      <c r="J53" s="539" t="s">
        <v>1642</v>
      </c>
      <c r="K53" s="538"/>
      <c r="L53" s="755"/>
      <c r="M53" s="767"/>
      <c r="N53" s="767"/>
      <c r="O53" s="755"/>
      <c r="P53" s="755"/>
    </row>
    <row r="54" spans="1:16" ht="111" customHeight="1">
      <c r="A54" s="535">
        <v>8</v>
      </c>
      <c r="B54" s="1586" t="s">
        <v>1196</v>
      </c>
      <c r="C54" s="1586"/>
      <c r="D54" s="1586"/>
      <c r="E54" s="1586"/>
      <c r="F54" s="1586"/>
      <c r="G54" s="1586"/>
      <c r="H54" s="1586"/>
      <c r="I54" s="760"/>
      <c r="J54" s="539"/>
      <c r="K54" s="538"/>
    </row>
    <row r="55" spans="1:16">
      <c r="A55" s="535"/>
      <c r="B55" s="766" t="s">
        <v>1643</v>
      </c>
      <c r="C55" s="537"/>
      <c r="D55" s="537"/>
      <c r="E55" s="537"/>
      <c r="F55" s="536"/>
      <c r="G55" s="536"/>
      <c r="H55" s="539"/>
      <c r="I55" s="540"/>
      <c r="J55" s="539"/>
      <c r="K55" s="538"/>
    </row>
    <row r="56" spans="1:16">
      <c r="A56" s="535"/>
      <c r="B56" s="546"/>
      <c r="C56" s="537">
        <v>1</v>
      </c>
      <c r="D56" s="537" t="s">
        <v>33</v>
      </c>
      <c r="E56" s="537">
        <v>1</v>
      </c>
      <c r="F56" s="536">
        <v>150</v>
      </c>
      <c r="G56" s="536">
        <v>0.15</v>
      </c>
      <c r="H56" s="536">
        <v>1.5</v>
      </c>
      <c r="I56" s="538">
        <f>+TRUNC(PRODUCT(C56:H56),2)</f>
        <v>33.75</v>
      </c>
      <c r="J56" s="539"/>
      <c r="K56" s="538"/>
    </row>
    <row r="57" spans="1:16">
      <c r="A57" s="535"/>
      <c r="B57" s="546" t="s">
        <v>1636</v>
      </c>
      <c r="C57" s="537">
        <v>1</v>
      </c>
      <c r="D57" s="537" t="s">
        <v>33</v>
      </c>
      <c r="E57" s="537">
        <v>64</v>
      </c>
      <c r="F57" s="536">
        <v>0.23</v>
      </c>
      <c r="G57" s="536">
        <v>0.15</v>
      </c>
      <c r="H57" s="536">
        <v>1.5</v>
      </c>
      <c r="I57" s="762">
        <f>-TRUNC(PRODUCT(C57:H57),2)</f>
        <v>-3.31</v>
      </c>
      <c r="J57" s="539"/>
      <c r="K57" s="538"/>
    </row>
    <row r="58" spans="1:16">
      <c r="A58" s="535"/>
      <c r="B58" s="546"/>
      <c r="C58" s="537"/>
      <c r="D58" s="537"/>
      <c r="E58" s="537"/>
      <c r="F58" s="536"/>
      <c r="G58" s="536"/>
      <c r="H58" s="536"/>
      <c r="I58" s="538">
        <f>SUM(I56:I57)</f>
        <v>30.44</v>
      </c>
      <c r="J58" s="536"/>
      <c r="K58" s="538"/>
    </row>
    <row r="59" spans="1:16">
      <c r="A59" s="535"/>
      <c r="B59" s="546"/>
      <c r="C59" s="537"/>
      <c r="D59" s="537"/>
      <c r="E59" s="537"/>
      <c r="F59" s="536"/>
      <c r="G59" s="536"/>
      <c r="H59" s="539" t="s">
        <v>1617</v>
      </c>
      <c r="I59" s="737">
        <f>CEILING(I58,1)</f>
        <v>31</v>
      </c>
      <c r="J59" s="539">
        <f>'C-data'!E842</f>
        <v>5411.75</v>
      </c>
      <c r="K59" s="763">
        <f>ROUND(I59*J59,0)</f>
        <v>167764</v>
      </c>
    </row>
    <row r="60" spans="1:16">
      <c r="A60" s="535"/>
      <c r="B60" s="546"/>
      <c r="C60" s="537"/>
      <c r="D60" s="537"/>
      <c r="E60" s="537"/>
      <c r="F60" s="536"/>
      <c r="G60" s="536"/>
      <c r="H60" s="539"/>
      <c r="I60" s="540" t="s">
        <v>465</v>
      </c>
      <c r="J60" s="539" t="s">
        <v>367</v>
      </c>
      <c r="K60" s="538"/>
    </row>
    <row r="61" spans="1:16" ht="126" customHeight="1">
      <c r="A61" s="535">
        <v>9</v>
      </c>
      <c r="B61" s="1586" t="s">
        <v>1198</v>
      </c>
      <c r="C61" s="1586"/>
      <c r="D61" s="1586"/>
      <c r="E61" s="1586"/>
      <c r="F61" s="1586"/>
      <c r="G61" s="1586"/>
      <c r="H61" s="1586"/>
      <c r="I61" s="760"/>
      <c r="J61" s="539"/>
      <c r="K61" s="538"/>
    </row>
    <row r="62" spans="1:16">
      <c r="A62" s="535"/>
      <c r="B62" s="546"/>
      <c r="C62" s="537">
        <v>1</v>
      </c>
      <c r="D62" s="537" t="s">
        <v>33</v>
      </c>
      <c r="E62" s="537">
        <v>2</v>
      </c>
      <c r="F62" s="536">
        <v>150</v>
      </c>
      <c r="G62" s="536"/>
      <c r="H62" s="536">
        <v>1.8</v>
      </c>
      <c r="I62" s="538">
        <f>+TRUNC(PRODUCT(C62:H62),2)</f>
        <v>540</v>
      </c>
      <c r="J62" s="539"/>
      <c r="K62" s="538"/>
    </row>
    <row r="63" spans="1:16">
      <c r="A63" s="535"/>
      <c r="B63" s="546" t="s">
        <v>1644</v>
      </c>
      <c r="C63" s="537">
        <v>2</v>
      </c>
      <c r="D63" s="537" t="s">
        <v>33</v>
      </c>
      <c r="E63" s="537">
        <v>64</v>
      </c>
      <c r="F63" s="536">
        <v>0.08</v>
      </c>
      <c r="G63" s="536"/>
      <c r="H63" s="536">
        <v>1.8</v>
      </c>
      <c r="I63" s="538">
        <f>+TRUNC(PRODUCT(C63:H63),2)</f>
        <v>18.43</v>
      </c>
      <c r="J63" s="539"/>
      <c r="K63" s="538"/>
    </row>
    <row r="64" spans="1:16">
      <c r="A64" s="535"/>
      <c r="B64" s="546" t="s">
        <v>1645</v>
      </c>
      <c r="C64" s="537">
        <v>1</v>
      </c>
      <c r="D64" s="537" t="s">
        <v>33</v>
      </c>
      <c r="E64" s="537">
        <v>1</v>
      </c>
      <c r="F64" s="536">
        <v>150</v>
      </c>
      <c r="G64" s="536"/>
      <c r="H64" s="536">
        <v>0.23</v>
      </c>
      <c r="I64" s="538">
        <f>+TRUNC(PRODUCT(C64:H64),2)</f>
        <v>34.5</v>
      </c>
      <c r="J64" s="539"/>
      <c r="K64" s="538"/>
    </row>
    <row r="65" spans="1:11">
      <c r="A65" s="535"/>
      <c r="B65" s="546"/>
      <c r="C65" s="537"/>
      <c r="D65" s="537"/>
      <c r="E65" s="537"/>
      <c r="F65" s="536"/>
      <c r="G65" s="536"/>
      <c r="H65" s="536"/>
      <c r="I65" s="538">
        <f>SUM(I62:I64)</f>
        <v>592.92999999999995</v>
      </c>
      <c r="J65" s="539"/>
      <c r="K65" s="538"/>
    </row>
    <row r="66" spans="1:11">
      <c r="A66" s="535"/>
      <c r="B66" s="546"/>
      <c r="C66" s="537"/>
      <c r="D66" s="537"/>
      <c r="E66" s="537"/>
      <c r="F66" s="536"/>
      <c r="G66" s="536"/>
      <c r="H66" s="539" t="s">
        <v>1617</v>
      </c>
      <c r="I66" s="737">
        <f>CEILING(I65,1)</f>
        <v>593</v>
      </c>
      <c r="J66" s="539">
        <f>'C-data'!E958</f>
        <v>351.85</v>
      </c>
      <c r="K66" s="763">
        <f>ROUND(I66*J66,0)</f>
        <v>208647</v>
      </c>
    </row>
    <row r="67" spans="1:11">
      <c r="A67" s="535"/>
      <c r="B67" s="546"/>
      <c r="C67" s="537"/>
      <c r="D67" s="537"/>
      <c r="E67" s="537"/>
      <c r="F67" s="536"/>
      <c r="G67" s="536"/>
      <c r="H67" s="539"/>
      <c r="I67" s="540" t="s">
        <v>461</v>
      </c>
      <c r="J67" s="539" t="s">
        <v>1618</v>
      </c>
      <c r="K67" s="538"/>
    </row>
    <row r="68" spans="1:11">
      <c r="A68" s="535"/>
      <c r="B68" s="546"/>
      <c r="C68" s="537"/>
      <c r="D68" s="537"/>
      <c r="E68" s="537"/>
      <c r="F68" s="536"/>
      <c r="G68" s="536"/>
      <c r="H68" s="539"/>
      <c r="I68" s="540"/>
      <c r="J68" s="539"/>
      <c r="K68" s="538"/>
    </row>
    <row r="69" spans="1:11" ht="63" customHeight="1">
      <c r="A69" s="535">
        <v>10</v>
      </c>
      <c r="B69" s="1586" t="s">
        <v>761</v>
      </c>
      <c r="C69" s="1586"/>
      <c r="D69" s="1586"/>
      <c r="E69" s="1586"/>
      <c r="F69" s="1586"/>
      <c r="G69" s="1586"/>
      <c r="H69" s="1586"/>
      <c r="I69" s="760"/>
      <c r="J69" s="539"/>
      <c r="K69" s="538"/>
    </row>
    <row r="70" spans="1:11">
      <c r="A70" s="535"/>
      <c r="B70" s="768" t="s">
        <v>1646</v>
      </c>
      <c r="C70" s="537">
        <v>1</v>
      </c>
      <c r="D70" s="537" t="s">
        <v>33</v>
      </c>
      <c r="E70" s="537">
        <v>1</v>
      </c>
      <c r="F70" s="552">
        <v>2</v>
      </c>
      <c r="G70" s="552"/>
      <c r="H70" s="552">
        <v>2</v>
      </c>
      <c r="I70" s="538">
        <f>+TRUNC(PRODUCT(C70:H70),2)</f>
        <v>4</v>
      </c>
      <c r="J70" s="539"/>
      <c r="K70" s="538"/>
    </row>
    <row r="71" spans="1:11">
      <c r="A71" s="535"/>
      <c r="B71" s="768" t="s">
        <v>1647</v>
      </c>
      <c r="C71" s="537">
        <v>1</v>
      </c>
      <c r="D71" s="537" t="s">
        <v>33</v>
      </c>
      <c r="E71" s="537">
        <v>1</v>
      </c>
      <c r="F71" s="552">
        <v>4.5</v>
      </c>
      <c r="G71" s="552"/>
      <c r="H71" s="552">
        <v>2</v>
      </c>
      <c r="I71" s="538">
        <f>+TRUNC(PRODUCT(C71:H71),2)</f>
        <v>9</v>
      </c>
      <c r="J71" s="539"/>
      <c r="K71" s="538"/>
    </row>
    <row r="72" spans="1:11">
      <c r="A72" s="535"/>
      <c r="B72" s="768"/>
      <c r="C72" s="537"/>
      <c r="D72" s="537"/>
      <c r="E72" s="537"/>
      <c r="F72" s="552"/>
      <c r="G72" s="552"/>
      <c r="H72" s="552" t="s">
        <v>1617</v>
      </c>
      <c r="I72" s="762">
        <f>SUM(I70:I71)</f>
        <v>13</v>
      </c>
      <c r="J72" s="769"/>
      <c r="K72" s="538"/>
    </row>
    <row r="73" spans="1:11">
      <c r="A73" s="535"/>
      <c r="B73" s="553"/>
      <c r="C73" s="537"/>
      <c r="D73" s="537"/>
      <c r="E73" s="537"/>
      <c r="F73" s="552"/>
      <c r="G73" s="554"/>
      <c r="H73" s="554"/>
      <c r="I73" s="554">
        <f>ROUNDUP(SUM(I70:I71)*45,0)</f>
        <v>585</v>
      </c>
      <c r="J73" s="539">
        <f>'C-data'!$I$1388</f>
        <v>109.4</v>
      </c>
      <c r="K73" s="763">
        <f>ROUND(I73*J73,0)</f>
        <v>63999</v>
      </c>
    </row>
    <row r="74" spans="1:11">
      <c r="A74" s="535"/>
      <c r="B74" s="553"/>
      <c r="C74" s="537"/>
      <c r="D74" s="537"/>
      <c r="E74" s="537"/>
      <c r="F74" s="552"/>
      <c r="G74" s="554"/>
      <c r="H74" s="554"/>
      <c r="I74" s="554" t="s">
        <v>364</v>
      </c>
      <c r="J74" s="539" t="s">
        <v>1648</v>
      </c>
      <c r="K74" s="538"/>
    </row>
    <row r="75" spans="1:11">
      <c r="A75" s="535"/>
      <c r="B75" s="553"/>
      <c r="C75" s="537"/>
      <c r="D75" s="537"/>
      <c r="E75" s="537"/>
      <c r="F75" s="552"/>
      <c r="G75" s="554"/>
      <c r="H75" s="554"/>
      <c r="I75" s="554"/>
      <c r="J75" s="539"/>
      <c r="K75" s="538"/>
    </row>
    <row r="76" spans="1:11" ht="130.5" customHeight="1">
      <c r="A76" s="535">
        <v>11</v>
      </c>
      <c r="B76" s="1586" t="s">
        <v>1671</v>
      </c>
      <c r="C76" s="1586"/>
      <c r="D76" s="1586"/>
      <c r="E76" s="1586"/>
      <c r="F76" s="1586"/>
      <c r="G76" s="1586"/>
      <c r="H76" s="1586"/>
      <c r="I76" s="540"/>
      <c r="J76" s="539"/>
      <c r="K76" s="538"/>
    </row>
    <row r="77" spans="1:11">
      <c r="A77" s="535"/>
      <c r="B77" s="546" t="s">
        <v>1649</v>
      </c>
      <c r="C77" s="537"/>
      <c r="D77" s="537"/>
      <c r="E77" s="537"/>
      <c r="F77" s="536"/>
      <c r="G77" s="536"/>
      <c r="H77" s="539"/>
      <c r="I77" s="540">
        <f>+I66</f>
        <v>593</v>
      </c>
      <c r="J77" s="539">
        <f>'C-data'!I1289</f>
        <v>136.35</v>
      </c>
      <c r="K77" s="763">
        <f>ROUND(I77*J77,0)</f>
        <v>80856</v>
      </c>
    </row>
    <row r="78" spans="1:11">
      <c r="A78" s="535"/>
      <c r="B78" s="546"/>
      <c r="C78" s="537"/>
      <c r="D78" s="537"/>
      <c r="E78" s="537"/>
      <c r="F78" s="536"/>
      <c r="G78" s="536"/>
      <c r="H78" s="539"/>
      <c r="I78" s="540" t="s">
        <v>461</v>
      </c>
      <c r="J78" s="539" t="s">
        <v>1618</v>
      </c>
      <c r="K78" s="538"/>
    </row>
    <row r="79" spans="1:11" ht="88.5" customHeight="1">
      <c r="A79" s="535">
        <v>12</v>
      </c>
      <c r="B79" s="1586" t="s">
        <v>1670</v>
      </c>
      <c r="C79" s="1586"/>
      <c r="D79" s="1586"/>
      <c r="E79" s="1586"/>
      <c r="F79" s="1586"/>
      <c r="G79" s="1586"/>
      <c r="H79" s="1586"/>
      <c r="I79" s="540"/>
      <c r="J79" s="539"/>
      <c r="K79" s="538"/>
    </row>
    <row r="80" spans="1:11">
      <c r="A80" s="554"/>
      <c r="B80" s="768" t="s">
        <v>1647</v>
      </c>
      <c r="C80" s="537">
        <v>1</v>
      </c>
      <c r="D80" s="537" t="s">
        <v>33</v>
      </c>
      <c r="E80" s="537">
        <v>1</v>
      </c>
      <c r="F80" s="552">
        <v>4.5</v>
      </c>
      <c r="G80" s="552"/>
      <c r="H80" s="552">
        <v>1.8</v>
      </c>
      <c r="I80" s="762">
        <f>E80*F80*H80</f>
        <v>8.1</v>
      </c>
      <c r="J80" s="539"/>
      <c r="K80" s="538"/>
    </row>
    <row r="81" spans="1:14">
      <c r="A81" s="554"/>
      <c r="B81" s="768" t="s">
        <v>1646</v>
      </c>
      <c r="C81" s="537">
        <v>1</v>
      </c>
      <c r="D81" s="537" t="s">
        <v>33</v>
      </c>
      <c r="E81" s="537">
        <v>1</v>
      </c>
      <c r="F81" s="552">
        <v>1.8</v>
      </c>
      <c r="G81" s="552"/>
      <c r="H81" s="552">
        <v>1.8</v>
      </c>
      <c r="I81" s="762">
        <f>E81*F81*H81</f>
        <v>3.24</v>
      </c>
      <c r="J81" s="539"/>
      <c r="K81" s="538"/>
    </row>
    <row r="82" spans="1:14">
      <c r="A82" s="554"/>
      <c r="B82" s="768"/>
      <c r="C82" s="537"/>
      <c r="D82" s="537"/>
      <c r="E82" s="537"/>
      <c r="F82" s="552"/>
      <c r="G82" s="552"/>
      <c r="H82" s="552"/>
      <c r="I82" s="762">
        <f>SUM(I80:I81)</f>
        <v>11.34</v>
      </c>
      <c r="J82" s="539"/>
      <c r="K82" s="538"/>
    </row>
    <row r="83" spans="1:14">
      <c r="A83" s="554"/>
      <c r="B83" s="554"/>
      <c r="C83" s="537"/>
      <c r="D83" s="537"/>
      <c r="E83" s="537"/>
      <c r="F83" s="552"/>
      <c r="G83" s="552"/>
      <c r="H83" s="554" t="s">
        <v>1617</v>
      </c>
      <c r="I83" s="737">
        <f>CEILING(I82,1)</f>
        <v>12</v>
      </c>
      <c r="J83" s="539">
        <f>'C-data'!I1232</f>
        <v>89.350000000000009</v>
      </c>
      <c r="K83" s="763">
        <f>ROUND(I83*J83,0)</f>
        <v>1072</v>
      </c>
    </row>
    <row r="84" spans="1:14">
      <c r="A84" s="554"/>
      <c r="B84" s="554"/>
      <c r="C84" s="537"/>
      <c r="D84" s="537"/>
      <c r="E84" s="552"/>
      <c r="F84" s="552"/>
      <c r="G84" s="554"/>
      <c r="H84" s="554"/>
      <c r="I84" s="540" t="s">
        <v>461</v>
      </c>
      <c r="J84" s="539" t="s">
        <v>1618</v>
      </c>
      <c r="K84" s="538"/>
    </row>
    <row r="85" spans="1:14">
      <c r="A85" s="554"/>
      <c r="B85" s="554"/>
      <c r="C85" s="537"/>
      <c r="D85" s="537"/>
      <c r="E85" s="552"/>
      <c r="F85" s="552"/>
      <c r="G85" s="554"/>
      <c r="H85" s="554"/>
      <c r="I85" s="540"/>
      <c r="J85" s="539"/>
      <c r="K85" s="538"/>
    </row>
    <row r="86" spans="1:14" ht="87.75" customHeight="1">
      <c r="A86" s="535">
        <v>13</v>
      </c>
      <c r="B86" s="1586" t="s">
        <v>1669</v>
      </c>
      <c r="C86" s="1586"/>
      <c r="D86" s="1586"/>
      <c r="E86" s="1586"/>
      <c r="F86" s="1586"/>
      <c r="G86" s="1586"/>
      <c r="H86" s="1586"/>
      <c r="I86" s="540"/>
      <c r="J86" s="539"/>
      <c r="K86" s="538"/>
    </row>
    <row r="87" spans="1:14">
      <c r="A87" s="535"/>
      <c r="B87" s="757"/>
      <c r="C87" s="537"/>
      <c r="D87" s="537"/>
      <c r="E87" s="537"/>
      <c r="F87" s="537"/>
      <c r="G87" s="537"/>
      <c r="H87" s="537"/>
      <c r="I87" s="758">
        <v>120</v>
      </c>
      <c r="J87" s="536"/>
      <c r="K87" s="538"/>
    </row>
    <row r="88" spans="1:14">
      <c r="A88" s="535"/>
      <c r="B88" s="546"/>
      <c r="C88" s="537"/>
      <c r="D88" s="537"/>
      <c r="E88" s="537"/>
      <c r="F88" s="536"/>
      <c r="G88" s="536"/>
      <c r="H88" s="539" t="s">
        <v>1617</v>
      </c>
      <c r="I88" s="737">
        <v>120</v>
      </c>
      <c r="J88" s="539">
        <f>'C-data'!I248</f>
        <v>34.25</v>
      </c>
      <c r="K88" s="763">
        <f>ROUND(I88*J88,0)</f>
        <v>4110</v>
      </c>
    </row>
    <row r="89" spans="1:14">
      <c r="A89" s="535"/>
      <c r="B89" s="546"/>
      <c r="C89" s="537"/>
      <c r="D89" s="537"/>
      <c r="E89" s="537"/>
      <c r="F89" s="536"/>
      <c r="G89" s="536"/>
      <c r="H89" s="539"/>
      <c r="I89" s="540" t="s">
        <v>465</v>
      </c>
      <c r="J89" s="539" t="s">
        <v>367</v>
      </c>
      <c r="K89" s="538"/>
    </row>
    <row r="90" spans="1:14">
      <c r="A90" s="535"/>
      <c r="B90" s="554"/>
      <c r="C90" s="554"/>
      <c r="D90" s="537"/>
      <c r="E90" s="537"/>
      <c r="F90" s="554"/>
      <c r="G90" s="554"/>
      <c r="H90" s="554"/>
      <c r="I90" s="554"/>
      <c r="J90" s="537"/>
      <c r="K90" s="554"/>
      <c r="L90" s="555"/>
      <c r="M90" s="555"/>
      <c r="N90" s="555"/>
    </row>
    <row r="91" spans="1:14">
      <c r="A91" s="541"/>
      <c r="B91" s="556"/>
      <c r="C91" s="542"/>
      <c r="D91" s="542"/>
      <c r="E91" s="542"/>
      <c r="F91" s="547"/>
      <c r="G91" s="547"/>
      <c r="H91" s="547"/>
      <c r="I91" s="557"/>
      <c r="J91" s="543" t="s">
        <v>1617</v>
      </c>
      <c r="K91" s="558">
        <f>SUM(K9:K90)</f>
        <v>1191103</v>
      </c>
    </row>
  </sheetData>
  <mergeCells count="17">
    <mergeCell ref="B54:H54"/>
    <mergeCell ref="A1:K1"/>
    <mergeCell ref="A2:K2"/>
    <mergeCell ref="A3:K3"/>
    <mergeCell ref="C4:E4"/>
    <mergeCell ref="B5:H5"/>
    <mergeCell ref="B12:H12"/>
    <mergeCell ref="B20:H20"/>
    <mergeCell ref="B27:H27"/>
    <mergeCell ref="B34:H34"/>
    <mergeCell ref="B39:H39"/>
    <mergeCell ref="B50:H50"/>
    <mergeCell ref="B61:H61"/>
    <mergeCell ref="B69:H69"/>
    <mergeCell ref="B76:H76"/>
    <mergeCell ref="B79:H79"/>
    <mergeCell ref="B86:H86"/>
  </mergeCells>
  <printOptions horizontalCentered="1"/>
  <pageMargins left="0.5" right="0.44" top="0.69" bottom="0.75" header="0.3" footer="0.3"/>
  <pageSetup paperSize="9" orientation="portrait" r:id="rId1"/>
  <headerFooter>
    <oddFooter>&amp;LTSEWIDC-MBNR&amp;CDET CUM ABS-COMPOUND WALL&amp;R&amp;P OF &amp;N</oddFooter>
  </headerFooter>
  <rowBreaks count="2" manualBreakCount="2">
    <brk id="19" max="16383" man="1"/>
    <brk id="85"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8">
    <tabColor rgb="FFC00000"/>
  </sheetPr>
  <dimension ref="A1:Q38"/>
  <sheetViews>
    <sheetView view="pageBreakPreview" zoomScale="85" zoomScaleNormal="55" zoomScaleSheetLayoutView="85" workbookViewId="0">
      <selection activeCell="G17" sqref="G17"/>
    </sheetView>
  </sheetViews>
  <sheetFormatPr defaultColWidth="10.26171875" defaultRowHeight="15.3"/>
  <cols>
    <col min="1" max="1" width="6.26171875" style="588" customWidth="1"/>
    <col min="2" max="2" width="22.26171875" style="562" bestFit="1" customWidth="1"/>
    <col min="3" max="4" width="4.68359375" style="589" bestFit="1" customWidth="1"/>
    <col min="5" max="5" width="3.15625" style="589" customWidth="1"/>
    <col min="6" max="6" width="5.83984375" style="589" bestFit="1" customWidth="1"/>
    <col min="7" max="7" width="8.578125" style="590" bestFit="1" customWidth="1"/>
    <col min="8" max="8" width="5.83984375" style="590" customWidth="1"/>
    <col min="9" max="9" width="8.68359375" style="590" customWidth="1"/>
    <col min="10" max="10" width="11.15625" style="590" customWidth="1"/>
    <col min="11" max="11" width="6.83984375" style="589" customWidth="1"/>
    <col min="12" max="12" width="10.578125" style="589" bestFit="1" customWidth="1"/>
    <col min="13" max="14" width="9.26171875" style="589" bestFit="1" customWidth="1"/>
    <col min="15" max="15" width="7.83984375" style="589" bestFit="1" customWidth="1"/>
    <col min="16" max="17" width="9" style="589" customWidth="1"/>
    <col min="18" max="256" width="10.26171875" style="562"/>
    <col min="257" max="257" width="6.26171875" style="562" customWidth="1"/>
    <col min="258" max="258" width="22.26171875" style="562" bestFit="1" customWidth="1"/>
    <col min="259" max="260" width="4.68359375" style="562" bestFit="1" customWidth="1"/>
    <col min="261" max="261" width="3.15625" style="562" customWidth="1"/>
    <col min="262" max="262" width="5.83984375" style="562" bestFit="1" customWidth="1"/>
    <col min="263" max="263" width="8.578125" style="562" bestFit="1" customWidth="1"/>
    <col min="264" max="264" width="5.83984375" style="562" customWidth="1"/>
    <col min="265" max="265" width="8.68359375" style="562" customWidth="1"/>
    <col min="266" max="266" width="11.15625" style="562" customWidth="1"/>
    <col min="267" max="267" width="6.83984375" style="562" customWidth="1"/>
    <col min="268" max="268" width="10.578125" style="562" bestFit="1" customWidth="1"/>
    <col min="269" max="270" width="9.26171875" style="562" bestFit="1" customWidth="1"/>
    <col min="271" max="271" width="7.83984375" style="562" bestFit="1" customWidth="1"/>
    <col min="272" max="273" width="9" style="562" customWidth="1"/>
    <col min="274" max="512" width="10.26171875" style="562"/>
    <col min="513" max="513" width="6.26171875" style="562" customWidth="1"/>
    <col min="514" max="514" width="22.26171875" style="562" bestFit="1" customWidth="1"/>
    <col min="515" max="516" width="4.68359375" style="562" bestFit="1" customWidth="1"/>
    <col min="517" max="517" width="3.15625" style="562" customWidth="1"/>
    <col min="518" max="518" width="5.83984375" style="562" bestFit="1" customWidth="1"/>
    <col min="519" max="519" width="8.578125" style="562" bestFit="1" customWidth="1"/>
    <col min="520" max="520" width="5.83984375" style="562" customWidth="1"/>
    <col min="521" max="521" width="8.68359375" style="562" customWidth="1"/>
    <col min="522" max="522" width="11.15625" style="562" customWidth="1"/>
    <col min="523" max="523" width="6.83984375" style="562" customWidth="1"/>
    <col min="524" max="524" width="10.578125" style="562" bestFit="1" customWidth="1"/>
    <col min="525" max="526" width="9.26171875" style="562" bestFit="1" customWidth="1"/>
    <col min="527" max="527" width="7.83984375" style="562" bestFit="1" customWidth="1"/>
    <col min="528" max="529" width="9" style="562" customWidth="1"/>
    <col min="530" max="768" width="10.26171875" style="562"/>
    <col min="769" max="769" width="6.26171875" style="562" customWidth="1"/>
    <col min="770" max="770" width="22.26171875" style="562" bestFit="1" customWidth="1"/>
    <col min="771" max="772" width="4.68359375" style="562" bestFit="1" customWidth="1"/>
    <col min="773" max="773" width="3.15625" style="562" customWidth="1"/>
    <col min="774" max="774" width="5.83984375" style="562" bestFit="1" customWidth="1"/>
    <col min="775" max="775" width="8.578125" style="562" bestFit="1" customWidth="1"/>
    <col min="776" max="776" width="5.83984375" style="562" customWidth="1"/>
    <col min="777" max="777" width="8.68359375" style="562" customWidth="1"/>
    <col min="778" max="778" width="11.15625" style="562" customWidth="1"/>
    <col min="779" max="779" width="6.83984375" style="562" customWidth="1"/>
    <col min="780" max="780" width="10.578125" style="562" bestFit="1" customWidth="1"/>
    <col min="781" max="782" width="9.26171875" style="562" bestFit="1" customWidth="1"/>
    <col min="783" max="783" width="7.83984375" style="562" bestFit="1" customWidth="1"/>
    <col min="784" max="785" width="9" style="562" customWidth="1"/>
    <col min="786" max="1024" width="10.26171875" style="562"/>
    <col min="1025" max="1025" width="6.26171875" style="562" customWidth="1"/>
    <col min="1026" max="1026" width="22.26171875" style="562" bestFit="1" customWidth="1"/>
    <col min="1027" max="1028" width="4.68359375" style="562" bestFit="1" customWidth="1"/>
    <col min="1029" max="1029" width="3.15625" style="562" customWidth="1"/>
    <col min="1030" max="1030" width="5.83984375" style="562" bestFit="1" customWidth="1"/>
    <col min="1031" max="1031" width="8.578125" style="562" bestFit="1" customWidth="1"/>
    <col min="1032" max="1032" width="5.83984375" style="562" customWidth="1"/>
    <col min="1033" max="1033" width="8.68359375" style="562" customWidth="1"/>
    <col min="1034" max="1034" width="11.15625" style="562" customWidth="1"/>
    <col min="1035" max="1035" width="6.83984375" style="562" customWidth="1"/>
    <col min="1036" max="1036" width="10.578125" style="562" bestFit="1" customWidth="1"/>
    <col min="1037" max="1038" width="9.26171875" style="562" bestFit="1" customWidth="1"/>
    <col min="1039" max="1039" width="7.83984375" style="562" bestFit="1" customWidth="1"/>
    <col min="1040" max="1041" width="9" style="562" customWidth="1"/>
    <col min="1042" max="1280" width="10.26171875" style="562"/>
    <col min="1281" max="1281" width="6.26171875" style="562" customWidth="1"/>
    <col min="1282" max="1282" width="22.26171875" style="562" bestFit="1" customWidth="1"/>
    <col min="1283" max="1284" width="4.68359375" style="562" bestFit="1" customWidth="1"/>
    <col min="1285" max="1285" width="3.15625" style="562" customWidth="1"/>
    <col min="1286" max="1286" width="5.83984375" style="562" bestFit="1" customWidth="1"/>
    <col min="1287" max="1287" width="8.578125" style="562" bestFit="1" customWidth="1"/>
    <col min="1288" max="1288" width="5.83984375" style="562" customWidth="1"/>
    <col min="1289" max="1289" width="8.68359375" style="562" customWidth="1"/>
    <col min="1290" max="1290" width="11.15625" style="562" customWidth="1"/>
    <col min="1291" max="1291" width="6.83984375" style="562" customWidth="1"/>
    <col min="1292" max="1292" width="10.578125" style="562" bestFit="1" customWidth="1"/>
    <col min="1293" max="1294" width="9.26171875" style="562" bestFit="1" customWidth="1"/>
    <col min="1295" max="1295" width="7.83984375" style="562" bestFit="1" customWidth="1"/>
    <col min="1296" max="1297" width="9" style="562" customWidth="1"/>
    <col min="1298" max="1536" width="10.26171875" style="562"/>
    <col min="1537" max="1537" width="6.26171875" style="562" customWidth="1"/>
    <col min="1538" max="1538" width="22.26171875" style="562" bestFit="1" customWidth="1"/>
    <col min="1539" max="1540" width="4.68359375" style="562" bestFit="1" customWidth="1"/>
    <col min="1541" max="1541" width="3.15625" style="562" customWidth="1"/>
    <col min="1542" max="1542" width="5.83984375" style="562" bestFit="1" customWidth="1"/>
    <col min="1543" max="1543" width="8.578125" style="562" bestFit="1" customWidth="1"/>
    <col min="1544" max="1544" width="5.83984375" style="562" customWidth="1"/>
    <col min="1545" max="1545" width="8.68359375" style="562" customWidth="1"/>
    <col min="1546" max="1546" width="11.15625" style="562" customWidth="1"/>
    <col min="1547" max="1547" width="6.83984375" style="562" customWidth="1"/>
    <col min="1548" max="1548" width="10.578125" style="562" bestFit="1" customWidth="1"/>
    <col min="1549" max="1550" width="9.26171875" style="562" bestFit="1" customWidth="1"/>
    <col min="1551" max="1551" width="7.83984375" style="562" bestFit="1" customWidth="1"/>
    <col min="1552" max="1553" width="9" style="562" customWidth="1"/>
    <col min="1554" max="1792" width="10.26171875" style="562"/>
    <col min="1793" max="1793" width="6.26171875" style="562" customWidth="1"/>
    <col min="1794" max="1794" width="22.26171875" style="562" bestFit="1" customWidth="1"/>
    <col min="1795" max="1796" width="4.68359375" style="562" bestFit="1" customWidth="1"/>
    <col min="1797" max="1797" width="3.15625" style="562" customWidth="1"/>
    <col min="1798" max="1798" width="5.83984375" style="562" bestFit="1" customWidth="1"/>
    <col min="1799" max="1799" width="8.578125" style="562" bestFit="1" customWidth="1"/>
    <col min="1800" max="1800" width="5.83984375" style="562" customWidth="1"/>
    <col min="1801" max="1801" width="8.68359375" style="562" customWidth="1"/>
    <col min="1802" max="1802" width="11.15625" style="562" customWidth="1"/>
    <col min="1803" max="1803" width="6.83984375" style="562" customWidth="1"/>
    <col min="1804" max="1804" width="10.578125" style="562" bestFit="1" customWidth="1"/>
    <col min="1805" max="1806" width="9.26171875" style="562" bestFit="1" customWidth="1"/>
    <col min="1807" max="1807" width="7.83984375" style="562" bestFit="1" customWidth="1"/>
    <col min="1808" max="1809" width="9" style="562" customWidth="1"/>
    <col min="1810" max="2048" width="10.26171875" style="562"/>
    <col min="2049" max="2049" width="6.26171875" style="562" customWidth="1"/>
    <col min="2050" max="2050" width="22.26171875" style="562" bestFit="1" customWidth="1"/>
    <col min="2051" max="2052" width="4.68359375" style="562" bestFit="1" customWidth="1"/>
    <col min="2053" max="2053" width="3.15625" style="562" customWidth="1"/>
    <col min="2054" max="2054" width="5.83984375" style="562" bestFit="1" customWidth="1"/>
    <col min="2055" max="2055" width="8.578125" style="562" bestFit="1" customWidth="1"/>
    <col min="2056" max="2056" width="5.83984375" style="562" customWidth="1"/>
    <col min="2057" max="2057" width="8.68359375" style="562" customWidth="1"/>
    <col min="2058" max="2058" width="11.15625" style="562" customWidth="1"/>
    <col min="2059" max="2059" width="6.83984375" style="562" customWidth="1"/>
    <col min="2060" max="2060" width="10.578125" style="562" bestFit="1" customWidth="1"/>
    <col min="2061" max="2062" width="9.26171875" style="562" bestFit="1" customWidth="1"/>
    <col min="2063" max="2063" width="7.83984375" style="562" bestFit="1" customWidth="1"/>
    <col min="2064" max="2065" width="9" style="562" customWidth="1"/>
    <col min="2066" max="2304" width="10.26171875" style="562"/>
    <col min="2305" max="2305" width="6.26171875" style="562" customWidth="1"/>
    <col min="2306" max="2306" width="22.26171875" style="562" bestFit="1" customWidth="1"/>
    <col min="2307" max="2308" width="4.68359375" style="562" bestFit="1" customWidth="1"/>
    <col min="2309" max="2309" width="3.15625" style="562" customWidth="1"/>
    <col min="2310" max="2310" width="5.83984375" style="562" bestFit="1" customWidth="1"/>
    <col min="2311" max="2311" width="8.578125" style="562" bestFit="1" customWidth="1"/>
    <col min="2312" max="2312" width="5.83984375" style="562" customWidth="1"/>
    <col min="2313" max="2313" width="8.68359375" style="562" customWidth="1"/>
    <col min="2314" max="2314" width="11.15625" style="562" customWidth="1"/>
    <col min="2315" max="2315" width="6.83984375" style="562" customWidth="1"/>
    <col min="2316" max="2316" width="10.578125" style="562" bestFit="1" customWidth="1"/>
    <col min="2317" max="2318" width="9.26171875" style="562" bestFit="1" customWidth="1"/>
    <col min="2319" max="2319" width="7.83984375" style="562" bestFit="1" customWidth="1"/>
    <col min="2320" max="2321" width="9" style="562" customWidth="1"/>
    <col min="2322" max="2560" width="10.26171875" style="562"/>
    <col min="2561" max="2561" width="6.26171875" style="562" customWidth="1"/>
    <col min="2562" max="2562" width="22.26171875" style="562" bestFit="1" customWidth="1"/>
    <col min="2563" max="2564" width="4.68359375" style="562" bestFit="1" customWidth="1"/>
    <col min="2565" max="2565" width="3.15625" style="562" customWidth="1"/>
    <col min="2566" max="2566" width="5.83984375" style="562" bestFit="1" customWidth="1"/>
    <col min="2567" max="2567" width="8.578125" style="562" bestFit="1" customWidth="1"/>
    <col min="2568" max="2568" width="5.83984375" style="562" customWidth="1"/>
    <col min="2569" max="2569" width="8.68359375" style="562" customWidth="1"/>
    <col min="2570" max="2570" width="11.15625" style="562" customWidth="1"/>
    <col min="2571" max="2571" width="6.83984375" style="562" customWidth="1"/>
    <col min="2572" max="2572" width="10.578125" style="562" bestFit="1" customWidth="1"/>
    <col min="2573" max="2574" width="9.26171875" style="562" bestFit="1" customWidth="1"/>
    <col min="2575" max="2575" width="7.83984375" style="562" bestFit="1" customWidth="1"/>
    <col min="2576" max="2577" width="9" style="562" customWidth="1"/>
    <col min="2578" max="2816" width="10.26171875" style="562"/>
    <col min="2817" max="2817" width="6.26171875" style="562" customWidth="1"/>
    <col min="2818" max="2818" width="22.26171875" style="562" bestFit="1" customWidth="1"/>
    <col min="2819" max="2820" width="4.68359375" style="562" bestFit="1" customWidth="1"/>
    <col min="2821" max="2821" width="3.15625" style="562" customWidth="1"/>
    <col min="2822" max="2822" width="5.83984375" style="562" bestFit="1" customWidth="1"/>
    <col min="2823" max="2823" width="8.578125" style="562" bestFit="1" customWidth="1"/>
    <col min="2824" max="2824" width="5.83984375" style="562" customWidth="1"/>
    <col min="2825" max="2825" width="8.68359375" style="562" customWidth="1"/>
    <col min="2826" max="2826" width="11.15625" style="562" customWidth="1"/>
    <col min="2827" max="2827" width="6.83984375" style="562" customWidth="1"/>
    <col min="2828" max="2828" width="10.578125" style="562" bestFit="1" customWidth="1"/>
    <col min="2829" max="2830" width="9.26171875" style="562" bestFit="1" customWidth="1"/>
    <col min="2831" max="2831" width="7.83984375" style="562" bestFit="1" customWidth="1"/>
    <col min="2832" max="2833" width="9" style="562" customWidth="1"/>
    <col min="2834" max="3072" width="10.26171875" style="562"/>
    <col min="3073" max="3073" width="6.26171875" style="562" customWidth="1"/>
    <col min="3074" max="3074" width="22.26171875" style="562" bestFit="1" customWidth="1"/>
    <col min="3075" max="3076" width="4.68359375" style="562" bestFit="1" customWidth="1"/>
    <col min="3077" max="3077" width="3.15625" style="562" customWidth="1"/>
    <col min="3078" max="3078" width="5.83984375" style="562" bestFit="1" customWidth="1"/>
    <col min="3079" max="3079" width="8.578125" style="562" bestFit="1" customWidth="1"/>
    <col min="3080" max="3080" width="5.83984375" style="562" customWidth="1"/>
    <col min="3081" max="3081" width="8.68359375" style="562" customWidth="1"/>
    <col min="3082" max="3082" width="11.15625" style="562" customWidth="1"/>
    <col min="3083" max="3083" width="6.83984375" style="562" customWidth="1"/>
    <col min="3084" max="3084" width="10.578125" style="562" bestFit="1" customWidth="1"/>
    <col min="3085" max="3086" width="9.26171875" style="562" bestFit="1" customWidth="1"/>
    <col min="3087" max="3087" width="7.83984375" style="562" bestFit="1" customWidth="1"/>
    <col min="3088" max="3089" width="9" style="562" customWidth="1"/>
    <col min="3090" max="3328" width="10.26171875" style="562"/>
    <col min="3329" max="3329" width="6.26171875" style="562" customWidth="1"/>
    <col min="3330" max="3330" width="22.26171875" style="562" bestFit="1" customWidth="1"/>
    <col min="3331" max="3332" width="4.68359375" style="562" bestFit="1" customWidth="1"/>
    <col min="3333" max="3333" width="3.15625" style="562" customWidth="1"/>
    <col min="3334" max="3334" width="5.83984375" style="562" bestFit="1" customWidth="1"/>
    <col min="3335" max="3335" width="8.578125" style="562" bestFit="1" customWidth="1"/>
    <col min="3336" max="3336" width="5.83984375" style="562" customWidth="1"/>
    <col min="3337" max="3337" width="8.68359375" style="562" customWidth="1"/>
    <col min="3338" max="3338" width="11.15625" style="562" customWidth="1"/>
    <col min="3339" max="3339" width="6.83984375" style="562" customWidth="1"/>
    <col min="3340" max="3340" width="10.578125" style="562" bestFit="1" customWidth="1"/>
    <col min="3341" max="3342" width="9.26171875" style="562" bestFit="1" customWidth="1"/>
    <col min="3343" max="3343" width="7.83984375" style="562" bestFit="1" customWidth="1"/>
    <col min="3344" max="3345" width="9" style="562" customWidth="1"/>
    <col min="3346" max="3584" width="10.26171875" style="562"/>
    <col min="3585" max="3585" width="6.26171875" style="562" customWidth="1"/>
    <col min="3586" max="3586" width="22.26171875" style="562" bestFit="1" customWidth="1"/>
    <col min="3587" max="3588" width="4.68359375" style="562" bestFit="1" customWidth="1"/>
    <col min="3589" max="3589" width="3.15625" style="562" customWidth="1"/>
    <col min="3590" max="3590" width="5.83984375" style="562" bestFit="1" customWidth="1"/>
    <col min="3591" max="3591" width="8.578125" style="562" bestFit="1" customWidth="1"/>
    <col min="3592" max="3592" width="5.83984375" style="562" customWidth="1"/>
    <col min="3593" max="3593" width="8.68359375" style="562" customWidth="1"/>
    <col min="3594" max="3594" width="11.15625" style="562" customWidth="1"/>
    <col min="3595" max="3595" width="6.83984375" style="562" customWidth="1"/>
    <col min="3596" max="3596" width="10.578125" style="562" bestFit="1" customWidth="1"/>
    <col min="3597" max="3598" width="9.26171875" style="562" bestFit="1" customWidth="1"/>
    <col min="3599" max="3599" width="7.83984375" style="562" bestFit="1" customWidth="1"/>
    <col min="3600" max="3601" width="9" style="562" customWidth="1"/>
    <col min="3602" max="3840" width="10.26171875" style="562"/>
    <col min="3841" max="3841" width="6.26171875" style="562" customWidth="1"/>
    <col min="3842" max="3842" width="22.26171875" style="562" bestFit="1" customWidth="1"/>
    <col min="3843" max="3844" width="4.68359375" style="562" bestFit="1" customWidth="1"/>
    <col min="3845" max="3845" width="3.15625" style="562" customWidth="1"/>
    <col min="3846" max="3846" width="5.83984375" style="562" bestFit="1" customWidth="1"/>
    <col min="3847" max="3847" width="8.578125" style="562" bestFit="1" customWidth="1"/>
    <col min="3848" max="3848" width="5.83984375" style="562" customWidth="1"/>
    <col min="3849" max="3849" width="8.68359375" style="562" customWidth="1"/>
    <col min="3850" max="3850" width="11.15625" style="562" customWidth="1"/>
    <col min="3851" max="3851" width="6.83984375" style="562" customWidth="1"/>
    <col min="3852" max="3852" width="10.578125" style="562" bestFit="1" customWidth="1"/>
    <col min="3853" max="3854" width="9.26171875" style="562" bestFit="1" customWidth="1"/>
    <col min="3855" max="3855" width="7.83984375" style="562" bestFit="1" customWidth="1"/>
    <col min="3856" max="3857" width="9" style="562" customWidth="1"/>
    <col min="3858" max="4096" width="10.26171875" style="562"/>
    <col min="4097" max="4097" width="6.26171875" style="562" customWidth="1"/>
    <col min="4098" max="4098" width="22.26171875" style="562" bestFit="1" customWidth="1"/>
    <col min="4099" max="4100" width="4.68359375" style="562" bestFit="1" customWidth="1"/>
    <col min="4101" max="4101" width="3.15625" style="562" customWidth="1"/>
    <col min="4102" max="4102" width="5.83984375" style="562" bestFit="1" customWidth="1"/>
    <col min="4103" max="4103" width="8.578125" style="562" bestFit="1" customWidth="1"/>
    <col min="4104" max="4104" width="5.83984375" style="562" customWidth="1"/>
    <col min="4105" max="4105" width="8.68359375" style="562" customWidth="1"/>
    <col min="4106" max="4106" width="11.15625" style="562" customWidth="1"/>
    <col min="4107" max="4107" width="6.83984375" style="562" customWidth="1"/>
    <col min="4108" max="4108" width="10.578125" style="562" bestFit="1" customWidth="1"/>
    <col min="4109" max="4110" width="9.26171875" style="562" bestFit="1" customWidth="1"/>
    <col min="4111" max="4111" width="7.83984375" style="562" bestFit="1" customWidth="1"/>
    <col min="4112" max="4113" width="9" style="562" customWidth="1"/>
    <col min="4114" max="4352" width="10.26171875" style="562"/>
    <col min="4353" max="4353" width="6.26171875" style="562" customWidth="1"/>
    <col min="4354" max="4354" width="22.26171875" style="562" bestFit="1" customWidth="1"/>
    <col min="4355" max="4356" width="4.68359375" style="562" bestFit="1" customWidth="1"/>
    <col min="4357" max="4357" width="3.15625" style="562" customWidth="1"/>
    <col min="4358" max="4358" width="5.83984375" style="562" bestFit="1" customWidth="1"/>
    <col min="4359" max="4359" width="8.578125" style="562" bestFit="1" customWidth="1"/>
    <col min="4360" max="4360" width="5.83984375" style="562" customWidth="1"/>
    <col min="4361" max="4361" width="8.68359375" style="562" customWidth="1"/>
    <col min="4362" max="4362" width="11.15625" style="562" customWidth="1"/>
    <col min="4363" max="4363" width="6.83984375" style="562" customWidth="1"/>
    <col min="4364" max="4364" width="10.578125" style="562" bestFit="1" customWidth="1"/>
    <col min="4365" max="4366" width="9.26171875" style="562" bestFit="1" customWidth="1"/>
    <col min="4367" max="4367" width="7.83984375" style="562" bestFit="1" customWidth="1"/>
    <col min="4368" max="4369" width="9" style="562" customWidth="1"/>
    <col min="4370" max="4608" width="10.26171875" style="562"/>
    <col min="4609" max="4609" width="6.26171875" style="562" customWidth="1"/>
    <col min="4610" max="4610" width="22.26171875" style="562" bestFit="1" customWidth="1"/>
    <col min="4611" max="4612" width="4.68359375" style="562" bestFit="1" customWidth="1"/>
    <col min="4613" max="4613" width="3.15625" style="562" customWidth="1"/>
    <col min="4614" max="4614" width="5.83984375" style="562" bestFit="1" customWidth="1"/>
    <col min="4615" max="4615" width="8.578125" style="562" bestFit="1" customWidth="1"/>
    <col min="4616" max="4616" width="5.83984375" style="562" customWidth="1"/>
    <col min="4617" max="4617" width="8.68359375" style="562" customWidth="1"/>
    <col min="4618" max="4618" width="11.15625" style="562" customWidth="1"/>
    <col min="4619" max="4619" width="6.83984375" style="562" customWidth="1"/>
    <col min="4620" max="4620" width="10.578125" style="562" bestFit="1" customWidth="1"/>
    <col min="4621" max="4622" width="9.26171875" style="562" bestFit="1" customWidth="1"/>
    <col min="4623" max="4623" width="7.83984375" style="562" bestFit="1" customWidth="1"/>
    <col min="4624" max="4625" width="9" style="562" customWidth="1"/>
    <col min="4626" max="4864" width="10.26171875" style="562"/>
    <col min="4865" max="4865" width="6.26171875" style="562" customWidth="1"/>
    <col min="4866" max="4866" width="22.26171875" style="562" bestFit="1" customWidth="1"/>
    <col min="4867" max="4868" width="4.68359375" style="562" bestFit="1" customWidth="1"/>
    <col min="4869" max="4869" width="3.15625" style="562" customWidth="1"/>
    <col min="4870" max="4870" width="5.83984375" style="562" bestFit="1" customWidth="1"/>
    <col min="4871" max="4871" width="8.578125" style="562" bestFit="1" customWidth="1"/>
    <col min="4872" max="4872" width="5.83984375" style="562" customWidth="1"/>
    <col min="4873" max="4873" width="8.68359375" style="562" customWidth="1"/>
    <col min="4874" max="4874" width="11.15625" style="562" customWidth="1"/>
    <col min="4875" max="4875" width="6.83984375" style="562" customWidth="1"/>
    <col min="4876" max="4876" width="10.578125" style="562" bestFit="1" customWidth="1"/>
    <col min="4877" max="4878" width="9.26171875" style="562" bestFit="1" customWidth="1"/>
    <col min="4879" max="4879" width="7.83984375" style="562" bestFit="1" customWidth="1"/>
    <col min="4880" max="4881" width="9" style="562" customWidth="1"/>
    <col min="4882" max="5120" width="10.26171875" style="562"/>
    <col min="5121" max="5121" width="6.26171875" style="562" customWidth="1"/>
    <col min="5122" max="5122" width="22.26171875" style="562" bestFit="1" customWidth="1"/>
    <col min="5123" max="5124" width="4.68359375" style="562" bestFit="1" customWidth="1"/>
    <col min="5125" max="5125" width="3.15625" style="562" customWidth="1"/>
    <col min="5126" max="5126" width="5.83984375" style="562" bestFit="1" customWidth="1"/>
    <col min="5127" max="5127" width="8.578125" style="562" bestFit="1" customWidth="1"/>
    <col min="5128" max="5128" width="5.83984375" style="562" customWidth="1"/>
    <col min="5129" max="5129" width="8.68359375" style="562" customWidth="1"/>
    <col min="5130" max="5130" width="11.15625" style="562" customWidth="1"/>
    <col min="5131" max="5131" width="6.83984375" style="562" customWidth="1"/>
    <col min="5132" max="5132" width="10.578125" style="562" bestFit="1" customWidth="1"/>
    <col min="5133" max="5134" width="9.26171875" style="562" bestFit="1" customWidth="1"/>
    <col min="5135" max="5135" width="7.83984375" style="562" bestFit="1" customWidth="1"/>
    <col min="5136" max="5137" width="9" style="562" customWidth="1"/>
    <col min="5138" max="5376" width="10.26171875" style="562"/>
    <col min="5377" max="5377" width="6.26171875" style="562" customWidth="1"/>
    <col min="5378" max="5378" width="22.26171875" style="562" bestFit="1" customWidth="1"/>
    <col min="5379" max="5380" width="4.68359375" style="562" bestFit="1" customWidth="1"/>
    <col min="5381" max="5381" width="3.15625" style="562" customWidth="1"/>
    <col min="5382" max="5382" width="5.83984375" style="562" bestFit="1" customWidth="1"/>
    <col min="5383" max="5383" width="8.578125" style="562" bestFit="1" customWidth="1"/>
    <col min="5384" max="5384" width="5.83984375" style="562" customWidth="1"/>
    <col min="5385" max="5385" width="8.68359375" style="562" customWidth="1"/>
    <col min="5386" max="5386" width="11.15625" style="562" customWidth="1"/>
    <col min="5387" max="5387" width="6.83984375" style="562" customWidth="1"/>
    <col min="5388" max="5388" width="10.578125" style="562" bestFit="1" customWidth="1"/>
    <col min="5389" max="5390" width="9.26171875" style="562" bestFit="1" customWidth="1"/>
    <col min="5391" max="5391" width="7.83984375" style="562" bestFit="1" customWidth="1"/>
    <col min="5392" max="5393" width="9" style="562" customWidth="1"/>
    <col min="5394" max="5632" width="10.26171875" style="562"/>
    <col min="5633" max="5633" width="6.26171875" style="562" customWidth="1"/>
    <col min="5634" max="5634" width="22.26171875" style="562" bestFit="1" customWidth="1"/>
    <col min="5635" max="5636" width="4.68359375" style="562" bestFit="1" customWidth="1"/>
    <col min="5637" max="5637" width="3.15625" style="562" customWidth="1"/>
    <col min="5638" max="5638" width="5.83984375" style="562" bestFit="1" customWidth="1"/>
    <col min="5639" max="5639" width="8.578125" style="562" bestFit="1" customWidth="1"/>
    <col min="5640" max="5640" width="5.83984375" style="562" customWidth="1"/>
    <col min="5641" max="5641" width="8.68359375" style="562" customWidth="1"/>
    <col min="5642" max="5642" width="11.15625" style="562" customWidth="1"/>
    <col min="5643" max="5643" width="6.83984375" style="562" customWidth="1"/>
    <col min="5644" max="5644" width="10.578125" style="562" bestFit="1" customWidth="1"/>
    <col min="5645" max="5646" width="9.26171875" style="562" bestFit="1" customWidth="1"/>
    <col min="5647" max="5647" width="7.83984375" style="562" bestFit="1" customWidth="1"/>
    <col min="5648" max="5649" width="9" style="562" customWidth="1"/>
    <col min="5650" max="5888" width="10.26171875" style="562"/>
    <col min="5889" max="5889" width="6.26171875" style="562" customWidth="1"/>
    <col min="5890" max="5890" width="22.26171875" style="562" bestFit="1" customWidth="1"/>
    <col min="5891" max="5892" width="4.68359375" style="562" bestFit="1" customWidth="1"/>
    <col min="5893" max="5893" width="3.15625" style="562" customWidth="1"/>
    <col min="5894" max="5894" width="5.83984375" style="562" bestFit="1" customWidth="1"/>
    <col min="5895" max="5895" width="8.578125" style="562" bestFit="1" customWidth="1"/>
    <col min="5896" max="5896" width="5.83984375" style="562" customWidth="1"/>
    <col min="5897" max="5897" width="8.68359375" style="562" customWidth="1"/>
    <col min="5898" max="5898" width="11.15625" style="562" customWidth="1"/>
    <col min="5899" max="5899" width="6.83984375" style="562" customWidth="1"/>
    <col min="5900" max="5900" width="10.578125" style="562" bestFit="1" customWidth="1"/>
    <col min="5901" max="5902" width="9.26171875" style="562" bestFit="1" customWidth="1"/>
    <col min="5903" max="5903" width="7.83984375" style="562" bestFit="1" customWidth="1"/>
    <col min="5904" max="5905" width="9" style="562" customWidth="1"/>
    <col min="5906" max="6144" width="10.26171875" style="562"/>
    <col min="6145" max="6145" width="6.26171875" style="562" customWidth="1"/>
    <col min="6146" max="6146" width="22.26171875" style="562" bestFit="1" customWidth="1"/>
    <col min="6147" max="6148" width="4.68359375" style="562" bestFit="1" customWidth="1"/>
    <col min="6149" max="6149" width="3.15625" style="562" customWidth="1"/>
    <col min="6150" max="6150" width="5.83984375" style="562" bestFit="1" customWidth="1"/>
    <col min="6151" max="6151" width="8.578125" style="562" bestFit="1" customWidth="1"/>
    <col min="6152" max="6152" width="5.83984375" style="562" customWidth="1"/>
    <col min="6153" max="6153" width="8.68359375" style="562" customWidth="1"/>
    <col min="6154" max="6154" width="11.15625" style="562" customWidth="1"/>
    <col min="6155" max="6155" width="6.83984375" style="562" customWidth="1"/>
    <col min="6156" max="6156" width="10.578125" style="562" bestFit="1" customWidth="1"/>
    <col min="6157" max="6158" width="9.26171875" style="562" bestFit="1" customWidth="1"/>
    <col min="6159" max="6159" width="7.83984375" style="562" bestFit="1" customWidth="1"/>
    <col min="6160" max="6161" width="9" style="562" customWidth="1"/>
    <col min="6162" max="6400" width="10.26171875" style="562"/>
    <col min="6401" max="6401" width="6.26171875" style="562" customWidth="1"/>
    <col min="6402" max="6402" width="22.26171875" style="562" bestFit="1" customWidth="1"/>
    <col min="6403" max="6404" width="4.68359375" style="562" bestFit="1" customWidth="1"/>
    <col min="6405" max="6405" width="3.15625" style="562" customWidth="1"/>
    <col min="6406" max="6406" width="5.83984375" style="562" bestFit="1" customWidth="1"/>
    <col min="6407" max="6407" width="8.578125" style="562" bestFit="1" customWidth="1"/>
    <col min="6408" max="6408" width="5.83984375" style="562" customWidth="1"/>
    <col min="6409" max="6409" width="8.68359375" style="562" customWidth="1"/>
    <col min="6410" max="6410" width="11.15625" style="562" customWidth="1"/>
    <col min="6411" max="6411" width="6.83984375" style="562" customWidth="1"/>
    <col min="6412" max="6412" width="10.578125" style="562" bestFit="1" customWidth="1"/>
    <col min="6413" max="6414" width="9.26171875" style="562" bestFit="1" customWidth="1"/>
    <col min="6415" max="6415" width="7.83984375" style="562" bestFit="1" customWidth="1"/>
    <col min="6416" max="6417" width="9" style="562" customWidth="1"/>
    <col min="6418" max="6656" width="10.26171875" style="562"/>
    <col min="6657" max="6657" width="6.26171875" style="562" customWidth="1"/>
    <col min="6658" max="6658" width="22.26171875" style="562" bestFit="1" customWidth="1"/>
    <col min="6659" max="6660" width="4.68359375" style="562" bestFit="1" customWidth="1"/>
    <col min="6661" max="6661" width="3.15625" style="562" customWidth="1"/>
    <col min="6662" max="6662" width="5.83984375" style="562" bestFit="1" customWidth="1"/>
    <col min="6663" max="6663" width="8.578125" style="562" bestFit="1" customWidth="1"/>
    <col min="6664" max="6664" width="5.83984375" style="562" customWidth="1"/>
    <col min="6665" max="6665" width="8.68359375" style="562" customWidth="1"/>
    <col min="6666" max="6666" width="11.15625" style="562" customWidth="1"/>
    <col min="6667" max="6667" width="6.83984375" style="562" customWidth="1"/>
    <col min="6668" max="6668" width="10.578125" style="562" bestFit="1" customWidth="1"/>
    <col min="6669" max="6670" width="9.26171875" style="562" bestFit="1" customWidth="1"/>
    <col min="6671" max="6671" width="7.83984375" style="562" bestFit="1" customWidth="1"/>
    <col min="6672" max="6673" width="9" style="562" customWidth="1"/>
    <col min="6674" max="6912" width="10.26171875" style="562"/>
    <col min="6913" max="6913" width="6.26171875" style="562" customWidth="1"/>
    <col min="6914" max="6914" width="22.26171875" style="562" bestFit="1" customWidth="1"/>
    <col min="6915" max="6916" width="4.68359375" style="562" bestFit="1" customWidth="1"/>
    <col min="6917" max="6917" width="3.15625" style="562" customWidth="1"/>
    <col min="6918" max="6918" width="5.83984375" style="562" bestFit="1" customWidth="1"/>
    <col min="6919" max="6919" width="8.578125" style="562" bestFit="1" customWidth="1"/>
    <col min="6920" max="6920" width="5.83984375" style="562" customWidth="1"/>
    <col min="6921" max="6921" width="8.68359375" style="562" customWidth="1"/>
    <col min="6922" max="6922" width="11.15625" style="562" customWidth="1"/>
    <col min="6923" max="6923" width="6.83984375" style="562" customWidth="1"/>
    <col min="6924" max="6924" width="10.578125" style="562" bestFit="1" customWidth="1"/>
    <col min="6925" max="6926" width="9.26171875" style="562" bestFit="1" customWidth="1"/>
    <col min="6927" max="6927" width="7.83984375" style="562" bestFit="1" customWidth="1"/>
    <col min="6928" max="6929" width="9" style="562" customWidth="1"/>
    <col min="6930" max="7168" width="10.26171875" style="562"/>
    <col min="7169" max="7169" width="6.26171875" style="562" customWidth="1"/>
    <col min="7170" max="7170" width="22.26171875" style="562" bestFit="1" customWidth="1"/>
    <col min="7171" max="7172" width="4.68359375" style="562" bestFit="1" customWidth="1"/>
    <col min="7173" max="7173" width="3.15625" style="562" customWidth="1"/>
    <col min="7174" max="7174" width="5.83984375" style="562" bestFit="1" customWidth="1"/>
    <col min="7175" max="7175" width="8.578125" style="562" bestFit="1" customWidth="1"/>
    <col min="7176" max="7176" width="5.83984375" style="562" customWidth="1"/>
    <col min="7177" max="7177" width="8.68359375" style="562" customWidth="1"/>
    <col min="7178" max="7178" width="11.15625" style="562" customWidth="1"/>
    <col min="7179" max="7179" width="6.83984375" style="562" customWidth="1"/>
    <col min="7180" max="7180" width="10.578125" style="562" bestFit="1" customWidth="1"/>
    <col min="7181" max="7182" width="9.26171875" style="562" bestFit="1" customWidth="1"/>
    <col min="7183" max="7183" width="7.83984375" style="562" bestFit="1" customWidth="1"/>
    <col min="7184" max="7185" width="9" style="562" customWidth="1"/>
    <col min="7186" max="7424" width="10.26171875" style="562"/>
    <col min="7425" max="7425" width="6.26171875" style="562" customWidth="1"/>
    <col min="7426" max="7426" width="22.26171875" style="562" bestFit="1" customWidth="1"/>
    <col min="7427" max="7428" width="4.68359375" style="562" bestFit="1" customWidth="1"/>
    <col min="7429" max="7429" width="3.15625" style="562" customWidth="1"/>
    <col min="7430" max="7430" width="5.83984375" style="562" bestFit="1" customWidth="1"/>
    <col min="7431" max="7431" width="8.578125" style="562" bestFit="1" customWidth="1"/>
    <col min="7432" max="7432" width="5.83984375" style="562" customWidth="1"/>
    <col min="7433" max="7433" width="8.68359375" style="562" customWidth="1"/>
    <col min="7434" max="7434" width="11.15625" style="562" customWidth="1"/>
    <col min="7435" max="7435" width="6.83984375" style="562" customWidth="1"/>
    <col min="7436" max="7436" width="10.578125" style="562" bestFit="1" customWidth="1"/>
    <col min="7437" max="7438" width="9.26171875" style="562" bestFit="1" customWidth="1"/>
    <col min="7439" max="7439" width="7.83984375" style="562" bestFit="1" customWidth="1"/>
    <col min="7440" max="7441" width="9" style="562" customWidth="1"/>
    <col min="7442" max="7680" width="10.26171875" style="562"/>
    <col min="7681" max="7681" width="6.26171875" style="562" customWidth="1"/>
    <col min="7682" max="7682" width="22.26171875" style="562" bestFit="1" customWidth="1"/>
    <col min="7683" max="7684" width="4.68359375" style="562" bestFit="1" customWidth="1"/>
    <col min="7685" max="7685" width="3.15625" style="562" customWidth="1"/>
    <col min="7686" max="7686" width="5.83984375" style="562" bestFit="1" customWidth="1"/>
    <col min="7687" max="7687" width="8.578125" style="562" bestFit="1" customWidth="1"/>
    <col min="7688" max="7688" width="5.83984375" style="562" customWidth="1"/>
    <col min="7689" max="7689" width="8.68359375" style="562" customWidth="1"/>
    <col min="7690" max="7690" width="11.15625" style="562" customWidth="1"/>
    <col min="7691" max="7691" width="6.83984375" style="562" customWidth="1"/>
    <col min="7692" max="7692" width="10.578125" style="562" bestFit="1" customWidth="1"/>
    <col min="7693" max="7694" width="9.26171875" style="562" bestFit="1" customWidth="1"/>
    <col min="7695" max="7695" width="7.83984375" style="562" bestFit="1" customWidth="1"/>
    <col min="7696" max="7697" width="9" style="562" customWidth="1"/>
    <col min="7698" max="7936" width="10.26171875" style="562"/>
    <col min="7937" max="7937" width="6.26171875" style="562" customWidth="1"/>
    <col min="7938" max="7938" width="22.26171875" style="562" bestFit="1" customWidth="1"/>
    <col min="7939" max="7940" width="4.68359375" style="562" bestFit="1" customWidth="1"/>
    <col min="7941" max="7941" width="3.15625" style="562" customWidth="1"/>
    <col min="7942" max="7942" width="5.83984375" style="562" bestFit="1" customWidth="1"/>
    <col min="7943" max="7943" width="8.578125" style="562" bestFit="1" customWidth="1"/>
    <col min="7944" max="7944" width="5.83984375" style="562" customWidth="1"/>
    <col min="7945" max="7945" width="8.68359375" style="562" customWidth="1"/>
    <col min="7946" max="7946" width="11.15625" style="562" customWidth="1"/>
    <col min="7947" max="7947" width="6.83984375" style="562" customWidth="1"/>
    <col min="7948" max="7948" width="10.578125" style="562" bestFit="1" customWidth="1"/>
    <col min="7949" max="7950" width="9.26171875" style="562" bestFit="1" customWidth="1"/>
    <col min="7951" max="7951" width="7.83984375" style="562" bestFit="1" customWidth="1"/>
    <col min="7952" max="7953" width="9" style="562" customWidth="1"/>
    <col min="7954" max="8192" width="10.26171875" style="562"/>
    <col min="8193" max="8193" width="6.26171875" style="562" customWidth="1"/>
    <col min="8194" max="8194" width="22.26171875" style="562" bestFit="1" customWidth="1"/>
    <col min="8195" max="8196" width="4.68359375" style="562" bestFit="1" customWidth="1"/>
    <col min="8197" max="8197" width="3.15625" style="562" customWidth="1"/>
    <col min="8198" max="8198" width="5.83984375" style="562" bestFit="1" customWidth="1"/>
    <col min="8199" max="8199" width="8.578125" style="562" bestFit="1" customWidth="1"/>
    <col min="8200" max="8200" width="5.83984375" style="562" customWidth="1"/>
    <col min="8201" max="8201" width="8.68359375" style="562" customWidth="1"/>
    <col min="8202" max="8202" width="11.15625" style="562" customWidth="1"/>
    <col min="8203" max="8203" width="6.83984375" style="562" customWidth="1"/>
    <col min="8204" max="8204" width="10.578125" style="562" bestFit="1" customWidth="1"/>
    <col min="8205" max="8206" width="9.26171875" style="562" bestFit="1" customWidth="1"/>
    <col min="8207" max="8207" width="7.83984375" style="562" bestFit="1" customWidth="1"/>
    <col min="8208" max="8209" width="9" style="562" customWidth="1"/>
    <col min="8210" max="8448" width="10.26171875" style="562"/>
    <col min="8449" max="8449" width="6.26171875" style="562" customWidth="1"/>
    <col min="8450" max="8450" width="22.26171875" style="562" bestFit="1" customWidth="1"/>
    <col min="8451" max="8452" width="4.68359375" style="562" bestFit="1" customWidth="1"/>
    <col min="8453" max="8453" width="3.15625" style="562" customWidth="1"/>
    <col min="8454" max="8454" width="5.83984375" style="562" bestFit="1" customWidth="1"/>
    <col min="8455" max="8455" width="8.578125" style="562" bestFit="1" customWidth="1"/>
    <col min="8456" max="8456" width="5.83984375" style="562" customWidth="1"/>
    <col min="8457" max="8457" width="8.68359375" style="562" customWidth="1"/>
    <col min="8458" max="8458" width="11.15625" style="562" customWidth="1"/>
    <col min="8459" max="8459" width="6.83984375" style="562" customWidth="1"/>
    <col min="8460" max="8460" width="10.578125" style="562" bestFit="1" customWidth="1"/>
    <col min="8461" max="8462" width="9.26171875" style="562" bestFit="1" customWidth="1"/>
    <col min="8463" max="8463" width="7.83984375" style="562" bestFit="1" customWidth="1"/>
    <col min="8464" max="8465" width="9" style="562" customWidth="1"/>
    <col min="8466" max="8704" width="10.26171875" style="562"/>
    <col min="8705" max="8705" width="6.26171875" style="562" customWidth="1"/>
    <col min="8706" max="8706" width="22.26171875" style="562" bestFit="1" customWidth="1"/>
    <col min="8707" max="8708" width="4.68359375" style="562" bestFit="1" customWidth="1"/>
    <col min="8709" max="8709" width="3.15625" style="562" customWidth="1"/>
    <col min="8710" max="8710" width="5.83984375" style="562" bestFit="1" customWidth="1"/>
    <col min="8711" max="8711" width="8.578125" style="562" bestFit="1" customWidth="1"/>
    <col min="8712" max="8712" width="5.83984375" style="562" customWidth="1"/>
    <col min="8713" max="8713" width="8.68359375" style="562" customWidth="1"/>
    <col min="8714" max="8714" width="11.15625" style="562" customWidth="1"/>
    <col min="8715" max="8715" width="6.83984375" style="562" customWidth="1"/>
    <col min="8716" max="8716" width="10.578125" style="562" bestFit="1" customWidth="1"/>
    <col min="8717" max="8718" width="9.26171875" style="562" bestFit="1" customWidth="1"/>
    <col min="8719" max="8719" width="7.83984375" style="562" bestFit="1" customWidth="1"/>
    <col min="8720" max="8721" width="9" style="562" customWidth="1"/>
    <col min="8722" max="8960" width="10.26171875" style="562"/>
    <col min="8961" max="8961" width="6.26171875" style="562" customWidth="1"/>
    <col min="8962" max="8962" width="22.26171875" style="562" bestFit="1" customWidth="1"/>
    <col min="8963" max="8964" width="4.68359375" style="562" bestFit="1" customWidth="1"/>
    <col min="8965" max="8965" width="3.15625" style="562" customWidth="1"/>
    <col min="8966" max="8966" width="5.83984375" style="562" bestFit="1" customWidth="1"/>
    <col min="8967" max="8967" width="8.578125" style="562" bestFit="1" customWidth="1"/>
    <col min="8968" max="8968" width="5.83984375" style="562" customWidth="1"/>
    <col min="8969" max="8969" width="8.68359375" style="562" customWidth="1"/>
    <col min="8970" max="8970" width="11.15625" style="562" customWidth="1"/>
    <col min="8971" max="8971" width="6.83984375" style="562" customWidth="1"/>
    <col min="8972" max="8972" width="10.578125" style="562" bestFit="1" customWidth="1"/>
    <col min="8973" max="8974" width="9.26171875" style="562" bestFit="1" customWidth="1"/>
    <col min="8975" max="8975" width="7.83984375" style="562" bestFit="1" customWidth="1"/>
    <col min="8976" max="8977" width="9" style="562" customWidth="1"/>
    <col min="8978" max="9216" width="10.26171875" style="562"/>
    <col min="9217" max="9217" width="6.26171875" style="562" customWidth="1"/>
    <col min="9218" max="9218" width="22.26171875" style="562" bestFit="1" customWidth="1"/>
    <col min="9219" max="9220" width="4.68359375" style="562" bestFit="1" customWidth="1"/>
    <col min="9221" max="9221" width="3.15625" style="562" customWidth="1"/>
    <col min="9222" max="9222" width="5.83984375" style="562" bestFit="1" customWidth="1"/>
    <col min="9223" max="9223" width="8.578125" style="562" bestFit="1" customWidth="1"/>
    <col min="9224" max="9224" width="5.83984375" style="562" customWidth="1"/>
    <col min="9225" max="9225" width="8.68359375" style="562" customWidth="1"/>
    <col min="9226" max="9226" width="11.15625" style="562" customWidth="1"/>
    <col min="9227" max="9227" width="6.83984375" style="562" customWidth="1"/>
    <col min="9228" max="9228" width="10.578125" style="562" bestFit="1" customWidth="1"/>
    <col min="9229" max="9230" width="9.26171875" style="562" bestFit="1" customWidth="1"/>
    <col min="9231" max="9231" width="7.83984375" style="562" bestFit="1" customWidth="1"/>
    <col min="9232" max="9233" width="9" style="562" customWidth="1"/>
    <col min="9234" max="9472" width="10.26171875" style="562"/>
    <col min="9473" max="9473" width="6.26171875" style="562" customWidth="1"/>
    <col min="9474" max="9474" width="22.26171875" style="562" bestFit="1" customWidth="1"/>
    <col min="9475" max="9476" width="4.68359375" style="562" bestFit="1" customWidth="1"/>
    <col min="9477" max="9477" width="3.15625" style="562" customWidth="1"/>
    <col min="9478" max="9478" width="5.83984375" style="562" bestFit="1" customWidth="1"/>
    <col min="9479" max="9479" width="8.578125" style="562" bestFit="1" customWidth="1"/>
    <col min="9480" max="9480" width="5.83984375" style="562" customWidth="1"/>
    <col min="9481" max="9481" width="8.68359375" style="562" customWidth="1"/>
    <col min="9482" max="9482" width="11.15625" style="562" customWidth="1"/>
    <col min="9483" max="9483" width="6.83984375" style="562" customWidth="1"/>
    <col min="9484" max="9484" width="10.578125" style="562" bestFit="1" customWidth="1"/>
    <col min="9485" max="9486" width="9.26171875" style="562" bestFit="1" customWidth="1"/>
    <col min="9487" max="9487" width="7.83984375" style="562" bestFit="1" customWidth="1"/>
    <col min="9488" max="9489" width="9" style="562" customWidth="1"/>
    <col min="9490" max="9728" width="10.26171875" style="562"/>
    <col min="9729" max="9729" width="6.26171875" style="562" customWidth="1"/>
    <col min="9730" max="9730" width="22.26171875" style="562" bestFit="1" customWidth="1"/>
    <col min="9731" max="9732" width="4.68359375" style="562" bestFit="1" customWidth="1"/>
    <col min="9733" max="9733" width="3.15625" style="562" customWidth="1"/>
    <col min="9734" max="9734" width="5.83984375" style="562" bestFit="1" customWidth="1"/>
    <col min="9735" max="9735" width="8.578125" style="562" bestFit="1" customWidth="1"/>
    <col min="9736" max="9736" width="5.83984375" style="562" customWidth="1"/>
    <col min="9737" max="9737" width="8.68359375" style="562" customWidth="1"/>
    <col min="9738" max="9738" width="11.15625" style="562" customWidth="1"/>
    <col min="9739" max="9739" width="6.83984375" style="562" customWidth="1"/>
    <col min="9740" max="9740" width="10.578125" style="562" bestFit="1" customWidth="1"/>
    <col min="9741" max="9742" width="9.26171875" style="562" bestFit="1" customWidth="1"/>
    <col min="9743" max="9743" width="7.83984375" style="562" bestFit="1" customWidth="1"/>
    <col min="9744" max="9745" width="9" style="562" customWidth="1"/>
    <col min="9746" max="9984" width="10.26171875" style="562"/>
    <col min="9985" max="9985" width="6.26171875" style="562" customWidth="1"/>
    <col min="9986" max="9986" width="22.26171875" style="562" bestFit="1" customWidth="1"/>
    <col min="9987" max="9988" width="4.68359375" style="562" bestFit="1" customWidth="1"/>
    <col min="9989" max="9989" width="3.15625" style="562" customWidth="1"/>
    <col min="9990" max="9990" width="5.83984375" style="562" bestFit="1" customWidth="1"/>
    <col min="9991" max="9991" width="8.578125" style="562" bestFit="1" customWidth="1"/>
    <col min="9992" max="9992" width="5.83984375" style="562" customWidth="1"/>
    <col min="9993" max="9993" width="8.68359375" style="562" customWidth="1"/>
    <col min="9994" max="9994" width="11.15625" style="562" customWidth="1"/>
    <col min="9995" max="9995" width="6.83984375" style="562" customWidth="1"/>
    <col min="9996" max="9996" width="10.578125" style="562" bestFit="1" customWidth="1"/>
    <col min="9997" max="9998" width="9.26171875" style="562" bestFit="1" customWidth="1"/>
    <col min="9999" max="9999" width="7.83984375" style="562" bestFit="1" customWidth="1"/>
    <col min="10000" max="10001" width="9" style="562" customWidth="1"/>
    <col min="10002" max="10240" width="10.26171875" style="562"/>
    <col min="10241" max="10241" width="6.26171875" style="562" customWidth="1"/>
    <col min="10242" max="10242" width="22.26171875" style="562" bestFit="1" customWidth="1"/>
    <col min="10243" max="10244" width="4.68359375" style="562" bestFit="1" customWidth="1"/>
    <col min="10245" max="10245" width="3.15625" style="562" customWidth="1"/>
    <col min="10246" max="10246" width="5.83984375" style="562" bestFit="1" customWidth="1"/>
    <col min="10247" max="10247" width="8.578125" style="562" bestFit="1" customWidth="1"/>
    <col min="10248" max="10248" width="5.83984375" style="562" customWidth="1"/>
    <col min="10249" max="10249" width="8.68359375" style="562" customWidth="1"/>
    <col min="10250" max="10250" width="11.15625" style="562" customWidth="1"/>
    <col min="10251" max="10251" width="6.83984375" style="562" customWidth="1"/>
    <col min="10252" max="10252" width="10.578125" style="562" bestFit="1" customWidth="1"/>
    <col min="10253" max="10254" width="9.26171875" style="562" bestFit="1" customWidth="1"/>
    <col min="10255" max="10255" width="7.83984375" style="562" bestFit="1" customWidth="1"/>
    <col min="10256" max="10257" width="9" style="562" customWidth="1"/>
    <col min="10258" max="10496" width="10.26171875" style="562"/>
    <col min="10497" max="10497" width="6.26171875" style="562" customWidth="1"/>
    <col min="10498" max="10498" width="22.26171875" style="562" bestFit="1" customWidth="1"/>
    <col min="10499" max="10500" width="4.68359375" style="562" bestFit="1" customWidth="1"/>
    <col min="10501" max="10501" width="3.15625" style="562" customWidth="1"/>
    <col min="10502" max="10502" width="5.83984375" style="562" bestFit="1" customWidth="1"/>
    <col min="10503" max="10503" width="8.578125" style="562" bestFit="1" customWidth="1"/>
    <col min="10504" max="10504" width="5.83984375" style="562" customWidth="1"/>
    <col min="10505" max="10505" width="8.68359375" style="562" customWidth="1"/>
    <col min="10506" max="10506" width="11.15625" style="562" customWidth="1"/>
    <col min="10507" max="10507" width="6.83984375" style="562" customWidth="1"/>
    <col min="10508" max="10508" width="10.578125" style="562" bestFit="1" customWidth="1"/>
    <col min="10509" max="10510" width="9.26171875" style="562" bestFit="1" customWidth="1"/>
    <col min="10511" max="10511" width="7.83984375" style="562" bestFit="1" customWidth="1"/>
    <col min="10512" max="10513" width="9" style="562" customWidth="1"/>
    <col min="10514" max="10752" width="10.26171875" style="562"/>
    <col min="10753" max="10753" width="6.26171875" style="562" customWidth="1"/>
    <col min="10754" max="10754" width="22.26171875" style="562" bestFit="1" customWidth="1"/>
    <col min="10755" max="10756" width="4.68359375" style="562" bestFit="1" customWidth="1"/>
    <col min="10757" max="10757" width="3.15625" style="562" customWidth="1"/>
    <col min="10758" max="10758" width="5.83984375" style="562" bestFit="1" customWidth="1"/>
    <col min="10759" max="10759" width="8.578125" style="562" bestFit="1" customWidth="1"/>
    <col min="10760" max="10760" width="5.83984375" style="562" customWidth="1"/>
    <col min="10761" max="10761" width="8.68359375" style="562" customWidth="1"/>
    <col min="10762" max="10762" width="11.15625" style="562" customWidth="1"/>
    <col min="10763" max="10763" width="6.83984375" style="562" customWidth="1"/>
    <col min="10764" max="10764" width="10.578125" style="562" bestFit="1" customWidth="1"/>
    <col min="10765" max="10766" width="9.26171875" style="562" bestFit="1" customWidth="1"/>
    <col min="10767" max="10767" width="7.83984375" style="562" bestFit="1" customWidth="1"/>
    <col min="10768" max="10769" width="9" style="562" customWidth="1"/>
    <col min="10770" max="11008" width="10.26171875" style="562"/>
    <col min="11009" max="11009" width="6.26171875" style="562" customWidth="1"/>
    <col min="11010" max="11010" width="22.26171875" style="562" bestFit="1" customWidth="1"/>
    <col min="11011" max="11012" width="4.68359375" style="562" bestFit="1" customWidth="1"/>
    <col min="11013" max="11013" width="3.15625" style="562" customWidth="1"/>
    <col min="11014" max="11014" width="5.83984375" style="562" bestFit="1" customWidth="1"/>
    <col min="11015" max="11015" width="8.578125" style="562" bestFit="1" customWidth="1"/>
    <col min="11016" max="11016" width="5.83984375" style="562" customWidth="1"/>
    <col min="11017" max="11017" width="8.68359375" style="562" customWidth="1"/>
    <col min="11018" max="11018" width="11.15625" style="562" customWidth="1"/>
    <col min="11019" max="11019" width="6.83984375" style="562" customWidth="1"/>
    <col min="11020" max="11020" width="10.578125" style="562" bestFit="1" customWidth="1"/>
    <col min="11021" max="11022" width="9.26171875" style="562" bestFit="1" customWidth="1"/>
    <col min="11023" max="11023" width="7.83984375" style="562" bestFit="1" customWidth="1"/>
    <col min="11024" max="11025" width="9" style="562" customWidth="1"/>
    <col min="11026" max="11264" width="10.26171875" style="562"/>
    <col min="11265" max="11265" width="6.26171875" style="562" customWidth="1"/>
    <col min="11266" max="11266" width="22.26171875" style="562" bestFit="1" customWidth="1"/>
    <col min="11267" max="11268" width="4.68359375" style="562" bestFit="1" customWidth="1"/>
    <col min="11269" max="11269" width="3.15625" style="562" customWidth="1"/>
    <col min="11270" max="11270" width="5.83984375" style="562" bestFit="1" customWidth="1"/>
    <col min="11271" max="11271" width="8.578125" style="562" bestFit="1" customWidth="1"/>
    <col min="11272" max="11272" width="5.83984375" style="562" customWidth="1"/>
    <col min="11273" max="11273" width="8.68359375" style="562" customWidth="1"/>
    <col min="11274" max="11274" width="11.15625" style="562" customWidth="1"/>
    <col min="11275" max="11275" width="6.83984375" style="562" customWidth="1"/>
    <col min="11276" max="11276" width="10.578125" style="562" bestFit="1" customWidth="1"/>
    <col min="11277" max="11278" width="9.26171875" style="562" bestFit="1" customWidth="1"/>
    <col min="11279" max="11279" width="7.83984375" style="562" bestFit="1" customWidth="1"/>
    <col min="11280" max="11281" width="9" style="562" customWidth="1"/>
    <col min="11282" max="11520" width="10.26171875" style="562"/>
    <col min="11521" max="11521" width="6.26171875" style="562" customWidth="1"/>
    <col min="11522" max="11522" width="22.26171875" style="562" bestFit="1" customWidth="1"/>
    <col min="11523" max="11524" width="4.68359375" style="562" bestFit="1" customWidth="1"/>
    <col min="11525" max="11525" width="3.15625" style="562" customWidth="1"/>
    <col min="11526" max="11526" width="5.83984375" style="562" bestFit="1" customWidth="1"/>
    <col min="11527" max="11527" width="8.578125" style="562" bestFit="1" customWidth="1"/>
    <col min="11528" max="11528" width="5.83984375" style="562" customWidth="1"/>
    <col min="11529" max="11529" width="8.68359375" style="562" customWidth="1"/>
    <col min="11530" max="11530" width="11.15625" style="562" customWidth="1"/>
    <col min="11531" max="11531" width="6.83984375" style="562" customWidth="1"/>
    <col min="11532" max="11532" width="10.578125" style="562" bestFit="1" customWidth="1"/>
    <col min="11533" max="11534" width="9.26171875" style="562" bestFit="1" customWidth="1"/>
    <col min="11535" max="11535" width="7.83984375" style="562" bestFit="1" customWidth="1"/>
    <col min="11536" max="11537" width="9" style="562" customWidth="1"/>
    <col min="11538" max="11776" width="10.26171875" style="562"/>
    <col min="11777" max="11777" width="6.26171875" style="562" customWidth="1"/>
    <col min="11778" max="11778" width="22.26171875" style="562" bestFit="1" customWidth="1"/>
    <col min="11779" max="11780" width="4.68359375" style="562" bestFit="1" customWidth="1"/>
    <col min="11781" max="11781" width="3.15625" style="562" customWidth="1"/>
    <col min="11782" max="11782" width="5.83984375" style="562" bestFit="1" customWidth="1"/>
    <col min="11783" max="11783" width="8.578125" style="562" bestFit="1" customWidth="1"/>
    <col min="11784" max="11784" width="5.83984375" style="562" customWidth="1"/>
    <col min="11785" max="11785" width="8.68359375" style="562" customWidth="1"/>
    <col min="11786" max="11786" width="11.15625" style="562" customWidth="1"/>
    <col min="11787" max="11787" width="6.83984375" style="562" customWidth="1"/>
    <col min="11788" max="11788" width="10.578125" style="562" bestFit="1" customWidth="1"/>
    <col min="11789" max="11790" width="9.26171875" style="562" bestFit="1" customWidth="1"/>
    <col min="11791" max="11791" width="7.83984375" style="562" bestFit="1" customWidth="1"/>
    <col min="11792" max="11793" width="9" style="562" customWidth="1"/>
    <col min="11794" max="12032" width="10.26171875" style="562"/>
    <col min="12033" max="12033" width="6.26171875" style="562" customWidth="1"/>
    <col min="12034" max="12034" width="22.26171875" style="562" bestFit="1" customWidth="1"/>
    <col min="12035" max="12036" width="4.68359375" style="562" bestFit="1" customWidth="1"/>
    <col min="12037" max="12037" width="3.15625" style="562" customWidth="1"/>
    <col min="12038" max="12038" width="5.83984375" style="562" bestFit="1" customWidth="1"/>
    <col min="12039" max="12039" width="8.578125" style="562" bestFit="1" customWidth="1"/>
    <col min="12040" max="12040" width="5.83984375" style="562" customWidth="1"/>
    <col min="12041" max="12041" width="8.68359375" style="562" customWidth="1"/>
    <col min="12042" max="12042" width="11.15625" style="562" customWidth="1"/>
    <col min="12043" max="12043" width="6.83984375" style="562" customWidth="1"/>
    <col min="12044" max="12044" width="10.578125" style="562" bestFit="1" customWidth="1"/>
    <col min="12045" max="12046" width="9.26171875" style="562" bestFit="1" customWidth="1"/>
    <col min="12047" max="12047" width="7.83984375" style="562" bestFit="1" customWidth="1"/>
    <col min="12048" max="12049" width="9" style="562" customWidth="1"/>
    <col min="12050" max="12288" width="10.26171875" style="562"/>
    <col min="12289" max="12289" width="6.26171875" style="562" customWidth="1"/>
    <col min="12290" max="12290" width="22.26171875" style="562" bestFit="1" customWidth="1"/>
    <col min="12291" max="12292" width="4.68359375" style="562" bestFit="1" customWidth="1"/>
    <col min="12293" max="12293" width="3.15625" style="562" customWidth="1"/>
    <col min="12294" max="12294" width="5.83984375" style="562" bestFit="1" customWidth="1"/>
    <col min="12295" max="12295" width="8.578125" style="562" bestFit="1" customWidth="1"/>
    <col min="12296" max="12296" width="5.83984375" style="562" customWidth="1"/>
    <col min="12297" max="12297" width="8.68359375" style="562" customWidth="1"/>
    <col min="12298" max="12298" width="11.15625" style="562" customWidth="1"/>
    <col min="12299" max="12299" width="6.83984375" style="562" customWidth="1"/>
    <col min="12300" max="12300" width="10.578125" style="562" bestFit="1" customWidth="1"/>
    <col min="12301" max="12302" width="9.26171875" style="562" bestFit="1" customWidth="1"/>
    <col min="12303" max="12303" width="7.83984375" style="562" bestFit="1" customWidth="1"/>
    <col min="12304" max="12305" width="9" style="562" customWidth="1"/>
    <col min="12306" max="12544" width="10.26171875" style="562"/>
    <col min="12545" max="12545" width="6.26171875" style="562" customWidth="1"/>
    <col min="12546" max="12546" width="22.26171875" style="562" bestFit="1" customWidth="1"/>
    <col min="12547" max="12548" width="4.68359375" style="562" bestFit="1" customWidth="1"/>
    <col min="12549" max="12549" width="3.15625" style="562" customWidth="1"/>
    <col min="12550" max="12550" width="5.83984375" style="562" bestFit="1" customWidth="1"/>
    <col min="12551" max="12551" width="8.578125" style="562" bestFit="1" customWidth="1"/>
    <col min="12552" max="12552" width="5.83984375" style="562" customWidth="1"/>
    <col min="12553" max="12553" width="8.68359375" style="562" customWidth="1"/>
    <col min="12554" max="12554" width="11.15625" style="562" customWidth="1"/>
    <col min="12555" max="12555" width="6.83984375" style="562" customWidth="1"/>
    <col min="12556" max="12556" width="10.578125" style="562" bestFit="1" customWidth="1"/>
    <col min="12557" max="12558" width="9.26171875" style="562" bestFit="1" customWidth="1"/>
    <col min="12559" max="12559" width="7.83984375" style="562" bestFit="1" customWidth="1"/>
    <col min="12560" max="12561" width="9" style="562" customWidth="1"/>
    <col min="12562" max="12800" width="10.26171875" style="562"/>
    <col min="12801" max="12801" width="6.26171875" style="562" customWidth="1"/>
    <col min="12802" max="12802" width="22.26171875" style="562" bestFit="1" customWidth="1"/>
    <col min="12803" max="12804" width="4.68359375" style="562" bestFit="1" customWidth="1"/>
    <col min="12805" max="12805" width="3.15625" style="562" customWidth="1"/>
    <col min="12806" max="12806" width="5.83984375" style="562" bestFit="1" customWidth="1"/>
    <col min="12807" max="12807" width="8.578125" style="562" bestFit="1" customWidth="1"/>
    <col min="12808" max="12808" width="5.83984375" style="562" customWidth="1"/>
    <col min="12809" max="12809" width="8.68359375" style="562" customWidth="1"/>
    <col min="12810" max="12810" width="11.15625" style="562" customWidth="1"/>
    <col min="12811" max="12811" width="6.83984375" style="562" customWidth="1"/>
    <col min="12812" max="12812" width="10.578125" style="562" bestFit="1" customWidth="1"/>
    <col min="12813" max="12814" width="9.26171875" style="562" bestFit="1" customWidth="1"/>
    <col min="12815" max="12815" width="7.83984375" style="562" bestFit="1" customWidth="1"/>
    <col min="12816" max="12817" width="9" style="562" customWidth="1"/>
    <col min="12818" max="13056" width="10.26171875" style="562"/>
    <col min="13057" max="13057" width="6.26171875" style="562" customWidth="1"/>
    <col min="13058" max="13058" width="22.26171875" style="562" bestFit="1" customWidth="1"/>
    <col min="13059" max="13060" width="4.68359375" style="562" bestFit="1" customWidth="1"/>
    <col min="13061" max="13061" width="3.15625" style="562" customWidth="1"/>
    <col min="13062" max="13062" width="5.83984375" style="562" bestFit="1" customWidth="1"/>
    <col min="13063" max="13063" width="8.578125" style="562" bestFit="1" customWidth="1"/>
    <col min="13064" max="13064" width="5.83984375" style="562" customWidth="1"/>
    <col min="13065" max="13065" width="8.68359375" style="562" customWidth="1"/>
    <col min="13066" max="13066" width="11.15625" style="562" customWidth="1"/>
    <col min="13067" max="13067" width="6.83984375" style="562" customWidth="1"/>
    <col min="13068" max="13068" width="10.578125" style="562" bestFit="1" customWidth="1"/>
    <col min="13069" max="13070" width="9.26171875" style="562" bestFit="1" customWidth="1"/>
    <col min="13071" max="13071" width="7.83984375" style="562" bestFit="1" customWidth="1"/>
    <col min="13072" max="13073" width="9" style="562" customWidth="1"/>
    <col min="13074" max="13312" width="10.26171875" style="562"/>
    <col min="13313" max="13313" width="6.26171875" style="562" customWidth="1"/>
    <col min="13314" max="13314" width="22.26171875" style="562" bestFit="1" customWidth="1"/>
    <col min="13315" max="13316" width="4.68359375" style="562" bestFit="1" customWidth="1"/>
    <col min="13317" max="13317" width="3.15625" style="562" customWidth="1"/>
    <col min="13318" max="13318" width="5.83984375" style="562" bestFit="1" customWidth="1"/>
    <col min="13319" max="13319" width="8.578125" style="562" bestFit="1" customWidth="1"/>
    <col min="13320" max="13320" width="5.83984375" style="562" customWidth="1"/>
    <col min="13321" max="13321" width="8.68359375" style="562" customWidth="1"/>
    <col min="13322" max="13322" width="11.15625" style="562" customWidth="1"/>
    <col min="13323" max="13323" width="6.83984375" style="562" customWidth="1"/>
    <col min="13324" max="13324" width="10.578125" style="562" bestFit="1" customWidth="1"/>
    <col min="13325" max="13326" width="9.26171875" style="562" bestFit="1" customWidth="1"/>
    <col min="13327" max="13327" width="7.83984375" style="562" bestFit="1" customWidth="1"/>
    <col min="13328" max="13329" width="9" style="562" customWidth="1"/>
    <col min="13330" max="13568" width="10.26171875" style="562"/>
    <col min="13569" max="13569" width="6.26171875" style="562" customWidth="1"/>
    <col min="13570" max="13570" width="22.26171875" style="562" bestFit="1" customWidth="1"/>
    <col min="13571" max="13572" width="4.68359375" style="562" bestFit="1" customWidth="1"/>
    <col min="13573" max="13573" width="3.15625" style="562" customWidth="1"/>
    <col min="13574" max="13574" width="5.83984375" style="562" bestFit="1" customWidth="1"/>
    <col min="13575" max="13575" width="8.578125" style="562" bestFit="1" customWidth="1"/>
    <col min="13576" max="13576" width="5.83984375" style="562" customWidth="1"/>
    <col min="13577" max="13577" width="8.68359375" style="562" customWidth="1"/>
    <col min="13578" max="13578" width="11.15625" style="562" customWidth="1"/>
    <col min="13579" max="13579" width="6.83984375" style="562" customWidth="1"/>
    <col min="13580" max="13580" width="10.578125" style="562" bestFit="1" customWidth="1"/>
    <col min="13581" max="13582" width="9.26171875" style="562" bestFit="1" customWidth="1"/>
    <col min="13583" max="13583" width="7.83984375" style="562" bestFit="1" customWidth="1"/>
    <col min="13584" max="13585" width="9" style="562" customWidth="1"/>
    <col min="13586" max="13824" width="10.26171875" style="562"/>
    <col min="13825" max="13825" width="6.26171875" style="562" customWidth="1"/>
    <col min="13826" max="13826" width="22.26171875" style="562" bestFit="1" customWidth="1"/>
    <col min="13827" max="13828" width="4.68359375" style="562" bestFit="1" customWidth="1"/>
    <col min="13829" max="13829" width="3.15625" style="562" customWidth="1"/>
    <col min="13830" max="13830" width="5.83984375" style="562" bestFit="1" customWidth="1"/>
    <col min="13831" max="13831" width="8.578125" style="562" bestFit="1" customWidth="1"/>
    <col min="13832" max="13832" width="5.83984375" style="562" customWidth="1"/>
    <col min="13833" max="13833" width="8.68359375" style="562" customWidth="1"/>
    <col min="13834" max="13834" width="11.15625" style="562" customWidth="1"/>
    <col min="13835" max="13835" width="6.83984375" style="562" customWidth="1"/>
    <col min="13836" max="13836" width="10.578125" style="562" bestFit="1" customWidth="1"/>
    <col min="13837" max="13838" width="9.26171875" style="562" bestFit="1" customWidth="1"/>
    <col min="13839" max="13839" width="7.83984375" style="562" bestFit="1" customWidth="1"/>
    <col min="13840" max="13841" width="9" style="562" customWidth="1"/>
    <col min="13842" max="14080" width="10.26171875" style="562"/>
    <col min="14081" max="14081" width="6.26171875" style="562" customWidth="1"/>
    <col min="14082" max="14082" width="22.26171875" style="562" bestFit="1" customWidth="1"/>
    <col min="14083" max="14084" width="4.68359375" style="562" bestFit="1" customWidth="1"/>
    <col min="14085" max="14085" width="3.15625" style="562" customWidth="1"/>
    <col min="14086" max="14086" width="5.83984375" style="562" bestFit="1" customWidth="1"/>
    <col min="14087" max="14087" width="8.578125" style="562" bestFit="1" customWidth="1"/>
    <col min="14088" max="14088" width="5.83984375" style="562" customWidth="1"/>
    <col min="14089" max="14089" width="8.68359375" style="562" customWidth="1"/>
    <col min="14090" max="14090" width="11.15625" style="562" customWidth="1"/>
    <col min="14091" max="14091" width="6.83984375" style="562" customWidth="1"/>
    <col min="14092" max="14092" width="10.578125" style="562" bestFit="1" customWidth="1"/>
    <col min="14093" max="14094" width="9.26171875" style="562" bestFit="1" customWidth="1"/>
    <col min="14095" max="14095" width="7.83984375" style="562" bestFit="1" customWidth="1"/>
    <col min="14096" max="14097" width="9" style="562" customWidth="1"/>
    <col min="14098" max="14336" width="10.26171875" style="562"/>
    <col min="14337" max="14337" width="6.26171875" style="562" customWidth="1"/>
    <col min="14338" max="14338" width="22.26171875" style="562" bestFit="1" customWidth="1"/>
    <col min="14339" max="14340" width="4.68359375" style="562" bestFit="1" customWidth="1"/>
    <col min="14341" max="14341" width="3.15625" style="562" customWidth="1"/>
    <col min="14342" max="14342" width="5.83984375" style="562" bestFit="1" customWidth="1"/>
    <col min="14343" max="14343" width="8.578125" style="562" bestFit="1" customWidth="1"/>
    <col min="14344" max="14344" width="5.83984375" style="562" customWidth="1"/>
    <col min="14345" max="14345" width="8.68359375" style="562" customWidth="1"/>
    <col min="14346" max="14346" width="11.15625" style="562" customWidth="1"/>
    <col min="14347" max="14347" width="6.83984375" style="562" customWidth="1"/>
    <col min="14348" max="14348" width="10.578125" style="562" bestFit="1" customWidth="1"/>
    <col min="14349" max="14350" width="9.26171875" style="562" bestFit="1" customWidth="1"/>
    <col min="14351" max="14351" width="7.83984375" style="562" bestFit="1" customWidth="1"/>
    <col min="14352" max="14353" width="9" style="562" customWidth="1"/>
    <col min="14354" max="14592" width="10.26171875" style="562"/>
    <col min="14593" max="14593" width="6.26171875" style="562" customWidth="1"/>
    <col min="14594" max="14594" width="22.26171875" style="562" bestFit="1" customWidth="1"/>
    <col min="14595" max="14596" width="4.68359375" style="562" bestFit="1" customWidth="1"/>
    <col min="14597" max="14597" width="3.15625" style="562" customWidth="1"/>
    <col min="14598" max="14598" width="5.83984375" style="562" bestFit="1" customWidth="1"/>
    <col min="14599" max="14599" width="8.578125" style="562" bestFit="1" customWidth="1"/>
    <col min="14600" max="14600" width="5.83984375" style="562" customWidth="1"/>
    <col min="14601" max="14601" width="8.68359375" style="562" customWidth="1"/>
    <col min="14602" max="14602" width="11.15625" style="562" customWidth="1"/>
    <col min="14603" max="14603" width="6.83984375" style="562" customWidth="1"/>
    <col min="14604" max="14604" width="10.578125" style="562" bestFit="1" customWidth="1"/>
    <col min="14605" max="14606" width="9.26171875" style="562" bestFit="1" customWidth="1"/>
    <col min="14607" max="14607" width="7.83984375" style="562" bestFit="1" customWidth="1"/>
    <col min="14608" max="14609" width="9" style="562" customWidth="1"/>
    <col min="14610" max="14848" width="10.26171875" style="562"/>
    <col min="14849" max="14849" width="6.26171875" style="562" customWidth="1"/>
    <col min="14850" max="14850" width="22.26171875" style="562" bestFit="1" customWidth="1"/>
    <col min="14851" max="14852" width="4.68359375" style="562" bestFit="1" customWidth="1"/>
    <col min="14853" max="14853" width="3.15625" style="562" customWidth="1"/>
    <col min="14854" max="14854" width="5.83984375" style="562" bestFit="1" customWidth="1"/>
    <col min="14855" max="14855" width="8.578125" style="562" bestFit="1" customWidth="1"/>
    <col min="14856" max="14856" width="5.83984375" style="562" customWidth="1"/>
    <col min="14857" max="14857" width="8.68359375" style="562" customWidth="1"/>
    <col min="14858" max="14858" width="11.15625" style="562" customWidth="1"/>
    <col min="14859" max="14859" width="6.83984375" style="562" customWidth="1"/>
    <col min="14860" max="14860" width="10.578125" style="562" bestFit="1" customWidth="1"/>
    <col min="14861" max="14862" width="9.26171875" style="562" bestFit="1" customWidth="1"/>
    <col min="14863" max="14863" width="7.83984375" style="562" bestFit="1" customWidth="1"/>
    <col min="14864" max="14865" width="9" style="562" customWidth="1"/>
    <col min="14866" max="15104" width="10.26171875" style="562"/>
    <col min="15105" max="15105" width="6.26171875" style="562" customWidth="1"/>
    <col min="15106" max="15106" width="22.26171875" style="562" bestFit="1" customWidth="1"/>
    <col min="15107" max="15108" width="4.68359375" style="562" bestFit="1" customWidth="1"/>
    <col min="15109" max="15109" width="3.15625" style="562" customWidth="1"/>
    <col min="15110" max="15110" width="5.83984375" style="562" bestFit="1" customWidth="1"/>
    <col min="15111" max="15111" width="8.578125" style="562" bestFit="1" customWidth="1"/>
    <col min="15112" max="15112" width="5.83984375" style="562" customWidth="1"/>
    <col min="15113" max="15113" width="8.68359375" style="562" customWidth="1"/>
    <col min="15114" max="15114" width="11.15625" style="562" customWidth="1"/>
    <col min="15115" max="15115" width="6.83984375" style="562" customWidth="1"/>
    <col min="15116" max="15116" width="10.578125" style="562" bestFit="1" customWidth="1"/>
    <col min="15117" max="15118" width="9.26171875" style="562" bestFit="1" customWidth="1"/>
    <col min="15119" max="15119" width="7.83984375" style="562" bestFit="1" customWidth="1"/>
    <col min="15120" max="15121" width="9" style="562" customWidth="1"/>
    <col min="15122" max="15360" width="10.26171875" style="562"/>
    <col min="15361" max="15361" width="6.26171875" style="562" customWidth="1"/>
    <col min="15362" max="15362" width="22.26171875" style="562" bestFit="1" customWidth="1"/>
    <col min="15363" max="15364" width="4.68359375" style="562" bestFit="1" customWidth="1"/>
    <col min="15365" max="15365" width="3.15625" style="562" customWidth="1"/>
    <col min="15366" max="15366" width="5.83984375" style="562" bestFit="1" customWidth="1"/>
    <col min="15367" max="15367" width="8.578125" style="562" bestFit="1" customWidth="1"/>
    <col min="15368" max="15368" width="5.83984375" style="562" customWidth="1"/>
    <col min="15369" max="15369" width="8.68359375" style="562" customWidth="1"/>
    <col min="15370" max="15370" width="11.15625" style="562" customWidth="1"/>
    <col min="15371" max="15371" width="6.83984375" style="562" customWidth="1"/>
    <col min="15372" max="15372" width="10.578125" style="562" bestFit="1" customWidth="1"/>
    <col min="15373" max="15374" width="9.26171875" style="562" bestFit="1" customWidth="1"/>
    <col min="15375" max="15375" width="7.83984375" style="562" bestFit="1" customWidth="1"/>
    <col min="15376" max="15377" width="9" style="562" customWidth="1"/>
    <col min="15378" max="15616" width="10.26171875" style="562"/>
    <col min="15617" max="15617" width="6.26171875" style="562" customWidth="1"/>
    <col min="15618" max="15618" width="22.26171875" style="562" bestFit="1" customWidth="1"/>
    <col min="15619" max="15620" width="4.68359375" style="562" bestFit="1" customWidth="1"/>
    <col min="15621" max="15621" width="3.15625" style="562" customWidth="1"/>
    <col min="15622" max="15622" width="5.83984375" style="562" bestFit="1" customWidth="1"/>
    <col min="15623" max="15623" width="8.578125" style="562" bestFit="1" customWidth="1"/>
    <col min="15624" max="15624" width="5.83984375" style="562" customWidth="1"/>
    <col min="15625" max="15625" width="8.68359375" style="562" customWidth="1"/>
    <col min="15626" max="15626" width="11.15625" style="562" customWidth="1"/>
    <col min="15627" max="15627" width="6.83984375" style="562" customWidth="1"/>
    <col min="15628" max="15628" width="10.578125" style="562" bestFit="1" customWidth="1"/>
    <col min="15629" max="15630" width="9.26171875" style="562" bestFit="1" customWidth="1"/>
    <col min="15631" max="15631" width="7.83984375" style="562" bestFit="1" customWidth="1"/>
    <col min="15632" max="15633" width="9" style="562" customWidth="1"/>
    <col min="15634" max="15872" width="10.26171875" style="562"/>
    <col min="15873" max="15873" width="6.26171875" style="562" customWidth="1"/>
    <col min="15874" max="15874" width="22.26171875" style="562" bestFit="1" customWidth="1"/>
    <col min="15875" max="15876" width="4.68359375" style="562" bestFit="1" customWidth="1"/>
    <col min="15877" max="15877" width="3.15625" style="562" customWidth="1"/>
    <col min="15878" max="15878" width="5.83984375" style="562" bestFit="1" customWidth="1"/>
    <col min="15879" max="15879" width="8.578125" style="562" bestFit="1" customWidth="1"/>
    <col min="15880" max="15880" width="5.83984375" style="562" customWidth="1"/>
    <col min="15881" max="15881" width="8.68359375" style="562" customWidth="1"/>
    <col min="15882" max="15882" width="11.15625" style="562" customWidth="1"/>
    <col min="15883" max="15883" width="6.83984375" style="562" customWidth="1"/>
    <col min="15884" max="15884" width="10.578125" style="562" bestFit="1" customWidth="1"/>
    <col min="15885" max="15886" width="9.26171875" style="562" bestFit="1" customWidth="1"/>
    <col min="15887" max="15887" width="7.83984375" style="562" bestFit="1" customWidth="1"/>
    <col min="15888" max="15889" width="9" style="562" customWidth="1"/>
    <col min="15890" max="16128" width="10.26171875" style="562"/>
    <col min="16129" max="16129" width="6.26171875" style="562" customWidth="1"/>
    <col min="16130" max="16130" width="22.26171875" style="562" bestFit="1" customWidth="1"/>
    <col min="16131" max="16132" width="4.68359375" style="562" bestFit="1" customWidth="1"/>
    <col min="16133" max="16133" width="3.15625" style="562" customWidth="1"/>
    <col min="16134" max="16134" width="5.83984375" style="562" bestFit="1" customWidth="1"/>
    <col min="16135" max="16135" width="8.578125" style="562" bestFit="1" customWidth="1"/>
    <col min="16136" max="16136" width="5.83984375" style="562" customWidth="1"/>
    <col min="16137" max="16137" width="8.68359375" style="562" customWidth="1"/>
    <col min="16138" max="16138" width="11.15625" style="562" customWidth="1"/>
    <col min="16139" max="16139" width="6.83984375" style="562" customWidth="1"/>
    <col min="16140" max="16140" width="10.578125" style="562" bestFit="1" customWidth="1"/>
    <col min="16141" max="16142" width="9.26171875" style="562" bestFit="1" customWidth="1"/>
    <col min="16143" max="16143" width="7.83984375" style="562" bestFit="1" customWidth="1"/>
    <col min="16144" max="16145" width="9" style="562" customWidth="1"/>
    <col min="16146" max="16384" width="10.26171875" style="562"/>
  </cols>
  <sheetData>
    <row r="1" spans="1:17">
      <c r="A1" s="1590" t="s">
        <v>1619</v>
      </c>
      <c r="B1" s="1590"/>
      <c r="C1" s="1590"/>
      <c r="D1" s="1590"/>
      <c r="E1" s="1590"/>
      <c r="F1" s="1590"/>
      <c r="G1" s="1590"/>
      <c r="H1" s="1590"/>
      <c r="I1" s="1590"/>
      <c r="J1" s="1590"/>
      <c r="K1" s="1590"/>
      <c r="L1" s="1590"/>
      <c r="M1" s="1590"/>
      <c r="N1" s="1590"/>
      <c r="O1" s="1590"/>
      <c r="P1" s="1590"/>
      <c r="Q1" s="1590"/>
    </row>
    <row r="2" spans="1:17">
      <c r="A2" s="1590" t="str">
        <f>LEAD!A2</f>
        <v>Construction of Kitchen shed at ZPHS  Bijwar(V) of Utkoor(M)</v>
      </c>
      <c r="B2" s="1590"/>
      <c r="C2" s="1590"/>
      <c r="D2" s="1590"/>
      <c r="E2" s="1590"/>
      <c r="F2" s="1590"/>
      <c r="G2" s="1590"/>
      <c r="H2" s="1590"/>
      <c r="I2" s="1590"/>
      <c r="J2" s="1590"/>
      <c r="K2" s="1590"/>
      <c r="L2" s="1590"/>
      <c r="M2" s="1590"/>
      <c r="N2" s="1590"/>
      <c r="O2" s="1590"/>
      <c r="P2" s="1590"/>
      <c r="Q2" s="1590"/>
    </row>
    <row r="3" spans="1:17">
      <c r="A3" s="1590" t="s">
        <v>1629</v>
      </c>
      <c r="B3" s="1590"/>
      <c r="C3" s="1590"/>
      <c r="D3" s="1590"/>
      <c r="E3" s="1590"/>
      <c r="F3" s="1590"/>
      <c r="G3" s="1590"/>
      <c r="H3" s="1590"/>
      <c r="I3" s="1590"/>
      <c r="J3" s="1590"/>
      <c r="K3" s="1590"/>
      <c r="L3" s="1590"/>
      <c r="M3" s="1590"/>
      <c r="N3" s="1590"/>
      <c r="O3" s="1590"/>
      <c r="P3" s="1590"/>
      <c r="Q3" s="1590"/>
    </row>
    <row r="4" spans="1:17" s="566" customFormat="1" ht="30">
      <c r="A4" s="563" t="s">
        <v>1613</v>
      </c>
      <c r="B4" s="563" t="s">
        <v>563</v>
      </c>
      <c r="C4" s="563" t="s">
        <v>1620</v>
      </c>
      <c r="D4" s="1591" t="s">
        <v>329</v>
      </c>
      <c r="E4" s="1591"/>
      <c r="F4" s="1591"/>
      <c r="G4" s="564" t="s">
        <v>1614</v>
      </c>
      <c r="H4" s="564" t="s">
        <v>1615</v>
      </c>
      <c r="I4" s="564" t="s">
        <v>1616</v>
      </c>
      <c r="J4" s="564" t="s">
        <v>150</v>
      </c>
      <c r="K4" s="564" t="s">
        <v>53</v>
      </c>
      <c r="L4" s="565" t="s">
        <v>1621</v>
      </c>
      <c r="M4" s="565" t="s">
        <v>481</v>
      </c>
      <c r="N4" s="565" t="s">
        <v>480</v>
      </c>
      <c r="O4" s="565" t="s">
        <v>1622</v>
      </c>
      <c r="P4" s="565" t="s">
        <v>479</v>
      </c>
      <c r="Q4" s="565" t="s">
        <v>1623</v>
      </c>
    </row>
    <row r="5" spans="1:17" ht="147" customHeight="1">
      <c r="A5" s="567">
        <v>1</v>
      </c>
      <c r="B5" s="1592" t="s">
        <v>1624</v>
      </c>
      <c r="C5" s="1592"/>
      <c r="D5" s="1592"/>
      <c r="E5" s="1592"/>
      <c r="F5" s="1592"/>
      <c r="G5" s="1592"/>
      <c r="H5" s="1592"/>
      <c r="I5" s="1592"/>
      <c r="J5" s="1592"/>
      <c r="K5" s="568"/>
      <c r="L5" s="568"/>
      <c r="M5" s="568"/>
      <c r="N5" s="568"/>
      <c r="O5" s="568"/>
      <c r="P5" s="568"/>
      <c r="Q5" s="568"/>
    </row>
    <row r="6" spans="1:17">
      <c r="A6" s="567"/>
      <c r="B6" s="569" t="s">
        <v>1445</v>
      </c>
      <c r="C6" s="570"/>
      <c r="D6" s="568"/>
      <c r="E6" s="568"/>
      <c r="F6" s="571"/>
      <c r="G6" s="572"/>
      <c r="H6" s="572"/>
      <c r="I6" s="572"/>
      <c r="J6" s="572"/>
      <c r="K6" s="571"/>
      <c r="L6" s="571"/>
      <c r="M6" s="568"/>
      <c r="N6" s="571"/>
      <c r="O6" s="571"/>
      <c r="P6" s="568"/>
      <c r="Q6" s="568"/>
    </row>
    <row r="7" spans="1:17">
      <c r="A7" s="567"/>
      <c r="B7" s="573" t="s">
        <v>1650</v>
      </c>
      <c r="C7" s="570">
        <v>10</v>
      </c>
      <c r="D7" s="568">
        <v>64</v>
      </c>
      <c r="E7" s="568" t="s">
        <v>33</v>
      </c>
      <c r="F7" s="568">
        <v>10</v>
      </c>
      <c r="G7" s="572">
        <f>0.65+0.2</f>
        <v>0.85000000000000009</v>
      </c>
      <c r="H7" s="572"/>
      <c r="I7" s="572"/>
      <c r="J7" s="572">
        <f t="shared" ref="J7:J9" si="0">IF(C7=0,"--",TRUNC(PRODUCT(D7:G7),2))</f>
        <v>544</v>
      </c>
      <c r="K7" s="571"/>
      <c r="L7" s="572" t="str">
        <f t="shared" ref="L7:L9" si="1">IF(C7=8,J7,"--")</f>
        <v>--</v>
      </c>
      <c r="M7" s="572">
        <f t="shared" ref="M7:M9" si="2">IF(C7=10,J7,"--")</f>
        <v>544</v>
      </c>
      <c r="N7" s="572" t="str">
        <f t="shared" ref="N7:N9" si="3">IF(C7=12,J7,"--")</f>
        <v>--</v>
      </c>
      <c r="O7" s="572" t="str">
        <f t="shared" ref="O7:O9" si="4">IF(C7=16,J7,"--")</f>
        <v>--</v>
      </c>
      <c r="P7" s="572" t="str">
        <f t="shared" ref="P7:P9" si="5">IF(C7=20,J7,"--")</f>
        <v>--</v>
      </c>
      <c r="Q7" s="572" t="str">
        <f t="shared" ref="Q7:Q9" si="6">IF(C7=25,J7,"--")</f>
        <v>--</v>
      </c>
    </row>
    <row r="8" spans="1:17">
      <c r="A8" s="567"/>
      <c r="B8" s="573" t="s">
        <v>470</v>
      </c>
      <c r="C8" s="570">
        <v>12</v>
      </c>
      <c r="D8" s="568">
        <v>64</v>
      </c>
      <c r="E8" s="568" t="s">
        <v>33</v>
      </c>
      <c r="F8" s="568">
        <v>4</v>
      </c>
      <c r="G8" s="572">
        <v>3</v>
      </c>
      <c r="H8" s="572"/>
      <c r="I8" s="572"/>
      <c r="J8" s="572">
        <f t="shared" si="0"/>
        <v>768</v>
      </c>
      <c r="K8" s="571"/>
      <c r="L8" s="572" t="str">
        <f t="shared" si="1"/>
        <v>--</v>
      </c>
      <c r="M8" s="572" t="str">
        <f t="shared" si="2"/>
        <v>--</v>
      </c>
      <c r="N8" s="572">
        <f t="shared" si="3"/>
        <v>768</v>
      </c>
      <c r="O8" s="572" t="str">
        <f t="shared" si="4"/>
        <v>--</v>
      </c>
      <c r="P8" s="572" t="str">
        <f t="shared" si="5"/>
        <v>--</v>
      </c>
      <c r="Q8" s="572" t="str">
        <f t="shared" si="6"/>
        <v>--</v>
      </c>
    </row>
    <row r="9" spans="1:17">
      <c r="A9" s="567"/>
      <c r="B9" s="573" t="s">
        <v>1651</v>
      </c>
      <c r="C9" s="570">
        <v>8</v>
      </c>
      <c r="D9" s="568">
        <v>64</v>
      </c>
      <c r="E9" s="568" t="s">
        <v>33</v>
      </c>
      <c r="F9" s="568">
        <v>22</v>
      </c>
      <c r="G9" s="572">
        <v>0.75</v>
      </c>
      <c r="H9" s="572"/>
      <c r="I9" s="572"/>
      <c r="J9" s="572">
        <f t="shared" si="0"/>
        <v>1056</v>
      </c>
      <c r="K9" s="571"/>
      <c r="L9" s="572">
        <f t="shared" si="1"/>
        <v>1056</v>
      </c>
      <c r="M9" s="572" t="str">
        <f t="shared" si="2"/>
        <v>--</v>
      </c>
      <c r="N9" s="572" t="str">
        <f t="shared" si="3"/>
        <v>--</v>
      </c>
      <c r="O9" s="572" t="str">
        <f t="shared" si="4"/>
        <v>--</v>
      </c>
      <c r="P9" s="572" t="str">
        <f t="shared" si="5"/>
        <v>--</v>
      </c>
      <c r="Q9" s="572" t="str">
        <f t="shared" si="6"/>
        <v>--</v>
      </c>
    </row>
    <row r="10" spans="1:17">
      <c r="A10" s="567"/>
      <c r="B10" s="573" t="s">
        <v>1652</v>
      </c>
      <c r="C10" s="570"/>
      <c r="D10" s="568"/>
      <c r="E10" s="568"/>
      <c r="F10" s="568"/>
      <c r="G10" s="572"/>
      <c r="H10" s="572"/>
      <c r="I10" s="572"/>
      <c r="J10" s="572"/>
      <c r="K10" s="571"/>
      <c r="L10" s="572"/>
      <c r="M10" s="572"/>
      <c r="N10" s="572"/>
      <c r="O10" s="572"/>
      <c r="P10" s="572"/>
      <c r="Q10" s="572"/>
    </row>
    <row r="11" spans="1:17">
      <c r="A11" s="567"/>
      <c r="B11" s="574" t="s">
        <v>1653</v>
      </c>
      <c r="C11" s="570">
        <v>10</v>
      </c>
      <c r="D11" s="568">
        <v>1</v>
      </c>
      <c r="E11" s="568" t="s">
        <v>33</v>
      </c>
      <c r="F11" s="568">
        <v>3</v>
      </c>
      <c r="G11" s="572">
        <v>150</v>
      </c>
      <c r="H11" s="572"/>
      <c r="I11" s="572"/>
      <c r="J11" s="572">
        <f>IF(C11=0,"--",TRUNC(PRODUCT(D11:G11),2))</f>
        <v>450</v>
      </c>
      <c r="K11" s="571"/>
      <c r="L11" s="572" t="str">
        <f>IF(C11=8,J11,"--")</f>
        <v>--</v>
      </c>
      <c r="M11" s="572">
        <f>IF(C11=10,J11,"--")</f>
        <v>450</v>
      </c>
      <c r="N11" s="572" t="str">
        <f>IF(C11=12,J11,"--")</f>
        <v>--</v>
      </c>
      <c r="O11" s="572" t="str">
        <f>IF(C11=16,J11,"--")</f>
        <v>--</v>
      </c>
      <c r="P11" s="572" t="str">
        <f>IF(C11=20,J11,"--")</f>
        <v>--</v>
      </c>
      <c r="Q11" s="572" t="str">
        <f>IF(C11=25,J11,"--")</f>
        <v>--</v>
      </c>
    </row>
    <row r="12" spans="1:17">
      <c r="A12" s="567"/>
      <c r="B12" s="573" t="s">
        <v>1654</v>
      </c>
      <c r="C12" s="570">
        <v>10</v>
      </c>
      <c r="D12" s="568">
        <v>1</v>
      </c>
      <c r="E12" s="568" t="s">
        <v>33</v>
      </c>
      <c r="F12" s="568">
        <v>3</v>
      </c>
      <c r="G12" s="572">
        <v>150</v>
      </c>
      <c r="H12" s="572"/>
      <c r="I12" s="572"/>
      <c r="J12" s="572">
        <f>IF(C12=0,"--",TRUNC(PRODUCT(D12:G12),2))</f>
        <v>450</v>
      </c>
      <c r="K12" s="571"/>
      <c r="L12" s="572" t="str">
        <f>IF(C12=8,J12,"--")</f>
        <v>--</v>
      </c>
      <c r="M12" s="572">
        <f>IF(C12=10,J12,"--")</f>
        <v>450</v>
      </c>
      <c r="N12" s="572" t="str">
        <f>IF(C12=12,J12,"--")</f>
        <v>--</v>
      </c>
      <c r="O12" s="572" t="str">
        <f>IF(C12=16,J12,"--")</f>
        <v>--</v>
      </c>
      <c r="P12" s="572" t="str">
        <f>IF(C12=20,J12,"--")</f>
        <v>--</v>
      </c>
      <c r="Q12" s="572" t="str">
        <f>IF(C12=25,J12,"--")</f>
        <v>--</v>
      </c>
    </row>
    <row r="13" spans="1:17">
      <c r="A13" s="567"/>
      <c r="B13" s="573" t="s">
        <v>1651</v>
      </c>
      <c r="C13" s="570">
        <v>8</v>
      </c>
      <c r="D13" s="568">
        <v>1</v>
      </c>
      <c r="E13" s="568" t="s">
        <v>33</v>
      </c>
      <c r="F13" s="568">
        <v>150</v>
      </c>
      <c r="G13" s="572">
        <v>1.01</v>
      </c>
      <c r="H13" s="572"/>
      <c r="I13" s="572"/>
      <c r="J13" s="572">
        <f>IF(C13=0,"--",TRUNC(PRODUCT(D13:G13),2))</f>
        <v>151.5</v>
      </c>
      <c r="K13" s="571"/>
      <c r="L13" s="572">
        <f>IF(C13=8,J13,"--")</f>
        <v>151.5</v>
      </c>
      <c r="M13" s="572" t="str">
        <f>IF(C13=10,J13,"--")</f>
        <v>--</v>
      </c>
      <c r="N13" s="572" t="str">
        <f>IF(C13=12,J13,"--")</f>
        <v>--</v>
      </c>
      <c r="O13" s="572" t="str">
        <f>IF(C13=16,J13,"--")</f>
        <v>--</v>
      </c>
      <c r="P13" s="572" t="str">
        <f>IF(C13=20,J13,"--")</f>
        <v>--</v>
      </c>
      <c r="Q13" s="572" t="str">
        <f>IF(C13=25,J13,"--")</f>
        <v>--</v>
      </c>
    </row>
    <row r="14" spans="1:17">
      <c r="A14" s="567"/>
      <c r="B14" s="573" t="s">
        <v>1655</v>
      </c>
      <c r="C14" s="570"/>
      <c r="D14" s="568"/>
      <c r="E14" s="568"/>
      <c r="F14" s="568"/>
      <c r="G14" s="572"/>
      <c r="H14" s="572"/>
      <c r="I14" s="572"/>
      <c r="J14" s="572"/>
      <c r="K14" s="571"/>
      <c r="L14" s="572"/>
      <c r="M14" s="572"/>
      <c r="N14" s="572"/>
      <c r="O14" s="572"/>
      <c r="P14" s="572"/>
      <c r="Q14" s="572"/>
    </row>
    <row r="15" spans="1:17">
      <c r="A15" s="567"/>
      <c r="B15" s="574" t="s">
        <v>1542</v>
      </c>
      <c r="C15" s="570">
        <v>8</v>
      </c>
      <c r="D15" s="568">
        <v>2</v>
      </c>
      <c r="E15" s="568" t="s">
        <v>33</v>
      </c>
      <c r="F15" s="568">
        <v>10</v>
      </c>
      <c r="G15" s="572">
        <v>1</v>
      </c>
      <c r="H15" s="572"/>
      <c r="I15" s="572"/>
      <c r="J15" s="572">
        <f>IF(C15=0,"--",TRUNC(PRODUCT(D15:G15),2))</f>
        <v>20</v>
      </c>
      <c r="K15" s="571"/>
      <c r="L15" s="572">
        <f>IF(C15=8,J15,"--")</f>
        <v>20</v>
      </c>
      <c r="M15" s="572" t="str">
        <f>IF(C15=10,J15,"--")</f>
        <v>--</v>
      </c>
      <c r="N15" s="572" t="str">
        <f>IF(C15=12,J15,"--")</f>
        <v>--</v>
      </c>
      <c r="O15" s="572" t="str">
        <f>IF(C15=16,J15,"--")</f>
        <v>--</v>
      </c>
      <c r="P15" s="572" t="str">
        <f>IF(C15=20,J15,"--")</f>
        <v>--</v>
      </c>
      <c r="Q15" s="572" t="str">
        <f>IF(C15=25,J15,"--")</f>
        <v>--</v>
      </c>
    </row>
    <row r="16" spans="1:17">
      <c r="A16" s="567"/>
      <c r="B16" s="573" t="s">
        <v>1541</v>
      </c>
      <c r="C16" s="570">
        <v>8</v>
      </c>
      <c r="D16" s="568">
        <v>2</v>
      </c>
      <c r="E16" s="568" t="s">
        <v>33</v>
      </c>
      <c r="F16" s="568">
        <v>10</v>
      </c>
      <c r="G16" s="572">
        <v>10</v>
      </c>
      <c r="H16" s="572"/>
      <c r="I16" s="572"/>
      <c r="J16" s="572">
        <f>IF(C16=0,"--",TRUNC(PRODUCT(D16:G16),2))</f>
        <v>200</v>
      </c>
      <c r="K16" s="571"/>
      <c r="L16" s="572">
        <f>IF(C16=8,J16,"--")</f>
        <v>200</v>
      </c>
      <c r="M16" s="572" t="str">
        <f>IF(C16=10,J16,"--")</f>
        <v>--</v>
      </c>
      <c r="N16" s="572" t="str">
        <f>IF(C16=12,J16,"--")</f>
        <v>--</v>
      </c>
      <c r="O16" s="572" t="str">
        <f>IF(C16=16,J16,"--")</f>
        <v>--</v>
      </c>
      <c r="P16" s="572" t="str">
        <f>IF(C16=20,J16,"--")</f>
        <v>--</v>
      </c>
      <c r="Q16" s="572" t="str">
        <f>IF(C16=25,J16,"--")</f>
        <v>--</v>
      </c>
    </row>
    <row r="17" spans="1:17">
      <c r="A17" s="567"/>
      <c r="B17" s="574"/>
      <c r="C17" s="568"/>
      <c r="D17" s="568"/>
      <c r="E17" s="568"/>
      <c r="F17" s="568"/>
      <c r="G17" s="572"/>
      <c r="H17" s="572"/>
      <c r="I17" s="575" t="s">
        <v>1625</v>
      </c>
      <c r="J17" s="575"/>
      <c r="K17" s="575"/>
      <c r="L17" s="575">
        <f t="shared" ref="L17:Q17" si="7">SUM(L6:L16)</f>
        <v>1427.5</v>
      </c>
      <c r="M17" s="575">
        <f t="shared" si="7"/>
        <v>1444</v>
      </c>
      <c r="N17" s="575">
        <f t="shared" si="7"/>
        <v>768</v>
      </c>
      <c r="O17" s="575">
        <f t="shared" si="7"/>
        <v>0</v>
      </c>
      <c r="P17" s="575">
        <f t="shared" si="7"/>
        <v>0</v>
      </c>
      <c r="Q17" s="575">
        <f t="shared" si="7"/>
        <v>0</v>
      </c>
    </row>
    <row r="18" spans="1:17">
      <c r="A18" s="567"/>
      <c r="B18" s="574"/>
      <c r="C18" s="568"/>
      <c r="D18" s="568"/>
      <c r="E18" s="568"/>
      <c r="F18" s="568"/>
      <c r="G18" s="572"/>
      <c r="H18" s="572"/>
      <c r="I18" s="575" t="s">
        <v>1626</v>
      </c>
      <c r="J18" s="575"/>
      <c r="K18" s="575"/>
      <c r="L18" s="575">
        <v>0.39</v>
      </c>
      <c r="M18" s="575">
        <v>0.62</v>
      </c>
      <c r="N18" s="575">
        <v>0.88800000000000001</v>
      </c>
      <c r="O18" s="575">
        <v>1.57</v>
      </c>
      <c r="P18" s="575">
        <v>2.46</v>
      </c>
      <c r="Q18" s="575">
        <v>3.85</v>
      </c>
    </row>
    <row r="19" spans="1:17">
      <c r="A19" s="567"/>
      <c r="B19" s="574"/>
      <c r="C19" s="568"/>
      <c r="D19" s="568"/>
      <c r="E19" s="568"/>
      <c r="F19" s="568"/>
      <c r="G19" s="572"/>
      <c r="H19" s="572"/>
      <c r="I19" s="575" t="s">
        <v>1627</v>
      </c>
      <c r="J19" s="575"/>
      <c r="K19" s="575"/>
      <c r="L19" s="575">
        <f t="shared" ref="L19:Q19" si="8">+TRUNC(PRODUCT(L17*L18),2)</f>
        <v>556.72</v>
      </c>
      <c r="M19" s="575">
        <f t="shared" si="8"/>
        <v>895.28</v>
      </c>
      <c r="N19" s="575">
        <f t="shared" si="8"/>
        <v>681.98</v>
      </c>
      <c r="O19" s="575">
        <f t="shared" si="8"/>
        <v>0</v>
      </c>
      <c r="P19" s="575">
        <f t="shared" si="8"/>
        <v>0</v>
      </c>
      <c r="Q19" s="575">
        <f t="shared" si="8"/>
        <v>0</v>
      </c>
    </row>
    <row r="20" spans="1:17">
      <c r="A20" s="567"/>
      <c r="B20" s="574"/>
      <c r="C20" s="568"/>
      <c r="D20" s="568"/>
      <c r="E20" s="568"/>
      <c r="F20" s="568"/>
      <c r="G20" s="572"/>
      <c r="H20" s="572"/>
      <c r="I20" s="575"/>
      <c r="J20" s="575"/>
      <c r="K20" s="575" t="s">
        <v>466</v>
      </c>
      <c r="L20" s="575">
        <f>L19+M19+N19+O19+P19+Q19</f>
        <v>2133.98</v>
      </c>
      <c r="M20" s="575" t="s">
        <v>462</v>
      </c>
      <c r="N20" s="575"/>
      <c r="O20" s="575"/>
      <c r="P20" s="575"/>
      <c r="Q20" s="575"/>
    </row>
    <row r="21" spans="1:17">
      <c r="A21" s="576"/>
      <c r="B21" s="577"/>
      <c r="C21" s="578"/>
      <c r="D21" s="578"/>
      <c r="E21" s="578"/>
      <c r="F21" s="578"/>
      <c r="G21" s="579"/>
      <c r="H21" s="579"/>
      <c r="I21" s="580"/>
      <c r="J21" s="580"/>
      <c r="K21" s="580"/>
      <c r="L21" s="581">
        <f>ROUND(L20/1000,3)</f>
        <v>2.1339999999999999</v>
      </c>
      <c r="M21" s="580" t="s">
        <v>50</v>
      </c>
      <c r="N21" s="580"/>
      <c r="O21" s="580"/>
      <c r="P21" s="580"/>
      <c r="Q21" s="580"/>
    </row>
    <row r="22" spans="1:17">
      <c r="A22" s="582"/>
      <c r="B22" s="583"/>
      <c r="C22" s="584"/>
      <c r="D22" s="585"/>
      <c r="E22" s="585"/>
      <c r="F22" s="585"/>
      <c r="G22" s="586"/>
      <c r="H22" s="586"/>
      <c r="I22" s="586"/>
      <c r="J22" s="586"/>
      <c r="K22" s="587"/>
      <c r="L22" s="586"/>
      <c r="M22" s="586"/>
      <c r="N22" s="586"/>
      <c r="O22" s="586"/>
      <c r="P22" s="586"/>
      <c r="Q22" s="586"/>
    </row>
    <row r="23" spans="1:17">
      <c r="A23" s="582"/>
      <c r="B23" s="583"/>
      <c r="C23" s="584"/>
      <c r="D23" s="585"/>
      <c r="E23" s="585"/>
      <c r="F23" s="585"/>
      <c r="G23" s="586"/>
      <c r="H23" s="586"/>
      <c r="I23" s="586"/>
      <c r="J23" s="586"/>
      <c r="K23" s="587"/>
      <c r="L23" s="586"/>
      <c r="M23" s="586"/>
      <c r="N23" s="586"/>
      <c r="O23" s="586"/>
      <c r="P23" s="586"/>
      <c r="Q23" s="586"/>
    </row>
    <row r="24" spans="1:17">
      <c r="A24" s="582"/>
      <c r="B24" s="583"/>
      <c r="C24" s="584"/>
      <c r="D24" s="585"/>
      <c r="E24" s="585"/>
      <c r="F24" s="585"/>
      <c r="G24" s="586"/>
      <c r="H24" s="586"/>
      <c r="I24" s="586"/>
      <c r="J24" s="586"/>
      <c r="K24" s="587"/>
      <c r="L24" s="586"/>
      <c r="M24" s="586"/>
      <c r="N24" s="586"/>
      <c r="O24" s="586"/>
      <c r="P24" s="586"/>
      <c r="Q24" s="586"/>
    </row>
    <row r="25" spans="1:17">
      <c r="A25" s="582"/>
      <c r="B25" s="583"/>
      <c r="C25" s="584"/>
      <c r="D25" s="585"/>
      <c r="E25" s="585"/>
      <c r="F25" s="585"/>
      <c r="G25" s="586"/>
      <c r="H25" s="586"/>
      <c r="I25" s="586"/>
      <c r="J25" s="586"/>
      <c r="K25" s="587"/>
      <c r="L25" s="586"/>
      <c r="M25" s="586"/>
      <c r="N25" s="586"/>
      <c r="O25" s="586"/>
      <c r="P25" s="586"/>
      <c r="Q25" s="586"/>
    </row>
    <row r="26" spans="1:17">
      <c r="A26" s="582"/>
      <c r="B26" s="583"/>
      <c r="C26" s="584"/>
      <c r="D26" s="585"/>
      <c r="E26" s="585"/>
      <c r="F26" s="585"/>
      <c r="G26" s="586"/>
      <c r="H26" s="586"/>
      <c r="I26" s="586"/>
      <c r="J26" s="586"/>
      <c r="K26" s="587"/>
      <c r="L26" s="586"/>
      <c r="M26" s="586"/>
      <c r="N26" s="586"/>
      <c r="O26" s="586"/>
      <c r="P26" s="586"/>
      <c r="Q26" s="586"/>
    </row>
    <row r="27" spans="1:17">
      <c r="A27" s="582"/>
      <c r="B27" s="583"/>
      <c r="C27" s="584"/>
      <c r="D27" s="585"/>
      <c r="E27" s="585"/>
      <c r="F27" s="585"/>
      <c r="G27" s="586"/>
      <c r="H27" s="586"/>
      <c r="I27" s="586"/>
      <c r="J27" s="586"/>
      <c r="K27" s="587"/>
      <c r="L27" s="586"/>
      <c r="M27" s="586"/>
      <c r="N27" s="586"/>
      <c r="O27" s="586"/>
      <c r="P27" s="586"/>
      <c r="Q27" s="586"/>
    </row>
    <row r="28" spans="1:17">
      <c r="A28" s="582"/>
      <c r="C28" s="584"/>
      <c r="D28" s="585"/>
      <c r="E28" s="585"/>
      <c r="F28" s="585"/>
      <c r="G28" s="586"/>
      <c r="H28" s="586"/>
      <c r="I28" s="586"/>
      <c r="J28" s="586"/>
      <c r="K28" s="587"/>
      <c r="L28" s="586"/>
      <c r="M28" s="586"/>
      <c r="N28" s="586"/>
      <c r="O28" s="586"/>
      <c r="P28" s="586"/>
      <c r="Q28" s="586"/>
    </row>
    <row r="29" spans="1:17">
      <c r="A29" s="582"/>
      <c r="B29" s="583"/>
      <c r="C29" s="584"/>
      <c r="D29" s="585"/>
      <c r="E29" s="585"/>
      <c r="F29" s="585"/>
      <c r="G29" s="586"/>
      <c r="H29" s="586"/>
      <c r="I29" s="586"/>
      <c r="J29" s="586"/>
      <c r="K29" s="587"/>
      <c r="L29" s="586"/>
      <c r="M29" s="586"/>
      <c r="N29" s="586"/>
      <c r="O29" s="586"/>
      <c r="P29" s="586"/>
      <c r="Q29" s="586"/>
    </row>
    <row r="30" spans="1:17">
      <c r="A30" s="582"/>
      <c r="B30" s="583"/>
      <c r="C30" s="584"/>
      <c r="D30" s="585"/>
      <c r="E30" s="585"/>
      <c r="F30" s="585"/>
      <c r="G30" s="586"/>
      <c r="H30" s="586"/>
      <c r="I30" s="586"/>
      <c r="J30" s="586"/>
      <c r="K30" s="587"/>
      <c r="L30" s="586"/>
      <c r="M30" s="586"/>
      <c r="N30" s="586"/>
      <c r="O30" s="586"/>
      <c r="P30" s="586"/>
      <c r="Q30" s="586"/>
    </row>
    <row r="31" spans="1:17">
      <c r="A31" s="582"/>
      <c r="B31" s="583"/>
      <c r="C31" s="584"/>
      <c r="D31" s="585"/>
      <c r="E31" s="585"/>
      <c r="F31" s="585"/>
      <c r="G31" s="586"/>
      <c r="H31" s="586"/>
      <c r="I31" s="586"/>
      <c r="J31" s="586"/>
      <c r="K31" s="587"/>
      <c r="L31" s="586"/>
      <c r="M31" s="586"/>
      <c r="N31" s="586"/>
      <c r="O31" s="586"/>
      <c r="P31" s="586"/>
      <c r="Q31" s="586"/>
    </row>
    <row r="32" spans="1:17">
      <c r="A32" s="582"/>
      <c r="C32" s="584"/>
      <c r="D32" s="585"/>
      <c r="E32" s="585"/>
      <c r="F32" s="585"/>
      <c r="G32" s="586"/>
      <c r="H32" s="586"/>
      <c r="I32" s="586"/>
      <c r="J32" s="586"/>
      <c r="K32" s="587"/>
      <c r="L32" s="586"/>
      <c r="M32" s="586"/>
      <c r="N32" s="586"/>
      <c r="O32" s="586"/>
      <c r="P32" s="586"/>
      <c r="Q32" s="586"/>
    </row>
    <row r="33" spans="1:17">
      <c r="A33" s="582"/>
      <c r="B33" s="583"/>
      <c r="C33" s="584"/>
      <c r="D33" s="585"/>
      <c r="E33" s="585"/>
      <c r="F33" s="585"/>
      <c r="G33" s="586"/>
      <c r="H33" s="586"/>
      <c r="I33" s="586"/>
      <c r="J33" s="586"/>
      <c r="K33" s="587"/>
      <c r="L33" s="586"/>
      <c r="M33" s="586"/>
      <c r="N33" s="586"/>
      <c r="O33" s="586"/>
      <c r="P33" s="586"/>
      <c r="Q33" s="586"/>
    </row>
    <row r="34" spans="1:17">
      <c r="I34" s="591"/>
      <c r="J34" s="591"/>
      <c r="K34" s="591"/>
      <c r="L34" s="591"/>
      <c r="M34" s="591"/>
      <c r="N34" s="591"/>
      <c r="O34" s="591"/>
      <c r="P34" s="591"/>
      <c r="Q34" s="591"/>
    </row>
    <row r="35" spans="1:17">
      <c r="I35" s="591"/>
      <c r="J35" s="591"/>
      <c r="K35" s="591"/>
      <c r="L35" s="591"/>
      <c r="M35" s="591"/>
      <c r="N35" s="591"/>
      <c r="O35" s="591"/>
      <c r="P35" s="591"/>
      <c r="Q35" s="591"/>
    </row>
    <row r="36" spans="1:17">
      <c r="I36" s="591"/>
      <c r="J36" s="591"/>
      <c r="K36" s="591"/>
      <c r="L36" s="591"/>
      <c r="M36" s="591"/>
      <c r="N36" s="591"/>
      <c r="O36" s="591"/>
      <c r="P36" s="591"/>
      <c r="Q36" s="591"/>
    </row>
    <row r="37" spans="1:17">
      <c r="I37" s="591"/>
      <c r="J37" s="591"/>
      <c r="K37" s="591"/>
      <c r="L37" s="591"/>
      <c r="M37" s="591"/>
      <c r="N37" s="591"/>
      <c r="O37" s="591"/>
      <c r="P37" s="591"/>
      <c r="Q37" s="591"/>
    </row>
    <row r="38" spans="1:17">
      <c r="I38" s="591"/>
      <c r="J38" s="591"/>
      <c r="K38" s="591"/>
      <c r="L38" s="592"/>
      <c r="M38" s="591"/>
      <c r="N38" s="591"/>
      <c r="O38" s="591"/>
      <c r="P38" s="591"/>
      <c r="Q38" s="591"/>
    </row>
  </sheetData>
  <mergeCells count="5">
    <mergeCell ref="A1:Q1"/>
    <mergeCell ref="A2:Q2"/>
    <mergeCell ref="A3:Q3"/>
    <mergeCell ref="D4:F4"/>
    <mergeCell ref="B5:J5"/>
  </mergeCells>
  <printOptions horizontalCentered="1"/>
  <pageMargins left="0.36" right="0.26" top="0.75" bottom="0.75" header="0.3" footer="0.3"/>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3">
    <tabColor indexed="13"/>
  </sheetPr>
  <dimension ref="A1:R852"/>
  <sheetViews>
    <sheetView view="pageBreakPreview" zoomScaleSheetLayoutView="100" workbookViewId="0">
      <selection activeCell="B2" sqref="B2"/>
    </sheetView>
  </sheetViews>
  <sheetFormatPr defaultColWidth="9.15625" defaultRowHeight="14.1"/>
  <cols>
    <col min="1" max="1" width="0.15625" style="150" customWidth="1"/>
    <col min="2" max="2" width="4.41796875" style="150" customWidth="1"/>
    <col min="3" max="3" width="8.578125" style="150" customWidth="1"/>
    <col min="4" max="4" width="11.68359375" style="150" customWidth="1"/>
    <col min="5" max="5" width="13.68359375" style="150" customWidth="1"/>
    <col min="6" max="6" width="15.578125" style="150" customWidth="1"/>
    <col min="7" max="7" width="13.15625" style="150" customWidth="1"/>
    <col min="8" max="8" width="10.15625" style="150" customWidth="1"/>
    <col min="9" max="9" width="10.26171875" style="150" customWidth="1"/>
    <col min="10" max="10" width="1.578125" style="150" customWidth="1"/>
    <col min="11" max="11" width="11.15625" style="150" customWidth="1"/>
    <col min="12" max="12" width="10.83984375" style="150" customWidth="1"/>
    <col min="13" max="16384" width="9.15625" style="150"/>
  </cols>
  <sheetData>
    <row r="1" spans="1:16" ht="17.25" customHeight="1">
      <c r="B1" s="1593" t="s">
        <v>2597</v>
      </c>
      <c r="C1" s="1593"/>
      <c r="D1" s="1593"/>
      <c r="E1" s="1593"/>
      <c r="F1" s="1593"/>
      <c r="G1" s="1593"/>
      <c r="H1" s="1593"/>
      <c r="I1" s="1593"/>
    </row>
    <row r="2" spans="1:16" ht="68.25" customHeight="1">
      <c r="B2" s="195" t="s">
        <v>562</v>
      </c>
      <c r="C2" s="194" t="s">
        <v>473</v>
      </c>
      <c r="D2" s="194" t="s">
        <v>9</v>
      </c>
      <c r="E2" s="194" t="s">
        <v>10</v>
      </c>
      <c r="F2" s="194" t="s">
        <v>11</v>
      </c>
      <c r="G2" s="194" t="s">
        <v>14</v>
      </c>
      <c r="H2" s="194" t="s">
        <v>420</v>
      </c>
      <c r="I2" s="194" t="s">
        <v>15</v>
      </c>
    </row>
    <row r="3" spans="1:16">
      <c r="A3" s="150">
        <v>0</v>
      </c>
      <c r="B3" s="156">
        <v>1</v>
      </c>
      <c r="C3" s="176">
        <v>1</v>
      </c>
      <c r="D3" s="177">
        <f t="shared" ref="D3:I3" si="0">K3</f>
        <v>35.56</v>
      </c>
      <c r="E3" s="177">
        <f t="shared" si="0"/>
        <v>34.24</v>
      </c>
      <c r="F3" s="177">
        <f t="shared" si="0"/>
        <v>21.39</v>
      </c>
      <c r="G3" s="177">
        <f t="shared" si="0"/>
        <v>50.43</v>
      </c>
      <c r="H3" s="177">
        <f t="shared" si="0"/>
        <v>20.86</v>
      </c>
      <c r="I3" s="177">
        <f t="shared" si="0"/>
        <v>57.12</v>
      </c>
      <c r="K3" s="151">
        <f>'Basic Data'!AC7</f>
        <v>35.56</v>
      </c>
      <c r="L3" s="151">
        <f>'Basic Data'!AD7</f>
        <v>34.24</v>
      </c>
      <c r="M3" s="151">
        <f>'Basic Data'!AE7</f>
        <v>21.39</v>
      </c>
      <c r="N3" s="151">
        <f>'Basic Data'!AF7</f>
        <v>50.43</v>
      </c>
      <c r="O3" s="151">
        <f>'Basic Data'!AG7</f>
        <v>20.86</v>
      </c>
      <c r="P3" s="151">
        <f>'Basic Data'!AH7</f>
        <v>57.12</v>
      </c>
    </row>
    <row r="4" spans="1:16">
      <c r="B4" s="156">
        <v>2</v>
      </c>
      <c r="C4" s="176">
        <v>2</v>
      </c>
      <c r="D4" s="177">
        <f t="shared" ref="D4:D67" si="1">K4</f>
        <v>49.82</v>
      </c>
      <c r="E4" s="177">
        <f t="shared" ref="E4:E67" si="2">L4</f>
        <v>47.97</v>
      </c>
      <c r="F4" s="177">
        <f t="shared" ref="F4:F67" si="3">M4</f>
        <v>30.01</v>
      </c>
      <c r="G4" s="177">
        <f t="shared" ref="G4:G67" si="4">N4</f>
        <v>70.59</v>
      </c>
      <c r="H4" s="177">
        <f t="shared" ref="H4:H67" si="5">O4</f>
        <v>29.22</v>
      </c>
      <c r="I4" s="177">
        <f t="shared" ref="I4:I67" si="6">P4</f>
        <v>80.010000000000005</v>
      </c>
      <c r="K4" s="151">
        <f>'Basic Data'!AC8</f>
        <v>49.82</v>
      </c>
      <c r="L4" s="151">
        <f>'Basic Data'!AD8</f>
        <v>47.97</v>
      </c>
      <c r="M4" s="151">
        <f>'Basic Data'!AE8</f>
        <v>30.01</v>
      </c>
      <c r="N4" s="151">
        <f>'Basic Data'!AF8</f>
        <v>70.59</v>
      </c>
      <c r="O4" s="151">
        <f>'Basic Data'!AG8</f>
        <v>29.22</v>
      </c>
      <c r="P4" s="151">
        <f>'Basic Data'!AH8</f>
        <v>80.010000000000005</v>
      </c>
    </row>
    <row r="5" spans="1:16">
      <c r="B5" s="156">
        <v>3</v>
      </c>
      <c r="C5" s="176">
        <v>3</v>
      </c>
      <c r="D5" s="177">
        <f t="shared" si="1"/>
        <v>66.36</v>
      </c>
      <c r="E5" s="177">
        <f t="shared" si="2"/>
        <v>66.36</v>
      </c>
      <c r="F5" s="177">
        <f t="shared" si="3"/>
        <v>41.46</v>
      </c>
      <c r="G5" s="177">
        <f t="shared" si="4"/>
        <v>97.61</v>
      </c>
      <c r="H5" s="177">
        <f t="shared" si="5"/>
        <v>38.99</v>
      </c>
      <c r="I5" s="177">
        <f t="shared" si="6"/>
        <v>106.68</v>
      </c>
      <c r="K5" s="151">
        <f>'Basic Data'!AC9</f>
        <v>66.36</v>
      </c>
      <c r="L5" s="151">
        <f>'Basic Data'!AD9</f>
        <v>66.36</v>
      </c>
      <c r="M5" s="151">
        <f>'Basic Data'!AE9</f>
        <v>41.46</v>
      </c>
      <c r="N5" s="151">
        <f>'Basic Data'!AF9</f>
        <v>97.61</v>
      </c>
      <c r="O5" s="151">
        <f>'Basic Data'!AG9</f>
        <v>38.99</v>
      </c>
      <c r="P5" s="151">
        <f>'Basic Data'!AH9</f>
        <v>106.68</v>
      </c>
    </row>
    <row r="6" spans="1:16">
      <c r="B6" s="156">
        <v>4</v>
      </c>
      <c r="C6" s="176">
        <v>4</v>
      </c>
      <c r="D6" s="177">
        <f t="shared" si="1"/>
        <v>80.62</v>
      </c>
      <c r="E6" s="177">
        <f t="shared" si="2"/>
        <v>80.62</v>
      </c>
      <c r="F6" s="177">
        <f t="shared" si="3"/>
        <v>50.35</v>
      </c>
      <c r="G6" s="177">
        <f t="shared" si="4"/>
        <v>118.56</v>
      </c>
      <c r="H6" s="177">
        <f t="shared" si="5"/>
        <v>47.35</v>
      </c>
      <c r="I6" s="177">
        <f t="shared" si="6"/>
        <v>129.47</v>
      </c>
      <c r="K6" s="151">
        <f>'Basic Data'!AC10</f>
        <v>80.62</v>
      </c>
      <c r="L6" s="151">
        <f>'Basic Data'!AD10</f>
        <v>80.62</v>
      </c>
      <c r="M6" s="151">
        <f>'Basic Data'!AE10</f>
        <v>50.35</v>
      </c>
      <c r="N6" s="151">
        <f>'Basic Data'!AF10</f>
        <v>118.56</v>
      </c>
      <c r="O6" s="151">
        <f>'Basic Data'!AG10</f>
        <v>47.35</v>
      </c>
      <c r="P6" s="151">
        <f>'Basic Data'!AH10</f>
        <v>129.47</v>
      </c>
    </row>
    <row r="7" spans="1:16">
      <c r="B7" s="156">
        <v>5</v>
      </c>
      <c r="C7" s="176">
        <v>5</v>
      </c>
      <c r="D7" s="177">
        <f t="shared" si="1"/>
        <v>94.88</v>
      </c>
      <c r="E7" s="177">
        <f t="shared" si="2"/>
        <v>94.88</v>
      </c>
      <c r="F7" s="177">
        <f t="shared" si="3"/>
        <v>59.32</v>
      </c>
      <c r="G7" s="177">
        <f t="shared" si="4"/>
        <v>139.51</v>
      </c>
      <c r="H7" s="177">
        <f t="shared" si="5"/>
        <v>55.63</v>
      </c>
      <c r="I7" s="177">
        <f t="shared" si="6"/>
        <v>152.36000000000001</v>
      </c>
      <c r="K7" s="151">
        <f>'Basic Data'!AC11</f>
        <v>94.88</v>
      </c>
      <c r="L7" s="151">
        <f>'Basic Data'!AD11</f>
        <v>94.88</v>
      </c>
      <c r="M7" s="151">
        <f>'Basic Data'!AE11</f>
        <v>59.32</v>
      </c>
      <c r="N7" s="151">
        <f>'Basic Data'!AF11</f>
        <v>139.51</v>
      </c>
      <c r="O7" s="151">
        <f>'Basic Data'!AG11</f>
        <v>55.63</v>
      </c>
      <c r="P7" s="151">
        <f>'Basic Data'!AH11</f>
        <v>152.36000000000001</v>
      </c>
    </row>
    <row r="8" spans="1:16">
      <c r="B8" s="156">
        <v>6</v>
      </c>
      <c r="C8" s="176">
        <v>6</v>
      </c>
      <c r="D8" s="177">
        <f t="shared" si="1"/>
        <v>109.14</v>
      </c>
      <c r="E8" s="177">
        <f t="shared" si="2"/>
        <v>109.14</v>
      </c>
      <c r="F8" s="177">
        <f t="shared" si="3"/>
        <v>68.210000000000008</v>
      </c>
      <c r="G8" s="177">
        <f t="shared" si="4"/>
        <v>160.45999999999998</v>
      </c>
      <c r="H8" s="177">
        <f t="shared" si="5"/>
        <v>63.99</v>
      </c>
      <c r="I8" s="177">
        <f t="shared" si="6"/>
        <v>175.24</v>
      </c>
      <c r="K8" s="151">
        <f>K7+'Basic Data'!$AC$12</f>
        <v>109.14</v>
      </c>
      <c r="L8" s="151">
        <f>L7+'Basic Data'!$AD$12</f>
        <v>109.14</v>
      </c>
      <c r="M8" s="151">
        <f>M7+'Basic Data'!$AE$12</f>
        <v>68.210000000000008</v>
      </c>
      <c r="N8" s="151">
        <f>N7+'Basic Data'!$AF$12</f>
        <v>160.45999999999998</v>
      </c>
      <c r="O8" s="151">
        <f>O7+'Basic Data'!$AG$12</f>
        <v>63.99</v>
      </c>
      <c r="P8" s="151">
        <f>P7+'Basic Data'!$AH$12</f>
        <v>175.24</v>
      </c>
    </row>
    <row r="9" spans="1:16">
      <c r="B9" s="156">
        <v>7</v>
      </c>
      <c r="C9" s="176">
        <v>7</v>
      </c>
      <c r="D9" s="177">
        <f t="shared" si="1"/>
        <v>123.4</v>
      </c>
      <c r="E9" s="177">
        <f t="shared" si="2"/>
        <v>123.4</v>
      </c>
      <c r="F9" s="177">
        <f t="shared" si="3"/>
        <v>77.100000000000009</v>
      </c>
      <c r="G9" s="177">
        <f t="shared" si="4"/>
        <v>181.40999999999997</v>
      </c>
      <c r="H9" s="177">
        <f t="shared" si="5"/>
        <v>72.349999999999994</v>
      </c>
      <c r="I9" s="177">
        <f t="shared" si="6"/>
        <v>198.12</v>
      </c>
      <c r="K9" s="151">
        <f>K8+'Basic Data'!$AC$12</f>
        <v>123.4</v>
      </c>
      <c r="L9" s="151">
        <f>L8+'Basic Data'!$AD$12</f>
        <v>123.4</v>
      </c>
      <c r="M9" s="151">
        <f>M8+'Basic Data'!$AE$12</f>
        <v>77.100000000000009</v>
      </c>
      <c r="N9" s="151">
        <f>N8+'Basic Data'!$AF$12</f>
        <v>181.40999999999997</v>
      </c>
      <c r="O9" s="151">
        <f>O8+'Basic Data'!$AG$12</f>
        <v>72.349999999999994</v>
      </c>
      <c r="P9" s="151">
        <f>P8+'Basic Data'!$AH$12</f>
        <v>198.12</v>
      </c>
    </row>
    <row r="10" spans="1:16">
      <c r="B10" s="156">
        <v>8</v>
      </c>
      <c r="C10" s="176">
        <v>8</v>
      </c>
      <c r="D10" s="177">
        <f t="shared" si="1"/>
        <v>137.66</v>
      </c>
      <c r="E10" s="177">
        <f t="shared" si="2"/>
        <v>137.66</v>
      </c>
      <c r="F10" s="177">
        <f t="shared" si="3"/>
        <v>85.990000000000009</v>
      </c>
      <c r="G10" s="177">
        <f t="shared" si="4"/>
        <v>202.35999999999996</v>
      </c>
      <c r="H10" s="177">
        <f t="shared" si="5"/>
        <v>80.709999999999994</v>
      </c>
      <c r="I10" s="177">
        <f t="shared" si="6"/>
        <v>221</v>
      </c>
      <c r="K10" s="151">
        <f>K9+'Basic Data'!$AC$12</f>
        <v>137.66</v>
      </c>
      <c r="L10" s="151">
        <f>L9+'Basic Data'!$AD$12</f>
        <v>137.66</v>
      </c>
      <c r="M10" s="151">
        <f>M9+'Basic Data'!$AE$12</f>
        <v>85.990000000000009</v>
      </c>
      <c r="N10" s="151">
        <f>N9+'Basic Data'!$AF$12</f>
        <v>202.35999999999996</v>
      </c>
      <c r="O10" s="151">
        <f>O9+'Basic Data'!$AG$12</f>
        <v>80.709999999999994</v>
      </c>
      <c r="P10" s="151">
        <f>P9+'Basic Data'!$AH$12</f>
        <v>221</v>
      </c>
    </row>
    <row r="11" spans="1:16">
      <c r="B11" s="156">
        <v>9</v>
      </c>
      <c r="C11" s="176">
        <v>9</v>
      </c>
      <c r="D11" s="177">
        <f t="shared" si="1"/>
        <v>151.91999999999999</v>
      </c>
      <c r="E11" s="177">
        <f t="shared" si="2"/>
        <v>151.91999999999999</v>
      </c>
      <c r="F11" s="177">
        <f t="shared" si="3"/>
        <v>94.88000000000001</v>
      </c>
      <c r="G11" s="177">
        <f t="shared" si="4"/>
        <v>223.30999999999995</v>
      </c>
      <c r="H11" s="177">
        <f t="shared" si="5"/>
        <v>89.07</v>
      </c>
      <c r="I11" s="177">
        <f t="shared" si="6"/>
        <v>243.88</v>
      </c>
      <c r="K11" s="151">
        <f>K10+'Basic Data'!$AC$12</f>
        <v>151.91999999999999</v>
      </c>
      <c r="L11" s="151">
        <f>L10+'Basic Data'!$AD$12</f>
        <v>151.91999999999999</v>
      </c>
      <c r="M11" s="151">
        <f>M10+'Basic Data'!$AE$12</f>
        <v>94.88000000000001</v>
      </c>
      <c r="N11" s="151">
        <f>N10+'Basic Data'!$AF$12</f>
        <v>223.30999999999995</v>
      </c>
      <c r="O11" s="151">
        <f>O10+'Basic Data'!$AG$12</f>
        <v>89.07</v>
      </c>
      <c r="P11" s="151">
        <f>P10+'Basic Data'!$AH$12</f>
        <v>243.88</v>
      </c>
    </row>
    <row r="12" spans="1:16">
      <c r="B12" s="156">
        <v>10</v>
      </c>
      <c r="C12" s="176">
        <v>10</v>
      </c>
      <c r="D12" s="177">
        <f t="shared" si="1"/>
        <v>166.17999999999998</v>
      </c>
      <c r="E12" s="177">
        <f t="shared" si="2"/>
        <v>166.17999999999998</v>
      </c>
      <c r="F12" s="177">
        <f t="shared" si="3"/>
        <v>103.77000000000001</v>
      </c>
      <c r="G12" s="177">
        <f t="shared" si="4"/>
        <v>244.25999999999993</v>
      </c>
      <c r="H12" s="177">
        <f t="shared" si="5"/>
        <v>97.429999999999993</v>
      </c>
      <c r="I12" s="177">
        <f t="shared" si="6"/>
        <v>266.76</v>
      </c>
      <c r="K12" s="151">
        <f>K11+'Basic Data'!$AC$12</f>
        <v>166.17999999999998</v>
      </c>
      <c r="L12" s="151">
        <f>L11+'Basic Data'!$AD$12</f>
        <v>166.17999999999998</v>
      </c>
      <c r="M12" s="151">
        <f>M11+'Basic Data'!$AE$12</f>
        <v>103.77000000000001</v>
      </c>
      <c r="N12" s="151">
        <f>N11+'Basic Data'!$AF$12</f>
        <v>244.25999999999993</v>
      </c>
      <c r="O12" s="151">
        <f>O11+'Basic Data'!$AG$12</f>
        <v>97.429999999999993</v>
      </c>
      <c r="P12" s="151">
        <f>P11+'Basic Data'!$AH$12</f>
        <v>266.76</v>
      </c>
    </row>
    <row r="13" spans="1:16">
      <c r="B13" s="156">
        <v>11</v>
      </c>
      <c r="C13" s="176">
        <v>11</v>
      </c>
      <c r="D13" s="177">
        <f t="shared" si="1"/>
        <v>180.43999999999997</v>
      </c>
      <c r="E13" s="177">
        <f t="shared" si="2"/>
        <v>180.43999999999997</v>
      </c>
      <c r="F13" s="177">
        <f t="shared" si="3"/>
        <v>112.66000000000001</v>
      </c>
      <c r="G13" s="177">
        <f t="shared" si="4"/>
        <v>265.20999999999992</v>
      </c>
      <c r="H13" s="177">
        <f t="shared" si="5"/>
        <v>105.78999999999999</v>
      </c>
      <c r="I13" s="177">
        <f t="shared" si="6"/>
        <v>289.64</v>
      </c>
      <c r="K13" s="151">
        <f>K12+'Basic Data'!$AC$12</f>
        <v>180.43999999999997</v>
      </c>
      <c r="L13" s="151">
        <f>L12+'Basic Data'!$AD$12</f>
        <v>180.43999999999997</v>
      </c>
      <c r="M13" s="151">
        <f>M12+'Basic Data'!$AE$12</f>
        <v>112.66000000000001</v>
      </c>
      <c r="N13" s="151">
        <f>N12+'Basic Data'!$AF$12</f>
        <v>265.20999999999992</v>
      </c>
      <c r="O13" s="151">
        <f>O12+'Basic Data'!$AG$12</f>
        <v>105.78999999999999</v>
      </c>
      <c r="P13" s="151">
        <f>P12+'Basic Data'!$AH$12</f>
        <v>289.64</v>
      </c>
    </row>
    <row r="14" spans="1:16">
      <c r="B14" s="156">
        <v>12</v>
      </c>
      <c r="C14" s="176">
        <v>12</v>
      </c>
      <c r="D14" s="177">
        <f t="shared" si="1"/>
        <v>194.69999999999996</v>
      </c>
      <c r="E14" s="177">
        <f t="shared" si="2"/>
        <v>194.69999999999996</v>
      </c>
      <c r="F14" s="177">
        <f t="shared" si="3"/>
        <v>121.55000000000001</v>
      </c>
      <c r="G14" s="177">
        <f t="shared" si="4"/>
        <v>286.15999999999991</v>
      </c>
      <c r="H14" s="177">
        <f t="shared" si="5"/>
        <v>114.14999999999999</v>
      </c>
      <c r="I14" s="177">
        <f t="shared" si="6"/>
        <v>312.52</v>
      </c>
      <c r="K14" s="151">
        <f>K13+'Basic Data'!$AC$12</f>
        <v>194.69999999999996</v>
      </c>
      <c r="L14" s="151">
        <f>L13+'Basic Data'!$AD$12</f>
        <v>194.69999999999996</v>
      </c>
      <c r="M14" s="151">
        <f>M13+'Basic Data'!$AE$12</f>
        <v>121.55000000000001</v>
      </c>
      <c r="N14" s="151">
        <f>N13+'Basic Data'!$AF$12</f>
        <v>286.15999999999991</v>
      </c>
      <c r="O14" s="151">
        <f>O13+'Basic Data'!$AG$12</f>
        <v>114.14999999999999</v>
      </c>
      <c r="P14" s="151">
        <f>P13+'Basic Data'!$AH$12</f>
        <v>312.52</v>
      </c>
    </row>
    <row r="15" spans="1:16">
      <c r="B15" s="156">
        <v>13</v>
      </c>
      <c r="C15" s="176">
        <v>13</v>
      </c>
      <c r="D15" s="177">
        <f t="shared" si="1"/>
        <v>208.95999999999995</v>
      </c>
      <c r="E15" s="177">
        <f t="shared" si="2"/>
        <v>208.95999999999995</v>
      </c>
      <c r="F15" s="177">
        <f t="shared" si="3"/>
        <v>130.44</v>
      </c>
      <c r="G15" s="177">
        <f t="shared" si="4"/>
        <v>307.1099999999999</v>
      </c>
      <c r="H15" s="177">
        <f t="shared" si="5"/>
        <v>122.50999999999999</v>
      </c>
      <c r="I15" s="177">
        <f t="shared" si="6"/>
        <v>335.4</v>
      </c>
      <c r="K15" s="151">
        <f>K14+'Basic Data'!$AC$12</f>
        <v>208.95999999999995</v>
      </c>
      <c r="L15" s="151">
        <f>L14+'Basic Data'!$AD$12</f>
        <v>208.95999999999995</v>
      </c>
      <c r="M15" s="151">
        <f>M14+'Basic Data'!$AE$12</f>
        <v>130.44</v>
      </c>
      <c r="N15" s="151">
        <f>N14+'Basic Data'!$AF$12</f>
        <v>307.1099999999999</v>
      </c>
      <c r="O15" s="151">
        <f>O14+'Basic Data'!$AG$12</f>
        <v>122.50999999999999</v>
      </c>
      <c r="P15" s="151">
        <f>P14+'Basic Data'!$AH$12</f>
        <v>335.4</v>
      </c>
    </row>
    <row r="16" spans="1:16">
      <c r="B16" s="156">
        <v>14</v>
      </c>
      <c r="C16" s="176">
        <v>14</v>
      </c>
      <c r="D16" s="177">
        <f t="shared" si="1"/>
        <v>223.21999999999994</v>
      </c>
      <c r="E16" s="177">
        <f t="shared" si="2"/>
        <v>223.21999999999994</v>
      </c>
      <c r="F16" s="177">
        <f t="shared" si="3"/>
        <v>139.32999999999998</v>
      </c>
      <c r="G16" s="177">
        <f t="shared" si="4"/>
        <v>328.05999999999989</v>
      </c>
      <c r="H16" s="177">
        <f t="shared" si="5"/>
        <v>130.87</v>
      </c>
      <c r="I16" s="177">
        <f t="shared" si="6"/>
        <v>358.28</v>
      </c>
      <c r="K16" s="151">
        <f>K15+'Basic Data'!$AC$12</f>
        <v>223.21999999999994</v>
      </c>
      <c r="L16" s="151">
        <f>L15+'Basic Data'!$AD$12</f>
        <v>223.21999999999994</v>
      </c>
      <c r="M16" s="151">
        <f>M15+'Basic Data'!$AE$12</f>
        <v>139.32999999999998</v>
      </c>
      <c r="N16" s="151">
        <f>N15+'Basic Data'!$AF$12</f>
        <v>328.05999999999989</v>
      </c>
      <c r="O16" s="151">
        <f>O15+'Basic Data'!$AG$12</f>
        <v>130.87</v>
      </c>
      <c r="P16" s="151">
        <f>P15+'Basic Data'!$AH$12</f>
        <v>358.28</v>
      </c>
    </row>
    <row r="17" spans="2:16">
      <c r="B17" s="156">
        <v>15</v>
      </c>
      <c r="C17" s="176">
        <v>15</v>
      </c>
      <c r="D17" s="177">
        <f t="shared" si="1"/>
        <v>237.47999999999993</v>
      </c>
      <c r="E17" s="177">
        <f t="shared" si="2"/>
        <v>237.47999999999993</v>
      </c>
      <c r="F17" s="177">
        <f t="shared" si="3"/>
        <v>148.21999999999997</v>
      </c>
      <c r="G17" s="177">
        <f t="shared" si="4"/>
        <v>349.00999999999988</v>
      </c>
      <c r="H17" s="177">
        <f t="shared" si="5"/>
        <v>139.23000000000002</v>
      </c>
      <c r="I17" s="177">
        <f t="shared" si="6"/>
        <v>381.15999999999997</v>
      </c>
      <c r="K17" s="151">
        <f>K16+'Basic Data'!$AC$12</f>
        <v>237.47999999999993</v>
      </c>
      <c r="L17" s="151">
        <f>L16+'Basic Data'!$AD$12</f>
        <v>237.47999999999993</v>
      </c>
      <c r="M17" s="151">
        <f>M16+'Basic Data'!$AE$12</f>
        <v>148.21999999999997</v>
      </c>
      <c r="N17" s="151">
        <f>N16+'Basic Data'!$AF$12</f>
        <v>349.00999999999988</v>
      </c>
      <c r="O17" s="151">
        <f>O16+'Basic Data'!$AG$12</f>
        <v>139.23000000000002</v>
      </c>
      <c r="P17" s="151">
        <f>P16+'Basic Data'!$AH$12</f>
        <v>381.15999999999997</v>
      </c>
    </row>
    <row r="18" spans="2:16">
      <c r="B18" s="156">
        <v>16</v>
      </c>
      <c r="C18" s="176">
        <v>16</v>
      </c>
      <c r="D18" s="177">
        <f t="shared" si="1"/>
        <v>251.73999999999992</v>
      </c>
      <c r="E18" s="177">
        <f t="shared" si="2"/>
        <v>251.73999999999992</v>
      </c>
      <c r="F18" s="177">
        <f t="shared" si="3"/>
        <v>157.10999999999996</v>
      </c>
      <c r="G18" s="177">
        <f t="shared" si="4"/>
        <v>369.95999999999987</v>
      </c>
      <c r="H18" s="177">
        <f t="shared" si="5"/>
        <v>147.59000000000003</v>
      </c>
      <c r="I18" s="177">
        <f t="shared" si="6"/>
        <v>404.03999999999996</v>
      </c>
      <c r="K18" s="151">
        <f>K17+'Basic Data'!$AC$12</f>
        <v>251.73999999999992</v>
      </c>
      <c r="L18" s="151">
        <f>L17+'Basic Data'!$AD$12</f>
        <v>251.73999999999992</v>
      </c>
      <c r="M18" s="151">
        <f>M17+'Basic Data'!$AE$12</f>
        <v>157.10999999999996</v>
      </c>
      <c r="N18" s="151">
        <f>N17+'Basic Data'!$AF$12</f>
        <v>369.95999999999987</v>
      </c>
      <c r="O18" s="151">
        <f>O17+'Basic Data'!$AG$12</f>
        <v>147.59000000000003</v>
      </c>
      <c r="P18" s="151">
        <f>P17+'Basic Data'!$AH$12</f>
        <v>404.03999999999996</v>
      </c>
    </row>
    <row r="19" spans="2:16">
      <c r="B19" s="156">
        <v>17</v>
      </c>
      <c r="C19" s="176">
        <v>17</v>
      </c>
      <c r="D19" s="177">
        <f t="shared" si="1"/>
        <v>265.99999999999994</v>
      </c>
      <c r="E19" s="177">
        <f t="shared" si="2"/>
        <v>265.99999999999994</v>
      </c>
      <c r="F19" s="177">
        <f t="shared" si="3"/>
        <v>165.99999999999994</v>
      </c>
      <c r="G19" s="177">
        <f t="shared" si="4"/>
        <v>390.90999999999985</v>
      </c>
      <c r="H19" s="177">
        <f t="shared" si="5"/>
        <v>155.95000000000005</v>
      </c>
      <c r="I19" s="177">
        <f t="shared" si="6"/>
        <v>426.91999999999996</v>
      </c>
      <c r="K19" s="151">
        <f>K18+'Basic Data'!$AC$12</f>
        <v>265.99999999999994</v>
      </c>
      <c r="L19" s="151">
        <f>L18+'Basic Data'!$AD$12</f>
        <v>265.99999999999994</v>
      </c>
      <c r="M19" s="151">
        <f>M18+'Basic Data'!$AE$12</f>
        <v>165.99999999999994</v>
      </c>
      <c r="N19" s="151">
        <f>N18+'Basic Data'!$AF$12</f>
        <v>390.90999999999985</v>
      </c>
      <c r="O19" s="151">
        <f>O18+'Basic Data'!$AG$12</f>
        <v>155.95000000000005</v>
      </c>
      <c r="P19" s="151">
        <f>P18+'Basic Data'!$AH$12</f>
        <v>426.91999999999996</v>
      </c>
    </row>
    <row r="20" spans="2:16">
      <c r="B20" s="156">
        <v>18</v>
      </c>
      <c r="C20" s="176">
        <v>18</v>
      </c>
      <c r="D20" s="177">
        <f t="shared" si="1"/>
        <v>280.25999999999993</v>
      </c>
      <c r="E20" s="177">
        <f t="shared" si="2"/>
        <v>280.25999999999993</v>
      </c>
      <c r="F20" s="177">
        <f t="shared" si="3"/>
        <v>174.88999999999993</v>
      </c>
      <c r="G20" s="177">
        <f t="shared" si="4"/>
        <v>411.85999999999984</v>
      </c>
      <c r="H20" s="177">
        <f t="shared" si="5"/>
        <v>164.31000000000006</v>
      </c>
      <c r="I20" s="177">
        <f t="shared" si="6"/>
        <v>449.79999999999995</v>
      </c>
      <c r="K20" s="151">
        <f>K19+'Basic Data'!$AC$12</f>
        <v>280.25999999999993</v>
      </c>
      <c r="L20" s="151">
        <f>L19+'Basic Data'!$AD$12</f>
        <v>280.25999999999993</v>
      </c>
      <c r="M20" s="151">
        <f>M19+'Basic Data'!$AE$12</f>
        <v>174.88999999999993</v>
      </c>
      <c r="N20" s="151">
        <f>N19+'Basic Data'!$AF$12</f>
        <v>411.85999999999984</v>
      </c>
      <c r="O20" s="151">
        <f>O19+'Basic Data'!$AG$12</f>
        <v>164.31000000000006</v>
      </c>
      <c r="P20" s="151">
        <f>P19+'Basic Data'!$AH$12</f>
        <v>449.79999999999995</v>
      </c>
    </row>
    <row r="21" spans="2:16">
      <c r="B21" s="156">
        <v>19</v>
      </c>
      <c r="C21" s="176">
        <v>19</v>
      </c>
      <c r="D21" s="177">
        <f t="shared" si="1"/>
        <v>294.51999999999992</v>
      </c>
      <c r="E21" s="177">
        <f t="shared" si="2"/>
        <v>294.51999999999992</v>
      </c>
      <c r="F21" s="177">
        <f t="shared" si="3"/>
        <v>183.77999999999992</v>
      </c>
      <c r="G21" s="177">
        <f t="shared" si="4"/>
        <v>432.80999999999983</v>
      </c>
      <c r="H21" s="177">
        <f t="shared" si="5"/>
        <v>172.67000000000007</v>
      </c>
      <c r="I21" s="177">
        <f t="shared" si="6"/>
        <v>472.67999999999995</v>
      </c>
      <c r="K21" s="151">
        <f>K20+'Basic Data'!$AC$12</f>
        <v>294.51999999999992</v>
      </c>
      <c r="L21" s="151">
        <f>L20+'Basic Data'!$AD$12</f>
        <v>294.51999999999992</v>
      </c>
      <c r="M21" s="151">
        <f>M20+'Basic Data'!$AE$12</f>
        <v>183.77999999999992</v>
      </c>
      <c r="N21" s="151">
        <f>N20+'Basic Data'!$AF$12</f>
        <v>432.80999999999983</v>
      </c>
      <c r="O21" s="151">
        <f>O20+'Basic Data'!$AG$12</f>
        <v>172.67000000000007</v>
      </c>
      <c r="P21" s="151">
        <f>P20+'Basic Data'!$AH$12</f>
        <v>472.67999999999995</v>
      </c>
    </row>
    <row r="22" spans="2:16">
      <c r="B22" s="156">
        <v>20</v>
      </c>
      <c r="C22" s="176">
        <v>20</v>
      </c>
      <c r="D22" s="177">
        <f t="shared" si="1"/>
        <v>308.77999999999992</v>
      </c>
      <c r="E22" s="177">
        <f t="shared" si="2"/>
        <v>308.77999999999992</v>
      </c>
      <c r="F22" s="177">
        <f t="shared" si="3"/>
        <v>192.6699999999999</v>
      </c>
      <c r="G22" s="177">
        <f t="shared" si="4"/>
        <v>453.75999999999982</v>
      </c>
      <c r="H22" s="177">
        <f t="shared" si="5"/>
        <v>181.03000000000009</v>
      </c>
      <c r="I22" s="177">
        <f t="shared" si="6"/>
        <v>495.55999999999995</v>
      </c>
      <c r="K22" s="151">
        <f>K21+'Basic Data'!$AC$12</f>
        <v>308.77999999999992</v>
      </c>
      <c r="L22" s="151">
        <f>L21+'Basic Data'!$AD$12</f>
        <v>308.77999999999992</v>
      </c>
      <c r="M22" s="151">
        <f>M21+'Basic Data'!$AE$12</f>
        <v>192.6699999999999</v>
      </c>
      <c r="N22" s="151">
        <f>N21+'Basic Data'!$AF$12</f>
        <v>453.75999999999982</v>
      </c>
      <c r="O22" s="151">
        <f>O21+'Basic Data'!$AG$12</f>
        <v>181.03000000000009</v>
      </c>
      <c r="P22" s="151">
        <f>P21+'Basic Data'!$AH$12</f>
        <v>495.55999999999995</v>
      </c>
    </row>
    <row r="23" spans="2:16">
      <c r="B23" s="156">
        <v>21</v>
      </c>
      <c r="C23" s="176">
        <v>21</v>
      </c>
      <c r="D23" s="177">
        <f t="shared" si="1"/>
        <v>323.03999999999991</v>
      </c>
      <c r="E23" s="177">
        <f t="shared" si="2"/>
        <v>323.03999999999991</v>
      </c>
      <c r="F23" s="177">
        <f t="shared" si="3"/>
        <v>201.55999999999989</v>
      </c>
      <c r="G23" s="177">
        <f t="shared" si="4"/>
        <v>474.70999999999981</v>
      </c>
      <c r="H23" s="177">
        <f t="shared" si="5"/>
        <v>189.3900000000001</v>
      </c>
      <c r="I23" s="177">
        <f t="shared" si="6"/>
        <v>518.43999999999994</v>
      </c>
      <c r="K23" s="151">
        <f>K22+'Basic Data'!$AC$12</f>
        <v>323.03999999999991</v>
      </c>
      <c r="L23" s="151">
        <f>L22+'Basic Data'!$AD$12</f>
        <v>323.03999999999991</v>
      </c>
      <c r="M23" s="151">
        <f>M22+'Basic Data'!$AE$12</f>
        <v>201.55999999999989</v>
      </c>
      <c r="N23" s="151">
        <f>N22+'Basic Data'!$AF$12</f>
        <v>474.70999999999981</v>
      </c>
      <c r="O23" s="151">
        <f>O22+'Basic Data'!$AG$12</f>
        <v>189.3900000000001</v>
      </c>
      <c r="P23" s="151">
        <f>P22+'Basic Data'!$AH$12</f>
        <v>518.43999999999994</v>
      </c>
    </row>
    <row r="24" spans="2:16">
      <c r="B24" s="156">
        <v>22</v>
      </c>
      <c r="C24" s="176">
        <v>22</v>
      </c>
      <c r="D24" s="177">
        <f t="shared" si="1"/>
        <v>337.2999999999999</v>
      </c>
      <c r="E24" s="177">
        <f t="shared" si="2"/>
        <v>337.2999999999999</v>
      </c>
      <c r="F24" s="177">
        <f t="shared" si="3"/>
        <v>210.44999999999987</v>
      </c>
      <c r="G24" s="177">
        <f t="shared" si="4"/>
        <v>495.6599999999998</v>
      </c>
      <c r="H24" s="177">
        <f t="shared" si="5"/>
        <v>197.75000000000011</v>
      </c>
      <c r="I24" s="177">
        <f t="shared" si="6"/>
        <v>541.31999999999994</v>
      </c>
      <c r="K24" s="151">
        <f>K23+'Basic Data'!$AC$12</f>
        <v>337.2999999999999</v>
      </c>
      <c r="L24" s="151">
        <f>L23+'Basic Data'!$AD$12</f>
        <v>337.2999999999999</v>
      </c>
      <c r="M24" s="151">
        <f>M23+'Basic Data'!$AE$12</f>
        <v>210.44999999999987</v>
      </c>
      <c r="N24" s="151">
        <f>N23+'Basic Data'!$AF$12</f>
        <v>495.6599999999998</v>
      </c>
      <c r="O24" s="151">
        <f>O23+'Basic Data'!$AG$12</f>
        <v>197.75000000000011</v>
      </c>
      <c r="P24" s="151">
        <f>P23+'Basic Data'!$AH$12</f>
        <v>541.31999999999994</v>
      </c>
    </row>
    <row r="25" spans="2:16">
      <c r="B25" s="156">
        <v>23</v>
      </c>
      <c r="C25" s="176">
        <v>23</v>
      </c>
      <c r="D25" s="177">
        <f t="shared" si="1"/>
        <v>351.55999999999989</v>
      </c>
      <c r="E25" s="177">
        <f t="shared" si="2"/>
        <v>351.55999999999989</v>
      </c>
      <c r="F25" s="177">
        <f t="shared" si="3"/>
        <v>219.33999999999986</v>
      </c>
      <c r="G25" s="177">
        <f t="shared" si="4"/>
        <v>516.60999999999979</v>
      </c>
      <c r="H25" s="177">
        <f t="shared" si="5"/>
        <v>206.11000000000013</v>
      </c>
      <c r="I25" s="177">
        <f t="shared" si="6"/>
        <v>564.19999999999993</v>
      </c>
      <c r="K25" s="151">
        <f>K24+'Basic Data'!$AC$12</f>
        <v>351.55999999999989</v>
      </c>
      <c r="L25" s="151">
        <f>L24+'Basic Data'!$AD$12</f>
        <v>351.55999999999989</v>
      </c>
      <c r="M25" s="151">
        <f>M24+'Basic Data'!$AE$12</f>
        <v>219.33999999999986</v>
      </c>
      <c r="N25" s="151">
        <f>N24+'Basic Data'!$AF$12</f>
        <v>516.60999999999979</v>
      </c>
      <c r="O25" s="151">
        <f>O24+'Basic Data'!$AG$12</f>
        <v>206.11000000000013</v>
      </c>
      <c r="P25" s="151">
        <f>P24+'Basic Data'!$AH$12</f>
        <v>564.19999999999993</v>
      </c>
    </row>
    <row r="26" spans="2:16">
      <c r="B26" s="156">
        <v>24</v>
      </c>
      <c r="C26" s="176">
        <v>24</v>
      </c>
      <c r="D26" s="177">
        <f t="shared" si="1"/>
        <v>365.81999999999988</v>
      </c>
      <c r="E26" s="177">
        <f t="shared" si="2"/>
        <v>365.81999999999988</v>
      </c>
      <c r="F26" s="177">
        <f t="shared" si="3"/>
        <v>228.22999999999985</v>
      </c>
      <c r="G26" s="177">
        <f t="shared" si="4"/>
        <v>537.55999999999983</v>
      </c>
      <c r="H26" s="177">
        <f t="shared" si="5"/>
        <v>214.47000000000014</v>
      </c>
      <c r="I26" s="177">
        <f t="shared" si="6"/>
        <v>587.07999999999993</v>
      </c>
      <c r="K26" s="151">
        <f>K25+'Basic Data'!$AC$12</f>
        <v>365.81999999999988</v>
      </c>
      <c r="L26" s="151">
        <f>L25+'Basic Data'!$AD$12</f>
        <v>365.81999999999988</v>
      </c>
      <c r="M26" s="151">
        <f>M25+'Basic Data'!$AE$12</f>
        <v>228.22999999999985</v>
      </c>
      <c r="N26" s="151">
        <f>N25+'Basic Data'!$AF$12</f>
        <v>537.55999999999983</v>
      </c>
      <c r="O26" s="151">
        <f>O25+'Basic Data'!$AG$12</f>
        <v>214.47000000000014</v>
      </c>
      <c r="P26" s="151">
        <f>P25+'Basic Data'!$AH$12</f>
        <v>587.07999999999993</v>
      </c>
    </row>
    <row r="27" spans="2:16">
      <c r="B27" s="156">
        <v>25</v>
      </c>
      <c r="C27" s="176">
        <v>25</v>
      </c>
      <c r="D27" s="177">
        <f t="shared" si="1"/>
        <v>380.07999999999987</v>
      </c>
      <c r="E27" s="177">
        <f t="shared" si="2"/>
        <v>380.07999999999987</v>
      </c>
      <c r="F27" s="177">
        <f t="shared" si="3"/>
        <v>237.11999999999983</v>
      </c>
      <c r="G27" s="177">
        <f t="shared" si="4"/>
        <v>558.50999999999988</v>
      </c>
      <c r="H27" s="177">
        <f t="shared" si="5"/>
        <v>222.83000000000015</v>
      </c>
      <c r="I27" s="177">
        <f t="shared" si="6"/>
        <v>609.95999999999992</v>
      </c>
      <c r="K27" s="151">
        <f>K26+'Basic Data'!$AC$12</f>
        <v>380.07999999999987</v>
      </c>
      <c r="L27" s="151">
        <f>L26+'Basic Data'!$AD$12</f>
        <v>380.07999999999987</v>
      </c>
      <c r="M27" s="151">
        <f>M26+'Basic Data'!$AE$12</f>
        <v>237.11999999999983</v>
      </c>
      <c r="N27" s="151">
        <f>N26+'Basic Data'!$AF$12</f>
        <v>558.50999999999988</v>
      </c>
      <c r="O27" s="151">
        <f>O26+'Basic Data'!$AG$12</f>
        <v>222.83000000000015</v>
      </c>
      <c r="P27" s="151">
        <f>P26+'Basic Data'!$AH$12</f>
        <v>609.95999999999992</v>
      </c>
    </row>
    <row r="28" spans="2:16">
      <c r="B28" s="156">
        <v>26</v>
      </c>
      <c r="C28" s="176">
        <v>26</v>
      </c>
      <c r="D28" s="177">
        <f t="shared" si="1"/>
        <v>394.33999999999986</v>
      </c>
      <c r="E28" s="177">
        <f t="shared" si="2"/>
        <v>394.33999999999986</v>
      </c>
      <c r="F28" s="177">
        <f t="shared" si="3"/>
        <v>246.00999999999982</v>
      </c>
      <c r="G28" s="177">
        <f t="shared" si="4"/>
        <v>579.45999999999992</v>
      </c>
      <c r="H28" s="177">
        <f t="shared" si="5"/>
        <v>231.19000000000017</v>
      </c>
      <c r="I28" s="177">
        <f t="shared" si="6"/>
        <v>632.83999999999992</v>
      </c>
      <c r="K28" s="151">
        <f>K27+'Basic Data'!$AC$12</f>
        <v>394.33999999999986</v>
      </c>
      <c r="L28" s="151">
        <f>L27+'Basic Data'!$AD$12</f>
        <v>394.33999999999986</v>
      </c>
      <c r="M28" s="151">
        <f>M27+'Basic Data'!$AE$12</f>
        <v>246.00999999999982</v>
      </c>
      <c r="N28" s="151">
        <f>N27+'Basic Data'!$AF$12</f>
        <v>579.45999999999992</v>
      </c>
      <c r="O28" s="151">
        <f>O27+'Basic Data'!$AG$12</f>
        <v>231.19000000000017</v>
      </c>
      <c r="P28" s="151">
        <f>P27+'Basic Data'!$AH$12</f>
        <v>632.83999999999992</v>
      </c>
    </row>
    <row r="29" spans="2:16">
      <c r="B29" s="156">
        <v>27</v>
      </c>
      <c r="C29" s="176">
        <v>27</v>
      </c>
      <c r="D29" s="177">
        <f t="shared" si="1"/>
        <v>408.59999999999985</v>
      </c>
      <c r="E29" s="177">
        <f t="shared" si="2"/>
        <v>408.59999999999985</v>
      </c>
      <c r="F29" s="177">
        <f t="shared" si="3"/>
        <v>254.89999999999981</v>
      </c>
      <c r="G29" s="177">
        <f t="shared" si="4"/>
        <v>600.41</v>
      </c>
      <c r="H29" s="177">
        <f t="shared" si="5"/>
        <v>239.55000000000018</v>
      </c>
      <c r="I29" s="177">
        <f t="shared" si="6"/>
        <v>655.71999999999991</v>
      </c>
      <c r="K29" s="151">
        <f>K28+'Basic Data'!$AC$12</f>
        <v>408.59999999999985</v>
      </c>
      <c r="L29" s="151">
        <f>L28+'Basic Data'!$AD$12</f>
        <v>408.59999999999985</v>
      </c>
      <c r="M29" s="151">
        <f>M28+'Basic Data'!$AE$12</f>
        <v>254.89999999999981</v>
      </c>
      <c r="N29" s="151">
        <f>N28+'Basic Data'!$AF$12</f>
        <v>600.41</v>
      </c>
      <c r="O29" s="151">
        <f>O28+'Basic Data'!$AG$12</f>
        <v>239.55000000000018</v>
      </c>
      <c r="P29" s="151">
        <f>P28+'Basic Data'!$AH$12</f>
        <v>655.71999999999991</v>
      </c>
    </row>
    <row r="30" spans="2:16">
      <c r="B30" s="156">
        <v>28</v>
      </c>
      <c r="C30" s="176">
        <v>28</v>
      </c>
      <c r="D30" s="177">
        <f t="shared" si="1"/>
        <v>422.85999999999984</v>
      </c>
      <c r="E30" s="177">
        <f t="shared" si="2"/>
        <v>422.85999999999984</v>
      </c>
      <c r="F30" s="177">
        <f t="shared" si="3"/>
        <v>263.78999999999979</v>
      </c>
      <c r="G30" s="177">
        <f t="shared" si="4"/>
        <v>621.36</v>
      </c>
      <c r="H30" s="177">
        <f t="shared" si="5"/>
        <v>247.9100000000002</v>
      </c>
      <c r="I30" s="177">
        <f t="shared" si="6"/>
        <v>678.59999999999991</v>
      </c>
      <c r="K30" s="151">
        <f>K29+'Basic Data'!$AC$12</f>
        <v>422.85999999999984</v>
      </c>
      <c r="L30" s="151">
        <f>L29+'Basic Data'!$AD$12</f>
        <v>422.85999999999984</v>
      </c>
      <c r="M30" s="151">
        <f>M29+'Basic Data'!$AE$12</f>
        <v>263.78999999999979</v>
      </c>
      <c r="N30" s="151">
        <f>N29+'Basic Data'!$AF$12</f>
        <v>621.36</v>
      </c>
      <c r="O30" s="151">
        <f>O29+'Basic Data'!$AG$12</f>
        <v>247.9100000000002</v>
      </c>
      <c r="P30" s="151">
        <f>P29+'Basic Data'!$AH$12</f>
        <v>678.59999999999991</v>
      </c>
    </row>
    <row r="31" spans="2:16">
      <c r="B31" s="156">
        <v>29</v>
      </c>
      <c r="C31" s="176">
        <v>29</v>
      </c>
      <c r="D31" s="177">
        <f t="shared" si="1"/>
        <v>437.11999999999983</v>
      </c>
      <c r="E31" s="177">
        <f t="shared" si="2"/>
        <v>437.11999999999983</v>
      </c>
      <c r="F31" s="177">
        <f t="shared" si="3"/>
        <v>272.67999999999978</v>
      </c>
      <c r="G31" s="177">
        <f t="shared" si="4"/>
        <v>642.31000000000006</v>
      </c>
      <c r="H31" s="177">
        <f t="shared" si="5"/>
        <v>256.27000000000021</v>
      </c>
      <c r="I31" s="177">
        <f t="shared" si="6"/>
        <v>701.4799999999999</v>
      </c>
      <c r="K31" s="151">
        <f>K30+'Basic Data'!$AC$12</f>
        <v>437.11999999999983</v>
      </c>
      <c r="L31" s="151">
        <f>L30+'Basic Data'!$AD$12</f>
        <v>437.11999999999983</v>
      </c>
      <c r="M31" s="151">
        <f>M30+'Basic Data'!$AE$12</f>
        <v>272.67999999999978</v>
      </c>
      <c r="N31" s="151">
        <f>N30+'Basic Data'!$AF$12</f>
        <v>642.31000000000006</v>
      </c>
      <c r="O31" s="151">
        <f>O30+'Basic Data'!$AG$12</f>
        <v>256.27000000000021</v>
      </c>
      <c r="P31" s="151">
        <f>P30+'Basic Data'!$AH$12</f>
        <v>701.4799999999999</v>
      </c>
    </row>
    <row r="32" spans="2:16">
      <c r="B32" s="156">
        <v>30</v>
      </c>
      <c r="C32" s="176">
        <v>30</v>
      </c>
      <c r="D32" s="177">
        <f t="shared" si="1"/>
        <v>451.37999999999982</v>
      </c>
      <c r="E32" s="177">
        <f t="shared" si="2"/>
        <v>451.37999999999982</v>
      </c>
      <c r="F32" s="177">
        <f t="shared" si="3"/>
        <v>281.56999999999977</v>
      </c>
      <c r="G32" s="177">
        <f t="shared" si="4"/>
        <v>663.2600000000001</v>
      </c>
      <c r="H32" s="177">
        <f t="shared" si="5"/>
        <v>264.63000000000022</v>
      </c>
      <c r="I32" s="177">
        <f t="shared" si="6"/>
        <v>724.3599999999999</v>
      </c>
      <c r="K32" s="151">
        <f>K31+'Basic Data'!$AC$12</f>
        <v>451.37999999999982</v>
      </c>
      <c r="L32" s="151">
        <f>L31+'Basic Data'!$AD$12</f>
        <v>451.37999999999982</v>
      </c>
      <c r="M32" s="151">
        <f>M31+'Basic Data'!$AE$12</f>
        <v>281.56999999999977</v>
      </c>
      <c r="N32" s="151">
        <f>N31+'Basic Data'!$AF$12</f>
        <v>663.2600000000001</v>
      </c>
      <c r="O32" s="151">
        <f>O31+'Basic Data'!$AG$12</f>
        <v>264.63000000000022</v>
      </c>
      <c r="P32" s="151">
        <f>P31+'Basic Data'!$AH$12</f>
        <v>724.3599999999999</v>
      </c>
    </row>
    <row r="33" spans="2:16" s="240" customFormat="1">
      <c r="B33" s="238">
        <v>31</v>
      </c>
      <c r="C33" s="239">
        <v>31</v>
      </c>
      <c r="D33" s="177">
        <f t="shared" si="1"/>
        <v>463.25999999999982</v>
      </c>
      <c r="E33" s="177">
        <f t="shared" si="2"/>
        <v>463.25999999999982</v>
      </c>
      <c r="F33" s="177">
        <f t="shared" si="3"/>
        <v>288.95999999999975</v>
      </c>
      <c r="G33" s="177">
        <f t="shared" si="4"/>
        <v>680.69</v>
      </c>
      <c r="H33" s="177">
        <f t="shared" si="5"/>
        <v>271.58000000000021</v>
      </c>
      <c r="I33" s="177">
        <f t="shared" si="6"/>
        <v>743.36999999999989</v>
      </c>
      <c r="K33" s="241">
        <f>K32+'Basic Data'!$AC$13</f>
        <v>463.25999999999982</v>
      </c>
      <c r="L33" s="241">
        <f>L32+'Basic Data'!$AD$13</f>
        <v>463.25999999999982</v>
      </c>
      <c r="M33" s="241">
        <f>M32+'Basic Data'!$AE$13</f>
        <v>288.95999999999975</v>
      </c>
      <c r="N33" s="241">
        <f>N32+'Basic Data'!$AF$13</f>
        <v>680.69</v>
      </c>
      <c r="O33" s="241">
        <f>O32+'Basic Data'!$AG$13</f>
        <v>271.58000000000021</v>
      </c>
      <c r="P33" s="241">
        <f>P32+'Basic Data'!$AH$13</f>
        <v>743.36999999999989</v>
      </c>
    </row>
    <row r="34" spans="2:16">
      <c r="B34" s="156">
        <v>32</v>
      </c>
      <c r="C34" s="176">
        <v>32</v>
      </c>
      <c r="D34" s="177">
        <f t="shared" si="1"/>
        <v>475.13999999999982</v>
      </c>
      <c r="E34" s="177">
        <f t="shared" si="2"/>
        <v>475.13999999999982</v>
      </c>
      <c r="F34" s="177">
        <f t="shared" si="3"/>
        <v>296.34999999999974</v>
      </c>
      <c r="G34" s="177">
        <f t="shared" si="4"/>
        <v>698.12</v>
      </c>
      <c r="H34" s="177">
        <f t="shared" si="5"/>
        <v>278.5300000000002</v>
      </c>
      <c r="I34" s="177">
        <f t="shared" si="6"/>
        <v>762.37999999999988</v>
      </c>
      <c r="K34" s="151">
        <f>K33+'Basic Data'!$AC$13</f>
        <v>475.13999999999982</v>
      </c>
      <c r="L34" s="151">
        <f>L33+'Basic Data'!$AD$13</f>
        <v>475.13999999999982</v>
      </c>
      <c r="M34" s="151">
        <f>M33+'Basic Data'!$AE$13</f>
        <v>296.34999999999974</v>
      </c>
      <c r="N34" s="151">
        <f>N33+'Basic Data'!$AF$13</f>
        <v>698.12</v>
      </c>
      <c r="O34" s="151">
        <f>O33+'Basic Data'!$AG$13</f>
        <v>278.5300000000002</v>
      </c>
      <c r="P34" s="151">
        <f>P33+'Basic Data'!$AH$13</f>
        <v>762.37999999999988</v>
      </c>
    </row>
    <row r="35" spans="2:16">
      <c r="B35" s="156">
        <v>33</v>
      </c>
      <c r="C35" s="176">
        <v>33</v>
      </c>
      <c r="D35" s="177">
        <f t="shared" si="1"/>
        <v>487.01999999999981</v>
      </c>
      <c r="E35" s="177">
        <f t="shared" si="2"/>
        <v>487.01999999999981</v>
      </c>
      <c r="F35" s="177">
        <f t="shared" si="3"/>
        <v>303.73999999999972</v>
      </c>
      <c r="G35" s="177">
        <f t="shared" si="4"/>
        <v>715.55</v>
      </c>
      <c r="H35" s="177">
        <f t="shared" si="5"/>
        <v>285.48000000000019</v>
      </c>
      <c r="I35" s="177">
        <f t="shared" si="6"/>
        <v>781.38999999999987</v>
      </c>
      <c r="K35" s="151">
        <f>K34+'Basic Data'!$AC$13</f>
        <v>487.01999999999981</v>
      </c>
      <c r="L35" s="151">
        <f>L34+'Basic Data'!$AD$13</f>
        <v>487.01999999999981</v>
      </c>
      <c r="M35" s="151">
        <f>M34+'Basic Data'!$AE$13</f>
        <v>303.73999999999972</v>
      </c>
      <c r="N35" s="151">
        <f>N34+'Basic Data'!$AF$13</f>
        <v>715.55</v>
      </c>
      <c r="O35" s="151">
        <f>O34+'Basic Data'!$AG$13</f>
        <v>285.48000000000019</v>
      </c>
      <c r="P35" s="151">
        <f>P34+'Basic Data'!$AH$13</f>
        <v>781.38999999999987</v>
      </c>
    </row>
    <row r="36" spans="2:16">
      <c r="B36" s="156">
        <v>34</v>
      </c>
      <c r="C36" s="176">
        <v>34</v>
      </c>
      <c r="D36" s="177">
        <f t="shared" si="1"/>
        <v>498.89999999999981</v>
      </c>
      <c r="E36" s="177">
        <f t="shared" si="2"/>
        <v>498.89999999999981</v>
      </c>
      <c r="F36" s="177">
        <f t="shared" si="3"/>
        <v>311.12999999999971</v>
      </c>
      <c r="G36" s="177">
        <f t="shared" si="4"/>
        <v>732.9799999999999</v>
      </c>
      <c r="H36" s="177">
        <f t="shared" si="5"/>
        <v>292.43000000000018</v>
      </c>
      <c r="I36" s="177">
        <f t="shared" si="6"/>
        <v>800.39999999999986</v>
      </c>
      <c r="K36" s="151">
        <f>K35+'Basic Data'!$AC$13</f>
        <v>498.89999999999981</v>
      </c>
      <c r="L36" s="151">
        <f>L35+'Basic Data'!$AD$13</f>
        <v>498.89999999999981</v>
      </c>
      <c r="M36" s="151">
        <f>M35+'Basic Data'!$AE$13</f>
        <v>311.12999999999971</v>
      </c>
      <c r="N36" s="151">
        <f>N35+'Basic Data'!$AF$13</f>
        <v>732.9799999999999</v>
      </c>
      <c r="O36" s="151">
        <f>O35+'Basic Data'!$AG$13</f>
        <v>292.43000000000018</v>
      </c>
      <c r="P36" s="151">
        <f>P35+'Basic Data'!$AH$13</f>
        <v>800.39999999999986</v>
      </c>
    </row>
    <row r="37" spans="2:16">
      <c r="B37" s="156">
        <v>35</v>
      </c>
      <c r="C37" s="176">
        <v>35</v>
      </c>
      <c r="D37" s="177">
        <f t="shared" si="1"/>
        <v>510.7799999999998</v>
      </c>
      <c r="E37" s="177">
        <f t="shared" si="2"/>
        <v>510.7799999999998</v>
      </c>
      <c r="F37" s="177">
        <f t="shared" si="3"/>
        <v>318.5199999999997</v>
      </c>
      <c r="G37" s="177">
        <f t="shared" si="4"/>
        <v>750.40999999999985</v>
      </c>
      <c r="H37" s="177">
        <f t="shared" si="5"/>
        <v>299.38000000000017</v>
      </c>
      <c r="I37" s="177">
        <f t="shared" si="6"/>
        <v>819.40999999999985</v>
      </c>
      <c r="K37" s="151">
        <f>K36+'Basic Data'!$AC$13</f>
        <v>510.7799999999998</v>
      </c>
      <c r="L37" s="151">
        <f>L36+'Basic Data'!$AD$13</f>
        <v>510.7799999999998</v>
      </c>
      <c r="M37" s="151">
        <f>M36+'Basic Data'!$AE$13</f>
        <v>318.5199999999997</v>
      </c>
      <c r="N37" s="151">
        <f>N36+'Basic Data'!$AF$13</f>
        <v>750.40999999999985</v>
      </c>
      <c r="O37" s="151">
        <f>O36+'Basic Data'!$AG$13</f>
        <v>299.38000000000017</v>
      </c>
      <c r="P37" s="151">
        <f>P36+'Basic Data'!$AH$13</f>
        <v>819.40999999999985</v>
      </c>
    </row>
    <row r="38" spans="2:16">
      <c r="B38" s="156">
        <v>36</v>
      </c>
      <c r="C38" s="176">
        <v>36</v>
      </c>
      <c r="D38" s="177">
        <f t="shared" si="1"/>
        <v>522.65999999999985</v>
      </c>
      <c r="E38" s="177">
        <f t="shared" si="2"/>
        <v>522.65999999999985</v>
      </c>
      <c r="F38" s="177">
        <f t="shared" si="3"/>
        <v>325.90999999999968</v>
      </c>
      <c r="G38" s="177">
        <f t="shared" si="4"/>
        <v>767.8399999999998</v>
      </c>
      <c r="H38" s="177">
        <f t="shared" si="5"/>
        <v>306.33000000000015</v>
      </c>
      <c r="I38" s="177">
        <f t="shared" si="6"/>
        <v>838.41999999999985</v>
      </c>
      <c r="K38" s="151">
        <f>K37+'Basic Data'!$AC$13</f>
        <v>522.65999999999985</v>
      </c>
      <c r="L38" s="151">
        <f>L37+'Basic Data'!$AD$13</f>
        <v>522.65999999999985</v>
      </c>
      <c r="M38" s="151">
        <f>M37+'Basic Data'!$AE$13</f>
        <v>325.90999999999968</v>
      </c>
      <c r="N38" s="151">
        <f>N37+'Basic Data'!$AF$13</f>
        <v>767.8399999999998</v>
      </c>
      <c r="O38" s="151">
        <f>O37+'Basic Data'!$AG$13</f>
        <v>306.33000000000015</v>
      </c>
      <c r="P38" s="151">
        <f>P37+'Basic Data'!$AH$13</f>
        <v>838.41999999999985</v>
      </c>
    </row>
    <row r="39" spans="2:16">
      <c r="B39" s="156">
        <v>37</v>
      </c>
      <c r="C39" s="176">
        <v>37</v>
      </c>
      <c r="D39" s="177">
        <f t="shared" si="1"/>
        <v>534.53999999999985</v>
      </c>
      <c r="E39" s="177">
        <f t="shared" si="2"/>
        <v>534.53999999999985</v>
      </c>
      <c r="F39" s="177">
        <f t="shared" si="3"/>
        <v>333.29999999999967</v>
      </c>
      <c r="G39" s="177">
        <f t="shared" si="4"/>
        <v>785.26999999999975</v>
      </c>
      <c r="H39" s="177">
        <f t="shared" si="5"/>
        <v>313.28000000000014</v>
      </c>
      <c r="I39" s="177">
        <f t="shared" si="6"/>
        <v>857.42999999999984</v>
      </c>
      <c r="K39" s="151">
        <f>K38+'Basic Data'!$AC$13</f>
        <v>534.53999999999985</v>
      </c>
      <c r="L39" s="151">
        <f>L38+'Basic Data'!$AD$13</f>
        <v>534.53999999999985</v>
      </c>
      <c r="M39" s="151">
        <f>M38+'Basic Data'!$AE$13</f>
        <v>333.29999999999967</v>
      </c>
      <c r="N39" s="151">
        <f>N38+'Basic Data'!$AF$13</f>
        <v>785.26999999999975</v>
      </c>
      <c r="O39" s="151">
        <f>O38+'Basic Data'!$AG$13</f>
        <v>313.28000000000014</v>
      </c>
      <c r="P39" s="151">
        <f>P38+'Basic Data'!$AH$13</f>
        <v>857.42999999999984</v>
      </c>
    </row>
    <row r="40" spans="2:16">
      <c r="B40" s="156">
        <v>38</v>
      </c>
      <c r="C40" s="176">
        <v>38</v>
      </c>
      <c r="D40" s="177">
        <f t="shared" si="1"/>
        <v>546.41999999999985</v>
      </c>
      <c r="E40" s="177">
        <f t="shared" si="2"/>
        <v>546.41999999999985</v>
      </c>
      <c r="F40" s="177">
        <f t="shared" si="3"/>
        <v>340.68999999999966</v>
      </c>
      <c r="G40" s="177">
        <f t="shared" si="4"/>
        <v>802.6999999999997</v>
      </c>
      <c r="H40" s="177">
        <f t="shared" si="5"/>
        <v>320.23000000000013</v>
      </c>
      <c r="I40" s="177">
        <f t="shared" si="6"/>
        <v>876.43999999999983</v>
      </c>
      <c r="K40" s="151">
        <f>K39+'Basic Data'!$AC$13</f>
        <v>546.41999999999985</v>
      </c>
      <c r="L40" s="151">
        <f>L39+'Basic Data'!$AD$13</f>
        <v>546.41999999999985</v>
      </c>
      <c r="M40" s="151">
        <f>M39+'Basic Data'!$AE$13</f>
        <v>340.68999999999966</v>
      </c>
      <c r="N40" s="151">
        <f>N39+'Basic Data'!$AF$13</f>
        <v>802.6999999999997</v>
      </c>
      <c r="O40" s="151">
        <f>O39+'Basic Data'!$AG$13</f>
        <v>320.23000000000013</v>
      </c>
      <c r="P40" s="151">
        <f>P39+'Basic Data'!$AH$13</f>
        <v>876.43999999999983</v>
      </c>
    </row>
    <row r="41" spans="2:16">
      <c r="B41" s="156">
        <v>39</v>
      </c>
      <c r="C41" s="176">
        <v>39</v>
      </c>
      <c r="D41" s="177">
        <f t="shared" si="1"/>
        <v>558.29999999999984</v>
      </c>
      <c r="E41" s="177">
        <f t="shared" si="2"/>
        <v>558.29999999999984</v>
      </c>
      <c r="F41" s="177">
        <f t="shared" si="3"/>
        <v>348.07999999999964</v>
      </c>
      <c r="G41" s="177">
        <f t="shared" si="4"/>
        <v>820.12999999999965</v>
      </c>
      <c r="H41" s="177">
        <f t="shared" si="5"/>
        <v>327.18000000000012</v>
      </c>
      <c r="I41" s="177">
        <f t="shared" si="6"/>
        <v>895.44999999999982</v>
      </c>
      <c r="K41" s="151">
        <f>K40+'Basic Data'!$AC$13</f>
        <v>558.29999999999984</v>
      </c>
      <c r="L41" s="151">
        <f>L40+'Basic Data'!$AD$13</f>
        <v>558.29999999999984</v>
      </c>
      <c r="M41" s="151">
        <f>M40+'Basic Data'!$AE$13</f>
        <v>348.07999999999964</v>
      </c>
      <c r="N41" s="151">
        <f>N40+'Basic Data'!$AF$13</f>
        <v>820.12999999999965</v>
      </c>
      <c r="O41" s="151">
        <f>O40+'Basic Data'!$AG$13</f>
        <v>327.18000000000012</v>
      </c>
      <c r="P41" s="151">
        <f>P40+'Basic Data'!$AH$13</f>
        <v>895.44999999999982</v>
      </c>
    </row>
    <row r="42" spans="2:16">
      <c r="B42" s="156">
        <v>40</v>
      </c>
      <c r="C42" s="176">
        <v>40</v>
      </c>
      <c r="D42" s="177">
        <f t="shared" si="1"/>
        <v>570.17999999999984</v>
      </c>
      <c r="E42" s="177">
        <f t="shared" si="2"/>
        <v>570.17999999999984</v>
      </c>
      <c r="F42" s="177">
        <f t="shared" si="3"/>
        <v>355.46999999999963</v>
      </c>
      <c r="G42" s="177">
        <f t="shared" si="4"/>
        <v>837.5599999999996</v>
      </c>
      <c r="H42" s="177">
        <f t="shared" si="5"/>
        <v>334.13000000000011</v>
      </c>
      <c r="I42" s="177">
        <f t="shared" si="6"/>
        <v>914.45999999999981</v>
      </c>
      <c r="K42" s="151">
        <f>K41+'Basic Data'!$AC$13</f>
        <v>570.17999999999984</v>
      </c>
      <c r="L42" s="151">
        <f>L41+'Basic Data'!$AD$13</f>
        <v>570.17999999999984</v>
      </c>
      <c r="M42" s="151">
        <f>M41+'Basic Data'!$AE$13</f>
        <v>355.46999999999963</v>
      </c>
      <c r="N42" s="151">
        <f>N41+'Basic Data'!$AF$13</f>
        <v>837.5599999999996</v>
      </c>
      <c r="O42" s="151">
        <f>O41+'Basic Data'!$AG$13</f>
        <v>334.13000000000011</v>
      </c>
      <c r="P42" s="151">
        <f>P41+'Basic Data'!$AH$13</f>
        <v>914.45999999999981</v>
      </c>
    </row>
    <row r="43" spans="2:16">
      <c r="B43" s="156">
        <v>41</v>
      </c>
      <c r="C43" s="176">
        <v>41</v>
      </c>
      <c r="D43" s="177">
        <f t="shared" si="1"/>
        <v>582.05999999999983</v>
      </c>
      <c r="E43" s="177">
        <f t="shared" si="2"/>
        <v>582.05999999999983</v>
      </c>
      <c r="F43" s="177">
        <f t="shared" si="3"/>
        <v>362.85999999999962</v>
      </c>
      <c r="G43" s="177">
        <f t="shared" si="4"/>
        <v>854.98999999999955</v>
      </c>
      <c r="H43" s="177">
        <f t="shared" si="5"/>
        <v>341.0800000000001</v>
      </c>
      <c r="I43" s="177">
        <f t="shared" si="6"/>
        <v>933.4699999999998</v>
      </c>
      <c r="K43" s="151">
        <f>K42+'Basic Data'!$AC$13</f>
        <v>582.05999999999983</v>
      </c>
      <c r="L43" s="151">
        <f>L42+'Basic Data'!$AD$13</f>
        <v>582.05999999999983</v>
      </c>
      <c r="M43" s="151">
        <f>M42+'Basic Data'!$AE$13</f>
        <v>362.85999999999962</v>
      </c>
      <c r="N43" s="151">
        <f>N42+'Basic Data'!$AF$13</f>
        <v>854.98999999999955</v>
      </c>
      <c r="O43" s="151">
        <f>O42+'Basic Data'!$AG$13</f>
        <v>341.0800000000001</v>
      </c>
      <c r="P43" s="151">
        <f>P42+'Basic Data'!$AH$13</f>
        <v>933.4699999999998</v>
      </c>
    </row>
    <row r="44" spans="2:16">
      <c r="B44" s="156">
        <v>42</v>
      </c>
      <c r="C44" s="176">
        <v>42</v>
      </c>
      <c r="D44" s="177">
        <f t="shared" si="1"/>
        <v>593.93999999999983</v>
      </c>
      <c r="E44" s="177">
        <f t="shared" si="2"/>
        <v>593.93999999999983</v>
      </c>
      <c r="F44" s="177">
        <f t="shared" si="3"/>
        <v>370.2499999999996</v>
      </c>
      <c r="G44" s="177">
        <f t="shared" si="4"/>
        <v>872.4199999999995</v>
      </c>
      <c r="H44" s="177">
        <f t="shared" si="5"/>
        <v>348.03000000000009</v>
      </c>
      <c r="I44" s="177">
        <f t="shared" si="6"/>
        <v>952.47999999999979</v>
      </c>
      <c r="K44" s="151">
        <f>K43+'Basic Data'!$AC$13</f>
        <v>593.93999999999983</v>
      </c>
      <c r="L44" s="151">
        <f>L43+'Basic Data'!$AD$13</f>
        <v>593.93999999999983</v>
      </c>
      <c r="M44" s="151">
        <f>M43+'Basic Data'!$AE$13</f>
        <v>370.2499999999996</v>
      </c>
      <c r="N44" s="151">
        <f>N43+'Basic Data'!$AF$13</f>
        <v>872.4199999999995</v>
      </c>
      <c r="O44" s="151">
        <f>O43+'Basic Data'!$AG$13</f>
        <v>348.03000000000009</v>
      </c>
      <c r="P44" s="151">
        <f>P43+'Basic Data'!$AH$13</f>
        <v>952.47999999999979</v>
      </c>
    </row>
    <row r="45" spans="2:16">
      <c r="B45" s="156">
        <v>43</v>
      </c>
      <c r="C45" s="176">
        <v>43</v>
      </c>
      <c r="D45" s="177">
        <f t="shared" si="1"/>
        <v>605.81999999999982</v>
      </c>
      <c r="E45" s="177">
        <f t="shared" si="2"/>
        <v>605.81999999999982</v>
      </c>
      <c r="F45" s="177">
        <f t="shared" si="3"/>
        <v>377.63999999999959</v>
      </c>
      <c r="G45" s="177">
        <f t="shared" si="4"/>
        <v>889.84999999999945</v>
      </c>
      <c r="H45" s="177">
        <f t="shared" si="5"/>
        <v>354.98000000000008</v>
      </c>
      <c r="I45" s="177">
        <f t="shared" si="6"/>
        <v>971.48999999999978</v>
      </c>
      <c r="K45" s="151">
        <f>K44+'Basic Data'!$AC$13</f>
        <v>605.81999999999982</v>
      </c>
      <c r="L45" s="151">
        <f>L44+'Basic Data'!$AD$13</f>
        <v>605.81999999999982</v>
      </c>
      <c r="M45" s="151">
        <f>M44+'Basic Data'!$AE$13</f>
        <v>377.63999999999959</v>
      </c>
      <c r="N45" s="151">
        <f>N44+'Basic Data'!$AF$13</f>
        <v>889.84999999999945</v>
      </c>
      <c r="O45" s="151">
        <f>O44+'Basic Data'!$AG$13</f>
        <v>354.98000000000008</v>
      </c>
      <c r="P45" s="151">
        <f>P44+'Basic Data'!$AH$13</f>
        <v>971.48999999999978</v>
      </c>
    </row>
    <row r="46" spans="2:16">
      <c r="B46" s="156">
        <v>44</v>
      </c>
      <c r="C46" s="176">
        <v>44</v>
      </c>
      <c r="D46" s="177">
        <f t="shared" si="1"/>
        <v>617.69999999999982</v>
      </c>
      <c r="E46" s="177">
        <f t="shared" si="2"/>
        <v>617.69999999999982</v>
      </c>
      <c r="F46" s="177">
        <f t="shared" si="3"/>
        <v>385.02999999999957</v>
      </c>
      <c r="G46" s="177">
        <f t="shared" si="4"/>
        <v>907.2799999999994</v>
      </c>
      <c r="H46" s="177">
        <f t="shared" si="5"/>
        <v>361.93000000000006</v>
      </c>
      <c r="I46" s="177">
        <f t="shared" si="6"/>
        <v>990.49999999999977</v>
      </c>
      <c r="K46" s="151">
        <f>K45+'Basic Data'!$AC$13</f>
        <v>617.69999999999982</v>
      </c>
      <c r="L46" s="151">
        <f>L45+'Basic Data'!$AD$13</f>
        <v>617.69999999999982</v>
      </c>
      <c r="M46" s="151">
        <f>M45+'Basic Data'!$AE$13</f>
        <v>385.02999999999957</v>
      </c>
      <c r="N46" s="151">
        <f>N45+'Basic Data'!$AF$13</f>
        <v>907.2799999999994</v>
      </c>
      <c r="O46" s="151">
        <f>O45+'Basic Data'!$AG$13</f>
        <v>361.93000000000006</v>
      </c>
      <c r="P46" s="151">
        <f>P45+'Basic Data'!$AH$13</f>
        <v>990.49999999999977</v>
      </c>
    </row>
    <row r="47" spans="2:16">
      <c r="B47" s="156">
        <v>45</v>
      </c>
      <c r="C47" s="176">
        <v>45</v>
      </c>
      <c r="D47" s="177">
        <f t="shared" si="1"/>
        <v>629.57999999999981</v>
      </c>
      <c r="E47" s="177">
        <f t="shared" si="2"/>
        <v>629.57999999999981</v>
      </c>
      <c r="F47" s="177">
        <f t="shared" si="3"/>
        <v>392.41999999999956</v>
      </c>
      <c r="G47" s="177">
        <f t="shared" si="4"/>
        <v>924.70999999999935</v>
      </c>
      <c r="H47" s="177">
        <f t="shared" si="5"/>
        <v>368.88000000000005</v>
      </c>
      <c r="I47" s="177">
        <f t="shared" si="6"/>
        <v>1009.5099999999998</v>
      </c>
      <c r="K47" s="151">
        <f>K46+'Basic Data'!$AC$13</f>
        <v>629.57999999999981</v>
      </c>
      <c r="L47" s="151">
        <f>L46+'Basic Data'!$AD$13</f>
        <v>629.57999999999981</v>
      </c>
      <c r="M47" s="151">
        <f>M46+'Basic Data'!$AE$13</f>
        <v>392.41999999999956</v>
      </c>
      <c r="N47" s="151">
        <f>N46+'Basic Data'!$AF$13</f>
        <v>924.70999999999935</v>
      </c>
      <c r="O47" s="151">
        <f>O46+'Basic Data'!$AG$13</f>
        <v>368.88000000000005</v>
      </c>
      <c r="P47" s="151">
        <f>P46+'Basic Data'!$AH$13</f>
        <v>1009.5099999999998</v>
      </c>
    </row>
    <row r="48" spans="2:16">
      <c r="B48" s="156">
        <v>46</v>
      </c>
      <c r="C48" s="176">
        <v>46</v>
      </c>
      <c r="D48" s="177">
        <f t="shared" si="1"/>
        <v>641.45999999999981</v>
      </c>
      <c r="E48" s="177">
        <f t="shared" si="2"/>
        <v>641.45999999999981</v>
      </c>
      <c r="F48" s="177">
        <f t="shared" si="3"/>
        <v>399.80999999999955</v>
      </c>
      <c r="G48" s="177">
        <f t="shared" si="4"/>
        <v>942.1399999999993</v>
      </c>
      <c r="H48" s="177">
        <f t="shared" si="5"/>
        <v>375.83000000000004</v>
      </c>
      <c r="I48" s="177">
        <f t="shared" si="6"/>
        <v>1028.5199999999998</v>
      </c>
      <c r="K48" s="151">
        <f>K47+'Basic Data'!$AC$13</f>
        <v>641.45999999999981</v>
      </c>
      <c r="L48" s="151">
        <f>L47+'Basic Data'!$AD$13</f>
        <v>641.45999999999981</v>
      </c>
      <c r="M48" s="151">
        <f>M47+'Basic Data'!$AE$13</f>
        <v>399.80999999999955</v>
      </c>
      <c r="N48" s="151">
        <f>N47+'Basic Data'!$AF$13</f>
        <v>942.1399999999993</v>
      </c>
      <c r="O48" s="151">
        <f>O47+'Basic Data'!$AG$13</f>
        <v>375.83000000000004</v>
      </c>
      <c r="P48" s="151">
        <f>P47+'Basic Data'!$AH$13</f>
        <v>1028.5199999999998</v>
      </c>
    </row>
    <row r="49" spans="2:16">
      <c r="B49" s="156">
        <v>47</v>
      </c>
      <c r="C49" s="176">
        <v>47</v>
      </c>
      <c r="D49" s="177">
        <f t="shared" si="1"/>
        <v>653.3399999999998</v>
      </c>
      <c r="E49" s="177">
        <f t="shared" si="2"/>
        <v>653.3399999999998</v>
      </c>
      <c r="F49" s="177">
        <f t="shared" si="3"/>
        <v>407.19999999999953</v>
      </c>
      <c r="G49" s="177">
        <f t="shared" si="4"/>
        <v>959.56999999999925</v>
      </c>
      <c r="H49" s="177">
        <f t="shared" si="5"/>
        <v>382.78000000000003</v>
      </c>
      <c r="I49" s="177">
        <f t="shared" si="6"/>
        <v>1047.5299999999997</v>
      </c>
      <c r="K49" s="151">
        <f>K48+'Basic Data'!$AC$13</f>
        <v>653.3399999999998</v>
      </c>
      <c r="L49" s="151">
        <f>L48+'Basic Data'!$AD$13</f>
        <v>653.3399999999998</v>
      </c>
      <c r="M49" s="151">
        <f>M48+'Basic Data'!$AE$13</f>
        <v>407.19999999999953</v>
      </c>
      <c r="N49" s="151">
        <f>N48+'Basic Data'!$AF$13</f>
        <v>959.56999999999925</v>
      </c>
      <c r="O49" s="151">
        <f>O48+'Basic Data'!$AG$13</f>
        <v>382.78000000000003</v>
      </c>
      <c r="P49" s="151">
        <f>P48+'Basic Data'!$AH$13</f>
        <v>1047.5299999999997</v>
      </c>
    </row>
    <row r="50" spans="2:16">
      <c r="B50" s="156">
        <v>48</v>
      </c>
      <c r="C50" s="176">
        <v>48</v>
      </c>
      <c r="D50" s="177">
        <f t="shared" si="1"/>
        <v>665.2199999999998</v>
      </c>
      <c r="E50" s="177">
        <f t="shared" si="2"/>
        <v>665.2199999999998</v>
      </c>
      <c r="F50" s="177">
        <f t="shared" si="3"/>
        <v>414.58999999999952</v>
      </c>
      <c r="G50" s="177">
        <f t="shared" si="4"/>
        <v>976.9999999999992</v>
      </c>
      <c r="H50" s="177">
        <f t="shared" si="5"/>
        <v>389.73</v>
      </c>
      <c r="I50" s="177">
        <f t="shared" si="6"/>
        <v>1066.5399999999997</v>
      </c>
      <c r="K50" s="151">
        <f>K49+'Basic Data'!$AC$13</f>
        <v>665.2199999999998</v>
      </c>
      <c r="L50" s="151">
        <f>L49+'Basic Data'!$AD$13</f>
        <v>665.2199999999998</v>
      </c>
      <c r="M50" s="151">
        <f>M49+'Basic Data'!$AE$13</f>
        <v>414.58999999999952</v>
      </c>
      <c r="N50" s="151">
        <f>N49+'Basic Data'!$AF$13</f>
        <v>976.9999999999992</v>
      </c>
      <c r="O50" s="151">
        <f>O49+'Basic Data'!$AG$13</f>
        <v>389.73</v>
      </c>
      <c r="P50" s="151">
        <f>P49+'Basic Data'!$AH$13</f>
        <v>1066.5399999999997</v>
      </c>
    </row>
    <row r="51" spans="2:16">
      <c r="B51" s="156">
        <v>49</v>
      </c>
      <c r="C51" s="176">
        <v>49</v>
      </c>
      <c r="D51" s="177">
        <f t="shared" si="1"/>
        <v>677.0999999999998</v>
      </c>
      <c r="E51" s="177">
        <f t="shared" si="2"/>
        <v>677.0999999999998</v>
      </c>
      <c r="F51" s="177">
        <f t="shared" si="3"/>
        <v>421.97999999999951</v>
      </c>
      <c r="G51" s="177">
        <f t="shared" si="4"/>
        <v>994.42999999999915</v>
      </c>
      <c r="H51" s="177">
        <f t="shared" si="5"/>
        <v>396.68</v>
      </c>
      <c r="I51" s="177">
        <f t="shared" si="6"/>
        <v>1085.5499999999997</v>
      </c>
      <c r="K51" s="151">
        <f>K50+'Basic Data'!$AC$13</f>
        <v>677.0999999999998</v>
      </c>
      <c r="L51" s="151">
        <f>L50+'Basic Data'!$AD$13</f>
        <v>677.0999999999998</v>
      </c>
      <c r="M51" s="151">
        <f>M50+'Basic Data'!$AE$13</f>
        <v>421.97999999999951</v>
      </c>
      <c r="N51" s="151">
        <f>N50+'Basic Data'!$AF$13</f>
        <v>994.42999999999915</v>
      </c>
      <c r="O51" s="151">
        <f>O50+'Basic Data'!$AG$13</f>
        <v>396.68</v>
      </c>
      <c r="P51" s="151">
        <f>P50+'Basic Data'!$AH$13</f>
        <v>1085.5499999999997</v>
      </c>
    </row>
    <row r="52" spans="2:16">
      <c r="B52" s="156">
        <v>50</v>
      </c>
      <c r="C52" s="176">
        <v>50</v>
      </c>
      <c r="D52" s="177">
        <f t="shared" si="1"/>
        <v>688.97999999999979</v>
      </c>
      <c r="E52" s="177">
        <f t="shared" si="2"/>
        <v>688.97999999999979</v>
      </c>
      <c r="F52" s="177">
        <f t="shared" si="3"/>
        <v>429.36999999999949</v>
      </c>
      <c r="G52" s="177">
        <f t="shared" si="4"/>
        <v>1011.8599999999991</v>
      </c>
      <c r="H52" s="177">
        <f t="shared" si="5"/>
        <v>403.63</v>
      </c>
      <c r="I52" s="177">
        <f t="shared" si="6"/>
        <v>1104.5599999999997</v>
      </c>
      <c r="K52" s="151">
        <f>K51+'Basic Data'!$AC$13</f>
        <v>688.97999999999979</v>
      </c>
      <c r="L52" s="151">
        <f>L51+'Basic Data'!$AD$13</f>
        <v>688.97999999999979</v>
      </c>
      <c r="M52" s="151">
        <f>M51+'Basic Data'!$AE$13</f>
        <v>429.36999999999949</v>
      </c>
      <c r="N52" s="151">
        <f>N51+'Basic Data'!$AF$13</f>
        <v>1011.8599999999991</v>
      </c>
      <c r="O52" s="151">
        <f>O51+'Basic Data'!$AG$13</f>
        <v>403.63</v>
      </c>
      <c r="P52" s="151">
        <f>P51+'Basic Data'!$AH$13</f>
        <v>1104.5599999999997</v>
      </c>
    </row>
    <row r="53" spans="2:16">
      <c r="B53" s="156">
        <v>51</v>
      </c>
      <c r="C53" s="176">
        <v>51</v>
      </c>
      <c r="D53" s="177">
        <f t="shared" si="1"/>
        <v>700.85999999999979</v>
      </c>
      <c r="E53" s="177">
        <f t="shared" si="2"/>
        <v>700.85999999999979</v>
      </c>
      <c r="F53" s="177">
        <f t="shared" si="3"/>
        <v>436.75999999999948</v>
      </c>
      <c r="G53" s="177">
        <f t="shared" si="4"/>
        <v>1029.2899999999991</v>
      </c>
      <c r="H53" s="177">
        <f t="shared" si="5"/>
        <v>410.58</v>
      </c>
      <c r="I53" s="177">
        <f t="shared" si="6"/>
        <v>1123.5699999999997</v>
      </c>
      <c r="K53" s="151">
        <f>K52+'Basic Data'!$AC$13</f>
        <v>700.85999999999979</v>
      </c>
      <c r="L53" s="151">
        <f>L52+'Basic Data'!$AD$13</f>
        <v>700.85999999999979</v>
      </c>
      <c r="M53" s="151">
        <f>M52+'Basic Data'!$AE$13</f>
        <v>436.75999999999948</v>
      </c>
      <c r="N53" s="151">
        <f>N52+'Basic Data'!$AF$13</f>
        <v>1029.2899999999991</v>
      </c>
      <c r="O53" s="151">
        <f>O52+'Basic Data'!$AG$13</f>
        <v>410.58</v>
      </c>
      <c r="P53" s="151">
        <f>P52+'Basic Data'!$AH$13</f>
        <v>1123.5699999999997</v>
      </c>
    </row>
    <row r="54" spans="2:16">
      <c r="B54" s="156">
        <v>52</v>
      </c>
      <c r="C54" s="176">
        <v>52</v>
      </c>
      <c r="D54" s="177">
        <f t="shared" si="1"/>
        <v>712.73999999999978</v>
      </c>
      <c r="E54" s="177">
        <f t="shared" si="2"/>
        <v>712.73999999999978</v>
      </c>
      <c r="F54" s="177">
        <f t="shared" si="3"/>
        <v>444.14999999999947</v>
      </c>
      <c r="G54" s="177">
        <f t="shared" si="4"/>
        <v>1046.7199999999991</v>
      </c>
      <c r="H54" s="177">
        <f t="shared" si="5"/>
        <v>417.53</v>
      </c>
      <c r="I54" s="177">
        <f t="shared" si="6"/>
        <v>1142.5799999999997</v>
      </c>
      <c r="K54" s="151">
        <f>K53+'Basic Data'!$AC$13</f>
        <v>712.73999999999978</v>
      </c>
      <c r="L54" s="151">
        <f>L53+'Basic Data'!$AD$13</f>
        <v>712.73999999999978</v>
      </c>
      <c r="M54" s="151">
        <f>M53+'Basic Data'!$AE$13</f>
        <v>444.14999999999947</v>
      </c>
      <c r="N54" s="151">
        <f>N53+'Basic Data'!$AF$13</f>
        <v>1046.7199999999991</v>
      </c>
      <c r="O54" s="151">
        <f>O53+'Basic Data'!$AG$13</f>
        <v>417.53</v>
      </c>
      <c r="P54" s="151">
        <f>P53+'Basic Data'!$AH$13</f>
        <v>1142.5799999999997</v>
      </c>
    </row>
    <row r="55" spans="2:16">
      <c r="B55" s="156">
        <v>53</v>
      </c>
      <c r="C55" s="176">
        <v>53</v>
      </c>
      <c r="D55" s="177">
        <f t="shared" si="1"/>
        <v>724.61999999999978</v>
      </c>
      <c r="E55" s="177">
        <f t="shared" si="2"/>
        <v>724.61999999999978</v>
      </c>
      <c r="F55" s="177">
        <f t="shared" si="3"/>
        <v>451.53999999999945</v>
      </c>
      <c r="G55" s="177">
        <f t="shared" si="4"/>
        <v>1064.1499999999992</v>
      </c>
      <c r="H55" s="177">
        <f t="shared" si="5"/>
        <v>424.47999999999996</v>
      </c>
      <c r="I55" s="177">
        <f t="shared" si="6"/>
        <v>1161.5899999999997</v>
      </c>
      <c r="K55" s="151">
        <f>K54+'Basic Data'!$AC$13</f>
        <v>724.61999999999978</v>
      </c>
      <c r="L55" s="151">
        <f>L54+'Basic Data'!$AD$13</f>
        <v>724.61999999999978</v>
      </c>
      <c r="M55" s="151">
        <f>M54+'Basic Data'!$AE$13</f>
        <v>451.53999999999945</v>
      </c>
      <c r="N55" s="151">
        <f>N54+'Basic Data'!$AF$13</f>
        <v>1064.1499999999992</v>
      </c>
      <c r="O55" s="151">
        <f>O54+'Basic Data'!$AG$13</f>
        <v>424.47999999999996</v>
      </c>
      <c r="P55" s="151">
        <f>P54+'Basic Data'!$AH$13</f>
        <v>1161.5899999999997</v>
      </c>
    </row>
    <row r="56" spans="2:16">
      <c r="B56" s="156">
        <v>54</v>
      </c>
      <c r="C56" s="176">
        <v>54</v>
      </c>
      <c r="D56" s="177">
        <f t="shared" si="1"/>
        <v>736.49999999999977</v>
      </c>
      <c r="E56" s="177">
        <f t="shared" si="2"/>
        <v>736.49999999999977</v>
      </c>
      <c r="F56" s="177">
        <f t="shared" si="3"/>
        <v>458.92999999999944</v>
      </c>
      <c r="G56" s="177">
        <f t="shared" si="4"/>
        <v>1081.5799999999992</v>
      </c>
      <c r="H56" s="177">
        <f t="shared" si="5"/>
        <v>431.42999999999995</v>
      </c>
      <c r="I56" s="177">
        <f t="shared" si="6"/>
        <v>1180.5999999999997</v>
      </c>
      <c r="K56" s="151">
        <f>K55+'Basic Data'!$AC$13</f>
        <v>736.49999999999977</v>
      </c>
      <c r="L56" s="151">
        <f>L55+'Basic Data'!$AD$13</f>
        <v>736.49999999999977</v>
      </c>
      <c r="M56" s="151">
        <f>M55+'Basic Data'!$AE$13</f>
        <v>458.92999999999944</v>
      </c>
      <c r="N56" s="151">
        <f>N55+'Basic Data'!$AF$13</f>
        <v>1081.5799999999992</v>
      </c>
      <c r="O56" s="151">
        <f>O55+'Basic Data'!$AG$13</f>
        <v>431.42999999999995</v>
      </c>
      <c r="P56" s="151">
        <f>P55+'Basic Data'!$AH$13</f>
        <v>1180.5999999999997</v>
      </c>
    </row>
    <row r="57" spans="2:16">
      <c r="B57" s="156">
        <v>55</v>
      </c>
      <c r="C57" s="176">
        <v>55</v>
      </c>
      <c r="D57" s="177">
        <f t="shared" si="1"/>
        <v>748.37999999999977</v>
      </c>
      <c r="E57" s="177">
        <f t="shared" si="2"/>
        <v>748.37999999999977</v>
      </c>
      <c r="F57" s="177">
        <f t="shared" si="3"/>
        <v>466.31999999999942</v>
      </c>
      <c r="G57" s="177">
        <f t="shared" si="4"/>
        <v>1099.0099999999993</v>
      </c>
      <c r="H57" s="177">
        <f t="shared" si="5"/>
        <v>438.37999999999994</v>
      </c>
      <c r="I57" s="177">
        <f t="shared" si="6"/>
        <v>1199.6099999999997</v>
      </c>
      <c r="K57" s="151">
        <f>K56+'Basic Data'!$AC$13</f>
        <v>748.37999999999977</v>
      </c>
      <c r="L57" s="151">
        <f>L56+'Basic Data'!$AD$13</f>
        <v>748.37999999999977</v>
      </c>
      <c r="M57" s="151">
        <f>M56+'Basic Data'!$AE$13</f>
        <v>466.31999999999942</v>
      </c>
      <c r="N57" s="151">
        <f>N56+'Basic Data'!$AF$13</f>
        <v>1099.0099999999993</v>
      </c>
      <c r="O57" s="151">
        <f>O56+'Basic Data'!$AG$13</f>
        <v>438.37999999999994</v>
      </c>
      <c r="P57" s="151">
        <f>P56+'Basic Data'!$AH$13</f>
        <v>1199.6099999999997</v>
      </c>
    </row>
    <row r="58" spans="2:16">
      <c r="B58" s="156">
        <v>56</v>
      </c>
      <c r="C58" s="176">
        <v>56</v>
      </c>
      <c r="D58" s="177">
        <f t="shared" si="1"/>
        <v>760.25999999999976</v>
      </c>
      <c r="E58" s="177">
        <f t="shared" si="2"/>
        <v>760.25999999999976</v>
      </c>
      <c r="F58" s="177">
        <f t="shared" si="3"/>
        <v>473.70999999999941</v>
      </c>
      <c r="G58" s="177">
        <f t="shared" si="4"/>
        <v>1116.4399999999994</v>
      </c>
      <c r="H58" s="177">
        <f t="shared" si="5"/>
        <v>445.32999999999993</v>
      </c>
      <c r="I58" s="177">
        <f t="shared" si="6"/>
        <v>1218.6199999999997</v>
      </c>
      <c r="K58" s="151">
        <f>K57+'Basic Data'!$AC$13</f>
        <v>760.25999999999976</v>
      </c>
      <c r="L58" s="151">
        <f>L57+'Basic Data'!$AD$13</f>
        <v>760.25999999999976</v>
      </c>
      <c r="M58" s="151">
        <f>M57+'Basic Data'!$AE$13</f>
        <v>473.70999999999941</v>
      </c>
      <c r="N58" s="151">
        <f>N57+'Basic Data'!$AF$13</f>
        <v>1116.4399999999994</v>
      </c>
      <c r="O58" s="151">
        <f>O57+'Basic Data'!$AG$13</f>
        <v>445.32999999999993</v>
      </c>
      <c r="P58" s="151">
        <f>P57+'Basic Data'!$AH$13</f>
        <v>1218.6199999999997</v>
      </c>
    </row>
    <row r="59" spans="2:16">
      <c r="B59" s="156">
        <v>57</v>
      </c>
      <c r="C59" s="176">
        <v>57</v>
      </c>
      <c r="D59" s="177">
        <f t="shared" si="1"/>
        <v>772.13999999999976</v>
      </c>
      <c r="E59" s="177">
        <f t="shared" si="2"/>
        <v>772.13999999999976</v>
      </c>
      <c r="F59" s="177">
        <f t="shared" si="3"/>
        <v>481.0999999999994</v>
      </c>
      <c r="G59" s="177">
        <f t="shared" si="4"/>
        <v>1133.8699999999994</v>
      </c>
      <c r="H59" s="177">
        <f t="shared" si="5"/>
        <v>452.27999999999992</v>
      </c>
      <c r="I59" s="177">
        <f t="shared" si="6"/>
        <v>1237.6299999999997</v>
      </c>
      <c r="K59" s="151">
        <f>K58+'Basic Data'!$AC$13</f>
        <v>772.13999999999976</v>
      </c>
      <c r="L59" s="151">
        <f>L58+'Basic Data'!$AD$13</f>
        <v>772.13999999999976</v>
      </c>
      <c r="M59" s="151">
        <f>M58+'Basic Data'!$AE$13</f>
        <v>481.0999999999994</v>
      </c>
      <c r="N59" s="151">
        <f>N58+'Basic Data'!$AF$13</f>
        <v>1133.8699999999994</v>
      </c>
      <c r="O59" s="151">
        <f>O58+'Basic Data'!$AG$13</f>
        <v>452.27999999999992</v>
      </c>
      <c r="P59" s="151">
        <f>P58+'Basic Data'!$AH$13</f>
        <v>1237.6299999999997</v>
      </c>
    </row>
    <row r="60" spans="2:16">
      <c r="B60" s="156">
        <v>58</v>
      </c>
      <c r="C60" s="176">
        <v>58</v>
      </c>
      <c r="D60" s="177">
        <f t="shared" si="1"/>
        <v>784.01999999999975</v>
      </c>
      <c r="E60" s="177">
        <f t="shared" si="2"/>
        <v>784.01999999999975</v>
      </c>
      <c r="F60" s="177">
        <f t="shared" si="3"/>
        <v>488.48999999999938</v>
      </c>
      <c r="G60" s="177">
        <f t="shared" si="4"/>
        <v>1151.2999999999995</v>
      </c>
      <c r="H60" s="177">
        <f t="shared" si="5"/>
        <v>459.2299999999999</v>
      </c>
      <c r="I60" s="177">
        <f t="shared" si="6"/>
        <v>1256.6399999999996</v>
      </c>
      <c r="K60" s="151">
        <f>K59+'Basic Data'!$AC$13</f>
        <v>784.01999999999975</v>
      </c>
      <c r="L60" s="151">
        <f>L59+'Basic Data'!$AD$13</f>
        <v>784.01999999999975</v>
      </c>
      <c r="M60" s="151">
        <f>M59+'Basic Data'!$AE$13</f>
        <v>488.48999999999938</v>
      </c>
      <c r="N60" s="151">
        <f>N59+'Basic Data'!$AF$13</f>
        <v>1151.2999999999995</v>
      </c>
      <c r="O60" s="151">
        <f>O59+'Basic Data'!$AG$13</f>
        <v>459.2299999999999</v>
      </c>
      <c r="P60" s="151">
        <f>P59+'Basic Data'!$AH$13</f>
        <v>1256.6399999999996</v>
      </c>
    </row>
    <row r="61" spans="2:16">
      <c r="B61" s="156">
        <v>59</v>
      </c>
      <c r="C61" s="176">
        <v>59</v>
      </c>
      <c r="D61" s="177">
        <f t="shared" si="1"/>
        <v>795.89999999999975</v>
      </c>
      <c r="E61" s="177">
        <f t="shared" si="2"/>
        <v>795.89999999999975</v>
      </c>
      <c r="F61" s="177">
        <f t="shared" si="3"/>
        <v>495.87999999999937</v>
      </c>
      <c r="G61" s="177">
        <f t="shared" si="4"/>
        <v>1168.7299999999996</v>
      </c>
      <c r="H61" s="177">
        <f t="shared" si="5"/>
        <v>466.17999999999989</v>
      </c>
      <c r="I61" s="177">
        <f t="shared" si="6"/>
        <v>1275.6499999999996</v>
      </c>
      <c r="K61" s="151">
        <f>K60+'Basic Data'!$AC$13</f>
        <v>795.89999999999975</v>
      </c>
      <c r="L61" s="151">
        <f>L60+'Basic Data'!$AD$13</f>
        <v>795.89999999999975</v>
      </c>
      <c r="M61" s="151">
        <f>M60+'Basic Data'!$AE$13</f>
        <v>495.87999999999937</v>
      </c>
      <c r="N61" s="151">
        <f>N60+'Basic Data'!$AF$13</f>
        <v>1168.7299999999996</v>
      </c>
      <c r="O61" s="151">
        <f>O60+'Basic Data'!$AG$13</f>
        <v>466.17999999999989</v>
      </c>
      <c r="P61" s="151">
        <f>P60+'Basic Data'!$AH$13</f>
        <v>1275.6499999999996</v>
      </c>
    </row>
    <row r="62" spans="2:16">
      <c r="B62" s="156">
        <v>60</v>
      </c>
      <c r="C62" s="176">
        <v>60</v>
      </c>
      <c r="D62" s="177">
        <f t="shared" si="1"/>
        <v>807.77999999999975</v>
      </c>
      <c r="E62" s="177">
        <f t="shared" si="2"/>
        <v>807.77999999999975</v>
      </c>
      <c r="F62" s="177">
        <f t="shared" si="3"/>
        <v>503.26999999999936</v>
      </c>
      <c r="G62" s="177">
        <f t="shared" si="4"/>
        <v>1186.1599999999996</v>
      </c>
      <c r="H62" s="177">
        <f t="shared" si="5"/>
        <v>473.12999999999988</v>
      </c>
      <c r="I62" s="177">
        <f t="shared" si="6"/>
        <v>1294.6599999999996</v>
      </c>
      <c r="K62" s="151">
        <f>K61+'Basic Data'!$AC$13</f>
        <v>807.77999999999975</v>
      </c>
      <c r="L62" s="151">
        <f>L61+'Basic Data'!$AD$13</f>
        <v>807.77999999999975</v>
      </c>
      <c r="M62" s="151">
        <f>M61+'Basic Data'!$AE$13</f>
        <v>503.26999999999936</v>
      </c>
      <c r="N62" s="151">
        <f>N61+'Basic Data'!$AF$13</f>
        <v>1186.1599999999996</v>
      </c>
      <c r="O62" s="151">
        <f>O61+'Basic Data'!$AG$13</f>
        <v>473.12999999999988</v>
      </c>
      <c r="P62" s="151">
        <f>P61+'Basic Data'!$AH$13</f>
        <v>1294.6599999999996</v>
      </c>
    </row>
    <row r="63" spans="2:16">
      <c r="B63" s="156">
        <v>61</v>
      </c>
      <c r="C63" s="176">
        <v>61</v>
      </c>
      <c r="D63" s="177">
        <f t="shared" si="1"/>
        <v>819.65999999999974</v>
      </c>
      <c r="E63" s="177">
        <f t="shared" si="2"/>
        <v>819.65999999999974</v>
      </c>
      <c r="F63" s="177">
        <f t="shared" si="3"/>
        <v>510.65999999999934</v>
      </c>
      <c r="G63" s="177">
        <f t="shared" si="4"/>
        <v>1203.5899999999997</v>
      </c>
      <c r="H63" s="177">
        <f t="shared" si="5"/>
        <v>480.07999999999987</v>
      </c>
      <c r="I63" s="177">
        <f t="shared" si="6"/>
        <v>1313.6699999999996</v>
      </c>
      <c r="K63" s="151">
        <f>K62+'Basic Data'!$AC$13</f>
        <v>819.65999999999974</v>
      </c>
      <c r="L63" s="151">
        <f>L62+'Basic Data'!$AD$13</f>
        <v>819.65999999999974</v>
      </c>
      <c r="M63" s="151">
        <f>M62+'Basic Data'!$AE$13</f>
        <v>510.65999999999934</v>
      </c>
      <c r="N63" s="151">
        <f>N62+'Basic Data'!$AF$13</f>
        <v>1203.5899999999997</v>
      </c>
      <c r="O63" s="151">
        <f>O62+'Basic Data'!$AG$13</f>
        <v>480.07999999999987</v>
      </c>
      <c r="P63" s="151">
        <f>P62+'Basic Data'!$AH$13</f>
        <v>1313.6699999999996</v>
      </c>
    </row>
    <row r="64" spans="2:16">
      <c r="B64" s="156">
        <v>62</v>
      </c>
      <c r="C64" s="176">
        <v>62</v>
      </c>
      <c r="D64" s="177">
        <f t="shared" si="1"/>
        <v>831.53999999999974</v>
      </c>
      <c r="E64" s="177">
        <f t="shared" si="2"/>
        <v>831.53999999999974</v>
      </c>
      <c r="F64" s="177">
        <f t="shared" si="3"/>
        <v>518.04999999999939</v>
      </c>
      <c r="G64" s="177">
        <f t="shared" si="4"/>
        <v>1221.0199999999998</v>
      </c>
      <c r="H64" s="177">
        <f t="shared" si="5"/>
        <v>487.02999999999986</v>
      </c>
      <c r="I64" s="177">
        <f t="shared" si="6"/>
        <v>1332.6799999999996</v>
      </c>
      <c r="K64" s="151">
        <f>K63+'Basic Data'!$AC$13</f>
        <v>831.53999999999974</v>
      </c>
      <c r="L64" s="151">
        <f>L63+'Basic Data'!$AD$13</f>
        <v>831.53999999999974</v>
      </c>
      <c r="M64" s="151">
        <f>M63+'Basic Data'!$AE$13</f>
        <v>518.04999999999939</v>
      </c>
      <c r="N64" s="151">
        <f>N63+'Basic Data'!$AF$13</f>
        <v>1221.0199999999998</v>
      </c>
      <c r="O64" s="151">
        <f>O63+'Basic Data'!$AG$13</f>
        <v>487.02999999999986</v>
      </c>
      <c r="P64" s="151">
        <f>P63+'Basic Data'!$AH$13</f>
        <v>1332.6799999999996</v>
      </c>
    </row>
    <row r="65" spans="2:16">
      <c r="B65" s="156">
        <v>63</v>
      </c>
      <c r="C65" s="176">
        <v>63</v>
      </c>
      <c r="D65" s="177">
        <f t="shared" si="1"/>
        <v>843.41999999999973</v>
      </c>
      <c r="E65" s="177">
        <f t="shared" si="2"/>
        <v>843.41999999999973</v>
      </c>
      <c r="F65" s="177">
        <f t="shared" si="3"/>
        <v>525.43999999999937</v>
      </c>
      <c r="G65" s="177">
        <f t="shared" si="4"/>
        <v>1238.4499999999998</v>
      </c>
      <c r="H65" s="177">
        <f t="shared" si="5"/>
        <v>493.97999999999985</v>
      </c>
      <c r="I65" s="177">
        <f t="shared" si="6"/>
        <v>1351.6899999999996</v>
      </c>
      <c r="K65" s="151">
        <f>K64+'Basic Data'!$AC$13</f>
        <v>843.41999999999973</v>
      </c>
      <c r="L65" s="151">
        <f>L64+'Basic Data'!$AD$13</f>
        <v>843.41999999999973</v>
      </c>
      <c r="M65" s="151">
        <f>M64+'Basic Data'!$AE$13</f>
        <v>525.43999999999937</v>
      </c>
      <c r="N65" s="151">
        <f>N64+'Basic Data'!$AF$13</f>
        <v>1238.4499999999998</v>
      </c>
      <c r="O65" s="151">
        <f>O64+'Basic Data'!$AG$13</f>
        <v>493.97999999999985</v>
      </c>
      <c r="P65" s="151">
        <f>P64+'Basic Data'!$AH$13</f>
        <v>1351.6899999999996</v>
      </c>
    </row>
    <row r="66" spans="2:16">
      <c r="B66" s="156">
        <v>64</v>
      </c>
      <c r="C66" s="176">
        <v>64</v>
      </c>
      <c r="D66" s="177">
        <f t="shared" si="1"/>
        <v>855.29999999999973</v>
      </c>
      <c r="E66" s="177">
        <f t="shared" si="2"/>
        <v>855.29999999999973</v>
      </c>
      <c r="F66" s="177">
        <f t="shared" si="3"/>
        <v>532.82999999999936</v>
      </c>
      <c r="G66" s="177">
        <f t="shared" si="4"/>
        <v>1255.8799999999999</v>
      </c>
      <c r="H66" s="177">
        <f t="shared" si="5"/>
        <v>500.92999999999984</v>
      </c>
      <c r="I66" s="177">
        <f t="shared" si="6"/>
        <v>1370.6999999999996</v>
      </c>
      <c r="K66" s="151">
        <f>K65+'Basic Data'!$AC$13</f>
        <v>855.29999999999973</v>
      </c>
      <c r="L66" s="151">
        <f>L65+'Basic Data'!$AD$13</f>
        <v>855.29999999999973</v>
      </c>
      <c r="M66" s="151">
        <f>M65+'Basic Data'!$AE$13</f>
        <v>532.82999999999936</v>
      </c>
      <c r="N66" s="151">
        <f>N65+'Basic Data'!$AF$13</f>
        <v>1255.8799999999999</v>
      </c>
      <c r="O66" s="151">
        <f>O65+'Basic Data'!$AG$13</f>
        <v>500.92999999999984</v>
      </c>
      <c r="P66" s="151">
        <f>P65+'Basic Data'!$AH$13</f>
        <v>1370.6999999999996</v>
      </c>
    </row>
    <row r="67" spans="2:16">
      <c r="B67" s="156">
        <v>65</v>
      </c>
      <c r="C67" s="176">
        <v>65</v>
      </c>
      <c r="D67" s="177">
        <f t="shared" si="1"/>
        <v>867.17999999999972</v>
      </c>
      <c r="E67" s="177">
        <f t="shared" si="2"/>
        <v>867.17999999999972</v>
      </c>
      <c r="F67" s="177">
        <f t="shared" si="3"/>
        <v>540.21999999999935</v>
      </c>
      <c r="G67" s="177">
        <f t="shared" si="4"/>
        <v>1273.31</v>
      </c>
      <c r="H67" s="177">
        <f t="shared" si="5"/>
        <v>507.87999999999982</v>
      </c>
      <c r="I67" s="177">
        <f t="shared" si="6"/>
        <v>1389.7099999999996</v>
      </c>
      <c r="K67" s="151">
        <f>K66+'Basic Data'!$AC$13</f>
        <v>867.17999999999972</v>
      </c>
      <c r="L67" s="151">
        <f>L66+'Basic Data'!$AD$13</f>
        <v>867.17999999999972</v>
      </c>
      <c r="M67" s="151">
        <f>M66+'Basic Data'!$AE$13</f>
        <v>540.21999999999935</v>
      </c>
      <c r="N67" s="151">
        <f>N66+'Basic Data'!$AF$13</f>
        <v>1273.31</v>
      </c>
      <c r="O67" s="151">
        <f>O66+'Basic Data'!$AG$13</f>
        <v>507.87999999999982</v>
      </c>
      <c r="P67" s="151">
        <f>P66+'Basic Data'!$AH$13</f>
        <v>1389.7099999999996</v>
      </c>
    </row>
    <row r="68" spans="2:16">
      <c r="B68" s="156">
        <v>66</v>
      </c>
      <c r="C68" s="176">
        <v>66</v>
      </c>
      <c r="D68" s="177">
        <f t="shared" ref="D68:D131" si="7">K68</f>
        <v>879.05999999999972</v>
      </c>
      <c r="E68" s="177">
        <f t="shared" ref="E68:E131" si="8">L68</f>
        <v>879.05999999999972</v>
      </c>
      <c r="F68" s="177">
        <f t="shared" ref="F68:F131" si="9">M68</f>
        <v>547.60999999999933</v>
      </c>
      <c r="G68" s="177">
        <f t="shared" ref="G68:G131" si="10">N68</f>
        <v>1290.74</v>
      </c>
      <c r="H68" s="177">
        <f t="shared" ref="H68:H131" si="11">O68</f>
        <v>514.82999999999981</v>
      </c>
      <c r="I68" s="177">
        <f t="shared" ref="I68:I131" si="12">P68</f>
        <v>1408.7199999999996</v>
      </c>
      <c r="K68" s="151">
        <f>K67+'Basic Data'!$AC$13</f>
        <v>879.05999999999972</v>
      </c>
      <c r="L68" s="151">
        <f>L67+'Basic Data'!$AD$13</f>
        <v>879.05999999999972</v>
      </c>
      <c r="M68" s="151">
        <f>M67+'Basic Data'!$AE$13</f>
        <v>547.60999999999933</v>
      </c>
      <c r="N68" s="151">
        <f>N67+'Basic Data'!$AF$13</f>
        <v>1290.74</v>
      </c>
      <c r="O68" s="151">
        <f>O67+'Basic Data'!$AG$13</f>
        <v>514.82999999999981</v>
      </c>
      <c r="P68" s="151">
        <f>P67+'Basic Data'!$AH$13</f>
        <v>1408.7199999999996</v>
      </c>
    </row>
    <row r="69" spans="2:16">
      <c r="B69" s="156">
        <v>67</v>
      </c>
      <c r="C69" s="176">
        <v>67</v>
      </c>
      <c r="D69" s="177">
        <f t="shared" si="7"/>
        <v>890.93999999999971</v>
      </c>
      <c r="E69" s="177">
        <f t="shared" si="8"/>
        <v>890.93999999999971</v>
      </c>
      <c r="F69" s="177">
        <f t="shared" si="9"/>
        <v>554.99999999999932</v>
      </c>
      <c r="G69" s="177">
        <f t="shared" si="10"/>
        <v>1308.17</v>
      </c>
      <c r="H69" s="177">
        <f t="shared" si="11"/>
        <v>521.77999999999986</v>
      </c>
      <c r="I69" s="177">
        <f t="shared" si="12"/>
        <v>1427.7299999999996</v>
      </c>
      <c r="K69" s="151">
        <f>K68+'Basic Data'!$AC$13</f>
        <v>890.93999999999971</v>
      </c>
      <c r="L69" s="151">
        <f>L68+'Basic Data'!$AD$13</f>
        <v>890.93999999999971</v>
      </c>
      <c r="M69" s="151">
        <f>M68+'Basic Data'!$AE$13</f>
        <v>554.99999999999932</v>
      </c>
      <c r="N69" s="151">
        <f>N68+'Basic Data'!$AF$13</f>
        <v>1308.17</v>
      </c>
      <c r="O69" s="151">
        <f>O68+'Basic Data'!$AG$13</f>
        <v>521.77999999999986</v>
      </c>
      <c r="P69" s="151">
        <f>P68+'Basic Data'!$AH$13</f>
        <v>1427.7299999999996</v>
      </c>
    </row>
    <row r="70" spans="2:16">
      <c r="B70" s="156">
        <v>68</v>
      </c>
      <c r="C70" s="176">
        <v>68</v>
      </c>
      <c r="D70" s="177">
        <f t="shared" si="7"/>
        <v>902.81999999999971</v>
      </c>
      <c r="E70" s="177">
        <f t="shared" si="8"/>
        <v>902.81999999999971</v>
      </c>
      <c r="F70" s="177">
        <f t="shared" si="9"/>
        <v>562.3899999999993</v>
      </c>
      <c r="G70" s="177">
        <f t="shared" si="10"/>
        <v>1325.6000000000001</v>
      </c>
      <c r="H70" s="177">
        <f t="shared" si="11"/>
        <v>528.7299999999999</v>
      </c>
      <c r="I70" s="177">
        <f t="shared" si="12"/>
        <v>1446.7399999999996</v>
      </c>
      <c r="K70" s="151">
        <f>K69+'Basic Data'!$AC$13</f>
        <v>902.81999999999971</v>
      </c>
      <c r="L70" s="151">
        <f>L69+'Basic Data'!$AD$13</f>
        <v>902.81999999999971</v>
      </c>
      <c r="M70" s="151">
        <f>M69+'Basic Data'!$AE$13</f>
        <v>562.3899999999993</v>
      </c>
      <c r="N70" s="151">
        <f>N69+'Basic Data'!$AF$13</f>
        <v>1325.6000000000001</v>
      </c>
      <c r="O70" s="151">
        <f>O69+'Basic Data'!$AG$13</f>
        <v>528.7299999999999</v>
      </c>
      <c r="P70" s="151">
        <f>P69+'Basic Data'!$AH$13</f>
        <v>1446.7399999999996</v>
      </c>
    </row>
    <row r="71" spans="2:16">
      <c r="B71" s="156">
        <v>69</v>
      </c>
      <c r="C71" s="176">
        <v>69</v>
      </c>
      <c r="D71" s="177">
        <f t="shared" si="7"/>
        <v>914.6999999999997</v>
      </c>
      <c r="E71" s="177">
        <f t="shared" si="8"/>
        <v>914.6999999999997</v>
      </c>
      <c r="F71" s="177">
        <f t="shared" si="9"/>
        <v>569.77999999999929</v>
      </c>
      <c r="G71" s="177">
        <f t="shared" si="10"/>
        <v>1343.0300000000002</v>
      </c>
      <c r="H71" s="177">
        <f t="shared" si="11"/>
        <v>535.67999999999995</v>
      </c>
      <c r="I71" s="177">
        <f t="shared" si="12"/>
        <v>1465.7499999999995</v>
      </c>
      <c r="K71" s="151">
        <f>K70+'Basic Data'!$AC$13</f>
        <v>914.6999999999997</v>
      </c>
      <c r="L71" s="151">
        <f>L70+'Basic Data'!$AD$13</f>
        <v>914.6999999999997</v>
      </c>
      <c r="M71" s="151">
        <f>M70+'Basic Data'!$AE$13</f>
        <v>569.77999999999929</v>
      </c>
      <c r="N71" s="151">
        <f>N70+'Basic Data'!$AF$13</f>
        <v>1343.0300000000002</v>
      </c>
      <c r="O71" s="151">
        <f>O70+'Basic Data'!$AG$13</f>
        <v>535.67999999999995</v>
      </c>
      <c r="P71" s="151">
        <f>P70+'Basic Data'!$AH$13</f>
        <v>1465.7499999999995</v>
      </c>
    </row>
    <row r="72" spans="2:16">
      <c r="B72" s="156">
        <v>70</v>
      </c>
      <c r="C72" s="176">
        <v>70</v>
      </c>
      <c r="D72" s="177">
        <f t="shared" si="7"/>
        <v>926.5799999999997</v>
      </c>
      <c r="E72" s="177">
        <f t="shared" si="8"/>
        <v>926.5799999999997</v>
      </c>
      <c r="F72" s="177">
        <f t="shared" si="9"/>
        <v>577.16999999999928</v>
      </c>
      <c r="G72" s="177">
        <f t="shared" si="10"/>
        <v>1360.4600000000003</v>
      </c>
      <c r="H72" s="177">
        <f t="shared" si="11"/>
        <v>542.63</v>
      </c>
      <c r="I72" s="177">
        <f t="shared" si="12"/>
        <v>1484.7599999999995</v>
      </c>
      <c r="K72" s="151">
        <f>K71+'Basic Data'!$AC$13</f>
        <v>926.5799999999997</v>
      </c>
      <c r="L72" s="151">
        <f>L71+'Basic Data'!$AD$13</f>
        <v>926.5799999999997</v>
      </c>
      <c r="M72" s="151">
        <f>M71+'Basic Data'!$AE$13</f>
        <v>577.16999999999928</v>
      </c>
      <c r="N72" s="151">
        <f>N71+'Basic Data'!$AF$13</f>
        <v>1360.4600000000003</v>
      </c>
      <c r="O72" s="151">
        <f>O71+'Basic Data'!$AG$13</f>
        <v>542.63</v>
      </c>
      <c r="P72" s="151">
        <f>P71+'Basic Data'!$AH$13</f>
        <v>1484.7599999999995</v>
      </c>
    </row>
    <row r="73" spans="2:16">
      <c r="B73" s="156">
        <v>71</v>
      </c>
      <c r="C73" s="176">
        <v>71</v>
      </c>
      <c r="D73" s="177">
        <f t="shared" si="7"/>
        <v>938.4599999999997</v>
      </c>
      <c r="E73" s="177">
        <f t="shared" si="8"/>
        <v>938.4599999999997</v>
      </c>
      <c r="F73" s="177">
        <f t="shared" si="9"/>
        <v>584.55999999999926</v>
      </c>
      <c r="G73" s="177">
        <f t="shared" si="10"/>
        <v>1377.8900000000003</v>
      </c>
      <c r="H73" s="177">
        <f t="shared" si="11"/>
        <v>549.58000000000004</v>
      </c>
      <c r="I73" s="177">
        <f t="shared" si="12"/>
        <v>1503.7699999999995</v>
      </c>
      <c r="K73" s="151">
        <f>K72+'Basic Data'!$AC$13</f>
        <v>938.4599999999997</v>
      </c>
      <c r="L73" s="151">
        <f>L72+'Basic Data'!$AD$13</f>
        <v>938.4599999999997</v>
      </c>
      <c r="M73" s="151">
        <f>M72+'Basic Data'!$AE$13</f>
        <v>584.55999999999926</v>
      </c>
      <c r="N73" s="151">
        <f>N72+'Basic Data'!$AF$13</f>
        <v>1377.8900000000003</v>
      </c>
      <c r="O73" s="151">
        <f>O72+'Basic Data'!$AG$13</f>
        <v>549.58000000000004</v>
      </c>
      <c r="P73" s="151">
        <f>P72+'Basic Data'!$AH$13</f>
        <v>1503.7699999999995</v>
      </c>
    </row>
    <row r="74" spans="2:16">
      <c r="B74" s="156">
        <v>72</v>
      </c>
      <c r="C74" s="176">
        <v>72</v>
      </c>
      <c r="D74" s="177">
        <f t="shared" si="7"/>
        <v>950.33999999999969</v>
      </c>
      <c r="E74" s="177">
        <f t="shared" si="8"/>
        <v>950.33999999999969</v>
      </c>
      <c r="F74" s="177">
        <f t="shared" si="9"/>
        <v>591.94999999999925</v>
      </c>
      <c r="G74" s="177">
        <f t="shared" si="10"/>
        <v>1395.3200000000004</v>
      </c>
      <c r="H74" s="177">
        <f t="shared" si="11"/>
        <v>556.53000000000009</v>
      </c>
      <c r="I74" s="177">
        <f t="shared" si="12"/>
        <v>1522.7799999999995</v>
      </c>
      <c r="K74" s="151">
        <f>K73+'Basic Data'!$AC$13</f>
        <v>950.33999999999969</v>
      </c>
      <c r="L74" s="151">
        <f>L73+'Basic Data'!$AD$13</f>
        <v>950.33999999999969</v>
      </c>
      <c r="M74" s="151">
        <f>M73+'Basic Data'!$AE$13</f>
        <v>591.94999999999925</v>
      </c>
      <c r="N74" s="151">
        <f>N73+'Basic Data'!$AF$13</f>
        <v>1395.3200000000004</v>
      </c>
      <c r="O74" s="151">
        <f>O73+'Basic Data'!$AG$13</f>
        <v>556.53000000000009</v>
      </c>
      <c r="P74" s="151">
        <f>P73+'Basic Data'!$AH$13</f>
        <v>1522.7799999999995</v>
      </c>
    </row>
    <row r="75" spans="2:16">
      <c r="B75" s="156">
        <v>73</v>
      </c>
      <c r="C75" s="176">
        <v>73</v>
      </c>
      <c r="D75" s="177">
        <f t="shared" si="7"/>
        <v>962.21999999999969</v>
      </c>
      <c r="E75" s="177">
        <f t="shared" si="8"/>
        <v>962.21999999999969</v>
      </c>
      <c r="F75" s="177">
        <f t="shared" si="9"/>
        <v>599.33999999999924</v>
      </c>
      <c r="G75" s="177">
        <f t="shared" si="10"/>
        <v>1412.7500000000005</v>
      </c>
      <c r="H75" s="177">
        <f t="shared" si="11"/>
        <v>563.48000000000013</v>
      </c>
      <c r="I75" s="177">
        <f t="shared" si="12"/>
        <v>1541.7899999999995</v>
      </c>
      <c r="K75" s="151">
        <f>K74+'Basic Data'!$AC$13</f>
        <v>962.21999999999969</v>
      </c>
      <c r="L75" s="151">
        <f>L74+'Basic Data'!$AD$13</f>
        <v>962.21999999999969</v>
      </c>
      <c r="M75" s="151">
        <f>M74+'Basic Data'!$AE$13</f>
        <v>599.33999999999924</v>
      </c>
      <c r="N75" s="151">
        <f>N74+'Basic Data'!$AF$13</f>
        <v>1412.7500000000005</v>
      </c>
      <c r="O75" s="151">
        <f>O74+'Basic Data'!$AG$13</f>
        <v>563.48000000000013</v>
      </c>
      <c r="P75" s="151">
        <f>P74+'Basic Data'!$AH$13</f>
        <v>1541.7899999999995</v>
      </c>
    </row>
    <row r="76" spans="2:16">
      <c r="B76" s="156">
        <v>74</v>
      </c>
      <c r="C76" s="176">
        <v>74</v>
      </c>
      <c r="D76" s="177">
        <f t="shared" si="7"/>
        <v>974.09999999999968</v>
      </c>
      <c r="E76" s="177">
        <f t="shared" si="8"/>
        <v>974.09999999999968</v>
      </c>
      <c r="F76" s="177">
        <f t="shared" si="9"/>
        <v>606.72999999999922</v>
      </c>
      <c r="G76" s="177">
        <f t="shared" si="10"/>
        <v>1430.1800000000005</v>
      </c>
      <c r="H76" s="177">
        <f t="shared" si="11"/>
        <v>570.43000000000018</v>
      </c>
      <c r="I76" s="177">
        <f t="shared" si="12"/>
        <v>1560.7999999999995</v>
      </c>
      <c r="K76" s="151">
        <f>K75+'Basic Data'!$AC$13</f>
        <v>974.09999999999968</v>
      </c>
      <c r="L76" s="151">
        <f>L75+'Basic Data'!$AD$13</f>
        <v>974.09999999999968</v>
      </c>
      <c r="M76" s="151">
        <f>M75+'Basic Data'!$AE$13</f>
        <v>606.72999999999922</v>
      </c>
      <c r="N76" s="151">
        <f>N75+'Basic Data'!$AF$13</f>
        <v>1430.1800000000005</v>
      </c>
      <c r="O76" s="151">
        <f>O75+'Basic Data'!$AG$13</f>
        <v>570.43000000000018</v>
      </c>
      <c r="P76" s="151">
        <f>P75+'Basic Data'!$AH$13</f>
        <v>1560.7999999999995</v>
      </c>
    </row>
    <row r="77" spans="2:16">
      <c r="B77" s="156">
        <v>75</v>
      </c>
      <c r="C77" s="176">
        <v>75</v>
      </c>
      <c r="D77" s="177">
        <f t="shared" si="7"/>
        <v>985.97999999999968</v>
      </c>
      <c r="E77" s="177">
        <f t="shared" si="8"/>
        <v>985.97999999999968</v>
      </c>
      <c r="F77" s="177">
        <f t="shared" si="9"/>
        <v>614.11999999999921</v>
      </c>
      <c r="G77" s="177">
        <f t="shared" si="10"/>
        <v>1447.6100000000006</v>
      </c>
      <c r="H77" s="177">
        <f t="shared" si="11"/>
        <v>577.38000000000022</v>
      </c>
      <c r="I77" s="177">
        <f t="shared" si="12"/>
        <v>1579.8099999999995</v>
      </c>
      <c r="K77" s="151">
        <f>K76+'Basic Data'!$AC$13</f>
        <v>985.97999999999968</v>
      </c>
      <c r="L77" s="151">
        <f>L76+'Basic Data'!$AD$13</f>
        <v>985.97999999999968</v>
      </c>
      <c r="M77" s="151">
        <f>M76+'Basic Data'!$AE$13</f>
        <v>614.11999999999921</v>
      </c>
      <c r="N77" s="151">
        <f>N76+'Basic Data'!$AF$13</f>
        <v>1447.6100000000006</v>
      </c>
      <c r="O77" s="151">
        <f>O76+'Basic Data'!$AG$13</f>
        <v>577.38000000000022</v>
      </c>
      <c r="P77" s="151">
        <f>P76+'Basic Data'!$AH$13</f>
        <v>1579.8099999999995</v>
      </c>
    </row>
    <row r="78" spans="2:16">
      <c r="B78" s="156">
        <v>76</v>
      </c>
      <c r="C78" s="176">
        <v>76</v>
      </c>
      <c r="D78" s="177">
        <f t="shared" si="7"/>
        <v>997.85999999999967</v>
      </c>
      <c r="E78" s="177">
        <f t="shared" si="8"/>
        <v>997.85999999999967</v>
      </c>
      <c r="F78" s="177">
        <f t="shared" si="9"/>
        <v>621.5099999999992</v>
      </c>
      <c r="G78" s="177">
        <f t="shared" si="10"/>
        <v>1465.0400000000006</v>
      </c>
      <c r="H78" s="177">
        <f t="shared" si="11"/>
        <v>584.33000000000027</v>
      </c>
      <c r="I78" s="177">
        <f t="shared" si="12"/>
        <v>1598.8199999999995</v>
      </c>
      <c r="K78" s="151">
        <f>K77+'Basic Data'!$AC$13</f>
        <v>997.85999999999967</v>
      </c>
      <c r="L78" s="151">
        <f>L77+'Basic Data'!$AD$13</f>
        <v>997.85999999999967</v>
      </c>
      <c r="M78" s="151">
        <f>M77+'Basic Data'!$AE$13</f>
        <v>621.5099999999992</v>
      </c>
      <c r="N78" s="151">
        <f>N77+'Basic Data'!$AF$13</f>
        <v>1465.0400000000006</v>
      </c>
      <c r="O78" s="151">
        <f>O77+'Basic Data'!$AG$13</f>
        <v>584.33000000000027</v>
      </c>
      <c r="P78" s="151">
        <f>P77+'Basic Data'!$AH$13</f>
        <v>1598.8199999999995</v>
      </c>
    </row>
    <row r="79" spans="2:16">
      <c r="B79" s="156">
        <v>77</v>
      </c>
      <c r="C79" s="176">
        <v>77</v>
      </c>
      <c r="D79" s="177">
        <f t="shared" si="7"/>
        <v>1009.7399999999997</v>
      </c>
      <c r="E79" s="177">
        <f t="shared" si="8"/>
        <v>1009.7399999999997</v>
      </c>
      <c r="F79" s="177">
        <f t="shared" si="9"/>
        <v>628.89999999999918</v>
      </c>
      <c r="G79" s="177">
        <f t="shared" si="10"/>
        <v>1482.4700000000007</v>
      </c>
      <c r="H79" s="177">
        <f t="shared" si="11"/>
        <v>591.28000000000031</v>
      </c>
      <c r="I79" s="177">
        <f t="shared" si="12"/>
        <v>1617.8299999999995</v>
      </c>
      <c r="K79" s="151">
        <f>K78+'Basic Data'!$AC$13</f>
        <v>1009.7399999999997</v>
      </c>
      <c r="L79" s="151">
        <f>L78+'Basic Data'!$AD$13</f>
        <v>1009.7399999999997</v>
      </c>
      <c r="M79" s="151">
        <f>M78+'Basic Data'!$AE$13</f>
        <v>628.89999999999918</v>
      </c>
      <c r="N79" s="151">
        <f>N78+'Basic Data'!$AF$13</f>
        <v>1482.4700000000007</v>
      </c>
      <c r="O79" s="151">
        <f>O78+'Basic Data'!$AG$13</f>
        <v>591.28000000000031</v>
      </c>
      <c r="P79" s="151">
        <f>P78+'Basic Data'!$AH$13</f>
        <v>1617.8299999999995</v>
      </c>
    </row>
    <row r="80" spans="2:16">
      <c r="B80" s="156">
        <v>78</v>
      </c>
      <c r="C80" s="176">
        <v>78</v>
      </c>
      <c r="D80" s="177">
        <f t="shared" si="7"/>
        <v>1021.6199999999997</v>
      </c>
      <c r="E80" s="177">
        <f t="shared" si="8"/>
        <v>1021.6199999999997</v>
      </c>
      <c r="F80" s="177">
        <f t="shared" si="9"/>
        <v>636.28999999999917</v>
      </c>
      <c r="G80" s="177">
        <f t="shared" si="10"/>
        <v>1499.9000000000008</v>
      </c>
      <c r="H80" s="177">
        <f t="shared" si="11"/>
        <v>598.23000000000036</v>
      </c>
      <c r="I80" s="177">
        <f t="shared" si="12"/>
        <v>1636.8399999999995</v>
      </c>
      <c r="K80" s="151">
        <f>K79+'Basic Data'!$AC$13</f>
        <v>1021.6199999999997</v>
      </c>
      <c r="L80" s="151">
        <f>L79+'Basic Data'!$AD$13</f>
        <v>1021.6199999999997</v>
      </c>
      <c r="M80" s="151">
        <f>M79+'Basic Data'!$AE$13</f>
        <v>636.28999999999917</v>
      </c>
      <c r="N80" s="151">
        <f>N79+'Basic Data'!$AF$13</f>
        <v>1499.9000000000008</v>
      </c>
      <c r="O80" s="151">
        <f>O79+'Basic Data'!$AG$13</f>
        <v>598.23000000000036</v>
      </c>
      <c r="P80" s="151">
        <f>P79+'Basic Data'!$AH$13</f>
        <v>1636.8399999999995</v>
      </c>
    </row>
    <row r="81" spans="2:16">
      <c r="B81" s="156">
        <v>79</v>
      </c>
      <c r="C81" s="176">
        <v>79</v>
      </c>
      <c r="D81" s="177">
        <f t="shared" si="7"/>
        <v>1033.4999999999998</v>
      </c>
      <c r="E81" s="177">
        <f t="shared" si="8"/>
        <v>1033.4999999999998</v>
      </c>
      <c r="F81" s="177">
        <f t="shared" si="9"/>
        <v>643.67999999999915</v>
      </c>
      <c r="G81" s="177">
        <f t="shared" si="10"/>
        <v>1517.3300000000008</v>
      </c>
      <c r="H81" s="177">
        <f t="shared" si="11"/>
        <v>605.1800000000004</v>
      </c>
      <c r="I81" s="177">
        <f t="shared" si="12"/>
        <v>1655.8499999999995</v>
      </c>
      <c r="K81" s="151">
        <f>K80+'Basic Data'!$AC$13</f>
        <v>1033.4999999999998</v>
      </c>
      <c r="L81" s="151">
        <f>L80+'Basic Data'!$AD$13</f>
        <v>1033.4999999999998</v>
      </c>
      <c r="M81" s="151">
        <f>M80+'Basic Data'!$AE$13</f>
        <v>643.67999999999915</v>
      </c>
      <c r="N81" s="151">
        <f>N80+'Basic Data'!$AF$13</f>
        <v>1517.3300000000008</v>
      </c>
      <c r="O81" s="151">
        <f>O80+'Basic Data'!$AG$13</f>
        <v>605.1800000000004</v>
      </c>
      <c r="P81" s="151">
        <f>P80+'Basic Data'!$AH$13</f>
        <v>1655.8499999999995</v>
      </c>
    </row>
    <row r="82" spans="2:16">
      <c r="B82" s="156">
        <v>80</v>
      </c>
      <c r="C82" s="176">
        <v>80</v>
      </c>
      <c r="D82" s="177">
        <f t="shared" si="7"/>
        <v>1045.3799999999999</v>
      </c>
      <c r="E82" s="177">
        <f t="shared" si="8"/>
        <v>1045.3799999999999</v>
      </c>
      <c r="F82" s="177">
        <f t="shared" si="9"/>
        <v>651.06999999999914</v>
      </c>
      <c r="G82" s="177">
        <f t="shared" si="10"/>
        <v>1534.7600000000009</v>
      </c>
      <c r="H82" s="177">
        <f t="shared" si="11"/>
        <v>612.13000000000045</v>
      </c>
      <c r="I82" s="177">
        <f t="shared" si="12"/>
        <v>1674.8599999999994</v>
      </c>
      <c r="K82" s="151">
        <f>K81+'Basic Data'!$AC$13</f>
        <v>1045.3799999999999</v>
      </c>
      <c r="L82" s="151">
        <f>L81+'Basic Data'!$AD$13</f>
        <v>1045.3799999999999</v>
      </c>
      <c r="M82" s="151">
        <f>M81+'Basic Data'!$AE$13</f>
        <v>651.06999999999914</v>
      </c>
      <c r="N82" s="151">
        <f>N81+'Basic Data'!$AF$13</f>
        <v>1534.7600000000009</v>
      </c>
      <c r="O82" s="151">
        <f>O81+'Basic Data'!$AG$13</f>
        <v>612.13000000000045</v>
      </c>
      <c r="P82" s="151">
        <f>P81+'Basic Data'!$AH$13</f>
        <v>1674.8599999999994</v>
      </c>
    </row>
    <row r="83" spans="2:16">
      <c r="B83" s="156">
        <v>81</v>
      </c>
      <c r="C83" s="176">
        <v>81</v>
      </c>
      <c r="D83" s="177">
        <f t="shared" si="7"/>
        <v>1057.26</v>
      </c>
      <c r="E83" s="177">
        <f t="shared" si="8"/>
        <v>1057.26</v>
      </c>
      <c r="F83" s="177">
        <f t="shared" si="9"/>
        <v>658.45999999999913</v>
      </c>
      <c r="G83" s="177">
        <f t="shared" si="10"/>
        <v>1552.190000000001</v>
      </c>
      <c r="H83" s="177">
        <f t="shared" si="11"/>
        <v>619.0800000000005</v>
      </c>
      <c r="I83" s="177">
        <f t="shared" si="12"/>
        <v>1693.8699999999994</v>
      </c>
      <c r="K83" s="151">
        <f>K82+'Basic Data'!$AC$13</f>
        <v>1057.26</v>
      </c>
      <c r="L83" s="151">
        <f>L82+'Basic Data'!$AD$13</f>
        <v>1057.26</v>
      </c>
      <c r="M83" s="151">
        <f>M82+'Basic Data'!$AE$13</f>
        <v>658.45999999999913</v>
      </c>
      <c r="N83" s="151">
        <f>N82+'Basic Data'!$AF$13</f>
        <v>1552.190000000001</v>
      </c>
      <c r="O83" s="151">
        <f>O82+'Basic Data'!$AG$13</f>
        <v>619.0800000000005</v>
      </c>
      <c r="P83" s="151">
        <f>P82+'Basic Data'!$AH$13</f>
        <v>1693.8699999999994</v>
      </c>
    </row>
    <row r="84" spans="2:16">
      <c r="B84" s="156">
        <v>82</v>
      </c>
      <c r="C84" s="176">
        <v>82</v>
      </c>
      <c r="D84" s="177">
        <f t="shared" si="7"/>
        <v>1069.1400000000001</v>
      </c>
      <c r="E84" s="177">
        <f t="shared" si="8"/>
        <v>1069.1400000000001</v>
      </c>
      <c r="F84" s="177">
        <f t="shared" si="9"/>
        <v>665.84999999999911</v>
      </c>
      <c r="G84" s="177">
        <f t="shared" si="10"/>
        <v>1569.620000000001</v>
      </c>
      <c r="H84" s="177">
        <f t="shared" si="11"/>
        <v>626.03000000000054</v>
      </c>
      <c r="I84" s="177">
        <f t="shared" si="12"/>
        <v>1712.8799999999994</v>
      </c>
      <c r="K84" s="151">
        <f>K83+'Basic Data'!$AC$13</f>
        <v>1069.1400000000001</v>
      </c>
      <c r="L84" s="151">
        <f>L83+'Basic Data'!$AD$13</f>
        <v>1069.1400000000001</v>
      </c>
      <c r="M84" s="151">
        <f>M83+'Basic Data'!$AE$13</f>
        <v>665.84999999999911</v>
      </c>
      <c r="N84" s="151">
        <f>N83+'Basic Data'!$AF$13</f>
        <v>1569.620000000001</v>
      </c>
      <c r="O84" s="151">
        <f>O83+'Basic Data'!$AG$13</f>
        <v>626.03000000000054</v>
      </c>
      <c r="P84" s="151">
        <f>P83+'Basic Data'!$AH$13</f>
        <v>1712.8799999999994</v>
      </c>
    </row>
    <row r="85" spans="2:16">
      <c r="B85" s="156">
        <v>83</v>
      </c>
      <c r="C85" s="176">
        <v>83</v>
      </c>
      <c r="D85" s="177">
        <f t="shared" si="7"/>
        <v>1081.0200000000002</v>
      </c>
      <c r="E85" s="177">
        <f t="shared" si="8"/>
        <v>1081.0200000000002</v>
      </c>
      <c r="F85" s="177">
        <f t="shared" si="9"/>
        <v>673.2399999999991</v>
      </c>
      <c r="G85" s="177">
        <f t="shared" si="10"/>
        <v>1587.0500000000011</v>
      </c>
      <c r="H85" s="177">
        <f t="shared" si="11"/>
        <v>632.98000000000059</v>
      </c>
      <c r="I85" s="177">
        <f t="shared" si="12"/>
        <v>1731.8899999999994</v>
      </c>
      <c r="K85" s="151">
        <f>K84+'Basic Data'!$AC$13</f>
        <v>1081.0200000000002</v>
      </c>
      <c r="L85" s="151">
        <f>L84+'Basic Data'!$AD$13</f>
        <v>1081.0200000000002</v>
      </c>
      <c r="M85" s="151">
        <f>M84+'Basic Data'!$AE$13</f>
        <v>673.2399999999991</v>
      </c>
      <c r="N85" s="151">
        <f>N84+'Basic Data'!$AF$13</f>
        <v>1587.0500000000011</v>
      </c>
      <c r="O85" s="151">
        <f>O84+'Basic Data'!$AG$13</f>
        <v>632.98000000000059</v>
      </c>
      <c r="P85" s="151">
        <f>P84+'Basic Data'!$AH$13</f>
        <v>1731.8899999999994</v>
      </c>
    </row>
    <row r="86" spans="2:16">
      <c r="B86" s="156">
        <v>84</v>
      </c>
      <c r="C86" s="176">
        <v>84</v>
      </c>
      <c r="D86" s="177">
        <f t="shared" si="7"/>
        <v>1092.9000000000003</v>
      </c>
      <c r="E86" s="177">
        <f t="shared" si="8"/>
        <v>1092.9000000000003</v>
      </c>
      <c r="F86" s="177">
        <f t="shared" si="9"/>
        <v>680.62999999999909</v>
      </c>
      <c r="G86" s="177">
        <f t="shared" si="10"/>
        <v>1604.4800000000012</v>
      </c>
      <c r="H86" s="177">
        <f t="shared" si="11"/>
        <v>639.93000000000063</v>
      </c>
      <c r="I86" s="177">
        <f t="shared" si="12"/>
        <v>1750.8999999999994</v>
      </c>
      <c r="K86" s="151">
        <f>K85+'Basic Data'!$AC$13</f>
        <v>1092.9000000000003</v>
      </c>
      <c r="L86" s="151">
        <f>L85+'Basic Data'!$AD$13</f>
        <v>1092.9000000000003</v>
      </c>
      <c r="M86" s="151">
        <f>M85+'Basic Data'!$AE$13</f>
        <v>680.62999999999909</v>
      </c>
      <c r="N86" s="151">
        <f>N85+'Basic Data'!$AF$13</f>
        <v>1604.4800000000012</v>
      </c>
      <c r="O86" s="151">
        <f>O85+'Basic Data'!$AG$13</f>
        <v>639.93000000000063</v>
      </c>
      <c r="P86" s="151">
        <f>P85+'Basic Data'!$AH$13</f>
        <v>1750.8999999999994</v>
      </c>
    </row>
    <row r="87" spans="2:16">
      <c r="B87" s="156">
        <v>85</v>
      </c>
      <c r="C87" s="176">
        <v>85</v>
      </c>
      <c r="D87" s="177">
        <f t="shared" si="7"/>
        <v>1104.7800000000004</v>
      </c>
      <c r="E87" s="177">
        <f t="shared" si="8"/>
        <v>1104.7800000000004</v>
      </c>
      <c r="F87" s="177">
        <f t="shared" si="9"/>
        <v>688.01999999999907</v>
      </c>
      <c r="G87" s="177">
        <f t="shared" si="10"/>
        <v>1621.9100000000012</v>
      </c>
      <c r="H87" s="177">
        <f t="shared" si="11"/>
        <v>646.88000000000068</v>
      </c>
      <c r="I87" s="177">
        <f t="shared" si="12"/>
        <v>1769.9099999999994</v>
      </c>
      <c r="K87" s="151">
        <f>K86+'Basic Data'!$AC$13</f>
        <v>1104.7800000000004</v>
      </c>
      <c r="L87" s="151">
        <f>L86+'Basic Data'!$AD$13</f>
        <v>1104.7800000000004</v>
      </c>
      <c r="M87" s="151">
        <f>M86+'Basic Data'!$AE$13</f>
        <v>688.01999999999907</v>
      </c>
      <c r="N87" s="151">
        <f>N86+'Basic Data'!$AF$13</f>
        <v>1621.9100000000012</v>
      </c>
      <c r="O87" s="151">
        <f>O86+'Basic Data'!$AG$13</f>
        <v>646.88000000000068</v>
      </c>
      <c r="P87" s="151">
        <f>P86+'Basic Data'!$AH$13</f>
        <v>1769.9099999999994</v>
      </c>
    </row>
    <row r="88" spans="2:16">
      <c r="B88" s="156">
        <v>86</v>
      </c>
      <c r="C88" s="176">
        <v>86</v>
      </c>
      <c r="D88" s="177">
        <f t="shared" si="7"/>
        <v>1116.6600000000005</v>
      </c>
      <c r="E88" s="177">
        <f t="shared" si="8"/>
        <v>1116.6600000000005</v>
      </c>
      <c r="F88" s="177">
        <f t="shared" si="9"/>
        <v>695.40999999999906</v>
      </c>
      <c r="G88" s="177">
        <f t="shared" si="10"/>
        <v>1639.3400000000013</v>
      </c>
      <c r="H88" s="177">
        <f t="shared" si="11"/>
        <v>653.83000000000072</v>
      </c>
      <c r="I88" s="177">
        <f t="shared" si="12"/>
        <v>1788.9199999999994</v>
      </c>
      <c r="K88" s="151">
        <f>K87+'Basic Data'!$AC$13</f>
        <v>1116.6600000000005</v>
      </c>
      <c r="L88" s="151">
        <f>L87+'Basic Data'!$AD$13</f>
        <v>1116.6600000000005</v>
      </c>
      <c r="M88" s="151">
        <f>M87+'Basic Data'!$AE$13</f>
        <v>695.40999999999906</v>
      </c>
      <c r="N88" s="151">
        <f>N87+'Basic Data'!$AF$13</f>
        <v>1639.3400000000013</v>
      </c>
      <c r="O88" s="151">
        <f>O87+'Basic Data'!$AG$13</f>
        <v>653.83000000000072</v>
      </c>
      <c r="P88" s="151">
        <f>P87+'Basic Data'!$AH$13</f>
        <v>1788.9199999999994</v>
      </c>
    </row>
    <row r="89" spans="2:16">
      <c r="B89" s="156">
        <v>87</v>
      </c>
      <c r="C89" s="176">
        <v>87</v>
      </c>
      <c r="D89" s="177">
        <f t="shared" si="7"/>
        <v>1128.5400000000006</v>
      </c>
      <c r="E89" s="177">
        <f t="shared" si="8"/>
        <v>1128.5400000000006</v>
      </c>
      <c r="F89" s="177">
        <f t="shared" si="9"/>
        <v>702.79999999999905</v>
      </c>
      <c r="G89" s="177">
        <f t="shared" si="10"/>
        <v>1656.7700000000013</v>
      </c>
      <c r="H89" s="177">
        <f t="shared" si="11"/>
        <v>660.78000000000077</v>
      </c>
      <c r="I89" s="177">
        <f t="shared" si="12"/>
        <v>1807.9299999999994</v>
      </c>
      <c r="K89" s="151">
        <f>K88+'Basic Data'!$AC$13</f>
        <v>1128.5400000000006</v>
      </c>
      <c r="L89" s="151">
        <f>L88+'Basic Data'!$AD$13</f>
        <v>1128.5400000000006</v>
      </c>
      <c r="M89" s="151">
        <f>M88+'Basic Data'!$AE$13</f>
        <v>702.79999999999905</v>
      </c>
      <c r="N89" s="151">
        <f>N88+'Basic Data'!$AF$13</f>
        <v>1656.7700000000013</v>
      </c>
      <c r="O89" s="151">
        <f>O88+'Basic Data'!$AG$13</f>
        <v>660.78000000000077</v>
      </c>
      <c r="P89" s="151">
        <f>P88+'Basic Data'!$AH$13</f>
        <v>1807.9299999999994</v>
      </c>
    </row>
    <row r="90" spans="2:16">
      <c r="B90" s="156">
        <v>88</v>
      </c>
      <c r="C90" s="176">
        <v>88</v>
      </c>
      <c r="D90" s="177">
        <f t="shared" si="7"/>
        <v>1140.4200000000008</v>
      </c>
      <c r="E90" s="177">
        <f t="shared" si="8"/>
        <v>1140.4200000000008</v>
      </c>
      <c r="F90" s="177">
        <f t="shared" si="9"/>
        <v>710.18999999999903</v>
      </c>
      <c r="G90" s="177">
        <f t="shared" si="10"/>
        <v>1674.2000000000014</v>
      </c>
      <c r="H90" s="177">
        <f t="shared" si="11"/>
        <v>667.73000000000081</v>
      </c>
      <c r="I90" s="177">
        <f t="shared" si="12"/>
        <v>1826.9399999999994</v>
      </c>
      <c r="K90" s="151">
        <f>K89+'Basic Data'!$AC$13</f>
        <v>1140.4200000000008</v>
      </c>
      <c r="L90" s="151">
        <f>L89+'Basic Data'!$AD$13</f>
        <v>1140.4200000000008</v>
      </c>
      <c r="M90" s="151">
        <f>M89+'Basic Data'!$AE$13</f>
        <v>710.18999999999903</v>
      </c>
      <c r="N90" s="151">
        <f>N89+'Basic Data'!$AF$13</f>
        <v>1674.2000000000014</v>
      </c>
      <c r="O90" s="151">
        <f>O89+'Basic Data'!$AG$13</f>
        <v>667.73000000000081</v>
      </c>
      <c r="P90" s="151">
        <f>P89+'Basic Data'!$AH$13</f>
        <v>1826.9399999999994</v>
      </c>
    </row>
    <row r="91" spans="2:16">
      <c r="B91" s="156">
        <v>89</v>
      </c>
      <c r="C91" s="176">
        <v>89</v>
      </c>
      <c r="D91" s="177">
        <f t="shared" si="7"/>
        <v>1152.3000000000009</v>
      </c>
      <c r="E91" s="177">
        <f t="shared" si="8"/>
        <v>1152.3000000000009</v>
      </c>
      <c r="F91" s="177">
        <f t="shared" si="9"/>
        <v>717.57999999999902</v>
      </c>
      <c r="G91" s="177">
        <f t="shared" si="10"/>
        <v>1691.6300000000015</v>
      </c>
      <c r="H91" s="177">
        <f t="shared" si="11"/>
        <v>674.68000000000086</v>
      </c>
      <c r="I91" s="177">
        <f t="shared" si="12"/>
        <v>1845.9499999999994</v>
      </c>
      <c r="K91" s="151">
        <f>K90+'Basic Data'!$AC$13</f>
        <v>1152.3000000000009</v>
      </c>
      <c r="L91" s="151">
        <f>L90+'Basic Data'!$AD$13</f>
        <v>1152.3000000000009</v>
      </c>
      <c r="M91" s="151">
        <f>M90+'Basic Data'!$AE$13</f>
        <v>717.57999999999902</v>
      </c>
      <c r="N91" s="151">
        <f>N90+'Basic Data'!$AF$13</f>
        <v>1691.6300000000015</v>
      </c>
      <c r="O91" s="151">
        <f>O90+'Basic Data'!$AG$13</f>
        <v>674.68000000000086</v>
      </c>
      <c r="P91" s="151">
        <f>P90+'Basic Data'!$AH$13</f>
        <v>1845.9499999999994</v>
      </c>
    </row>
    <row r="92" spans="2:16">
      <c r="B92" s="156">
        <v>90</v>
      </c>
      <c r="C92" s="176">
        <v>90</v>
      </c>
      <c r="D92" s="177">
        <f t="shared" si="7"/>
        <v>1164.180000000001</v>
      </c>
      <c r="E92" s="177">
        <f t="shared" si="8"/>
        <v>1164.180000000001</v>
      </c>
      <c r="F92" s="177">
        <f t="shared" si="9"/>
        <v>724.969999999999</v>
      </c>
      <c r="G92" s="177">
        <f t="shared" si="10"/>
        <v>1709.0600000000015</v>
      </c>
      <c r="H92" s="177">
        <f t="shared" si="11"/>
        <v>681.6300000000009</v>
      </c>
      <c r="I92" s="177">
        <f t="shared" si="12"/>
        <v>1864.9599999999994</v>
      </c>
      <c r="K92" s="151">
        <f>K91+'Basic Data'!$AC$13</f>
        <v>1164.180000000001</v>
      </c>
      <c r="L92" s="151">
        <f>L91+'Basic Data'!$AD$13</f>
        <v>1164.180000000001</v>
      </c>
      <c r="M92" s="151">
        <f>M91+'Basic Data'!$AE$13</f>
        <v>724.969999999999</v>
      </c>
      <c r="N92" s="151">
        <f>N91+'Basic Data'!$AF$13</f>
        <v>1709.0600000000015</v>
      </c>
      <c r="O92" s="151">
        <f>O91+'Basic Data'!$AG$13</f>
        <v>681.6300000000009</v>
      </c>
      <c r="P92" s="151">
        <f>P91+'Basic Data'!$AH$13</f>
        <v>1864.9599999999994</v>
      </c>
    </row>
    <row r="93" spans="2:16">
      <c r="B93" s="156">
        <v>91</v>
      </c>
      <c r="C93" s="176">
        <v>91</v>
      </c>
      <c r="D93" s="177">
        <f t="shared" si="7"/>
        <v>1176.0600000000011</v>
      </c>
      <c r="E93" s="177">
        <f t="shared" si="8"/>
        <v>1176.0600000000011</v>
      </c>
      <c r="F93" s="177">
        <f t="shared" si="9"/>
        <v>732.35999999999899</v>
      </c>
      <c r="G93" s="177">
        <f t="shared" si="10"/>
        <v>1726.4900000000016</v>
      </c>
      <c r="H93" s="177">
        <f t="shared" si="11"/>
        <v>688.58000000000095</v>
      </c>
      <c r="I93" s="177">
        <f t="shared" si="12"/>
        <v>1883.9699999999993</v>
      </c>
      <c r="K93" s="151">
        <f>K92+'Basic Data'!$AC$13</f>
        <v>1176.0600000000011</v>
      </c>
      <c r="L93" s="151">
        <f>L92+'Basic Data'!$AD$13</f>
        <v>1176.0600000000011</v>
      </c>
      <c r="M93" s="151">
        <f>M92+'Basic Data'!$AE$13</f>
        <v>732.35999999999899</v>
      </c>
      <c r="N93" s="151">
        <f>N92+'Basic Data'!$AF$13</f>
        <v>1726.4900000000016</v>
      </c>
      <c r="O93" s="151">
        <f>O92+'Basic Data'!$AG$13</f>
        <v>688.58000000000095</v>
      </c>
      <c r="P93" s="151">
        <f>P92+'Basic Data'!$AH$13</f>
        <v>1883.9699999999993</v>
      </c>
    </row>
    <row r="94" spans="2:16">
      <c r="B94" s="156">
        <v>92</v>
      </c>
      <c r="C94" s="176">
        <v>92</v>
      </c>
      <c r="D94" s="177">
        <f t="shared" si="7"/>
        <v>1187.9400000000012</v>
      </c>
      <c r="E94" s="177">
        <f t="shared" si="8"/>
        <v>1187.9400000000012</v>
      </c>
      <c r="F94" s="177">
        <f t="shared" si="9"/>
        <v>739.74999999999898</v>
      </c>
      <c r="G94" s="177">
        <f t="shared" si="10"/>
        <v>1743.9200000000017</v>
      </c>
      <c r="H94" s="177">
        <f t="shared" si="11"/>
        <v>695.530000000001</v>
      </c>
      <c r="I94" s="177">
        <f t="shared" si="12"/>
        <v>1902.9799999999993</v>
      </c>
      <c r="K94" s="151">
        <f>K93+'Basic Data'!$AC$13</f>
        <v>1187.9400000000012</v>
      </c>
      <c r="L94" s="151">
        <f>L93+'Basic Data'!$AD$13</f>
        <v>1187.9400000000012</v>
      </c>
      <c r="M94" s="151">
        <f>M93+'Basic Data'!$AE$13</f>
        <v>739.74999999999898</v>
      </c>
      <c r="N94" s="151">
        <f>N93+'Basic Data'!$AF$13</f>
        <v>1743.9200000000017</v>
      </c>
      <c r="O94" s="151">
        <f>O93+'Basic Data'!$AG$13</f>
        <v>695.530000000001</v>
      </c>
      <c r="P94" s="151">
        <f>P93+'Basic Data'!$AH$13</f>
        <v>1902.9799999999993</v>
      </c>
    </row>
    <row r="95" spans="2:16">
      <c r="B95" s="156">
        <v>93</v>
      </c>
      <c r="C95" s="176">
        <v>93</v>
      </c>
      <c r="D95" s="177">
        <f t="shared" si="7"/>
        <v>1199.8200000000013</v>
      </c>
      <c r="E95" s="177">
        <f t="shared" si="8"/>
        <v>1199.8200000000013</v>
      </c>
      <c r="F95" s="177">
        <f t="shared" si="9"/>
        <v>747.13999999999896</v>
      </c>
      <c r="G95" s="177">
        <f t="shared" si="10"/>
        <v>1761.3500000000017</v>
      </c>
      <c r="H95" s="177">
        <f t="shared" si="11"/>
        <v>702.48000000000104</v>
      </c>
      <c r="I95" s="177">
        <f t="shared" si="12"/>
        <v>1921.9899999999993</v>
      </c>
      <c r="K95" s="151">
        <f>K94+'Basic Data'!$AC$13</f>
        <v>1199.8200000000013</v>
      </c>
      <c r="L95" s="151">
        <f>L94+'Basic Data'!$AD$13</f>
        <v>1199.8200000000013</v>
      </c>
      <c r="M95" s="151">
        <f>M94+'Basic Data'!$AE$13</f>
        <v>747.13999999999896</v>
      </c>
      <c r="N95" s="151">
        <f>N94+'Basic Data'!$AF$13</f>
        <v>1761.3500000000017</v>
      </c>
      <c r="O95" s="151">
        <f>O94+'Basic Data'!$AG$13</f>
        <v>702.48000000000104</v>
      </c>
      <c r="P95" s="151">
        <f>P94+'Basic Data'!$AH$13</f>
        <v>1921.9899999999993</v>
      </c>
    </row>
    <row r="96" spans="2:16">
      <c r="B96" s="156">
        <v>94</v>
      </c>
      <c r="C96" s="176">
        <v>94</v>
      </c>
      <c r="D96" s="177">
        <f t="shared" si="7"/>
        <v>1211.7000000000014</v>
      </c>
      <c r="E96" s="177">
        <f t="shared" si="8"/>
        <v>1211.7000000000014</v>
      </c>
      <c r="F96" s="177">
        <f t="shared" si="9"/>
        <v>754.52999999999895</v>
      </c>
      <c r="G96" s="177">
        <f t="shared" si="10"/>
        <v>1778.7800000000018</v>
      </c>
      <c r="H96" s="177">
        <f t="shared" si="11"/>
        <v>709.43000000000109</v>
      </c>
      <c r="I96" s="177">
        <f t="shared" si="12"/>
        <v>1940.9999999999993</v>
      </c>
      <c r="K96" s="151">
        <f>K95+'Basic Data'!$AC$13</f>
        <v>1211.7000000000014</v>
      </c>
      <c r="L96" s="151">
        <f>L95+'Basic Data'!$AD$13</f>
        <v>1211.7000000000014</v>
      </c>
      <c r="M96" s="151">
        <f>M95+'Basic Data'!$AE$13</f>
        <v>754.52999999999895</v>
      </c>
      <c r="N96" s="151">
        <f>N95+'Basic Data'!$AF$13</f>
        <v>1778.7800000000018</v>
      </c>
      <c r="O96" s="151">
        <f>O95+'Basic Data'!$AG$13</f>
        <v>709.43000000000109</v>
      </c>
      <c r="P96" s="151">
        <f>P95+'Basic Data'!$AH$13</f>
        <v>1940.9999999999993</v>
      </c>
    </row>
    <row r="97" spans="2:16">
      <c r="B97" s="156">
        <v>95</v>
      </c>
      <c r="C97" s="176">
        <v>95</v>
      </c>
      <c r="D97" s="177">
        <f t="shared" si="7"/>
        <v>1223.5800000000015</v>
      </c>
      <c r="E97" s="177">
        <f t="shared" si="8"/>
        <v>1223.5800000000015</v>
      </c>
      <c r="F97" s="177">
        <f t="shared" si="9"/>
        <v>761.91999999999894</v>
      </c>
      <c r="G97" s="177">
        <f t="shared" si="10"/>
        <v>1796.2100000000019</v>
      </c>
      <c r="H97" s="177">
        <f t="shared" si="11"/>
        <v>716.38000000000113</v>
      </c>
      <c r="I97" s="177">
        <f t="shared" si="12"/>
        <v>1960.0099999999993</v>
      </c>
      <c r="K97" s="151">
        <f>K96+'Basic Data'!$AC$13</f>
        <v>1223.5800000000015</v>
      </c>
      <c r="L97" s="151">
        <f>L96+'Basic Data'!$AD$13</f>
        <v>1223.5800000000015</v>
      </c>
      <c r="M97" s="151">
        <f>M96+'Basic Data'!$AE$13</f>
        <v>761.91999999999894</v>
      </c>
      <c r="N97" s="151">
        <f>N96+'Basic Data'!$AF$13</f>
        <v>1796.2100000000019</v>
      </c>
      <c r="O97" s="151">
        <f>O96+'Basic Data'!$AG$13</f>
        <v>716.38000000000113</v>
      </c>
      <c r="P97" s="151">
        <f>P96+'Basic Data'!$AH$13</f>
        <v>1960.0099999999993</v>
      </c>
    </row>
    <row r="98" spans="2:16">
      <c r="B98" s="156">
        <v>96</v>
      </c>
      <c r="C98" s="176">
        <v>96</v>
      </c>
      <c r="D98" s="177">
        <f t="shared" si="7"/>
        <v>1235.4600000000016</v>
      </c>
      <c r="E98" s="177">
        <f t="shared" si="8"/>
        <v>1235.4600000000016</v>
      </c>
      <c r="F98" s="177">
        <f t="shared" si="9"/>
        <v>769.30999999999892</v>
      </c>
      <c r="G98" s="177">
        <f t="shared" si="10"/>
        <v>1813.6400000000019</v>
      </c>
      <c r="H98" s="177">
        <f t="shared" si="11"/>
        <v>723.33000000000118</v>
      </c>
      <c r="I98" s="177">
        <f t="shared" si="12"/>
        <v>1979.0199999999993</v>
      </c>
      <c r="K98" s="151">
        <f>K97+'Basic Data'!$AC$13</f>
        <v>1235.4600000000016</v>
      </c>
      <c r="L98" s="151">
        <f>L97+'Basic Data'!$AD$13</f>
        <v>1235.4600000000016</v>
      </c>
      <c r="M98" s="151">
        <f>M97+'Basic Data'!$AE$13</f>
        <v>769.30999999999892</v>
      </c>
      <c r="N98" s="151">
        <f>N97+'Basic Data'!$AF$13</f>
        <v>1813.6400000000019</v>
      </c>
      <c r="O98" s="151">
        <f>O97+'Basic Data'!$AG$13</f>
        <v>723.33000000000118</v>
      </c>
      <c r="P98" s="151">
        <f>P97+'Basic Data'!$AH$13</f>
        <v>1979.0199999999993</v>
      </c>
    </row>
    <row r="99" spans="2:16">
      <c r="B99" s="156">
        <v>97</v>
      </c>
      <c r="C99" s="176">
        <v>97</v>
      </c>
      <c r="D99" s="177">
        <f t="shared" si="7"/>
        <v>1247.3400000000017</v>
      </c>
      <c r="E99" s="177">
        <f t="shared" si="8"/>
        <v>1247.3400000000017</v>
      </c>
      <c r="F99" s="177">
        <f t="shared" si="9"/>
        <v>776.69999999999891</v>
      </c>
      <c r="G99" s="177">
        <f t="shared" si="10"/>
        <v>1831.070000000002</v>
      </c>
      <c r="H99" s="177">
        <f t="shared" si="11"/>
        <v>730.28000000000122</v>
      </c>
      <c r="I99" s="177">
        <f t="shared" si="12"/>
        <v>1998.0299999999993</v>
      </c>
      <c r="K99" s="151">
        <f>K98+'Basic Data'!$AC$13</f>
        <v>1247.3400000000017</v>
      </c>
      <c r="L99" s="151">
        <f>L98+'Basic Data'!$AD$13</f>
        <v>1247.3400000000017</v>
      </c>
      <c r="M99" s="151">
        <f>M98+'Basic Data'!$AE$13</f>
        <v>776.69999999999891</v>
      </c>
      <c r="N99" s="151">
        <f>N98+'Basic Data'!$AF$13</f>
        <v>1831.070000000002</v>
      </c>
      <c r="O99" s="151">
        <f>O98+'Basic Data'!$AG$13</f>
        <v>730.28000000000122</v>
      </c>
      <c r="P99" s="151">
        <f>P98+'Basic Data'!$AH$13</f>
        <v>1998.0299999999993</v>
      </c>
    </row>
    <row r="100" spans="2:16">
      <c r="B100" s="156">
        <v>98</v>
      </c>
      <c r="C100" s="176">
        <v>98</v>
      </c>
      <c r="D100" s="177">
        <f t="shared" si="7"/>
        <v>1259.2200000000018</v>
      </c>
      <c r="E100" s="177">
        <f t="shared" si="8"/>
        <v>1259.2200000000018</v>
      </c>
      <c r="F100" s="177">
        <f t="shared" si="9"/>
        <v>784.08999999999889</v>
      </c>
      <c r="G100" s="177">
        <f t="shared" si="10"/>
        <v>1848.500000000002</v>
      </c>
      <c r="H100" s="177">
        <f t="shared" si="11"/>
        <v>737.23000000000127</v>
      </c>
      <c r="I100" s="177">
        <f t="shared" si="12"/>
        <v>2017.0399999999993</v>
      </c>
      <c r="K100" s="151">
        <f>K99+'Basic Data'!$AC$13</f>
        <v>1259.2200000000018</v>
      </c>
      <c r="L100" s="151">
        <f>L99+'Basic Data'!$AD$13</f>
        <v>1259.2200000000018</v>
      </c>
      <c r="M100" s="151">
        <f>M99+'Basic Data'!$AE$13</f>
        <v>784.08999999999889</v>
      </c>
      <c r="N100" s="151">
        <f>N99+'Basic Data'!$AF$13</f>
        <v>1848.500000000002</v>
      </c>
      <c r="O100" s="151">
        <f>O99+'Basic Data'!$AG$13</f>
        <v>737.23000000000127</v>
      </c>
      <c r="P100" s="151">
        <f>P99+'Basic Data'!$AH$13</f>
        <v>2017.0399999999993</v>
      </c>
    </row>
    <row r="101" spans="2:16">
      <c r="B101" s="156">
        <v>99</v>
      </c>
      <c r="C101" s="176">
        <v>99</v>
      </c>
      <c r="D101" s="177">
        <f t="shared" si="7"/>
        <v>1271.100000000002</v>
      </c>
      <c r="E101" s="177">
        <f t="shared" si="8"/>
        <v>1271.100000000002</v>
      </c>
      <c r="F101" s="177">
        <f t="shared" si="9"/>
        <v>791.47999999999888</v>
      </c>
      <c r="G101" s="177">
        <f t="shared" si="10"/>
        <v>1865.9300000000021</v>
      </c>
      <c r="H101" s="177">
        <f t="shared" si="11"/>
        <v>744.18000000000131</v>
      </c>
      <c r="I101" s="177">
        <f t="shared" si="12"/>
        <v>2036.0499999999993</v>
      </c>
      <c r="K101" s="151">
        <f>K100+'Basic Data'!$AC$13</f>
        <v>1271.100000000002</v>
      </c>
      <c r="L101" s="151">
        <f>L100+'Basic Data'!$AD$13</f>
        <v>1271.100000000002</v>
      </c>
      <c r="M101" s="151">
        <f>M100+'Basic Data'!$AE$13</f>
        <v>791.47999999999888</v>
      </c>
      <c r="N101" s="151">
        <f>N100+'Basic Data'!$AF$13</f>
        <v>1865.9300000000021</v>
      </c>
      <c r="O101" s="151">
        <f>O100+'Basic Data'!$AG$13</f>
        <v>744.18000000000131</v>
      </c>
      <c r="P101" s="151">
        <f>P100+'Basic Data'!$AH$13</f>
        <v>2036.0499999999993</v>
      </c>
    </row>
    <row r="102" spans="2:16">
      <c r="B102" s="156">
        <v>100</v>
      </c>
      <c r="C102" s="176">
        <v>100</v>
      </c>
      <c r="D102" s="177">
        <f t="shared" si="7"/>
        <v>1282.9800000000021</v>
      </c>
      <c r="E102" s="177">
        <f t="shared" si="8"/>
        <v>1282.9800000000021</v>
      </c>
      <c r="F102" s="177">
        <f t="shared" si="9"/>
        <v>798.86999999999887</v>
      </c>
      <c r="G102" s="177">
        <f t="shared" si="10"/>
        <v>1883.3600000000022</v>
      </c>
      <c r="H102" s="177">
        <f t="shared" si="11"/>
        <v>751.13000000000136</v>
      </c>
      <c r="I102" s="177">
        <f t="shared" si="12"/>
        <v>2055.0599999999995</v>
      </c>
      <c r="K102" s="151">
        <f>K101+'Basic Data'!$AC$13</f>
        <v>1282.9800000000021</v>
      </c>
      <c r="L102" s="151">
        <f>L101+'Basic Data'!$AD$13</f>
        <v>1282.9800000000021</v>
      </c>
      <c r="M102" s="151">
        <f>M101+'Basic Data'!$AE$13</f>
        <v>798.86999999999887</v>
      </c>
      <c r="N102" s="151">
        <f>N101+'Basic Data'!$AF$13</f>
        <v>1883.3600000000022</v>
      </c>
      <c r="O102" s="151">
        <f>O101+'Basic Data'!$AG$13</f>
        <v>751.13000000000136</v>
      </c>
      <c r="P102" s="151">
        <f>P101+'Basic Data'!$AH$13</f>
        <v>2055.0599999999995</v>
      </c>
    </row>
    <row r="103" spans="2:16">
      <c r="B103" s="156">
        <v>101</v>
      </c>
      <c r="C103" s="176">
        <v>101</v>
      </c>
      <c r="D103" s="177">
        <f t="shared" si="7"/>
        <v>1294.8600000000022</v>
      </c>
      <c r="E103" s="177">
        <f t="shared" si="8"/>
        <v>1294.8600000000022</v>
      </c>
      <c r="F103" s="177">
        <f t="shared" si="9"/>
        <v>806.25999999999885</v>
      </c>
      <c r="G103" s="177">
        <f t="shared" si="10"/>
        <v>1900.7900000000022</v>
      </c>
      <c r="H103" s="177">
        <f t="shared" si="11"/>
        <v>758.08000000000141</v>
      </c>
      <c r="I103" s="177">
        <f t="shared" si="12"/>
        <v>2074.0699999999997</v>
      </c>
      <c r="K103" s="151">
        <f>K102+'Basic Data'!$AC$13</f>
        <v>1294.8600000000022</v>
      </c>
      <c r="L103" s="151">
        <f>L102+'Basic Data'!$AD$13</f>
        <v>1294.8600000000022</v>
      </c>
      <c r="M103" s="151">
        <f>M102+'Basic Data'!$AE$13</f>
        <v>806.25999999999885</v>
      </c>
      <c r="N103" s="151">
        <f>N102+'Basic Data'!$AF$13</f>
        <v>1900.7900000000022</v>
      </c>
      <c r="O103" s="151">
        <f>O102+'Basic Data'!$AG$13</f>
        <v>758.08000000000141</v>
      </c>
      <c r="P103" s="151">
        <f>P102+'Basic Data'!$AH$13</f>
        <v>2074.0699999999997</v>
      </c>
    </row>
    <row r="104" spans="2:16">
      <c r="B104" s="156">
        <v>102</v>
      </c>
      <c r="C104" s="176">
        <v>102</v>
      </c>
      <c r="D104" s="177">
        <f t="shared" si="7"/>
        <v>1306.7400000000023</v>
      </c>
      <c r="E104" s="177">
        <f t="shared" si="8"/>
        <v>1306.7400000000023</v>
      </c>
      <c r="F104" s="177">
        <f t="shared" si="9"/>
        <v>813.64999999999884</v>
      </c>
      <c r="G104" s="177">
        <f t="shared" si="10"/>
        <v>1918.2200000000023</v>
      </c>
      <c r="H104" s="177">
        <f t="shared" si="11"/>
        <v>765.03000000000145</v>
      </c>
      <c r="I104" s="177">
        <f t="shared" si="12"/>
        <v>2093.08</v>
      </c>
      <c r="K104" s="151">
        <f>K103+'Basic Data'!$AC$13</f>
        <v>1306.7400000000023</v>
      </c>
      <c r="L104" s="151">
        <f>L103+'Basic Data'!$AD$13</f>
        <v>1306.7400000000023</v>
      </c>
      <c r="M104" s="151">
        <f>M103+'Basic Data'!$AE$13</f>
        <v>813.64999999999884</v>
      </c>
      <c r="N104" s="151">
        <f>N103+'Basic Data'!$AF$13</f>
        <v>1918.2200000000023</v>
      </c>
      <c r="O104" s="151">
        <f>O103+'Basic Data'!$AG$13</f>
        <v>765.03000000000145</v>
      </c>
      <c r="P104" s="151">
        <f>P103+'Basic Data'!$AH$13</f>
        <v>2093.08</v>
      </c>
    </row>
    <row r="105" spans="2:16">
      <c r="B105" s="156">
        <v>103</v>
      </c>
      <c r="C105" s="176">
        <v>103</v>
      </c>
      <c r="D105" s="177">
        <f t="shared" si="7"/>
        <v>1318.6200000000024</v>
      </c>
      <c r="E105" s="177">
        <f t="shared" si="8"/>
        <v>1318.6200000000024</v>
      </c>
      <c r="F105" s="177">
        <f t="shared" si="9"/>
        <v>821.03999999999883</v>
      </c>
      <c r="G105" s="177">
        <f t="shared" si="10"/>
        <v>1935.6500000000024</v>
      </c>
      <c r="H105" s="177">
        <f t="shared" si="11"/>
        <v>771.9800000000015</v>
      </c>
      <c r="I105" s="177">
        <f t="shared" si="12"/>
        <v>2112.09</v>
      </c>
      <c r="K105" s="151">
        <f>K104+'Basic Data'!$AC$13</f>
        <v>1318.6200000000024</v>
      </c>
      <c r="L105" s="151">
        <f>L104+'Basic Data'!$AD$13</f>
        <v>1318.6200000000024</v>
      </c>
      <c r="M105" s="151">
        <f>M104+'Basic Data'!$AE$13</f>
        <v>821.03999999999883</v>
      </c>
      <c r="N105" s="151">
        <f>N104+'Basic Data'!$AF$13</f>
        <v>1935.6500000000024</v>
      </c>
      <c r="O105" s="151">
        <f>O104+'Basic Data'!$AG$13</f>
        <v>771.9800000000015</v>
      </c>
      <c r="P105" s="151">
        <f>P104+'Basic Data'!$AH$13</f>
        <v>2112.09</v>
      </c>
    </row>
    <row r="106" spans="2:16">
      <c r="B106" s="156">
        <v>104</v>
      </c>
      <c r="C106" s="176">
        <v>104</v>
      </c>
      <c r="D106" s="177">
        <f t="shared" si="7"/>
        <v>1330.5000000000025</v>
      </c>
      <c r="E106" s="177">
        <f t="shared" si="8"/>
        <v>1330.5000000000025</v>
      </c>
      <c r="F106" s="177">
        <f t="shared" si="9"/>
        <v>828.42999999999881</v>
      </c>
      <c r="G106" s="177">
        <f t="shared" si="10"/>
        <v>1953.0800000000024</v>
      </c>
      <c r="H106" s="177">
        <f t="shared" si="11"/>
        <v>778.93000000000154</v>
      </c>
      <c r="I106" s="177">
        <f t="shared" si="12"/>
        <v>2131.1000000000004</v>
      </c>
      <c r="K106" s="151">
        <f>K105+'Basic Data'!$AC$13</f>
        <v>1330.5000000000025</v>
      </c>
      <c r="L106" s="151">
        <f>L105+'Basic Data'!$AD$13</f>
        <v>1330.5000000000025</v>
      </c>
      <c r="M106" s="151">
        <f>M105+'Basic Data'!$AE$13</f>
        <v>828.42999999999881</v>
      </c>
      <c r="N106" s="151">
        <f>N105+'Basic Data'!$AF$13</f>
        <v>1953.0800000000024</v>
      </c>
      <c r="O106" s="151">
        <f>O105+'Basic Data'!$AG$13</f>
        <v>778.93000000000154</v>
      </c>
      <c r="P106" s="151">
        <f>P105+'Basic Data'!$AH$13</f>
        <v>2131.1000000000004</v>
      </c>
    </row>
    <row r="107" spans="2:16">
      <c r="B107" s="156">
        <v>105</v>
      </c>
      <c r="C107" s="176">
        <v>105</v>
      </c>
      <c r="D107" s="177">
        <f t="shared" si="7"/>
        <v>1342.3800000000026</v>
      </c>
      <c r="E107" s="177">
        <f t="shared" si="8"/>
        <v>1342.3800000000026</v>
      </c>
      <c r="F107" s="177">
        <f t="shared" si="9"/>
        <v>835.8199999999988</v>
      </c>
      <c r="G107" s="177">
        <f t="shared" si="10"/>
        <v>1970.5100000000025</v>
      </c>
      <c r="H107" s="177">
        <f t="shared" si="11"/>
        <v>785.88000000000159</v>
      </c>
      <c r="I107" s="177">
        <f t="shared" si="12"/>
        <v>2150.1100000000006</v>
      </c>
      <c r="K107" s="151">
        <f>K106+'Basic Data'!$AC$13</f>
        <v>1342.3800000000026</v>
      </c>
      <c r="L107" s="151">
        <f>L106+'Basic Data'!$AD$13</f>
        <v>1342.3800000000026</v>
      </c>
      <c r="M107" s="151">
        <f>M106+'Basic Data'!$AE$13</f>
        <v>835.8199999999988</v>
      </c>
      <c r="N107" s="151">
        <f>N106+'Basic Data'!$AF$13</f>
        <v>1970.5100000000025</v>
      </c>
      <c r="O107" s="151">
        <f>O106+'Basic Data'!$AG$13</f>
        <v>785.88000000000159</v>
      </c>
      <c r="P107" s="151">
        <f>P106+'Basic Data'!$AH$13</f>
        <v>2150.1100000000006</v>
      </c>
    </row>
    <row r="108" spans="2:16">
      <c r="B108" s="156">
        <v>106</v>
      </c>
      <c r="C108" s="176">
        <v>106</v>
      </c>
      <c r="D108" s="177">
        <f t="shared" si="7"/>
        <v>1354.2600000000027</v>
      </c>
      <c r="E108" s="177">
        <f t="shared" si="8"/>
        <v>1354.2600000000027</v>
      </c>
      <c r="F108" s="177">
        <f t="shared" si="9"/>
        <v>843.20999999999879</v>
      </c>
      <c r="G108" s="177">
        <f t="shared" si="10"/>
        <v>1987.9400000000026</v>
      </c>
      <c r="H108" s="177">
        <f t="shared" si="11"/>
        <v>792.83000000000163</v>
      </c>
      <c r="I108" s="177">
        <f t="shared" si="12"/>
        <v>2169.1200000000008</v>
      </c>
      <c r="K108" s="151">
        <f>K107+'Basic Data'!$AC$13</f>
        <v>1354.2600000000027</v>
      </c>
      <c r="L108" s="151">
        <f>L107+'Basic Data'!$AD$13</f>
        <v>1354.2600000000027</v>
      </c>
      <c r="M108" s="151">
        <f>M107+'Basic Data'!$AE$13</f>
        <v>843.20999999999879</v>
      </c>
      <c r="N108" s="151">
        <f>N107+'Basic Data'!$AF$13</f>
        <v>1987.9400000000026</v>
      </c>
      <c r="O108" s="151">
        <f>O107+'Basic Data'!$AG$13</f>
        <v>792.83000000000163</v>
      </c>
      <c r="P108" s="151">
        <f>P107+'Basic Data'!$AH$13</f>
        <v>2169.1200000000008</v>
      </c>
    </row>
    <row r="109" spans="2:16">
      <c r="B109" s="156">
        <v>107</v>
      </c>
      <c r="C109" s="176">
        <v>107</v>
      </c>
      <c r="D109" s="177">
        <f t="shared" si="7"/>
        <v>1366.1400000000028</v>
      </c>
      <c r="E109" s="177">
        <f t="shared" si="8"/>
        <v>1366.1400000000028</v>
      </c>
      <c r="F109" s="177">
        <f t="shared" si="9"/>
        <v>850.59999999999877</v>
      </c>
      <c r="G109" s="177">
        <f t="shared" si="10"/>
        <v>2005.3700000000026</v>
      </c>
      <c r="H109" s="177">
        <f t="shared" si="11"/>
        <v>799.78000000000168</v>
      </c>
      <c r="I109" s="177">
        <f t="shared" si="12"/>
        <v>2188.130000000001</v>
      </c>
      <c r="K109" s="151">
        <f>K108+'Basic Data'!$AC$13</f>
        <v>1366.1400000000028</v>
      </c>
      <c r="L109" s="151">
        <f>L108+'Basic Data'!$AD$13</f>
        <v>1366.1400000000028</v>
      </c>
      <c r="M109" s="151">
        <f>M108+'Basic Data'!$AE$13</f>
        <v>850.59999999999877</v>
      </c>
      <c r="N109" s="151">
        <f>N108+'Basic Data'!$AF$13</f>
        <v>2005.3700000000026</v>
      </c>
      <c r="O109" s="151">
        <f>O108+'Basic Data'!$AG$13</f>
        <v>799.78000000000168</v>
      </c>
      <c r="P109" s="151">
        <f>P108+'Basic Data'!$AH$13</f>
        <v>2188.130000000001</v>
      </c>
    </row>
    <row r="110" spans="2:16">
      <c r="B110" s="156">
        <v>108</v>
      </c>
      <c r="C110" s="176">
        <v>108</v>
      </c>
      <c r="D110" s="177">
        <f t="shared" si="7"/>
        <v>1378.0200000000029</v>
      </c>
      <c r="E110" s="177">
        <f t="shared" si="8"/>
        <v>1378.0200000000029</v>
      </c>
      <c r="F110" s="177">
        <f t="shared" si="9"/>
        <v>857.98999999999876</v>
      </c>
      <c r="G110" s="177">
        <f t="shared" si="10"/>
        <v>2022.8000000000027</v>
      </c>
      <c r="H110" s="177">
        <f t="shared" si="11"/>
        <v>806.73000000000172</v>
      </c>
      <c r="I110" s="177">
        <f t="shared" si="12"/>
        <v>2207.1400000000012</v>
      </c>
      <c r="K110" s="151">
        <f>K109+'Basic Data'!$AC$13</f>
        <v>1378.0200000000029</v>
      </c>
      <c r="L110" s="151">
        <f>L109+'Basic Data'!$AD$13</f>
        <v>1378.0200000000029</v>
      </c>
      <c r="M110" s="151">
        <f>M109+'Basic Data'!$AE$13</f>
        <v>857.98999999999876</v>
      </c>
      <c r="N110" s="151">
        <f>N109+'Basic Data'!$AF$13</f>
        <v>2022.8000000000027</v>
      </c>
      <c r="O110" s="151">
        <f>O109+'Basic Data'!$AG$13</f>
        <v>806.73000000000172</v>
      </c>
      <c r="P110" s="151">
        <f>P109+'Basic Data'!$AH$13</f>
        <v>2207.1400000000012</v>
      </c>
    </row>
    <row r="111" spans="2:16">
      <c r="B111" s="156">
        <v>109</v>
      </c>
      <c r="C111" s="176">
        <v>109</v>
      </c>
      <c r="D111" s="177">
        <f t="shared" si="7"/>
        <v>1389.900000000003</v>
      </c>
      <c r="E111" s="177">
        <f t="shared" si="8"/>
        <v>1389.900000000003</v>
      </c>
      <c r="F111" s="177">
        <f t="shared" si="9"/>
        <v>865.37999999999874</v>
      </c>
      <c r="G111" s="177">
        <f t="shared" si="10"/>
        <v>2040.2300000000027</v>
      </c>
      <c r="H111" s="177">
        <f t="shared" si="11"/>
        <v>813.68000000000177</v>
      </c>
      <c r="I111" s="177">
        <f t="shared" si="12"/>
        <v>2226.1500000000015</v>
      </c>
      <c r="K111" s="151">
        <f>K110+'Basic Data'!$AC$13</f>
        <v>1389.900000000003</v>
      </c>
      <c r="L111" s="151">
        <f>L110+'Basic Data'!$AD$13</f>
        <v>1389.900000000003</v>
      </c>
      <c r="M111" s="151">
        <f>M110+'Basic Data'!$AE$13</f>
        <v>865.37999999999874</v>
      </c>
      <c r="N111" s="151">
        <f>N110+'Basic Data'!$AF$13</f>
        <v>2040.2300000000027</v>
      </c>
      <c r="O111" s="151">
        <f>O110+'Basic Data'!$AG$13</f>
        <v>813.68000000000177</v>
      </c>
      <c r="P111" s="151">
        <f>P110+'Basic Data'!$AH$13</f>
        <v>2226.1500000000015</v>
      </c>
    </row>
    <row r="112" spans="2:16">
      <c r="B112" s="156">
        <v>110</v>
      </c>
      <c r="C112" s="176">
        <v>110</v>
      </c>
      <c r="D112" s="177">
        <f t="shared" si="7"/>
        <v>1401.7800000000032</v>
      </c>
      <c r="E112" s="177">
        <f t="shared" si="8"/>
        <v>1401.7800000000032</v>
      </c>
      <c r="F112" s="177">
        <f t="shared" si="9"/>
        <v>872.76999999999873</v>
      </c>
      <c r="G112" s="177">
        <f t="shared" si="10"/>
        <v>2057.6600000000026</v>
      </c>
      <c r="H112" s="177">
        <f t="shared" si="11"/>
        <v>820.63000000000181</v>
      </c>
      <c r="I112" s="177">
        <f t="shared" si="12"/>
        <v>2245.1600000000017</v>
      </c>
      <c r="K112" s="151">
        <f>K111+'Basic Data'!$AC$13</f>
        <v>1401.7800000000032</v>
      </c>
      <c r="L112" s="151">
        <f>L111+'Basic Data'!$AD$13</f>
        <v>1401.7800000000032</v>
      </c>
      <c r="M112" s="151">
        <f>M111+'Basic Data'!$AE$13</f>
        <v>872.76999999999873</v>
      </c>
      <c r="N112" s="151">
        <f>N111+'Basic Data'!$AF$13</f>
        <v>2057.6600000000026</v>
      </c>
      <c r="O112" s="151">
        <f>O111+'Basic Data'!$AG$13</f>
        <v>820.63000000000181</v>
      </c>
      <c r="P112" s="151">
        <f>P111+'Basic Data'!$AH$13</f>
        <v>2245.1600000000017</v>
      </c>
    </row>
    <row r="113" spans="2:16">
      <c r="B113" s="156">
        <v>111</v>
      </c>
      <c r="C113" s="176">
        <v>111</v>
      </c>
      <c r="D113" s="177">
        <f t="shared" si="7"/>
        <v>1413.6600000000033</v>
      </c>
      <c r="E113" s="177">
        <f t="shared" si="8"/>
        <v>1413.6600000000033</v>
      </c>
      <c r="F113" s="177">
        <f t="shared" si="9"/>
        <v>880.15999999999872</v>
      </c>
      <c r="G113" s="177">
        <f t="shared" si="10"/>
        <v>2075.0900000000024</v>
      </c>
      <c r="H113" s="177">
        <f t="shared" si="11"/>
        <v>827.58000000000186</v>
      </c>
      <c r="I113" s="177">
        <f t="shared" si="12"/>
        <v>2264.1700000000019</v>
      </c>
      <c r="K113" s="151">
        <f>K112+'Basic Data'!$AC$13</f>
        <v>1413.6600000000033</v>
      </c>
      <c r="L113" s="151">
        <f>L112+'Basic Data'!$AD$13</f>
        <v>1413.6600000000033</v>
      </c>
      <c r="M113" s="151">
        <f>M112+'Basic Data'!$AE$13</f>
        <v>880.15999999999872</v>
      </c>
      <c r="N113" s="151">
        <f>N112+'Basic Data'!$AF$13</f>
        <v>2075.0900000000024</v>
      </c>
      <c r="O113" s="151">
        <f>O112+'Basic Data'!$AG$13</f>
        <v>827.58000000000186</v>
      </c>
      <c r="P113" s="151">
        <f>P112+'Basic Data'!$AH$13</f>
        <v>2264.1700000000019</v>
      </c>
    </row>
    <row r="114" spans="2:16">
      <c r="B114" s="156">
        <v>112</v>
      </c>
      <c r="C114" s="176">
        <v>112</v>
      </c>
      <c r="D114" s="177">
        <f t="shared" si="7"/>
        <v>1425.5400000000034</v>
      </c>
      <c r="E114" s="177">
        <f t="shared" si="8"/>
        <v>1425.5400000000034</v>
      </c>
      <c r="F114" s="177">
        <f t="shared" si="9"/>
        <v>887.5499999999987</v>
      </c>
      <c r="G114" s="177">
        <f t="shared" si="10"/>
        <v>2092.5200000000023</v>
      </c>
      <c r="H114" s="177">
        <f t="shared" si="11"/>
        <v>834.53000000000191</v>
      </c>
      <c r="I114" s="177">
        <f t="shared" si="12"/>
        <v>2283.1800000000021</v>
      </c>
      <c r="K114" s="151">
        <f>K113+'Basic Data'!$AC$13</f>
        <v>1425.5400000000034</v>
      </c>
      <c r="L114" s="151">
        <f>L113+'Basic Data'!$AD$13</f>
        <v>1425.5400000000034</v>
      </c>
      <c r="M114" s="151">
        <f>M113+'Basic Data'!$AE$13</f>
        <v>887.5499999999987</v>
      </c>
      <c r="N114" s="151">
        <f>N113+'Basic Data'!$AF$13</f>
        <v>2092.5200000000023</v>
      </c>
      <c r="O114" s="151">
        <f>O113+'Basic Data'!$AG$13</f>
        <v>834.53000000000191</v>
      </c>
      <c r="P114" s="151">
        <f>P113+'Basic Data'!$AH$13</f>
        <v>2283.1800000000021</v>
      </c>
    </row>
    <row r="115" spans="2:16">
      <c r="B115" s="156">
        <v>113</v>
      </c>
      <c r="C115" s="176">
        <v>113</v>
      </c>
      <c r="D115" s="177">
        <f t="shared" si="7"/>
        <v>1437.4200000000035</v>
      </c>
      <c r="E115" s="177">
        <f t="shared" si="8"/>
        <v>1437.4200000000035</v>
      </c>
      <c r="F115" s="177">
        <f t="shared" si="9"/>
        <v>894.93999999999869</v>
      </c>
      <c r="G115" s="177">
        <f t="shared" si="10"/>
        <v>2109.9500000000021</v>
      </c>
      <c r="H115" s="177">
        <f t="shared" si="11"/>
        <v>841.48000000000195</v>
      </c>
      <c r="I115" s="177">
        <f t="shared" si="12"/>
        <v>2302.1900000000023</v>
      </c>
      <c r="K115" s="151">
        <f>K114+'Basic Data'!$AC$13</f>
        <v>1437.4200000000035</v>
      </c>
      <c r="L115" s="151">
        <f>L114+'Basic Data'!$AD$13</f>
        <v>1437.4200000000035</v>
      </c>
      <c r="M115" s="151">
        <f>M114+'Basic Data'!$AE$13</f>
        <v>894.93999999999869</v>
      </c>
      <c r="N115" s="151">
        <f>N114+'Basic Data'!$AF$13</f>
        <v>2109.9500000000021</v>
      </c>
      <c r="O115" s="151">
        <f>O114+'Basic Data'!$AG$13</f>
        <v>841.48000000000195</v>
      </c>
      <c r="P115" s="151">
        <f>P114+'Basic Data'!$AH$13</f>
        <v>2302.1900000000023</v>
      </c>
    </row>
    <row r="116" spans="2:16">
      <c r="B116" s="156">
        <v>114</v>
      </c>
      <c r="C116" s="176">
        <v>114</v>
      </c>
      <c r="D116" s="177">
        <f t="shared" si="7"/>
        <v>1449.3000000000036</v>
      </c>
      <c r="E116" s="177">
        <f t="shared" si="8"/>
        <v>1449.3000000000036</v>
      </c>
      <c r="F116" s="177">
        <f t="shared" si="9"/>
        <v>902.32999999999868</v>
      </c>
      <c r="G116" s="177">
        <f t="shared" si="10"/>
        <v>2127.3800000000019</v>
      </c>
      <c r="H116" s="177">
        <f t="shared" si="11"/>
        <v>848.430000000002</v>
      </c>
      <c r="I116" s="177">
        <f t="shared" si="12"/>
        <v>2321.2000000000025</v>
      </c>
      <c r="K116" s="151">
        <f>K115+'Basic Data'!$AC$13</f>
        <v>1449.3000000000036</v>
      </c>
      <c r="L116" s="151">
        <f>L115+'Basic Data'!$AD$13</f>
        <v>1449.3000000000036</v>
      </c>
      <c r="M116" s="151">
        <f>M115+'Basic Data'!$AE$13</f>
        <v>902.32999999999868</v>
      </c>
      <c r="N116" s="151">
        <f>N115+'Basic Data'!$AF$13</f>
        <v>2127.3800000000019</v>
      </c>
      <c r="O116" s="151">
        <f>O115+'Basic Data'!$AG$13</f>
        <v>848.430000000002</v>
      </c>
      <c r="P116" s="151">
        <f>P115+'Basic Data'!$AH$13</f>
        <v>2321.2000000000025</v>
      </c>
    </row>
    <row r="117" spans="2:16">
      <c r="B117" s="156">
        <v>115</v>
      </c>
      <c r="C117" s="176">
        <v>115</v>
      </c>
      <c r="D117" s="177">
        <f t="shared" si="7"/>
        <v>1461.1800000000037</v>
      </c>
      <c r="E117" s="177">
        <f t="shared" si="8"/>
        <v>1461.1800000000037</v>
      </c>
      <c r="F117" s="177">
        <f t="shared" si="9"/>
        <v>909.71999999999866</v>
      </c>
      <c r="G117" s="177">
        <f t="shared" si="10"/>
        <v>2144.8100000000018</v>
      </c>
      <c r="H117" s="177">
        <f t="shared" si="11"/>
        <v>855.38000000000204</v>
      </c>
      <c r="I117" s="177">
        <f t="shared" si="12"/>
        <v>2340.2100000000028</v>
      </c>
      <c r="K117" s="151">
        <f>K116+'Basic Data'!$AC$13</f>
        <v>1461.1800000000037</v>
      </c>
      <c r="L117" s="151">
        <f>L116+'Basic Data'!$AD$13</f>
        <v>1461.1800000000037</v>
      </c>
      <c r="M117" s="151">
        <f>M116+'Basic Data'!$AE$13</f>
        <v>909.71999999999866</v>
      </c>
      <c r="N117" s="151">
        <f>N116+'Basic Data'!$AF$13</f>
        <v>2144.8100000000018</v>
      </c>
      <c r="O117" s="151">
        <f>O116+'Basic Data'!$AG$13</f>
        <v>855.38000000000204</v>
      </c>
      <c r="P117" s="151">
        <f>P116+'Basic Data'!$AH$13</f>
        <v>2340.2100000000028</v>
      </c>
    </row>
    <row r="118" spans="2:16">
      <c r="B118" s="156">
        <v>116</v>
      </c>
      <c r="C118" s="176">
        <v>116</v>
      </c>
      <c r="D118" s="177">
        <f t="shared" si="7"/>
        <v>1473.0600000000038</v>
      </c>
      <c r="E118" s="177">
        <f t="shared" si="8"/>
        <v>1473.0600000000038</v>
      </c>
      <c r="F118" s="177">
        <f t="shared" si="9"/>
        <v>917.10999999999865</v>
      </c>
      <c r="G118" s="177">
        <f t="shared" si="10"/>
        <v>2162.2400000000016</v>
      </c>
      <c r="H118" s="177">
        <f t="shared" si="11"/>
        <v>862.33000000000209</v>
      </c>
      <c r="I118" s="177">
        <f t="shared" si="12"/>
        <v>2359.220000000003</v>
      </c>
      <c r="K118" s="151">
        <f>K117+'Basic Data'!$AC$13</f>
        <v>1473.0600000000038</v>
      </c>
      <c r="L118" s="151">
        <f>L117+'Basic Data'!$AD$13</f>
        <v>1473.0600000000038</v>
      </c>
      <c r="M118" s="151">
        <f>M117+'Basic Data'!$AE$13</f>
        <v>917.10999999999865</v>
      </c>
      <c r="N118" s="151">
        <f>N117+'Basic Data'!$AF$13</f>
        <v>2162.2400000000016</v>
      </c>
      <c r="O118" s="151">
        <f>O117+'Basic Data'!$AG$13</f>
        <v>862.33000000000209</v>
      </c>
      <c r="P118" s="151">
        <f>P117+'Basic Data'!$AH$13</f>
        <v>2359.220000000003</v>
      </c>
    </row>
    <row r="119" spans="2:16">
      <c r="B119" s="156">
        <v>117</v>
      </c>
      <c r="C119" s="176">
        <v>117</v>
      </c>
      <c r="D119" s="177">
        <f t="shared" si="7"/>
        <v>1484.9400000000039</v>
      </c>
      <c r="E119" s="177">
        <f t="shared" si="8"/>
        <v>1484.9400000000039</v>
      </c>
      <c r="F119" s="177">
        <f t="shared" si="9"/>
        <v>924.49999999999864</v>
      </c>
      <c r="G119" s="177">
        <f t="shared" si="10"/>
        <v>2179.6700000000014</v>
      </c>
      <c r="H119" s="177">
        <f t="shared" si="11"/>
        <v>869.28000000000213</v>
      </c>
      <c r="I119" s="177">
        <f t="shared" si="12"/>
        <v>2378.2300000000032</v>
      </c>
      <c r="K119" s="151">
        <f>K118+'Basic Data'!$AC$13</f>
        <v>1484.9400000000039</v>
      </c>
      <c r="L119" s="151">
        <f>L118+'Basic Data'!$AD$13</f>
        <v>1484.9400000000039</v>
      </c>
      <c r="M119" s="151">
        <f>M118+'Basic Data'!$AE$13</f>
        <v>924.49999999999864</v>
      </c>
      <c r="N119" s="151">
        <f>N118+'Basic Data'!$AF$13</f>
        <v>2179.6700000000014</v>
      </c>
      <c r="O119" s="151">
        <f>O118+'Basic Data'!$AG$13</f>
        <v>869.28000000000213</v>
      </c>
      <c r="P119" s="151">
        <f>P118+'Basic Data'!$AH$13</f>
        <v>2378.2300000000032</v>
      </c>
    </row>
    <row r="120" spans="2:16">
      <c r="B120" s="156">
        <v>118</v>
      </c>
      <c r="C120" s="176">
        <v>118</v>
      </c>
      <c r="D120" s="177">
        <f t="shared" si="7"/>
        <v>1496.820000000004</v>
      </c>
      <c r="E120" s="177">
        <f t="shared" si="8"/>
        <v>1496.820000000004</v>
      </c>
      <c r="F120" s="177">
        <f t="shared" si="9"/>
        <v>931.88999999999862</v>
      </c>
      <c r="G120" s="177">
        <f t="shared" si="10"/>
        <v>2197.1000000000013</v>
      </c>
      <c r="H120" s="177">
        <f t="shared" si="11"/>
        <v>876.23000000000218</v>
      </c>
      <c r="I120" s="177">
        <f t="shared" si="12"/>
        <v>2397.2400000000034</v>
      </c>
      <c r="K120" s="151">
        <f>K119+'Basic Data'!$AC$13</f>
        <v>1496.820000000004</v>
      </c>
      <c r="L120" s="151">
        <f>L119+'Basic Data'!$AD$13</f>
        <v>1496.820000000004</v>
      </c>
      <c r="M120" s="151">
        <f>M119+'Basic Data'!$AE$13</f>
        <v>931.88999999999862</v>
      </c>
      <c r="N120" s="151">
        <f>N119+'Basic Data'!$AF$13</f>
        <v>2197.1000000000013</v>
      </c>
      <c r="O120" s="151">
        <f>O119+'Basic Data'!$AG$13</f>
        <v>876.23000000000218</v>
      </c>
      <c r="P120" s="151">
        <f>P119+'Basic Data'!$AH$13</f>
        <v>2397.2400000000034</v>
      </c>
    </row>
    <row r="121" spans="2:16">
      <c r="B121" s="156">
        <v>119</v>
      </c>
      <c r="C121" s="176">
        <v>119</v>
      </c>
      <c r="D121" s="177">
        <f t="shared" si="7"/>
        <v>1508.7000000000041</v>
      </c>
      <c r="E121" s="177">
        <f t="shared" si="8"/>
        <v>1508.7000000000041</v>
      </c>
      <c r="F121" s="177">
        <f t="shared" si="9"/>
        <v>939.27999999999861</v>
      </c>
      <c r="G121" s="177">
        <f t="shared" si="10"/>
        <v>2214.5300000000011</v>
      </c>
      <c r="H121" s="177">
        <f t="shared" si="11"/>
        <v>883.18000000000222</v>
      </c>
      <c r="I121" s="177">
        <f t="shared" si="12"/>
        <v>2416.2500000000036</v>
      </c>
      <c r="K121" s="151">
        <f>K120+'Basic Data'!$AC$13</f>
        <v>1508.7000000000041</v>
      </c>
      <c r="L121" s="151">
        <f>L120+'Basic Data'!$AD$13</f>
        <v>1508.7000000000041</v>
      </c>
      <c r="M121" s="151">
        <f>M120+'Basic Data'!$AE$13</f>
        <v>939.27999999999861</v>
      </c>
      <c r="N121" s="151">
        <f>N120+'Basic Data'!$AF$13</f>
        <v>2214.5300000000011</v>
      </c>
      <c r="O121" s="151">
        <f>O120+'Basic Data'!$AG$13</f>
        <v>883.18000000000222</v>
      </c>
      <c r="P121" s="151">
        <f>P120+'Basic Data'!$AH$13</f>
        <v>2416.2500000000036</v>
      </c>
    </row>
    <row r="122" spans="2:16">
      <c r="B122" s="156">
        <v>120</v>
      </c>
      <c r="C122" s="176">
        <v>120</v>
      </c>
      <c r="D122" s="177">
        <f t="shared" si="7"/>
        <v>1520.5800000000042</v>
      </c>
      <c r="E122" s="177">
        <f t="shared" si="8"/>
        <v>1520.5800000000042</v>
      </c>
      <c r="F122" s="177">
        <f t="shared" si="9"/>
        <v>946.66999999999859</v>
      </c>
      <c r="G122" s="177">
        <f t="shared" si="10"/>
        <v>2231.9600000000009</v>
      </c>
      <c r="H122" s="177">
        <f t="shared" si="11"/>
        <v>890.13000000000227</v>
      </c>
      <c r="I122" s="177">
        <f t="shared" si="12"/>
        <v>2435.2600000000039</v>
      </c>
      <c r="K122" s="151">
        <f>K121+'Basic Data'!$AC$13</f>
        <v>1520.5800000000042</v>
      </c>
      <c r="L122" s="151">
        <f>L121+'Basic Data'!$AD$13</f>
        <v>1520.5800000000042</v>
      </c>
      <c r="M122" s="151">
        <f>M121+'Basic Data'!$AE$13</f>
        <v>946.66999999999859</v>
      </c>
      <c r="N122" s="151">
        <f>N121+'Basic Data'!$AF$13</f>
        <v>2231.9600000000009</v>
      </c>
      <c r="O122" s="151">
        <f>O121+'Basic Data'!$AG$13</f>
        <v>890.13000000000227</v>
      </c>
      <c r="P122" s="151">
        <f>P121+'Basic Data'!$AH$13</f>
        <v>2435.2600000000039</v>
      </c>
    </row>
    <row r="123" spans="2:16">
      <c r="B123" s="156">
        <v>121</v>
      </c>
      <c r="C123" s="176">
        <v>121</v>
      </c>
      <c r="D123" s="177">
        <f t="shared" si="7"/>
        <v>1532.4600000000044</v>
      </c>
      <c r="E123" s="177">
        <f t="shared" si="8"/>
        <v>1532.4600000000044</v>
      </c>
      <c r="F123" s="177">
        <f t="shared" si="9"/>
        <v>954.05999999999858</v>
      </c>
      <c r="G123" s="177">
        <f t="shared" si="10"/>
        <v>2249.3900000000008</v>
      </c>
      <c r="H123" s="177">
        <f t="shared" si="11"/>
        <v>897.08000000000231</v>
      </c>
      <c r="I123" s="177">
        <f t="shared" si="12"/>
        <v>2454.2700000000041</v>
      </c>
      <c r="K123" s="151">
        <f>K122+'Basic Data'!$AC$13</f>
        <v>1532.4600000000044</v>
      </c>
      <c r="L123" s="151">
        <f>L122+'Basic Data'!$AD$13</f>
        <v>1532.4600000000044</v>
      </c>
      <c r="M123" s="151">
        <f>M122+'Basic Data'!$AE$13</f>
        <v>954.05999999999858</v>
      </c>
      <c r="N123" s="151">
        <f>N122+'Basic Data'!$AF$13</f>
        <v>2249.3900000000008</v>
      </c>
      <c r="O123" s="151">
        <f>O122+'Basic Data'!$AG$13</f>
        <v>897.08000000000231</v>
      </c>
      <c r="P123" s="151">
        <f>P122+'Basic Data'!$AH$13</f>
        <v>2454.2700000000041</v>
      </c>
    </row>
    <row r="124" spans="2:16">
      <c r="B124" s="156">
        <v>122</v>
      </c>
      <c r="C124" s="176">
        <v>122</v>
      </c>
      <c r="D124" s="177">
        <f t="shared" si="7"/>
        <v>1544.3400000000045</v>
      </c>
      <c r="E124" s="177">
        <f t="shared" si="8"/>
        <v>1544.3400000000045</v>
      </c>
      <c r="F124" s="177">
        <f t="shared" si="9"/>
        <v>961.44999999999857</v>
      </c>
      <c r="G124" s="177">
        <f t="shared" si="10"/>
        <v>2266.8200000000006</v>
      </c>
      <c r="H124" s="177">
        <f t="shared" si="11"/>
        <v>904.03000000000236</v>
      </c>
      <c r="I124" s="177">
        <f t="shared" si="12"/>
        <v>2473.2800000000043</v>
      </c>
      <c r="K124" s="151">
        <f>K123+'Basic Data'!$AC$13</f>
        <v>1544.3400000000045</v>
      </c>
      <c r="L124" s="151">
        <f>L123+'Basic Data'!$AD$13</f>
        <v>1544.3400000000045</v>
      </c>
      <c r="M124" s="151">
        <f>M123+'Basic Data'!$AE$13</f>
        <v>961.44999999999857</v>
      </c>
      <c r="N124" s="151">
        <f>N123+'Basic Data'!$AF$13</f>
        <v>2266.8200000000006</v>
      </c>
      <c r="O124" s="151">
        <f>O123+'Basic Data'!$AG$13</f>
        <v>904.03000000000236</v>
      </c>
      <c r="P124" s="151">
        <f>P123+'Basic Data'!$AH$13</f>
        <v>2473.2800000000043</v>
      </c>
    </row>
    <row r="125" spans="2:16">
      <c r="B125" s="156">
        <v>123</v>
      </c>
      <c r="C125" s="176">
        <v>123</v>
      </c>
      <c r="D125" s="177">
        <f t="shared" si="7"/>
        <v>1556.2200000000046</v>
      </c>
      <c r="E125" s="177">
        <f t="shared" si="8"/>
        <v>1556.2200000000046</v>
      </c>
      <c r="F125" s="177">
        <f t="shared" si="9"/>
        <v>968.83999999999855</v>
      </c>
      <c r="G125" s="177">
        <f t="shared" si="10"/>
        <v>2284.2500000000005</v>
      </c>
      <c r="H125" s="177">
        <f t="shared" si="11"/>
        <v>910.98000000000241</v>
      </c>
      <c r="I125" s="177">
        <f t="shared" si="12"/>
        <v>2492.2900000000045</v>
      </c>
      <c r="K125" s="151">
        <f>K124+'Basic Data'!$AC$13</f>
        <v>1556.2200000000046</v>
      </c>
      <c r="L125" s="151">
        <f>L124+'Basic Data'!$AD$13</f>
        <v>1556.2200000000046</v>
      </c>
      <c r="M125" s="151">
        <f>M124+'Basic Data'!$AE$13</f>
        <v>968.83999999999855</v>
      </c>
      <c r="N125" s="151">
        <f>N124+'Basic Data'!$AF$13</f>
        <v>2284.2500000000005</v>
      </c>
      <c r="O125" s="151">
        <f>O124+'Basic Data'!$AG$13</f>
        <v>910.98000000000241</v>
      </c>
      <c r="P125" s="151">
        <f>P124+'Basic Data'!$AH$13</f>
        <v>2492.2900000000045</v>
      </c>
    </row>
    <row r="126" spans="2:16">
      <c r="B126" s="156">
        <v>124</v>
      </c>
      <c r="C126" s="176">
        <v>124</v>
      </c>
      <c r="D126" s="177">
        <f t="shared" si="7"/>
        <v>1568.1000000000047</v>
      </c>
      <c r="E126" s="177">
        <f t="shared" si="8"/>
        <v>1568.1000000000047</v>
      </c>
      <c r="F126" s="177">
        <f t="shared" si="9"/>
        <v>976.22999999999854</v>
      </c>
      <c r="G126" s="177">
        <f t="shared" si="10"/>
        <v>2301.6800000000003</v>
      </c>
      <c r="H126" s="177">
        <f t="shared" si="11"/>
        <v>917.93000000000245</v>
      </c>
      <c r="I126" s="177">
        <f t="shared" si="12"/>
        <v>2511.3000000000047</v>
      </c>
      <c r="K126" s="151">
        <f>K125+'Basic Data'!$AC$13</f>
        <v>1568.1000000000047</v>
      </c>
      <c r="L126" s="151">
        <f>L125+'Basic Data'!$AD$13</f>
        <v>1568.1000000000047</v>
      </c>
      <c r="M126" s="151">
        <f>M125+'Basic Data'!$AE$13</f>
        <v>976.22999999999854</v>
      </c>
      <c r="N126" s="151">
        <f>N125+'Basic Data'!$AF$13</f>
        <v>2301.6800000000003</v>
      </c>
      <c r="O126" s="151">
        <f>O125+'Basic Data'!$AG$13</f>
        <v>917.93000000000245</v>
      </c>
      <c r="P126" s="151">
        <f>P125+'Basic Data'!$AH$13</f>
        <v>2511.3000000000047</v>
      </c>
    </row>
    <row r="127" spans="2:16">
      <c r="B127" s="156">
        <v>125</v>
      </c>
      <c r="C127" s="176">
        <v>125</v>
      </c>
      <c r="D127" s="177">
        <f t="shared" si="7"/>
        <v>1579.9800000000048</v>
      </c>
      <c r="E127" s="177">
        <f t="shared" si="8"/>
        <v>1579.9800000000048</v>
      </c>
      <c r="F127" s="177">
        <f t="shared" si="9"/>
        <v>983.61999999999853</v>
      </c>
      <c r="G127" s="177">
        <f t="shared" si="10"/>
        <v>2319.11</v>
      </c>
      <c r="H127" s="177">
        <f t="shared" si="11"/>
        <v>924.8800000000025</v>
      </c>
      <c r="I127" s="177">
        <f t="shared" si="12"/>
        <v>2530.3100000000049</v>
      </c>
      <c r="K127" s="151">
        <f>K126+'Basic Data'!$AC$13</f>
        <v>1579.9800000000048</v>
      </c>
      <c r="L127" s="151">
        <f>L126+'Basic Data'!$AD$13</f>
        <v>1579.9800000000048</v>
      </c>
      <c r="M127" s="151">
        <f>M126+'Basic Data'!$AE$13</f>
        <v>983.61999999999853</v>
      </c>
      <c r="N127" s="151">
        <f>N126+'Basic Data'!$AF$13</f>
        <v>2319.11</v>
      </c>
      <c r="O127" s="151">
        <f>O126+'Basic Data'!$AG$13</f>
        <v>924.8800000000025</v>
      </c>
      <c r="P127" s="151">
        <f>P126+'Basic Data'!$AH$13</f>
        <v>2530.3100000000049</v>
      </c>
    </row>
    <row r="128" spans="2:16">
      <c r="B128" s="156">
        <v>126</v>
      </c>
      <c r="C128" s="176">
        <v>126</v>
      </c>
      <c r="D128" s="177">
        <f t="shared" si="7"/>
        <v>1591.8600000000049</v>
      </c>
      <c r="E128" s="177">
        <f t="shared" si="8"/>
        <v>1591.8600000000049</v>
      </c>
      <c r="F128" s="177">
        <f t="shared" si="9"/>
        <v>991.00999999999851</v>
      </c>
      <c r="G128" s="177">
        <f t="shared" si="10"/>
        <v>2336.54</v>
      </c>
      <c r="H128" s="177">
        <f t="shared" si="11"/>
        <v>931.83000000000254</v>
      </c>
      <c r="I128" s="177">
        <f t="shared" si="12"/>
        <v>2549.3200000000052</v>
      </c>
      <c r="K128" s="151">
        <f>K127+'Basic Data'!$AC$13</f>
        <v>1591.8600000000049</v>
      </c>
      <c r="L128" s="151">
        <f>L127+'Basic Data'!$AD$13</f>
        <v>1591.8600000000049</v>
      </c>
      <c r="M128" s="151">
        <f>M127+'Basic Data'!$AE$13</f>
        <v>991.00999999999851</v>
      </c>
      <c r="N128" s="151">
        <f>N127+'Basic Data'!$AF$13</f>
        <v>2336.54</v>
      </c>
      <c r="O128" s="151">
        <f>O127+'Basic Data'!$AG$13</f>
        <v>931.83000000000254</v>
      </c>
      <c r="P128" s="151">
        <f>P127+'Basic Data'!$AH$13</f>
        <v>2549.3200000000052</v>
      </c>
    </row>
    <row r="129" spans="2:16">
      <c r="B129" s="156">
        <v>127</v>
      </c>
      <c r="C129" s="176">
        <v>127</v>
      </c>
      <c r="D129" s="177">
        <f t="shared" si="7"/>
        <v>1603.740000000005</v>
      </c>
      <c r="E129" s="177">
        <f t="shared" si="8"/>
        <v>1603.740000000005</v>
      </c>
      <c r="F129" s="177">
        <f t="shared" si="9"/>
        <v>998.3999999999985</v>
      </c>
      <c r="G129" s="177">
        <f t="shared" si="10"/>
        <v>2353.9699999999998</v>
      </c>
      <c r="H129" s="177">
        <f t="shared" si="11"/>
        <v>938.78000000000259</v>
      </c>
      <c r="I129" s="177">
        <f t="shared" si="12"/>
        <v>2568.3300000000054</v>
      </c>
      <c r="K129" s="151">
        <f>K128+'Basic Data'!$AC$13</f>
        <v>1603.740000000005</v>
      </c>
      <c r="L129" s="151">
        <f>L128+'Basic Data'!$AD$13</f>
        <v>1603.740000000005</v>
      </c>
      <c r="M129" s="151">
        <f>M128+'Basic Data'!$AE$13</f>
        <v>998.3999999999985</v>
      </c>
      <c r="N129" s="151">
        <f>N128+'Basic Data'!$AF$13</f>
        <v>2353.9699999999998</v>
      </c>
      <c r="O129" s="151">
        <f>O128+'Basic Data'!$AG$13</f>
        <v>938.78000000000259</v>
      </c>
      <c r="P129" s="151">
        <f>P128+'Basic Data'!$AH$13</f>
        <v>2568.3300000000054</v>
      </c>
    </row>
    <row r="130" spans="2:16">
      <c r="B130" s="156">
        <v>128</v>
      </c>
      <c r="C130" s="176">
        <v>128</v>
      </c>
      <c r="D130" s="177">
        <f t="shared" si="7"/>
        <v>1615.6200000000051</v>
      </c>
      <c r="E130" s="177">
        <f t="shared" si="8"/>
        <v>1615.6200000000051</v>
      </c>
      <c r="F130" s="177">
        <f t="shared" si="9"/>
        <v>1005.7899999999985</v>
      </c>
      <c r="G130" s="177">
        <f t="shared" si="10"/>
        <v>2371.3999999999996</v>
      </c>
      <c r="H130" s="177">
        <f t="shared" si="11"/>
        <v>945.73000000000263</v>
      </c>
      <c r="I130" s="177">
        <f t="shared" si="12"/>
        <v>2587.3400000000056</v>
      </c>
      <c r="K130" s="151">
        <f>K129+'Basic Data'!$AC$13</f>
        <v>1615.6200000000051</v>
      </c>
      <c r="L130" s="151">
        <f>L129+'Basic Data'!$AD$13</f>
        <v>1615.6200000000051</v>
      </c>
      <c r="M130" s="151">
        <f>M129+'Basic Data'!$AE$13</f>
        <v>1005.7899999999985</v>
      </c>
      <c r="N130" s="151">
        <f>N129+'Basic Data'!$AF$13</f>
        <v>2371.3999999999996</v>
      </c>
      <c r="O130" s="151">
        <f>O129+'Basic Data'!$AG$13</f>
        <v>945.73000000000263</v>
      </c>
      <c r="P130" s="151">
        <f>P129+'Basic Data'!$AH$13</f>
        <v>2587.3400000000056</v>
      </c>
    </row>
    <row r="131" spans="2:16">
      <c r="B131" s="156">
        <v>129</v>
      </c>
      <c r="C131" s="176">
        <v>129</v>
      </c>
      <c r="D131" s="177">
        <f t="shared" si="7"/>
        <v>1627.5000000000052</v>
      </c>
      <c r="E131" s="177">
        <f t="shared" si="8"/>
        <v>1627.5000000000052</v>
      </c>
      <c r="F131" s="177">
        <f t="shared" si="9"/>
        <v>1013.1799999999985</v>
      </c>
      <c r="G131" s="177">
        <f t="shared" si="10"/>
        <v>2388.8299999999995</v>
      </c>
      <c r="H131" s="177">
        <f t="shared" si="11"/>
        <v>952.68000000000268</v>
      </c>
      <c r="I131" s="177">
        <f t="shared" si="12"/>
        <v>2606.3500000000058</v>
      </c>
      <c r="K131" s="151">
        <f>K130+'Basic Data'!$AC$13</f>
        <v>1627.5000000000052</v>
      </c>
      <c r="L131" s="151">
        <f>L130+'Basic Data'!$AD$13</f>
        <v>1627.5000000000052</v>
      </c>
      <c r="M131" s="151">
        <f>M130+'Basic Data'!$AE$13</f>
        <v>1013.1799999999985</v>
      </c>
      <c r="N131" s="151">
        <f>N130+'Basic Data'!$AF$13</f>
        <v>2388.8299999999995</v>
      </c>
      <c r="O131" s="151">
        <f>O130+'Basic Data'!$AG$13</f>
        <v>952.68000000000268</v>
      </c>
      <c r="P131" s="151">
        <f>P130+'Basic Data'!$AH$13</f>
        <v>2606.3500000000058</v>
      </c>
    </row>
    <row r="132" spans="2:16">
      <c r="B132" s="156">
        <v>130</v>
      </c>
      <c r="C132" s="176">
        <v>130</v>
      </c>
      <c r="D132" s="177">
        <f t="shared" ref="D132:D195" si="13">K132</f>
        <v>1639.3800000000053</v>
      </c>
      <c r="E132" s="177">
        <f t="shared" ref="E132:E195" si="14">L132</f>
        <v>1639.3800000000053</v>
      </c>
      <c r="F132" s="177">
        <f t="shared" ref="F132:F195" si="15">M132</f>
        <v>1020.5699999999985</v>
      </c>
      <c r="G132" s="177">
        <f t="shared" ref="G132:G195" si="16">N132</f>
        <v>2406.2599999999993</v>
      </c>
      <c r="H132" s="177">
        <f t="shared" ref="H132:H195" si="17">O132</f>
        <v>959.63000000000272</v>
      </c>
      <c r="I132" s="177">
        <f t="shared" ref="I132:I195" si="18">P132</f>
        <v>2625.360000000006</v>
      </c>
      <c r="K132" s="151">
        <f>K131+'Basic Data'!$AC$13</f>
        <v>1639.3800000000053</v>
      </c>
      <c r="L132" s="151">
        <f>L131+'Basic Data'!$AD$13</f>
        <v>1639.3800000000053</v>
      </c>
      <c r="M132" s="151">
        <f>M131+'Basic Data'!$AE$13</f>
        <v>1020.5699999999985</v>
      </c>
      <c r="N132" s="151">
        <f>N131+'Basic Data'!$AF$13</f>
        <v>2406.2599999999993</v>
      </c>
      <c r="O132" s="151">
        <f>O131+'Basic Data'!$AG$13</f>
        <v>959.63000000000272</v>
      </c>
      <c r="P132" s="151">
        <f>P131+'Basic Data'!$AH$13</f>
        <v>2625.360000000006</v>
      </c>
    </row>
    <row r="133" spans="2:16">
      <c r="B133" s="156">
        <v>131</v>
      </c>
      <c r="C133" s="176">
        <v>131</v>
      </c>
      <c r="D133" s="177">
        <f t="shared" si="13"/>
        <v>1651.2600000000054</v>
      </c>
      <c r="E133" s="177">
        <f t="shared" si="14"/>
        <v>1651.2600000000054</v>
      </c>
      <c r="F133" s="177">
        <f t="shared" si="15"/>
        <v>1027.9599999999984</v>
      </c>
      <c r="G133" s="177">
        <f t="shared" si="16"/>
        <v>2423.6899999999991</v>
      </c>
      <c r="H133" s="177">
        <f t="shared" si="17"/>
        <v>966.58000000000277</v>
      </c>
      <c r="I133" s="177">
        <f t="shared" si="18"/>
        <v>2644.3700000000063</v>
      </c>
      <c r="K133" s="151">
        <f>K132+'Basic Data'!$AC$13</f>
        <v>1651.2600000000054</v>
      </c>
      <c r="L133" s="151">
        <f>L132+'Basic Data'!$AD$13</f>
        <v>1651.2600000000054</v>
      </c>
      <c r="M133" s="151">
        <f>M132+'Basic Data'!$AE$13</f>
        <v>1027.9599999999984</v>
      </c>
      <c r="N133" s="151">
        <f>N132+'Basic Data'!$AF$13</f>
        <v>2423.6899999999991</v>
      </c>
      <c r="O133" s="151">
        <f>O132+'Basic Data'!$AG$13</f>
        <v>966.58000000000277</v>
      </c>
      <c r="P133" s="151">
        <f>P132+'Basic Data'!$AH$13</f>
        <v>2644.3700000000063</v>
      </c>
    </row>
    <row r="134" spans="2:16">
      <c r="B134" s="156">
        <v>132</v>
      </c>
      <c r="C134" s="176">
        <v>132</v>
      </c>
      <c r="D134" s="177">
        <f t="shared" si="13"/>
        <v>1663.1400000000056</v>
      </c>
      <c r="E134" s="177">
        <f t="shared" si="14"/>
        <v>1663.1400000000056</v>
      </c>
      <c r="F134" s="177">
        <f t="shared" si="15"/>
        <v>1035.3499999999985</v>
      </c>
      <c r="G134" s="177">
        <f t="shared" si="16"/>
        <v>2441.119999999999</v>
      </c>
      <c r="H134" s="177">
        <f t="shared" si="17"/>
        <v>973.53000000000281</v>
      </c>
      <c r="I134" s="177">
        <f t="shared" si="18"/>
        <v>2663.3800000000065</v>
      </c>
      <c r="K134" s="151">
        <f>K133+'Basic Data'!$AC$13</f>
        <v>1663.1400000000056</v>
      </c>
      <c r="L134" s="151">
        <f>L133+'Basic Data'!$AD$13</f>
        <v>1663.1400000000056</v>
      </c>
      <c r="M134" s="151">
        <f>M133+'Basic Data'!$AE$13</f>
        <v>1035.3499999999985</v>
      </c>
      <c r="N134" s="151">
        <f>N133+'Basic Data'!$AF$13</f>
        <v>2441.119999999999</v>
      </c>
      <c r="O134" s="151">
        <f>O133+'Basic Data'!$AG$13</f>
        <v>973.53000000000281</v>
      </c>
      <c r="P134" s="151">
        <f>P133+'Basic Data'!$AH$13</f>
        <v>2663.3800000000065</v>
      </c>
    </row>
    <row r="135" spans="2:16">
      <c r="B135" s="156">
        <v>133</v>
      </c>
      <c r="C135" s="176">
        <v>133</v>
      </c>
      <c r="D135" s="177">
        <f t="shared" si="13"/>
        <v>1675.0200000000057</v>
      </c>
      <c r="E135" s="177">
        <f t="shared" si="14"/>
        <v>1675.0200000000057</v>
      </c>
      <c r="F135" s="177">
        <f t="shared" si="15"/>
        <v>1042.7399999999986</v>
      </c>
      <c r="G135" s="177">
        <f t="shared" si="16"/>
        <v>2458.5499999999988</v>
      </c>
      <c r="H135" s="177">
        <f t="shared" si="17"/>
        <v>980.48000000000286</v>
      </c>
      <c r="I135" s="177">
        <f t="shared" si="18"/>
        <v>2682.3900000000067</v>
      </c>
      <c r="K135" s="151">
        <f>K134+'Basic Data'!$AC$13</f>
        <v>1675.0200000000057</v>
      </c>
      <c r="L135" s="151">
        <f>L134+'Basic Data'!$AD$13</f>
        <v>1675.0200000000057</v>
      </c>
      <c r="M135" s="151">
        <f>M134+'Basic Data'!$AE$13</f>
        <v>1042.7399999999986</v>
      </c>
      <c r="N135" s="151">
        <f>N134+'Basic Data'!$AF$13</f>
        <v>2458.5499999999988</v>
      </c>
      <c r="O135" s="151">
        <f>O134+'Basic Data'!$AG$13</f>
        <v>980.48000000000286</v>
      </c>
      <c r="P135" s="151">
        <f>P134+'Basic Data'!$AH$13</f>
        <v>2682.3900000000067</v>
      </c>
    </row>
    <row r="136" spans="2:16">
      <c r="B136" s="156">
        <v>134</v>
      </c>
      <c r="C136" s="176">
        <v>134</v>
      </c>
      <c r="D136" s="177">
        <f t="shared" si="13"/>
        <v>1686.9000000000058</v>
      </c>
      <c r="E136" s="177">
        <f t="shared" si="14"/>
        <v>1686.9000000000058</v>
      </c>
      <c r="F136" s="177">
        <f t="shared" si="15"/>
        <v>1050.1299999999987</v>
      </c>
      <c r="G136" s="177">
        <f t="shared" si="16"/>
        <v>2475.9799999999987</v>
      </c>
      <c r="H136" s="177">
        <f t="shared" si="17"/>
        <v>987.43000000000291</v>
      </c>
      <c r="I136" s="177">
        <f t="shared" si="18"/>
        <v>2701.4000000000069</v>
      </c>
      <c r="K136" s="151">
        <f>K135+'Basic Data'!$AC$13</f>
        <v>1686.9000000000058</v>
      </c>
      <c r="L136" s="151">
        <f>L135+'Basic Data'!$AD$13</f>
        <v>1686.9000000000058</v>
      </c>
      <c r="M136" s="151">
        <f>M135+'Basic Data'!$AE$13</f>
        <v>1050.1299999999987</v>
      </c>
      <c r="N136" s="151">
        <f>N135+'Basic Data'!$AF$13</f>
        <v>2475.9799999999987</v>
      </c>
      <c r="O136" s="151">
        <f>O135+'Basic Data'!$AG$13</f>
        <v>987.43000000000291</v>
      </c>
      <c r="P136" s="151">
        <f>P135+'Basic Data'!$AH$13</f>
        <v>2701.4000000000069</v>
      </c>
    </row>
    <row r="137" spans="2:16">
      <c r="B137" s="156">
        <v>135</v>
      </c>
      <c r="C137" s="176">
        <v>135</v>
      </c>
      <c r="D137" s="177">
        <f t="shared" si="13"/>
        <v>1698.7800000000059</v>
      </c>
      <c r="E137" s="177">
        <f t="shared" si="14"/>
        <v>1698.7800000000059</v>
      </c>
      <c r="F137" s="177">
        <f t="shared" si="15"/>
        <v>1057.5199999999988</v>
      </c>
      <c r="G137" s="177">
        <f t="shared" si="16"/>
        <v>2493.4099999999985</v>
      </c>
      <c r="H137" s="177">
        <f t="shared" si="17"/>
        <v>994.38000000000295</v>
      </c>
      <c r="I137" s="177">
        <f t="shared" si="18"/>
        <v>2720.4100000000071</v>
      </c>
      <c r="K137" s="151">
        <f>K136+'Basic Data'!$AC$13</f>
        <v>1698.7800000000059</v>
      </c>
      <c r="L137" s="151">
        <f>L136+'Basic Data'!$AD$13</f>
        <v>1698.7800000000059</v>
      </c>
      <c r="M137" s="151">
        <f>M136+'Basic Data'!$AE$13</f>
        <v>1057.5199999999988</v>
      </c>
      <c r="N137" s="151">
        <f>N136+'Basic Data'!$AF$13</f>
        <v>2493.4099999999985</v>
      </c>
      <c r="O137" s="151">
        <f>O136+'Basic Data'!$AG$13</f>
        <v>994.38000000000295</v>
      </c>
      <c r="P137" s="151">
        <f>P136+'Basic Data'!$AH$13</f>
        <v>2720.4100000000071</v>
      </c>
    </row>
    <row r="138" spans="2:16">
      <c r="B138" s="156">
        <v>136</v>
      </c>
      <c r="C138" s="176">
        <v>136</v>
      </c>
      <c r="D138" s="177">
        <f t="shared" si="13"/>
        <v>1710.660000000006</v>
      </c>
      <c r="E138" s="177">
        <f t="shared" si="14"/>
        <v>1710.660000000006</v>
      </c>
      <c r="F138" s="177">
        <f t="shared" si="15"/>
        <v>1064.9099999999989</v>
      </c>
      <c r="G138" s="177">
        <f t="shared" si="16"/>
        <v>2510.8399999999983</v>
      </c>
      <c r="H138" s="177">
        <f t="shared" si="17"/>
        <v>1001.330000000003</v>
      </c>
      <c r="I138" s="177">
        <f t="shared" si="18"/>
        <v>2739.4200000000073</v>
      </c>
      <c r="K138" s="151">
        <f>K137+'Basic Data'!$AC$13</f>
        <v>1710.660000000006</v>
      </c>
      <c r="L138" s="151">
        <f>L137+'Basic Data'!$AD$13</f>
        <v>1710.660000000006</v>
      </c>
      <c r="M138" s="151">
        <f>M137+'Basic Data'!$AE$13</f>
        <v>1064.9099999999989</v>
      </c>
      <c r="N138" s="151">
        <f>N137+'Basic Data'!$AF$13</f>
        <v>2510.8399999999983</v>
      </c>
      <c r="O138" s="151">
        <f>O137+'Basic Data'!$AG$13</f>
        <v>1001.330000000003</v>
      </c>
      <c r="P138" s="151">
        <f>P137+'Basic Data'!$AH$13</f>
        <v>2739.4200000000073</v>
      </c>
    </row>
    <row r="139" spans="2:16">
      <c r="B139" s="156">
        <v>137</v>
      </c>
      <c r="C139" s="176">
        <v>137</v>
      </c>
      <c r="D139" s="177">
        <f t="shared" si="13"/>
        <v>1722.5400000000061</v>
      </c>
      <c r="E139" s="177">
        <f t="shared" si="14"/>
        <v>1722.5400000000061</v>
      </c>
      <c r="F139" s="177">
        <f t="shared" si="15"/>
        <v>1072.299999999999</v>
      </c>
      <c r="G139" s="177">
        <f t="shared" si="16"/>
        <v>2528.2699999999982</v>
      </c>
      <c r="H139" s="177">
        <f t="shared" si="17"/>
        <v>1008.280000000003</v>
      </c>
      <c r="I139" s="177">
        <f t="shared" si="18"/>
        <v>2758.4300000000076</v>
      </c>
      <c r="K139" s="151">
        <f>K138+'Basic Data'!$AC$13</f>
        <v>1722.5400000000061</v>
      </c>
      <c r="L139" s="151">
        <f>L138+'Basic Data'!$AD$13</f>
        <v>1722.5400000000061</v>
      </c>
      <c r="M139" s="151">
        <f>M138+'Basic Data'!$AE$13</f>
        <v>1072.299999999999</v>
      </c>
      <c r="N139" s="151">
        <f>N138+'Basic Data'!$AF$13</f>
        <v>2528.2699999999982</v>
      </c>
      <c r="O139" s="151">
        <f>O138+'Basic Data'!$AG$13</f>
        <v>1008.280000000003</v>
      </c>
      <c r="P139" s="151">
        <f>P138+'Basic Data'!$AH$13</f>
        <v>2758.4300000000076</v>
      </c>
    </row>
    <row r="140" spans="2:16">
      <c r="B140" s="156">
        <v>138</v>
      </c>
      <c r="C140" s="176">
        <v>138</v>
      </c>
      <c r="D140" s="177">
        <f t="shared" si="13"/>
        <v>1734.4200000000062</v>
      </c>
      <c r="E140" s="177">
        <f t="shared" si="14"/>
        <v>1734.4200000000062</v>
      </c>
      <c r="F140" s="177">
        <f t="shared" si="15"/>
        <v>1079.6899999999991</v>
      </c>
      <c r="G140" s="177">
        <f t="shared" si="16"/>
        <v>2545.699999999998</v>
      </c>
      <c r="H140" s="177">
        <f t="shared" si="17"/>
        <v>1015.2300000000031</v>
      </c>
      <c r="I140" s="177">
        <f t="shared" si="18"/>
        <v>2777.4400000000078</v>
      </c>
      <c r="K140" s="151">
        <f>K139+'Basic Data'!$AC$13</f>
        <v>1734.4200000000062</v>
      </c>
      <c r="L140" s="151">
        <f>L139+'Basic Data'!$AD$13</f>
        <v>1734.4200000000062</v>
      </c>
      <c r="M140" s="151">
        <f>M139+'Basic Data'!$AE$13</f>
        <v>1079.6899999999991</v>
      </c>
      <c r="N140" s="151">
        <f>N139+'Basic Data'!$AF$13</f>
        <v>2545.699999999998</v>
      </c>
      <c r="O140" s="151">
        <f>O139+'Basic Data'!$AG$13</f>
        <v>1015.2300000000031</v>
      </c>
      <c r="P140" s="151">
        <f>P139+'Basic Data'!$AH$13</f>
        <v>2777.4400000000078</v>
      </c>
    </row>
    <row r="141" spans="2:16">
      <c r="B141" s="156">
        <v>139</v>
      </c>
      <c r="C141" s="176">
        <v>139</v>
      </c>
      <c r="D141" s="177">
        <f t="shared" si="13"/>
        <v>1746.3000000000063</v>
      </c>
      <c r="E141" s="177">
        <f t="shared" si="14"/>
        <v>1746.3000000000063</v>
      </c>
      <c r="F141" s="177">
        <f t="shared" si="15"/>
        <v>1087.0799999999992</v>
      </c>
      <c r="G141" s="177">
        <f t="shared" si="16"/>
        <v>2563.1299999999978</v>
      </c>
      <c r="H141" s="177">
        <f t="shared" si="17"/>
        <v>1022.1800000000031</v>
      </c>
      <c r="I141" s="177">
        <f t="shared" si="18"/>
        <v>2796.450000000008</v>
      </c>
      <c r="K141" s="151">
        <f>K140+'Basic Data'!$AC$13</f>
        <v>1746.3000000000063</v>
      </c>
      <c r="L141" s="151">
        <f>L140+'Basic Data'!$AD$13</f>
        <v>1746.3000000000063</v>
      </c>
      <c r="M141" s="151">
        <f>M140+'Basic Data'!$AE$13</f>
        <v>1087.0799999999992</v>
      </c>
      <c r="N141" s="151">
        <f>N140+'Basic Data'!$AF$13</f>
        <v>2563.1299999999978</v>
      </c>
      <c r="O141" s="151">
        <f>O140+'Basic Data'!$AG$13</f>
        <v>1022.1800000000031</v>
      </c>
      <c r="P141" s="151">
        <f>P140+'Basic Data'!$AH$13</f>
        <v>2796.450000000008</v>
      </c>
    </row>
    <row r="142" spans="2:16">
      <c r="B142" s="156">
        <v>140</v>
      </c>
      <c r="C142" s="176">
        <v>140</v>
      </c>
      <c r="D142" s="177">
        <f t="shared" si="13"/>
        <v>1758.1800000000064</v>
      </c>
      <c r="E142" s="177">
        <f t="shared" si="14"/>
        <v>1758.1800000000064</v>
      </c>
      <c r="F142" s="177">
        <f t="shared" si="15"/>
        <v>1094.4699999999993</v>
      </c>
      <c r="G142" s="177">
        <f t="shared" si="16"/>
        <v>2580.5599999999977</v>
      </c>
      <c r="H142" s="177">
        <f t="shared" si="17"/>
        <v>1029.1300000000031</v>
      </c>
      <c r="I142" s="177">
        <f t="shared" si="18"/>
        <v>2815.4600000000082</v>
      </c>
      <c r="K142" s="151">
        <f>K141+'Basic Data'!$AC$13</f>
        <v>1758.1800000000064</v>
      </c>
      <c r="L142" s="151">
        <f>L141+'Basic Data'!$AD$13</f>
        <v>1758.1800000000064</v>
      </c>
      <c r="M142" s="151">
        <f>M141+'Basic Data'!$AE$13</f>
        <v>1094.4699999999993</v>
      </c>
      <c r="N142" s="151">
        <f>N141+'Basic Data'!$AF$13</f>
        <v>2580.5599999999977</v>
      </c>
      <c r="O142" s="151">
        <f>O141+'Basic Data'!$AG$13</f>
        <v>1029.1300000000031</v>
      </c>
      <c r="P142" s="151">
        <f>P141+'Basic Data'!$AH$13</f>
        <v>2815.4600000000082</v>
      </c>
    </row>
    <row r="143" spans="2:16">
      <c r="B143" s="156">
        <v>141</v>
      </c>
      <c r="C143" s="176">
        <v>141</v>
      </c>
      <c r="D143" s="177">
        <f t="shared" si="13"/>
        <v>1770.0600000000065</v>
      </c>
      <c r="E143" s="177">
        <f t="shared" si="14"/>
        <v>1770.0600000000065</v>
      </c>
      <c r="F143" s="177">
        <f t="shared" si="15"/>
        <v>1101.8599999999994</v>
      </c>
      <c r="G143" s="177">
        <f t="shared" si="16"/>
        <v>2597.9899999999975</v>
      </c>
      <c r="H143" s="177">
        <f t="shared" si="17"/>
        <v>1036.0800000000031</v>
      </c>
      <c r="I143" s="177">
        <f t="shared" si="18"/>
        <v>2834.4700000000084</v>
      </c>
      <c r="K143" s="151">
        <f>K142+'Basic Data'!$AC$13</f>
        <v>1770.0600000000065</v>
      </c>
      <c r="L143" s="151">
        <f>L142+'Basic Data'!$AD$13</f>
        <v>1770.0600000000065</v>
      </c>
      <c r="M143" s="151">
        <f>M142+'Basic Data'!$AE$13</f>
        <v>1101.8599999999994</v>
      </c>
      <c r="N143" s="151">
        <f>N142+'Basic Data'!$AF$13</f>
        <v>2597.9899999999975</v>
      </c>
      <c r="O143" s="151">
        <f>O142+'Basic Data'!$AG$13</f>
        <v>1036.0800000000031</v>
      </c>
      <c r="P143" s="151">
        <f>P142+'Basic Data'!$AH$13</f>
        <v>2834.4700000000084</v>
      </c>
    </row>
    <row r="144" spans="2:16">
      <c r="B144" s="156">
        <v>142</v>
      </c>
      <c r="C144" s="176">
        <v>142</v>
      </c>
      <c r="D144" s="177">
        <f t="shared" si="13"/>
        <v>1781.9400000000066</v>
      </c>
      <c r="E144" s="177">
        <f t="shared" si="14"/>
        <v>1781.9400000000066</v>
      </c>
      <c r="F144" s="177">
        <f t="shared" si="15"/>
        <v>1109.2499999999995</v>
      </c>
      <c r="G144" s="177">
        <f t="shared" si="16"/>
        <v>2615.4199999999973</v>
      </c>
      <c r="H144" s="177">
        <f t="shared" si="17"/>
        <v>1043.0300000000032</v>
      </c>
      <c r="I144" s="177">
        <f t="shared" si="18"/>
        <v>2853.4800000000087</v>
      </c>
      <c r="K144" s="151">
        <f>K143+'Basic Data'!$AC$13</f>
        <v>1781.9400000000066</v>
      </c>
      <c r="L144" s="151">
        <f>L143+'Basic Data'!$AD$13</f>
        <v>1781.9400000000066</v>
      </c>
      <c r="M144" s="151">
        <f>M143+'Basic Data'!$AE$13</f>
        <v>1109.2499999999995</v>
      </c>
      <c r="N144" s="151">
        <f>N143+'Basic Data'!$AF$13</f>
        <v>2615.4199999999973</v>
      </c>
      <c r="O144" s="151">
        <f>O143+'Basic Data'!$AG$13</f>
        <v>1043.0300000000032</v>
      </c>
      <c r="P144" s="151">
        <f>P143+'Basic Data'!$AH$13</f>
        <v>2853.4800000000087</v>
      </c>
    </row>
    <row r="145" spans="2:16">
      <c r="B145" s="156">
        <v>143</v>
      </c>
      <c r="C145" s="176">
        <v>143</v>
      </c>
      <c r="D145" s="177">
        <f t="shared" si="13"/>
        <v>1793.8200000000068</v>
      </c>
      <c r="E145" s="177">
        <f t="shared" si="14"/>
        <v>1793.8200000000068</v>
      </c>
      <c r="F145" s="177">
        <f t="shared" si="15"/>
        <v>1116.6399999999996</v>
      </c>
      <c r="G145" s="177">
        <f t="shared" si="16"/>
        <v>2632.8499999999972</v>
      </c>
      <c r="H145" s="177">
        <f t="shared" si="17"/>
        <v>1049.9800000000032</v>
      </c>
      <c r="I145" s="177">
        <f t="shared" si="18"/>
        <v>2872.4900000000089</v>
      </c>
      <c r="K145" s="151">
        <f>K144+'Basic Data'!$AC$13</f>
        <v>1793.8200000000068</v>
      </c>
      <c r="L145" s="151">
        <f>L144+'Basic Data'!$AD$13</f>
        <v>1793.8200000000068</v>
      </c>
      <c r="M145" s="151">
        <f>M144+'Basic Data'!$AE$13</f>
        <v>1116.6399999999996</v>
      </c>
      <c r="N145" s="151">
        <f>N144+'Basic Data'!$AF$13</f>
        <v>2632.8499999999972</v>
      </c>
      <c r="O145" s="151">
        <f>O144+'Basic Data'!$AG$13</f>
        <v>1049.9800000000032</v>
      </c>
      <c r="P145" s="151">
        <f>P144+'Basic Data'!$AH$13</f>
        <v>2872.4900000000089</v>
      </c>
    </row>
    <row r="146" spans="2:16">
      <c r="B146" s="156">
        <v>144</v>
      </c>
      <c r="C146" s="176">
        <v>144</v>
      </c>
      <c r="D146" s="177">
        <f t="shared" si="13"/>
        <v>1805.7000000000069</v>
      </c>
      <c r="E146" s="177">
        <f t="shared" si="14"/>
        <v>1805.7000000000069</v>
      </c>
      <c r="F146" s="177">
        <f t="shared" si="15"/>
        <v>1124.0299999999997</v>
      </c>
      <c r="G146" s="177">
        <f t="shared" si="16"/>
        <v>2650.279999999997</v>
      </c>
      <c r="H146" s="177">
        <f t="shared" si="17"/>
        <v>1056.9300000000032</v>
      </c>
      <c r="I146" s="177">
        <f t="shared" si="18"/>
        <v>2891.5000000000091</v>
      </c>
      <c r="K146" s="151">
        <f>K145+'Basic Data'!$AC$13</f>
        <v>1805.7000000000069</v>
      </c>
      <c r="L146" s="151">
        <f>L145+'Basic Data'!$AD$13</f>
        <v>1805.7000000000069</v>
      </c>
      <c r="M146" s="151">
        <f>M145+'Basic Data'!$AE$13</f>
        <v>1124.0299999999997</v>
      </c>
      <c r="N146" s="151">
        <f>N145+'Basic Data'!$AF$13</f>
        <v>2650.279999999997</v>
      </c>
      <c r="O146" s="151">
        <f>O145+'Basic Data'!$AG$13</f>
        <v>1056.9300000000032</v>
      </c>
      <c r="P146" s="151">
        <f>P145+'Basic Data'!$AH$13</f>
        <v>2891.5000000000091</v>
      </c>
    </row>
    <row r="147" spans="2:16">
      <c r="B147" s="156">
        <v>145</v>
      </c>
      <c r="C147" s="176">
        <v>145</v>
      </c>
      <c r="D147" s="177">
        <f t="shared" si="13"/>
        <v>1817.580000000007</v>
      </c>
      <c r="E147" s="177">
        <f t="shared" si="14"/>
        <v>1817.580000000007</v>
      </c>
      <c r="F147" s="177">
        <f t="shared" si="15"/>
        <v>1131.4199999999998</v>
      </c>
      <c r="G147" s="177">
        <f t="shared" si="16"/>
        <v>2667.7099999999969</v>
      </c>
      <c r="H147" s="177">
        <f t="shared" si="17"/>
        <v>1063.8800000000033</v>
      </c>
      <c r="I147" s="177">
        <f t="shared" si="18"/>
        <v>2910.5100000000093</v>
      </c>
      <c r="K147" s="151">
        <f>K146+'Basic Data'!$AC$13</f>
        <v>1817.580000000007</v>
      </c>
      <c r="L147" s="151">
        <f>L146+'Basic Data'!$AD$13</f>
        <v>1817.580000000007</v>
      </c>
      <c r="M147" s="151">
        <f>M146+'Basic Data'!$AE$13</f>
        <v>1131.4199999999998</v>
      </c>
      <c r="N147" s="151">
        <f>N146+'Basic Data'!$AF$13</f>
        <v>2667.7099999999969</v>
      </c>
      <c r="O147" s="151">
        <f>O146+'Basic Data'!$AG$13</f>
        <v>1063.8800000000033</v>
      </c>
      <c r="P147" s="151">
        <f>P146+'Basic Data'!$AH$13</f>
        <v>2910.5100000000093</v>
      </c>
    </row>
    <row r="148" spans="2:16">
      <c r="B148" s="156">
        <v>146</v>
      </c>
      <c r="C148" s="176">
        <v>146</v>
      </c>
      <c r="D148" s="177">
        <f t="shared" si="13"/>
        <v>1829.4600000000071</v>
      </c>
      <c r="E148" s="177">
        <f t="shared" si="14"/>
        <v>1829.4600000000071</v>
      </c>
      <c r="F148" s="177">
        <f t="shared" si="15"/>
        <v>1138.81</v>
      </c>
      <c r="G148" s="177">
        <f t="shared" si="16"/>
        <v>2685.1399999999967</v>
      </c>
      <c r="H148" s="177">
        <f t="shared" si="17"/>
        <v>1070.8300000000033</v>
      </c>
      <c r="I148" s="177">
        <f t="shared" si="18"/>
        <v>2929.5200000000095</v>
      </c>
      <c r="K148" s="151">
        <f>K147+'Basic Data'!$AC$13</f>
        <v>1829.4600000000071</v>
      </c>
      <c r="L148" s="151">
        <f>L147+'Basic Data'!$AD$13</f>
        <v>1829.4600000000071</v>
      </c>
      <c r="M148" s="151">
        <f>M147+'Basic Data'!$AE$13</f>
        <v>1138.81</v>
      </c>
      <c r="N148" s="151">
        <f>N147+'Basic Data'!$AF$13</f>
        <v>2685.1399999999967</v>
      </c>
      <c r="O148" s="151">
        <f>O147+'Basic Data'!$AG$13</f>
        <v>1070.8300000000033</v>
      </c>
      <c r="P148" s="151">
        <f>P147+'Basic Data'!$AH$13</f>
        <v>2929.5200000000095</v>
      </c>
    </row>
    <row r="149" spans="2:16">
      <c r="B149" s="156">
        <v>147</v>
      </c>
      <c r="C149" s="176">
        <v>147</v>
      </c>
      <c r="D149" s="177">
        <f t="shared" si="13"/>
        <v>1841.3400000000072</v>
      </c>
      <c r="E149" s="177">
        <f t="shared" si="14"/>
        <v>1841.3400000000072</v>
      </c>
      <c r="F149" s="177">
        <f t="shared" si="15"/>
        <v>1146.2</v>
      </c>
      <c r="G149" s="177">
        <f t="shared" si="16"/>
        <v>2702.5699999999965</v>
      </c>
      <c r="H149" s="177">
        <f t="shared" si="17"/>
        <v>1077.7800000000034</v>
      </c>
      <c r="I149" s="177">
        <f t="shared" si="18"/>
        <v>2948.5300000000097</v>
      </c>
      <c r="K149" s="151">
        <f>K148+'Basic Data'!$AC$13</f>
        <v>1841.3400000000072</v>
      </c>
      <c r="L149" s="151">
        <f>L148+'Basic Data'!$AD$13</f>
        <v>1841.3400000000072</v>
      </c>
      <c r="M149" s="151">
        <f>M148+'Basic Data'!$AE$13</f>
        <v>1146.2</v>
      </c>
      <c r="N149" s="151">
        <f>N148+'Basic Data'!$AF$13</f>
        <v>2702.5699999999965</v>
      </c>
      <c r="O149" s="151">
        <f>O148+'Basic Data'!$AG$13</f>
        <v>1077.7800000000034</v>
      </c>
      <c r="P149" s="151">
        <f>P148+'Basic Data'!$AH$13</f>
        <v>2948.5300000000097</v>
      </c>
    </row>
    <row r="150" spans="2:16">
      <c r="B150" s="156">
        <v>148</v>
      </c>
      <c r="C150" s="176">
        <v>148</v>
      </c>
      <c r="D150" s="177">
        <f t="shared" si="13"/>
        <v>1853.2200000000073</v>
      </c>
      <c r="E150" s="177">
        <f t="shared" si="14"/>
        <v>1853.2200000000073</v>
      </c>
      <c r="F150" s="177">
        <f t="shared" si="15"/>
        <v>1153.5900000000001</v>
      </c>
      <c r="G150" s="177">
        <f t="shared" si="16"/>
        <v>2719.9999999999964</v>
      </c>
      <c r="H150" s="177">
        <f t="shared" si="17"/>
        <v>1084.7300000000034</v>
      </c>
      <c r="I150" s="177">
        <f t="shared" si="18"/>
        <v>2967.54000000001</v>
      </c>
      <c r="K150" s="151">
        <f>K149+'Basic Data'!$AC$13</f>
        <v>1853.2200000000073</v>
      </c>
      <c r="L150" s="151">
        <f>L149+'Basic Data'!$AD$13</f>
        <v>1853.2200000000073</v>
      </c>
      <c r="M150" s="151">
        <f>M149+'Basic Data'!$AE$13</f>
        <v>1153.5900000000001</v>
      </c>
      <c r="N150" s="151">
        <f>N149+'Basic Data'!$AF$13</f>
        <v>2719.9999999999964</v>
      </c>
      <c r="O150" s="151">
        <f>O149+'Basic Data'!$AG$13</f>
        <v>1084.7300000000034</v>
      </c>
      <c r="P150" s="151">
        <f>P149+'Basic Data'!$AH$13</f>
        <v>2967.54000000001</v>
      </c>
    </row>
    <row r="151" spans="2:16">
      <c r="B151" s="156">
        <v>149</v>
      </c>
      <c r="C151" s="176">
        <v>149</v>
      </c>
      <c r="D151" s="177">
        <f t="shared" si="13"/>
        <v>1865.1000000000074</v>
      </c>
      <c r="E151" s="177">
        <f t="shared" si="14"/>
        <v>1865.1000000000074</v>
      </c>
      <c r="F151" s="177">
        <f t="shared" si="15"/>
        <v>1160.9800000000002</v>
      </c>
      <c r="G151" s="177">
        <f t="shared" si="16"/>
        <v>2737.4299999999962</v>
      </c>
      <c r="H151" s="177">
        <f t="shared" si="17"/>
        <v>1091.6800000000035</v>
      </c>
      <c r="I151" s="177">
        <f t="shared" si="18"/>
        <v>2986.5500000000102</v>
      </c>
      <c r="K151" s="151">
        <f>K150+'Basic Data'!$AC$13</f>
        <v>1865.1000000000074</v>
      </c>
      <c r="L151" s="151">
        <f>L150+'Basic Data'!$AD$13</f>
        <v>1865.1000000000074</v>
      </c>
      <c r="M151" s="151">
        <f>M150+'Basic Data'!$AE$13</f>
        <v>1160.9800000000002</v>
      </c>
      <c r="N151" s="151">
        <f>N150+'Basic Data'!$AF$13</f>
        <v>2737.4299999999962</v>
      </c>
      <c r="O151" s="151">
        <f>O150+'Basic Data'!$AG$13</f>
        <v>1091.6800000000035</v>
      </c>
      <c r="P151" s="151">
        <f>P150+'Basic Data'!$AH$13</f>
        <v>2986.5500000000102</v>
      </c>
    </row>
    <row r="152" spans="2:16">
      <c r="B152" s="156">
        <v>150</v>
      </c>
      <c r="C152" s="176">
        <v>150</v>
      </c>
      <c r="D152" s="177">
        <f t="shared" si="13"/>
        <v>1876.9800000000075</v>
      </c>
      <c r="E152" s="177">
        <f t="shared" si="14"/>
        <v>1876.9800000000075</v>
      </c>
      <c r="F152" s="177">
        <f t="shared" si="15"/>
        <v>1168.3700000000003</v>
      </c>
      <c r="G152" s="177">
        <f t="shared" si="16"/>
        <v>2754.859999999996</v>
      </c>
      <c r="H152" s="177">
        <f t="shared" si="17"/>
        <v>1098.6300000000035</v>
      </c>
      <c r="I152" s="177">
        <f t="shared" si="18"/>
        <v>3005.5600000000104</v>
      </c>
      <c r="K152" s="151">
        <f>K151+'Basic Data'!$AC$13</f>
        <v>1876.9800000000075</v>
      </c>
      <c r="L152" s="151">
        <f>L151+'Basic Data'!$AD$13</f>
        <v>1876.9800000000075</v>
      </c>
      <c r="M152" s="151">
        <f>M151+'Basic Data'!$AE$13</f>
        <v>1168.3700000000003</v>
      </c>
      <c r="N152" s="151">
        <f>N151+'Basic Data'!$AF$13</f>
        <v>2754.859999999996</v>
      </c>
      <c r="O152" s="151">
        <f>O151+'Basic Data'!$AG$13</f>
        <v>1098.6300000000035</v>
      </c>
      <c r="P152" s="151">
        <f>P151+'Basic Data'!$AH$13</f>
        <v>3005.5600000000104</v>
      </c>
    </row>
    <row r="153" spans="2:16">
      <c r="B153" s="156">
        <v>151</v>
      </c>
      <c r="C153" s="176">
        <v>151</v>
      </c>
      <c r="D153" s="177">
        <f t="shared" si="13"/>
        <v>1888.8600000000076</v>
      </c>
      <c r="E153" s="177">
        <f t="shared" si="14"/>
        <v>1888.8600000000076</v>
      </c>
      <c r="F153" s="177">
        <f t="shared" si="15"/>
        <v>1175.7600000000004</v>
      </c>
      <c r="G153" s="177">
        <f t="shared" si="16"/>
        <v>2772.2899999999959</v>
      </c>
      <c r="H153" s="177">
        <f t="shared" si="17"/>
        <v>1105.5800000000036</v>
      </c>
      <c r="I153" s="177">
        <f t="shared" si="18"/>
        <v>3024.5700000000106</v>
      </c>
      <c r="K153" s="151">
        <f>K152+'Basic Data'!$AC$13</f>
        <v>1888.8600000000076</v>
      </c>
      <c r="L153" s="151">
        <f>L152+'Basic Data'!$AD$13</f>
        <v>1888.8600000000076</v>
      </c>
      <c r="M153" s="151">
        <f>M152+'Basic Data'!$AE$13</f>
        <v>1175.7600000000004</v>
      </c>
      <c r="N153" s="151">
        <f>N152+'Basic Data'!$AF$13</f>
        <v>2772.2899999999959</v>
      </c>
      <c r="O153" s="151">
        <f>O152+'Basic Data'!$AG$13</f>
        <v>1105.5800000000036</v>
      </c>
      <c r="P153" s="151">
        <f>P152+'Basic Data'!$AH$13</f>
        <v>3024.5700000000106</v>
      </c>
    </row>
    <row r="154" spans="2:16">
      <c r="B154" s="156">
        <v>152</v>
      </c>
      <c r="C154" s="176">
        <v>152</v>
      </c>
      <c r="D154" s="177">
        <f t="shared" si="13"/>
        <v>1900.7400000000077</v>
      </c>
      <c r="E154" s="177">
        <f t="shared" si="14"/>
        <v>1900.7400000000077</v>
      </c>
      <c r="F154" s="177">
        <f t="shared" si="15"/>
        <v>1183.1500000000005</v>
      </c>
      <c r="G154" s="177">
        <f t="shared" si="16"/>
        <v>2789.7199999999957</v>
      </c>
      <c r="H154" s="177">
        <f t="shared" si="17"/>
        <v>1112.5300000000036</v>
      </c>
      <c r="I154" s="177">
        <f t="shared" si="18"/>
        <v>3043.5800000000108</v>
      </c>
      <c r="K154" s="151">
        <f>K153+'Basic Data'!$AC$13</f>
        <v>1900.7400000000077</v>
      </c>
      <c r="L154" s="151">
        <f>L153+'Basic Data'!$AD$13</f>
        <v>1900.7400000000077</v>
      </c>
      <c r="M154" s="151">
        <f>M153+'Basic Data'!$AE$13</f>
        <v>1183.1500000000005</v>
      </c>
      <c r="N154" s="151">
        <f>N153+'Basic Data'!$AF$13</f>
        <v>2789.7199999999957</v>
      </c>
      <c r="O154" s="151">
        <f>O153+'Basic Data'!$AG$13</f>
        <v>1112.5300000000036</v>
      </c>
      <c r="P154" s="151">
        <f>P153+'Basic Data'!$AH$13</f>
        <v>3043.5800000000108</v>
      </c>
    </row>
    <row r="155" spans="2:16">
      <c r="B155" s="156">
        <v>153</v>
      </c>
      <c r="C155" s="176">
        <v>153</v>
      </c>
      <c r="D155" s="177">
        <f t="shared" si="13"/>
        <v>1912.6200000000078</v>
      </c>
      <c r="E155" s="177">
        <f t="shared" si="14"/>
        <v>1912.6200000000078</v>
      </c>
      <c r="F155" s="177">
        <f t="shared" si="15"/>
        <v>1190.5400000000006</v>
      </c>
      <c r="G155" s="177">
        <f t="shared" si="16"/>
        <v>2807.1499999999955</v>
      </c>
      <c r="H155" s="177">
        <f t="shared" si="17"/>
        <v>1119.4800000000037</v>
      </c>
      <c r="I155" s="177">
        <f t="shared" si="18"/>
        <v>3062.5900000000111</v>
      </c>
      <c r="K155" s="151">
        <f>K154+'Basic Data'!$AC$13</f>
        <v>1912.6200000000078</v>
      </c>
      <c r="L155" s="151">
        <f>L154+'Basic Data'!$AD$13</f>
        <v>1912.6200000000078</v>
      </c>
      <c r="M155" s="151">
        <f>M154+'Basic Data'!$AE$13</f>
        <v>1190.5400000000006</v>
      </c>
      <c r="N155" s="151">
        <f>N154+'Basic Data'!$AF$13</f>
        <v>2807.1499999999955</v>
      </c>
      <c r="O155" s="151">
        <f>O154+'Basic Data'!$AG$13</f>
        <v>1119.4800000000037</v>
      </c>
      <c r="P155" s="151">
        <f>P154+'Basic Data'!$AH$13</f>
        <v>3062.5900000000111</v>
      </c>
    </row>
    <row r="156" spans="2:16">
      <c r="B156" s="156">
        <v>154</v>
      </c>
      <c r="C156" s="176">
        <v>154</v>
      </c>
      <c r="D156" s="177">
        <f t="shared" si="13"/>
        <v>1924.500000000008</v>
      </c>
      <c r="E156" s="177">
        <f t="shared" si="14"/>
        <v>1924.500000000008</v>
      </c>
      <c r="F156" s="177">
        <f t="shared" si="15"/>
        <v>1197.9300000000007</v>
      </c>
      <c r="G156" s="177">
        <f t="shared" si="16"/>
        <v>2824.5799999999954</v>
      </c>
      <c r="H156" s="177">
        <f t="shared" si="17"/>
        <v>1126.4300000000037</v>
      </c>
      <c r="I156" s="177">
        <f t="shared" si="18"/>
        <v>3081.6000000000113</v>
      </c>
      <c r="K156" s="151">
        <f>K155+'Basic Data'!$AC$13</f>
        <v>1924.500000000008</v>
      </c>
      <c r="L156" s="151">
        <f>L155+'Basic Data'!$AD$13</f>
        <v>1924.500000000008</v>
      </c>
      <c r="M156" s="151">
        <f>M155+'Basic Data'!$AE$13</f>
        <v>1197.9300000000007</v>
      </c>
      <c r="N156" s="151">
        <f>N155+'Basic Data'!$AF$13</f>
        <v>2824.5799999999954</v>
      </c>
      <c r="O156" s="151">
        <f>O155+'Basic Data'!$AG$13</f>
        <v>1126.4300000000037</v>
      </c>
      <c r="P156" s="151">
        <f>P155+'Basic Data'!$AH$13</f>
        <v>3081.6000000000113</v>
      </c>
    </row>
    <row r="157" spans="2:16">
      <c r="B157" s="156">
        <v>155</v>
      </c>
      <c r="C157" s="176">
        <v>155</v>
      </c>
      <c r="D157" s="177">
        <f t="shared" si="13"/>
        <v>1936.3800000000081</v>
      </c>
      <c r="E157" s="177">
        <f t="shared" si="14"/>
        <v>1936.3800000000081</v>
      </c>
      <c r="F157" s="177">
        <f t="shared" si="15"/>
        <v>1205.3200000000008</v>
      </c>
      <c r="G157" s="177">
        <f t="shared" si="16"/>
        <v>2842.0099999999952</v>
      </c>
      <c r="H157" s="177">
        <f t="shared" si="17"/>
        <v>1133.3800000000037</v>
      </c>
      <c r="I157" s="177">
        <f t="shared" si="18"/>
        <v>3100.6100000000115</v>
      </c>
      <c r="K157" s="151">
        <f>K156+'Basic Data'!$AC$13</f>
        <v>1936.3800000000081</v>
      </c>
      <c r="L157" s="151">
        <f>L156+'Basic Data'!$AD$13</f>
        <v>1936.3800000000081</v>
      </c>
      <c r="M157" s="151">
        <f>M156+'Basic Data'!$AE$13</f>
        <v>1205.3200000000008</v>
      </c>
      <c r="N157" s="151">
        <f>N156+'Basic Data'!$AF$13</f>
        <v>2842.0099999999952</v>
      </c>
      <c r="O157" s="151">
        <f>O156+'Basic Data'!$AG$13</f>
        <v>1133.3800000000037</v>
      </c>
      <c r="P157" s="151">
        <f>P156+'Basic Data'!$AH$13</f>
        <v>3100.6100000000115</v>
      </c>
    </row>
    <row r="158" spans="2:16">
      <c r="B158" s="156">
        <v>156</v>
      </c>
      <c r="C158" s="176">
        <v>156</v>
      </c>
      <c r="D158" s="177">
        <f t="shared" si="13"/>
        <v>1948.2600000000082</v>
      </c>
      <c r="E158" s="177">
        <f t="shared" si="14"/>
        <v>1948.2600000000082</v>
      </c>
      <c r="F158" s="177">
        <f t="shared" si="15"/>
        <v>1212.7100000000009</v>
      </c>
      <c r="G158" s="177">
        <f t="shared" si="16"/>
        <v>2859.4399999999951</v>
      </c>
      <c r="H158" s="177">
        <f t="shared" si="17"/>
        <v>1140.3300000000038</v>
      </c>
      <c r="I158" s="177">
        <f t="shared" si="18"/>
        <v>3119.6200000000117</v>
      </c>
      <c r="K158" s="151">
        <f>K157+'Basic Data'!$AC$13</f>
        <v>1948.2600000000082</v>
      </c>
      <c r="L158" s="151">
        <f>L157+'Basic Data'!$AD$13</f>
        <v>1948.2600000000082</v>
      </c>
      <c r="M158" s="151">
        <f>M157+'Basic Data'!$AE$13</f>
        <v>1212.7100000000009</v>
      </c>
      <c r="N158" s="151">
        <f>N157+'Basic Data'!$AF$13</f>
        <v>2859.4399999999951</v>
      </c>
      <c r="O158" s="151">
        <f>O157+'Basic Data'!$AG$13</f>
        <v>1140.3300000000038</v>
      </c>
      <c r="P158" s="151">
        <f>P157+'Basic Data'!$AH$13</f>
        <v>3119.6200000000117</v>
      </c>
    </row>
    <row r="159" spans="2:16">
      <c r="B159" s="156">
        <v>157</v>
      </c>
      <c r="C159" s="176">
        <v>157</v>
      </c>
      <c r="D159" s="177">
        <f t="shared" si="13"/>
        <v>1960.1400000000083</v>
      </c>
      <c r="E159" s="177">
        <f t="shared" si="14"/>
        <v>1960.1400000000083</v>
      </c>
      <c r="F159" s="177">
        <f t="shared" si="15"/>
        <v>1220.100000000001</v>
      </c>
      <c r="G159" s="177">
        <f t="shared" si="16"/>
        <v>2876.8699999999949</v>
      </c>
      <c r="H159" s="177">
        <f t="shared" si="17"/>
        <v>1147.2800000000038</v>
      </c>
      <c r="I159" s="177">
        <f t="shared" si="18"/>
        <v>3138.6300000000119</v>
      </c>
      <c r="K159" s="151">
        <f>K158+'Basic Data'!$AC$13</f>
        <v>1960.1400000000083</v>
      </c>
      <c r="L159" s="151">
        <f>L158+'Basic Data'!$AD$13</f>
        <v>1960.1400000000083</v>
      </c>
      <c r="M159" s="151">
        <f>M158+'Basic Data'!$AE$13</f>
        <v>1220.100000000001</v>
      </c>
      <c r="N159" s="151">
        <f>N158+'Basic Data'!$AF$13</f>
        <v>2876.8699999999949</v>
      </c>
      <c r="O159" s="151">
        <f>O158+'Basic Data'!$AG$13</f>
        <v>1147.2800000000038</v>
      </c>
      <c r="P159" s="151">
        <f>P158+'Basic Data'!$AH$13</f>
        <v>3138.6300000000119</v>
      </c>
    </row>
    <row r="160" spans="2:16">
      <c r="B160" s="156">
        <v>158</v>
      </c>
      <c r="C160" s="176">
        <v>158</v>
      </c>
      <c r="D160" s="177">
        <f t="shared" si="13"/>
        <v>1972.0200000000084</v>
      </c>
      <c r="E160" s="177">
        <f t="shared" si="14"/>
        <v>1972.0200000000084</v>
      </c>
      <c r="F160" s="177">
        <f t="shared" si="15"/>
        <v>1227.4900000000011</v>
      </c>
      <c r="G160" s="177">
        <f t="shared" si="16"/>
        <v>2894.2999999999947</v>
      </c>
      <c r="H160" s="177">
        <f t="shared" si="17"/>
        <v>1154.2300000000039</v>
      </c>
      <c r="I160" s="177">
        <f t="shared" si="18"/>
        <v>3157.6400000000122</v>
      </c>
      <c r="K160" s="151">
        <f>K159+'Basic Data'!$AC$13</f>
        <v>1972.0200000000084</v>
      </c>
      <c r="L160" s="151">
        <f>L159+'Basic Data'!$AD$13</f>
        <v>1972.0200000000084</v>
      </c>
      <c r="M160" s="151">
        <f>M159+'Basic Data'!$AE$13</f>
        <v>1227.4900000000011</v>
      </c>
      <c r="N160" s="151">
        <f>N159+'Basic Data'!$AF$13</f>
        <v>2894.2999999999947</v>
      </c>
      <c r="O160" s="151">
        <f>O159+'Basic Data'!$AG$13</f>
        <v>1154.2300000000039</v>
      </c>
      <c r="P160" s="151">
        <f>P159+'Basic Data'!$AH$13</f>
        <v>3157.6400000000122</v>
      </c>
    </row>
    <row r="161" spans="2:16">
      <c r="B161" s="156">
        <v>159</v>
      </c>
      <c r="C161" s="176">
        <v>159</v>
      </c>
      <c r="D161" s="177">
        <f t="shared" si="13"/>
        <v>1983.9000000000085</v>
      </c>
      <c r="E161" s="177">
        <f t="shared" si="14"/>
        <v>1983.9000000000085</v>
      </c>
      <c r="F161" s="177">
        <f t="shared" si="15"/>
        <v>1234.8800000000012</v>
      </c>
      <c r="G161" s="177">
        <f t="shared" si="16"/>
        <v>2911.7299999999946</v>
      </c>
      <c r="H161" s="177">
        <f t="shared" si="17"/>
        <v>1161.1800000000039</v>
      </c>
      <c r="I161" s="177">
        <f t="shared" si="18"/>
        <v>3176.6500000000124</v>
      </c>
      <c r="K161" s="151">
        <f>K160+'Basic Data'!$AC$13</f>
        <v>1983.9000000000085</v>
      </c>
      <c r="L161" s="151">
        <f>L160+'Basic Data'!$AD$13</f>
        <v>1983.9000000000085</v>
      </c>
      <c r="M161" s="151">
        <f>M160+'Basic Data'!$AE$13</f>
        <v>1234.8800000000012</v>
      </c>
      <c r="N161" s="151">
        <f>N160+'Basic Data'!$AF$13</f>
        <v>2911.7299999999946</v>
      </c>
      <c r="O161" s="151">
        <f>O160+'Basic Data'!$AG$13</f>
        <v>1161.1800000000039</v>
      </c>
      <c r="P161" s="151">
        <f>P160+'Basic Data'!$AH$13</f>
        <v>3176.6500000000124</v>
      </c>
    </row>
    <row r="162" spans="2:16">
      <c r="B162" s="156">
        <v>160</v>
      </c>
      <c r="C162" s="176">
        <v>160</v>
      </c>
      <c r="D162" s="177">
        <f t="shared" si="13"/>
        <v>1995.7800000000086</v>
      </c>
      <c r="E162" s="177">
        <f t="shared" si="14"/>
        <v>1995.7800000000086</v>
      </c>
      <c r="F162" s="177">
        <f t="shared" si="15"/>
        <v>1242.2700000000013</v>
      </c>
      <c r="G162" s="177">
        <f t="shared" si="16"/>
        <v>2929.1599999999944</v>
      </c>
      <c r="H162" s="177">
        <f t="shared" si="17"/>
        <v>1168.130000000004</v>
      </c>
      <c r="I162" s="177">
        <f t="shared" si="18"/>
        <v>3195.6600000000126</v>
      </c>
      <c r="K162" s="151">
        <f>K161+'Basic Data'!$AC$13</f>
        <v>1995.7800000000086</v>
      </c>
      <c r="L162" s="151">
        <f>L161+'Basic Data'!$AD$13</f>
        <v>1995.7800000000086</v>
      </c>
      <c r="M162" s="151">
        <f>M161+'Basic Data'!$AE$13</f>
        <v>1242.2700000000013</v>
      </c>
      <c r="N162" s="151">
        <f>N161+'Basic Data'!$AF$13</f>
        <v>2929.1599999999944</v>
      </c>
      <c r="O162" s="151">
        <f>O161+'Basic Data'!$AG$13</f>
        <v>1168.130000000004</v>
      </c>
      <c r="P162" s="151">
        <f>P161+'Basic Data'!$AH$13</f>
        <v>3195.6600000000126</v>
      </c>
    </row>
    <row r="163" spans="2:16">
      <c r="B163" s="156">
        <v>161</v>
      </c>
      <c r="C163" s="176">
        <v>161</v>
      </c>
      <c r="D163" s="177">
        <f t="shared" si="13"/>
        <v>2007.6600000000087</v>
      </c>
      <c r="E163" s="177">
        <f t="shared" si="14"/>
        <v>2007.6600000000087</v>
      </c>
      <c r="F163" s="177">
        <f t="shared" si="15"/>
        <v>1249.6600000000014</v>
      </c>
      <c r="G163" s="177">
        <f t="shared" si="16"/>
        <v>2946.5899999999942</v>
      </c>
      <c r="H163" s="177">
        <f t="shared" si="17"/>
        <v>1175.080000000004</v>
      </c>
      <c r="I163" s="177">
        <f t="shared" si="18"/>
        <v>3214.6700000000128</v>
      </c>
      <c r="K163" s="151">
        <f>K162+'Basic Data'!$AC$13</f>
        <v>2007.6600000000087</v>
      </c>
      <c r="L163" s="151">
        <f>L162+'Basic Data'!$AD$13</f>
        <v>2007.6600000000087</v>
      </c>
      <c r="M163" s="151">
        <f>M162+'Basic Data'!$AE$13</f>
        <v>1249.6600000000014</v>
      </c>
      <c r="N163" s="151">
        <f>N162+'Basic Data'!$AF$13</f>
        <v>2946.5899999999942</v>
      </c>
      <c r="O163" s="151">
        <f>O162+'Basic Data'!$AG$13</f>
        <v>1175.080000000004</v>
      </c>
      <c r="P163" s="151">
        <f>P162+'Basic Data'!$AH$13</f>
        <v>3214.6700000000128</v>
      </c>
    </row>
    <row r="164" spans="2:16">
      <c r="B164" s="156">
        <v>162</v>
      </c>
      <c r="C164" s="176">
        <v>162</v>
      </c>
      <c r="D164" s="177">
        <f t="shared" si="13"/>
        <v>2019.5400000000088</v>
      </c>
      <c r="E164" s="177">
        <f t="shared" si="14"/>
        <v>2019.5400000000088</v>
      </c>
      <c r="F164" s="177">
        <f t="shared" si="15"/>
        <v>1257.0500000000015</v>
      </c>
      <c r="G164" s="177">
        <f t="shared" si="16"/>
        <v>2964.0199999999941</v>
      </c>
      <c r="H164" s="177">
        <f t="shared" si="17"/>
        <v>1182.0300000000041</v>
      </c>
      <c r="I164" s="177">
        <f t="shared" si="18"/>
        <v>3233.680000000013</v>
      </c>
      <c r="K164" s="151">
        <f>K163+'Basic Data'!$AC$13</f>
        <v>2019.5400000000088</v>
      </c>
      <c r="L164" s="151">
        <f>L163+'Basic Data'!$AD$13</f>
        <v>2019.5400000000088</v>
      </c>
      <c r="M164" s="151">
        <f>M163+'Basic Data'!$AE$13</f>
        <v>1257.0500000000015</v>
      </c>
      <c r="N164" s="151">
        <f>N163+'Basic Data'!$AF$13</f>
        <v>2964.0199999999941</v>
      </c>
      <c r="O164" s="151">
        <f>O163+'Basic Data'!$AG$13</f>
        <v>1182.0300000000041</v>
      </c>
      <c r="P164" s="151">
        <f>P163+'Basic Data'!$AH$13</f>
        <v>3233.680000000013</v>
      </c>
    </row>
    <row r="165" spans="2:16">
      <c r="B165" s="156">
        <v>163</v>
      </c>
      <c r="C165" s="176">
        <v>163</v>
      </c>
      <c r="D165" s="177">
        <f t="shared" si="13"/>
        <v>2031.4200000000089</v>
      </c>
      <c r="E165" s="177">
        <f t="shared" si="14"/>
        <v>2031.4200000000089</v>
      </c>
      <c r="F165" s="177">
        <f t="shared" si="15"/>
        <v>1264.4400000000016</v>
      </c>
      <c r="G165" s="177">
        <f t="shared" si="16"/>
        <v>2981.4499999999939</v>
      </c>
      <c r="H165" s="177">
        <f t="shared" si="17"/>
        <v>1188.9800000000041</v>
      </c>
      <c r="I165" s="177">
        <f t="shared" si="18"/>
        <v>3252.6900000000132</v>
      </c>
      <c r="K165" s="151">
        <f>K164+'Basic Data'!$AC$13</f>
        <v>2031.4200000000089</v>
      </c>
      <c r="L165" s="151">
        <f>L164+'Basic Data'!$AD$13</f>
        <v>2031.4200000000089</v>
      </c>
      <c r="M165" s="151">
        <f>M164+'Basic Data'!$AE$13</f>
        <v>1264.4400000000016</v>
      </c>
      <c r="N165" s="151">
        <f>N164+'Basic Data'!$AF$13</f>
        <v>2981.4499999999939</v>
      </c>
      <c r="O165" s="151">
        <f>O164+'Basic Data'!$AG$13</f>
        <v>1188.9800000000041</v>
      </c>
      <c r="P165" s="151">
        <f>P164+'Basic Data'!$AH$13</f>
        <v>3252.6900000000132</v>
      </c>
    </row>
    <row r="166" spans="2:16">
      <c r="B166" s="156">
        <v>164</v>
      </c>
      <c r="C166" s="176">
        <v>164</v>
      </c>
      <c r="D166" s="177">
        <f t="shared" si="13"/>
        <v>2043.300000000009</v>
      </c>
      <c r="E166" s="177">
        <f t="shared" si="14"/>
        <v>2043.300000000009</v>
      </c>
      <c r="F166" s="177">
        <f t="shared" si="15"/>
        <v>1271.8300000000017</v>
      </c>
      <c r="G166" s="177">
        <f t="shared" si="16"/>
        <v>2998.8799999999937</v>
      </c>
      <c r="H166" s="177">
        <f t="shared" si="17"/>
        <v>1195.9300000000042</v>
      </c>
      <c r="I166" s="177">
        <f t="shared" si="18"/>
        <v>3271.7000000000135</v>
      </c>
      <c r="K166" s="151">
        <f>K165+'Basic Data'!$AC$13</f>
        <v>2043.300000000009</v>
      </c>
      <c r="L166" s="151">
        <f>L165+'Basic Data'!$AD$13</f>
        <v>2043.300000000009</v>
      </c>
      <c r="M166" s="151">
        <f>M165+'Basic Data'!$AE$13</f>
        <v>1271.8300000000017</v>
      </c>
      <c r="N166" s="151">
        <f>N165+'Basic Data'!$AF$13</f>
        <v>2998.8799999999937</v>
      </c>
      <c r="O166" s="151">
        <f>O165+'Basic Data'!$AG$13</f>
        <v>1195.9300000000042</v>
      </c>
      <c r="P166" s="151">
        <f>P165+'Basic Data'!$AH$13</f>
        <v>3271.7000000000135</v>
      </c>
    </row>
    <row r="167" spans="2:16">
      <c r="B167" s="156">
        <v>165</v>
      </c>
      <c r="C167" s="176">
        <v>165</v>
      </c>
      <c r="D167" s="177">
        <f t="shared" si="13"/>
        <v>2055.1800000000089</v>
      </c>
      <c r="E167" s="177">
        <f t="shared" si="14"/>
        <v>2055.1800000000089</v>
      </c>
      <c r="F167" s="177">
        <f t="shared" si="15"/>
        <v>1279.2200000000018</v>
      </c>
      <c r="G167" s="177">
        <f t="shared" si="16"/>
        <v>3016.3099999999936</v>
      </c>
      <c r="H167" s="177">
        <f t="shared" si="17"/>
        <v>1202.8800000000042</v>
      </c>
      <c r="I167" s="177">
        <f t="shared" si="18"/>
        <v>3290.7100000000137</v>
      </c>
      <c r="K167" s="151">
        <f>K166+'Basic Data'!$AC$13</f>
        <v>2055.1800000000089</v>
      </c>
      <c r="L167" s="151">
        <f>L166+'Basic Data'!$AD$13</f>
        <v>2055.1800000000089</v>
      </c>
      <c r="M167" s="151">
        <f>M166+'Basic Data'!$AE$13</f>
        <v>1279.2200000000018</v>
      </c>
      <c r="N167" s="151">
        <f>N166+'Basic Data'!$AF$13</f>
        <v>3016.3099999999936</v>
      </c>
      <c r="O167" s="151">
        <f>O166+'Basic Data'!$AG$13</f>
        <v>1202.8800000000042</v>
      </c>
      <c r="P167" s="151">
        <f>P166+'Basic Data'!$AH$13</f>
        <v>3290.7100000000137</v>
      </c>
    </row>
    <row r="168" spans="2:16">
      <c r="B168" s="156">
        <v>166</v>
      </c>
      <c r="C168" s="176">
        <v>166</v>
      </c>
      <c r="D168" s="177">
        <f t="shared" si="13"/>
        <v>2067.060000000009</v>
      </c>
      <c r="E168" s="177">
        <f t="shared" si="14"/>
        <v>2067.060000000009</v>
      </c>
      <c r="F168" s="177">
        <f t="shared" si="15"/>
        <v>1286.6100000000019</v>
      </c>
      <c r="G168" s="177">
        <f t="shared" si="16"/>
        <v>3033.7399999999934</v>
      </c>
      <c r="H168" s="177">
        <f t="shared" si="17"/>
        <v>1209.8300000000042</v>
      </c>
      <c r="I168" s="177">
        <f t="shared" si="18"/>
        <v>3309.7200000000139</v>
      </c>
      <c r="K168" s="151">
        <f>K167+'Basic Data'!$AC$13</f>
        <v>2067.060000000009</v>
      </c>
      <c r="L168" s="151">
        <f>L167+'Basic Data'!$AD$13</f>
        <v>2067.060000000009</v>
      </c>
      <c r="M168" s="151">
        <f>M167+'Basic Data'!$AE$13</f>
        <v>1286.6100000000019</v>
      </c>
      <c r="N168" s="151">
        <f>N167+'Basic Data'!$AF$13</f>
        <v>3033.7399999999934</v>
      </c>
      <c r="O168" s="151">
        <f>O167+'Basic Data'!$AG$13</f>
        <v>1209.8300000000042</v>
      </c>
      <c r="P168" s="151">
        <f>P167+'Basic Data'!$AH$13</f>
        <v>3309.7200000000139</v>
      </c>
    </row>
    <row r="169" spans="2:16">
      <c r="B169" s="156">
        <v>167</v>
      </c>
      <c r="C169" s="176">
        <v>167</v>
      </c>
      <c r="D169" s="177">
        <f t="shared" si="13"/>
        <v>2078.9400000000091</v>
      </c>
      <c r="E169" s="177">
        <f t="shared" si="14"/>
        <v>2078.9400000000091</v>
      </c>
      <c r="F169" s="177">
        <f t="shared" si="15"/>
        <v>1294.000000000002</v>
      </c>
      <c r="G169" s="177">
        <f t="shared" si="16"/>
        <v>3051.1699999999933</v>
      </c>
      <c r="H169" s="177">
        <f t="shared" si="17"/>
        <v>1216.7800000000043</v>
      </c>
      <c r="I169" s="177">
        <f t="shared" si="18"/>
        <v>3328.7300000000141</v>
      </c>
      <c r="K169" s="151">
        <f>K168+'Basic Data'!$AC$13</f>
        <v>2078.9400000000091</v>
      </c>
      <c r="L169" s="151">
        <f>L168+'Basic Data'!$AD$13</f>
        <v>2078.9400000000091</v>
      </c>
      <c r="M169" s="151">
        <f>M168+'Basic Data'!$AE$13</f>
        <v>1294.000000000002</v>
      </c>
      <c r="N169" s="151">
        <f>N168+'Basic Data'!$AF$13</f>
        <v>3051.1699999999933</v>
      </c>
      <c r="O169" s="151">
        <f>O168+'Basic Data'!$AG$13</f>
        <v>1216.7800000000043</v>
      </c>
      <c r="P169" s="151">
        <f>P168+'Basic Data'!$AH$13</f>
        <v>3328.7300000000141</v>
      </c>
    </row>
    <row r="170" spans="2:16">
      <c r="B170" s="156">
        <v>168</v>
      </c>
      <c r="C170" s="176">
        <v>168</v>
      </c>
      <c r="D170" s="177">
        <f t="shared" si="13"/>
        <v>2090.8200000000093</v>
      </c>
      <c r="E170" s="177">
        <f t="shared" si="14"/>
        <v>2090.8200000000093</v>
      </c>
      <c r="F170" s="177">
        <f t="shared" si="15"/>
        <v>1301.3900000000021</v>
      </c>
      <c r="G170" s="177">
        <f t="shared" si="16"/>
        <v>3068.5999999999931</v>
      </c>
      <c r="H170" s="177">
        <f t="shared" si="17"/>
        <v>1223.7300000000043</v>
      </c>
      <c r="I170" s="177">
        <f t="shared" si="18"/>
        <v>3347.7400000000143</v>
      </c>
      <c r="K170" s="151">
        <f>K169+'Basic Data'!$AC$13</f>
        <v>2090.8200000000093</v>
      </c>
      <c r="L170" s="151">
        <f>L169+'Basic Data'!$AD$13</f>
        <v>2090.8200000000093</v>
      </c>
      <c r="M170" s="151">
        <f>M169+'Basic Data'!$AE$13</f>
        <v>1301.3900000000021</v>
      </c>
      <c r="N170" s="151">
        <f>N169+'Basic Data'!$AF$13</f>
        <v>3068.5999999999931</v>
      </c>
      <c r="O170" s="151">
        <f>O169+'Basic Data'!$AG$13</f>
        <v>1223.7300000000043</v>
      </c>
      <c r="P170" s="151">
        <f>P169+'Basic Data'!$AH$13</f>
        <v>3347.7400000000143</v>
      </c>
    </row>
    <row r="171" spans="2:16">
      <c r="B171" s="156">
        <v>169</v>
      </c>
      <c r="C171" s="176">
        <v>169</v>
      </c>
      <c r="D171" s="177">
        <f t="shared" si="13"/>
        <v>2102.7000000000094</v>
      </c>
      <c r="E171" s="177">
        <f t="shared" si="14"/>
        <v>2102.7000000000094</v>
      </c>
      <c r="F171" s="177">
        <f t="shared" si="15"/>
        <v>1308.7800000000022</v>
      </c>
      <c r="G171" s="177">
        <f t="shared" si="16"/>
        <v>3086.0299999999929</v>
      </c>
      <c r="H171" s="177">
        <f t="shared" si="17"/>
        <v>1230.6800000000044</v>
      </c>
      <c r="I171" s="177">
        <f t="shared" si="18"/>
        <v>3366.7500000000146</v>
      </c>
      <c r="K171" s="151">
        <f>K170+'Basic Data'!$AC$13</f>
        <v>2102.7000000000094</v>
      </c>
      <c r="L171" s="151">
        <f>L170+'Basic Data'!$AD$13</f>
        <v>2102.7000000000094</v>
      </c>
      <c r="M171" s="151">
        <f>M170+'Basic Data'!$AE$13</f>
        <v>1308.7800000000022</v>
      </c>
      <c r="N171" s="151">
        <f>N170+'Basic Data'!$AF$13</f>
        <v>3086.0299999999929</v>
      </c>
      <c r="O171" s="151">
        <f>O170+'Basic Data'!$AG$13</f>
        <v>1230.6800000000044</v>
      </c>
      <c r="P171" s="151">
        <f>P170+'Basic Data'!$AH$13</f>
        <v>3366.7500000000146</v>
      </c>
    </row>
    <row r="172" spans="2:16">
      <c r="B172" s="156">
        <v>170</v>
      </c>
      <c r="C172" s="176">
        <v>170</v>
      </c>
      <c r="D172" s="177">
        <f t="shared" si="13"/>
        <v>2114.5800000000095</v>
      </c>
      <c r="E172" s="177">
        <f t="shared" si="14"/>
        <v>2114.5800000000095</v>
      </c>
      <c r="F172" s="177">
        <f t="shared" si="15"/>
        <v>1316.1700000000023</v>
      </c>
      <c r="G172" s="177">
        <f t="shared" si="16"/>
        <v>3103.4599999999928</v>
      </c>
      <c r="H172" s="177">
        <f t="shared" si="17"/>
        <v>1237.6300000000044</v>
      </c>
      <c r="I172" s="177">
        <f t="shared" si="18"/>
        <v>3385.7600000000148</v>
      </c>
      <c r="K172" s="151">
        <f>K171+'Basic Data'!$AC$13</f>
        <v>2114.5800000000095</v>
      </c>
      <c r="L172" s="151">
        <f>L171+'Basic Data'!$AD$13</f>
        <v>2114.5800000000095</v>
      </c>
      <c r="M172" s="151">
        <f>M171+'Basic Data'!$AE$13</f>
        <v>1316.1700000000023</v>
      </c>
      <c r="N172" s="151">
        <f>N171+'Basic Data'!$AF$13</f>
        <v>3103.4599999999928</v>
      </c>
      <c r="O172" s="151">
        <f>O171+'Basic Data'!$AG$13</f>
        <v>1237.6300000000044</v>
      </c>
      <c r="P172" s="151">
        <f>P171+'Basic Data'!$AH$13</f>
        <v>3385.7600000000148</v>
      </c>
    </row>
    <row r="173" spans="2:16">
      <c r="B173" s="156">
        <v>171</v>
      </c>
      <c r="C173" s="176">
        <v>171</v>
      </c>
      <c r="D173" s="177">
        <f t="shared" si="13"/>
        <v>2126.4600000000096</v>
      </c>
      <c r="E173" s="177">
        <f t="shared" si="14"/>
        <v>2126.4600000000096</v>
      </c>
      <c r="F173" s="177">
        <f t="shared" si="15"/>
        <v>1323.5600000000024</v>
      </c>
      <c r="G173" s="177">
        <f t="shared" si="16"/>
        <v>3120.8899999999926</v>
      </c>
      <c r="H173" s="177">
        <f t="shared" si="17"/>
        <v>1244.5800000000045</v>
      </c>
      <c r="I173" s="177">
        <f t="shared" si="18"/>
        <v>3404.770000000015</v>
      </c>
      <c r="K173" s="151">
        <f>K172+'Basic Data'!$AC$13</f>
        <v>2126.4600000000096</v>
      </c>
      <c r="L173" s="151">
        <f>L172+'Basic Data'!$AD$13</f>
        <v>2126.4600000000096</v>
      </c>
      <c r="M173" s="151">
        <f>M172+'Basic Data'!$AE$13</f>
        <v>1323.5600000000024</v>
      </c>
      <c r="N173" s="151">
        <f>N172+'Basic Data'!$AF$13</f>
        <v>3120.8899999999926</v>
      </c>
      <c r="O173" s="151">
        <f>O172+'Basic Data'!$AG$13</f>
        <v>1244.5800000000045</v>
      </c>
      <c r="P173" s="151">
        <f>P172+'Basic Data'!$AH$13</f>
        <v>3404.770000000015</v>
      </c>
    </row>
    <row r="174" spans="2:16">
      <c r="B174" s="156">
        <v>172</v>
      </c>
      <c r="C174" s="176">
        <v>172</v>
      </c>
      <c r="D174" s="177">
        <f t="shared" si="13"/>
        <v>2138.3400000000097</v>
      </c>
      <c r="E174" s="177">
        <f t="shared" si="14"/>
        <v>2138.3400000000097</v>
      </c>
      <c r="F174" s="177">
        <f t="shared" si="15"/>
        <v>1330.9500000000025</v>
      </c>
      <c r="G174" s="177">
        <f t="shared" si="16"/>
        <v>3138.3199999999924</v>
      </c>
      <c r="H174" s="177">
        <f t="shared" si="17"/>
        <v>1251.5300000000045</v>
      </c>
      <c r="I174" s="177">
        <f t="shared" si="18"/>
        <v>3423.7800000000152</v>
      </c>
      <c r="K174" s="151">
        <f>K173+'Basic Data'!$AC$13</f>
        <v>2138.3400000000097</v>
      </c>
      <c r="L174" s="151">
        <f>L173+'Basic Data'!$AD$13</f>
        <v>2138.3400000000097</v>
      </c>
      <c r="M174" s="151">
        <f>M173+'Basic Data'!$AE$13</f>
        <v>1330.9500000000025</v>
      </c>
      <c r="N174" s="151">
        <f>N173+'Basic Data'!$AF$13</f>
        <v>3138.3199999999924</v>
      </c>
      <c r="O174" s="151">
        <f>O173+'Basic Data'!$AG$13</f>
        <v>1251.5300000000045</v>
      </c>
      <c r="P174" s="151">
        <f>P173+'Basic Data'!$AH$13</f>
        <v>3423.7800000000152</v>
      </c>
    </row>
    <row r="175" spans="2:16">
      <c r="B175" s="156">
        <v>173</v>
      </c>
      <c r="C175" s="176">
        <v>173</v>
      </c>
      <c r="D175" s="177">
        <f t="shared" si="13"/>
        <v>2150.2200000000098</v>
      </c>
      <c r="E175" s="177">
        <f t="shared" si="14"/>
        <v>2150.2200000000098</v>
      </c>
      <c r="F175" s="177">
        <f t="shared" si="15"/>
        <v>1338.3400000000026</v>
      </c>
      <c r="G175" s="177">
        <f t="shared" si="16"/>
        <v>3155.7499999999923</v>
      </c>
      <c r="H175" s="177">
        <f t="shared" si="17"/>
        <v>1258.4800000000046</v>
      </c>
      <c r="I175" s="177">
        <f t="shared" si="18"/>
        <v>3442.7900000000154</v>
      </c>
      <c r="K175" s="151">
        <f>K174+'Basic Data'!$AC$13</f>
        <v>2150.2200000000098</v>
      </c>
      <c r="L175" s="151">
        <f>L174+'Basic Data'!$AD$13</f>
        <v>2150.2200000000098</v>
      </c>
      <c r="M175" s="151">
        <f>M174+'Basic Data'!$AE$13</f>
        <v>1338.3400000000026</v>
      </c>
      <c r="N175" s="151">
        <f>N174+'Basic Data'!$AF$13</f>
        <v>3155.7499999999923</v>
      </c>
      <c r="O175" s="151">
        <f>O174+'Basic Data'!$AG$13</f>
        <v>1258.4800000000046</v>
      </c>
      <c r="P175" s="151">
        <f>P174+'Basic Data'!$AH$13</f>
        <v>3442.7900000000154</v>
      </c>
    </row>
    <row r="176" spans="2:16">
      <c r="B176" s="156">
        <v>174</v>
      </c>
      <c r="C176" s="176">
        <v>174</v>
      </c>
      <c r="D176" s="177">
        <f t="shared" si="13"/>
        <v>2162.1000000000099</v>
      </c>
      <c r="E176" s="177">
        <f t="shared" si="14"/>
        <v>2162.1000000000099</v>
      </c>
      <c r="F176" s="177">
        <f t="shared" si="15"/>
        <v>1345.7300000000027</v>
      </c>
      <c r="G176" s="177">
        <f t="shared" si="16"/>
        <v>3173.1799999999921</v>
      </c>
      <c r="H176" s="177">
        <f t="shared" si="17"/>
        <v>1265.4300000000046</v>
      </c>
      <c r="I176" s="177">
        <f t="shared" si="18"/>
        <v>3461.8000000000156</v>
      </c>
      <c r="K176" s="151">
        <f>K175+'Basic Data'!$AC$13</f>
        <v>2162.1000000000099</v>
      </c>
      <c r="L176" s="151">
        <f>L175+'Basic Data'!$AD$13</f>
        <v>2162.1000000000099</v>
      </c>
      <c r="M176" s="151">
        <f>M175+'Basic Data'!$AE$13</f>
        <v>1345.7300000000027</v>
      </c>
      <c r="N176" s="151">
        <f>N175+'Basic Data'!$AF$13</f>
        <v>3173.1799999999921</v>
      </c>
      <c r="O176" s="151">
        <f>O175+'Basic Data'!$AG$13</f>
        <v>1265.4300000000046</v>
      </c>
      <c r="P176" s="151">
        <f>P175+'Basic Data'!$AH$13</f>
        <v>3461.8000000000156</v>
      </c>
    </row>
    <row r="177" spans="2:16">
      <c r="B177" s="156">
        <v>175</v>
      </c>
      <c r="C177" s="176">
        <v>175</v>
      </c>
      <c r="D177" s="177">
        <f t="shared" si="13"/>
        <v>2173.98000000001</v>
      </c>
      <c r="E177" s="177">
        <f t="shared" si="14"/>
        <v>2173.98000000001</v>
      </c>
      <c r="F177" s="177">
        <f t="shared" si="15"/>
        <v>1353.1200000000028</v>
      </c>
      <c r="G177" s="177">
        <f t="shared" si="16"/>
        <v>3190.6099999999919</v>
      </c>
      <c r="H177" s="177">
        <f t="shared" si="17"/>
        <v>1272.3800000000047</v>
      </c>
      <c r="I177" s="177">
        <f t="shared" si="18"/>
        <v>3480.8100000000159</v>
      </c>
      <c r="K177" s="151">
        <f>K176+'Basic Data'!$AC$13</f>
        <v>2173.98000000001</v>
      </c>
      <c r="L177" s="151">
        <f>L176+'Basic Data'!$AD$13</f>
        <v>2173.98000000001</v>
      </c>
      <c r="M177" s="151">
        <f>M176+'Basic Data'!$AE$13</f>
        <v>1353.1200000000028</v>
      </c>
      <c r="N177" s="151">
        <f>N176+'Basic Data'!$AF$13</f>
        <v>3190.6099999999919</v>
      </c>
      <c r="O177" s="151">
        <f>O176+'Basic Data'!$AG$13</f>
        <v>1272.3800000000047</v>
      </c>
      <c r="P177" s="151">
        <f>P176+'Basic Data'!$AH$13</f>
        <v>3480.8100000000159</v>
      </c>
    </row>
    <row r="178" spans="2:16">
      <c r="B178" s="156">
        <v>176</v>
      </c>
      <c r="C178" s="176">
        <v>176</v>
      </c>
      <c r="D178" s="177">
        <f t="shared" si="13"/>
        <v>2185.8600000000101</v>
      </c>
      <c r="E178" s="177">
        <f t="shared" si="14"/>
        <v>2185.8600000000101</v>
      </c>
      <c r="F178" s="177">
        <f t="shared" si="15"/>
        <v>1360.5100000000029</v>
      </c>
      <c r="G178" s="177">
        <f t="shared" si="16"/>
        <v>3208.0399999999918</v>
      </c>
      <c r="H178" s="177">
        <f t="shared" si="17"/>
        <v>1279.3300000000047</v>
      </c>
      <c r="I178" s="177">
        <f t="shared" si="18"/>
        <v>3499.8200000000161</v>
      </c>
      <c r="K178" s="151">
        <f>K177+'Basic Data'!$AC$13</f>
        <v>2185.8600000000101</v>
      </c>
      <c r="L178" s="151">
        <f>L177+'Basic Data'!$AD$13</f>
        <v>2185.8600000000101</v>
      </c>
      <c r="M178" s="151">
        <f>M177+'Basic Data'!$AE$13</f>
        <v>1360.5100000000029</v>
      </c>
      <c r="N178" s="151">
        <f>N177+'Basic Data'!$AF$13</f>
        <v>3208.0399999999918</v>
      </c>
      <c r="O178" s="151">
        <f>O177+'Basic Data'!$AG$13</f>
        <v>1279.3300000000047</v>
      </c>
      <c r="P178" s="151">
        <f>P177+'Basic Data'!$AH$13</f>
        <v>3499.8200000000161</v>
      </c>
    </row>
    <row r="179" spans="2:16">
      <c r="B179" s="156">
        <v>177</v>
      </c>
      <c r="C179" s="176">
        <v>177</v>
      </c>
      <c r="D179" s="177">
        <f t="shared" si="13"/>
        <v>2197.7400000000102</v>
      </c>
      <c r="E179" s="177">
        <f t="shared" si="14"/>
        <v>2197.7400000000102</v>
      </c>
      <c r="F179" s="177">
        <f t="shared" si="15"/>
        <v>1367.900000000003</v>
      </c>
      <c r="G179" s="177">
        <f t="shared" si="16"/>
        <v>3225.4699999999916</v>
      </c>
      <c r="H179" s="177">
        <f t="shared" si="17"/>
        <v>1286.2800000000047</v>
      </c>
      <c r="I179" s="177">
        <f t="shared" si="18"/>
        <v>3518.8300000000163</v>
      </c>
      <c r="K179" s="151">
        <f>K178+'Basic Data'!$AC$13</f>
        <v>2197.7400000000102</v>
      </c>
      <c r="L179" s="151">
        <f>L178+'Basic Data'!$AD$13</f>
        <v>2197.7400000000102</v>
      </c>
      <c r="M179" s="151">
        <f>M178+'Basic Data'!$AE$13</f>
        <v>1367.900000000003</v>
      </c>
      <c r="N179" s="151">
        <f>N178+'Basic Data'!$AF$13</f>
        <v>3225.4699999999916</v>
      </c>
      <c r="O179" s="151">
        <f>O178+'Basic Data'!$AG$13</f>
        <v>1286.2800000000047</v>
      </c>
      <c r="P179" s="151">
        <f>P178+'Basic Data'!$AH$13</f>
        <v>3518.8300000000163</v>
      </c>
    </row>
    <row r="180" spans="2:16">
      <c r="B180" s="156">
        <v>178</v>
      </c>
      <c r="C180" s="176">
        <v>178</v>
      </c>
      <c r="D180" s="177">
        <f t="shared" si="13"/>
        <v>2209.6200000000104</v>
      </c>
      <c r="E180" s="177">
        <f t="shared" si="14"/>
        <v>2209.6200000000104</v>
      </c>
      <c r="F180" s="177">
        <f t="shared" si="15"/>
        <v>1375.2900000000031</v>
      </c>
      <c r="G180" s="177">
        <f t="shared" si="16"/>
        <v>3242.8999999999915</v>
      </c>
      <c r="H180" s="177">
        <f t="shared" si="17"/>
        <v>1293.2300000000048</v>
      </c>
      <c r="I180" s="177">
        <f t="shared" si="18"/>
        <v>3537.8400000000165</v>
      </c>
      <c r="K180" s="151">
        <f>K179+'Basic Data'!$AC$13</f>
        <v>2209.6200000000104</v>
      </c>
      <c r="L180" s="151">
        <f>L179+'Basic Data'!$AD$13</f>
        <v>2209.6200000000104</v>
      </c>
      <c r="M180" s="151">
        <f>M179+'Basic Data'!$AE$13</f>
        <v>1375.2900000000031</v>
      </c>
      <c r="N180" s="151">
        <f>N179+'Basic Data'!$AF$13</f>
        <v>3242.8999999999915</v>
      </c>
      <c r="O180" s="151">
        <f>O179+'Basic Data'!$AG$13</f>
        <v>1293.2300000000048</v>
      </c>
      <c r="P180" s="151">
        <f>P179+'Basic Data'!$AH$13</f>
        <v>3537.8400000000165</v>
      </c>
    </row>
    <row r="181" spans="2:16">
      <c r="B181" s="156">
        <v>179</v>
      </c>
      <c r="C181" s="176">
        <v>179</v>
      </c>
      <c r="D181" s="177">
        <f t="shared" si="13"/>
        <v>2221.5000000000105</v>
      </c>
      <c r="E181" s="177">
        <f t="shared" si="14"/>
        <v>2221.5000000000105</v>
      </c>
      <c r="F181" s="177">
        <f t="shared" si="15"/>
        <v>1382.6800000000032</v>
      </c>
      <c r="G181" s="177">
        <f t="shared" si="16"/>
        <v>3260.3299999999913</v>
      </c>
      <c r="H181" s="177">
        <f t="shared" si="17"/>
        <v>1300.1800000000048</v>
      </c>
      <c r="I181" s="177">
        <f t="shared" si="18"/>
        <v>3556.8500000000167</v>
      </c>
      <c r="K181" s="151">
        <f>K180+'Basic Data'!$AC$13</f>
        <v>2221.5000000000105</v>
      </c>
      <c r="L181" s="151">
        <f>L180+'Basic Data'!$AD$13</f>
        <v>2221.5000000000105</v>
      </c>
      <c r="M181" s="151">
        <f>M180+'Basic Data'!$AE$13</f>
        <v>1382.6800000000032</v>
      </c>
      <c r="N181" s="151">
        <f>N180+'Basic Data'!$AF$13</f>
        <v>3260.3299999999913</v>
      </c>
      <c r="O181" s="151">
        <f>O180+'Basic Data'!$AG$13</f>
        <v>1300.1800000000048</v>
      </c>
      <c r="P181" s="151">
        <f>P180+'Basic Data'!$AH$13</f>
        <v>3556.8500000000167</v>
      </c>
    </row>
    <row r="182" spans="2:16">
      <c r="B182" s="156">
        <v>180</v>
      </c>
      <c r="C182" s="176">
        <v>180</v>
      </c>
      <c r="D182" s="177">
        <f t="shared" si="13"/>
        <v>2233.3800000000106</v>
      </c>
      <c r="E182" s="177">
        <f t="shared" si="14"/>
        <v>2233.3800000000106</v>
      </c>
      <c r="F182" s="177">
        <f t="shared" si="15"/>
        <v>1390.0700000000033</v>
      </c>
      <c r="G182" s="177">
        <f t="shared" si="16"/>
        <v>3277.7599999999911</v>
      </c>
      <c r="H182" s="177">
        <f t="shared" si="17"/>
        <v>1307.1300000000049</v>
      </c>
      <c r="I182" s="177">
        <f t="shared" si="18"/>
        <v>3575.860000000017</v>
      </c>
      <c r="K182" s="151">
        <f>K181+'Basic Data'!$AC$13</f>
        <v>2233.3800000000106</v>
      </c>
      <c r="L182" s="151">
        <f>L181+'Basic Data'!$AD$13</f>
        <v>2233.3800000000106</v>
      </c>
      <c r="M182" s="151">
        <f>M181+'Basic Data'!$AE$13</f>
        <v>1390.0700000000033</v>
      </c>
      <c r="N182" s="151">
        <f>N181+'Basic Data'!$AF$13</f>
        <v>3277.7599999999911</v>
      </c>
      <c r="O182" s="151">
        <f>O181+'Basic Data'!$AG$13</f>
        <v>1307.1300000000049</v>
      </c>
      <c r="P182" s="151">
        <f>P181+'Basic Data'!$AH$13</f>
        <v>3575.860000000017</v>
      </c>
    </row>
    <row r="183" spans="2:16">
      <c r="B183" s="156">
        <v>181</v>
      </c>
      <c r="C183" s="176">
        <v>181</v>
      </c>
      <c r="D183" s="177">
        <f t="shared" si="13"/>
        <v>2245.2600000000107</v>
      </c>
      <c r="E183" s="177">
        <f t="shared" si="14"/>
        <v>2245.2600000000107</v>
      </c>
      <c r="F183" s="177">
        <f t="shared" si="15"/>
        <v>1397.4600000000034</v>
      </c>
      <c r="G183" s="177">
        <f t="shared" si="16"/>
        <v>3295.189999999991</v>
      </c>
      <c r="H183" s="177">
        <f t="shared" si="17"/>
        <v>1314.0800000000049</v>
      </c>
      <c r="I183" s="177">
        <f t="shared" si="18"/>
        <v>3594.8700000000172</v>
      </c>
      <c r="K183" s="151">
        <f>K182+'Basic Data'!$AC$13</f>
        <v>2245.2600000000107</v>
      </c>
      <c r="L183" s="151">
        <f>L182+'Basic Data'!$AD$13</f>
        <v>2245.2600000000107</v>
      </c>
      <c r="M183" s="151">
        <f>M182+'Basic Data'!$AE$13</f>
        <v>1397.4600000000034</v>
      </c>
      <c r="N183" s="151">
        <f>N182+'Basic Data'!$AF$13</f>
        <v>3295.189999999991</v>
      </c>
      <c r="O183" s="151">
        <f>O182+'Basic Data'!$AG$13</f>
        <v>1314.0800000000049</v>
      </c>
      <c r="P183" s="151">
        <f>P182+'Basic Data'!$AH$13</f>
        <v>3594.8700000000172</v>
      </c>
    </row>
    <row r="184" spans="2:16">
      <c r="B184" s="156">
        <v>182</v>
      </c>
      <c r="C184" s="176">
        <v>182</v>
      </c>
      <c r="D184" s="177">
        <f t="shared" si="13"/>
        <v>2257.1400000000108</v>
      </c>
      <c r="E184" s="177">
        <f t="shared" si="14"/>
        <v>2257.1400000000108</v>
      </c>
      <c r="F184" s="177">
        <f t="shared" si="15"/>
        <v>1404.8500000000035</v>
      </c>
      <c r="G184" s="177">
        <f t="shared" si="16"/>
        <v>3312.6199999999908</v>
      </c>
      <c r="H184" s="177">
        <f t="shared" si="17"/>
        <v>1321.030000000005</v>
      </c>
      <c r="I184" s="177">
        <f t="shared" si="18"/>
        <v>3613.8800000000174</v>
      </c>
      <c r="K184" s="151">
        <f>K183+'Basic Data'!$AC$13</f>
        <v>2257.1400000000108</v>
      </c>
      <c r="L184" s="151">
        <f>L183+'Basic Data'!$AD$13</f>
        <v>2257.1400000000108</v>
      </c>
      <c r="M184" s="151">
        <f>M183+'Basic Data'!$AE$13</f>
        <v>1404.8500000000035</v>
      </c>
      <c r="N184" s="151">
        <f>N183+'Basic Data'!$AF$13</f>
        <v>3312.6199999999908</v>
      </c>
      <c r="O184" s="151">
        <f>O183+'Basic Data'!$AG$13</f>
        <v>1321.030000000005</v>
      </c>
      <c r="P184" s="151">
        <f>P183+'Basic Data'!$AH$13</f>
        <v>3613.8800000000174</v>
      </c>
    </row>
    <row r="185" spans="2:16">
      <c r="B185" s="156">
        <v>183</v>
      </c>
      <c r="C185" s="176">
        <v>183</v>
      </c>
      <c r="D185" s="177">
        <f t="shared" si="13"/>
        <v>2269.0200000000109</v>
      </c>
      <c r="E185" s="177">
        <f t="shared" si="14"/>
        <v>2269.0200000000109</v>
      </c>
      <c r="F185" s="177">
        <f t="shared" si="15"/>
        <v>1412.2400000000036</v>
      </c>
      <c r="G185" s="177">
        <f t="shared" si="16"/>
        <v>3330.0499999999906</v>
      </c>
      <c r="H185" s="177">
        <f t="shared" si="17"/>
        <v>1327.980000000005</v>
      </c>
      <c r="I185" s="177">
        <f t="shared" si="18"/>
        <v>3632.8900000000176</v>
      </c>
      <c r="K185" s="151">
        <f>K184+'Basic Data'!$AC$13</f>
        <v>2269.0200000000109</v>
      </c>
      <c r="L185" s="151">
        <f>L184+'Basic Data'!$AD$13</f>
        <v>2269.0200000000109</v>
      </c>
      <c r="M185" s="151">
        <f>M184+'Basic Data'!$AE$13</f>
        <v>1412.2400000000036</v>
      </c>
      <c r="N185" s="151">
        <f>N184+'Basic Data'!$AF$13</f>
        <v>3330.0499999999906</v>
      </c>
      <c r="O185" s="151">
        <f>O184+'Basic Data'!$AG$13</f>
        <v>1327.980000000005</v>
      </c>
      <c r="P185" s="151">
        <f>P184+'Basic Data'!$AH$13</f>
        <v>3632.8900000000176</v>
      </c>
    </row>
    <row r="186" spans="2:16">
      <c r="B186" s="156">
        <v>184</v>
      </c>
      <c r="C186" s="176">
        <v>184</v>
      </c>
      <c r="D186" s="177">
        <f t="shared" si="13"/>
        <v>2280.900000000011</v>
      </c>
      <c r="E186" s="177">
        <f t="shared" si="14"/>
        <v>2280.900000000011</v>
      </c>
      <c r="F186" s="177">
        <f t="shared" si="15"/>
        <v>1419.6300000000037</v>
      </c>
      <c r="G186" s="177">
        <f t="shared" si="16"/>
        <v>3347.4799999999905</v>
      </c>
      <c r="H186" s="177">
        <f t="shared" si="17"/>
        <v>1334.9300000000051</v>
      </c>
      <c r="I186" s="177">
        <f t="shared" si="18"/>
        <v>3651.9000000000178</v>
      </c>
      <c r="K186" s="151">
        <f>K185+'Basic Data'!$AC$13</f>
        <v>2280.900000000011</v>
      </c>
      <c r="L186" s="151">
        <f>L185+'Basic Data'!$AD$13</f>
        <v>2280.900000000011</v>
      </c>
      <c r="M186" s="151">
        <f>M185+'Basic Data'!$AE$13</f>
        <v>1419.6300000000037</v>
      </c>
      <c r="N186" s="151">
        <f>N185+'Basic Data'!$AF$13</f>
        <v>3347.4799999999905</v>
      </c>
      <c r="O186" s="151">
        <f>O185+'Basic Data'!$AG$13</f>
        <v>1334.9300000000051</v>
      </c>
      <c r="P186" s="151">
        <f>P185+'Basic Data'!$AH$13</f>
        <v>3651.9000000000178</v>
      </c>
    </row>
    <row r="187" spans="2:16">
      <c r="B187" s="156">
        <v>185</v>
      </c>
      <c r="C187" s="176">
        <v>185</v>
      </c>
      <c r="D187" s="177">
        <f t="shared" si="13"/>
        <v>2292.7800000000111</v>
      </c>
      <c r="E187" s="177">
        <f t="shared" si="14"/>
        <v>2292.7800000000111</v>
      </c>
      <c r="F187" s="177">
        <f t="shared" si="15"/>
        <v>1427.0200000000038</v>
      </c>
      <c r="G187" s="177">
        <f t="shared" si="16"/>
        <v>3364.9099999999903</v>
      </c>
      <c r="H187" s="177">
        <f t="shared" si="17"/>
        <v>1341.8800000000051</v>
      </c>
      <c r="I187" s="177">
        <f t="shared" si="18"/>
        <v>3670.910000000018</v>
      </c>
      <c r="K187" s="151">
        <f>K186+'Basic Data'!$AC$13</f>
        <v>2292.7800000000111</v>
      </c>
      <c r="L187" s="151">
        <f>L186+'Basic Data'!$AD$13</f>
        <v>2292.7800000000111</v>
      </c>
      <c r="M187" s="151">
        <f>M186+'Basic Data'!$AE$13</f>
        <v>1427.0200000000038</v>
      </c>
      <c r="N187" s="151">
        <f>N186+'Basic Data'!$AF$13</f>
        <v>3364.9099999999903</v>
      </c>
      <c r="O187" s="151">
        <f>O186+'Basic Data'!$AG$13</f>
        <v>1341.8800000000051</v>
      </c>
      <c r="P187" s="151">
        <f>P186+'Basic Data'!$AH$13</f>
        <v>3670.910000000018</v>
      </c>
    </row>
    <row r="188" spans="2:16">
      <c r="B188" s="156">
        <v>186</v>
      </c>
      <c r="C188" s="176">
        <v>186</v>
      </c>
      <c r="D188" s="177">
        <f t="shared" si="13"/>
        <v>2304.6600000000112</v>
      </c>
      <c r="E188" s="177">
        <f t="shared" si="14"/>
        <v>2304.6600000000112</v>
      </c>
      <c r="F188" s="177">
        <f t="shared" si="15"/>
        <v>1434.4100000000039</v>
      </c>
      <c r="G188" s="177">
        <f t="shared" si="16"/>
        <v>3382.3399999999901</v>
      </c>
      <c r="H188" s="177">
        <f t="shared" si="17"/>
        <v>1348.8300000000052</v>
      </c>
      <c r="I188" s="177">
        <f t="shared" si="18"/>
        <v>3689.9200000000183</v>
      </c>
      <c r="K188" s="151">
        <f>K187+'Basic Data'!$AC$13</f>
        <v>2304.6600000000112</v>
      </c>
      <c r="L188" s="151">
        <f>L187+'Basic Data'!$AD$13</f>
        <v>2304.6600000000112</v>
      </c>
      <c r="M188" s="151">
        <f>M187+'Basic Data'!$AE$13</f>
        <v>1434.4100000000039</v>
      </c>
      <c r="N188" s="151">
        <f>N187+'Basic Data'!$AF$13</f>
        <v>3382.3399999999901</v>
      </c>
      <c r="O188" s="151">
        <f>O187+'Basic Data'!$AG$13</f>
        <v>1348.8300000000052</v>
      </c>
      <c r="P188" s="151">
        <f>P187+'Basic Data'!$AH$13</f>
        <v>3689.9200000000183</v>
      </c>
    </row>
    <row r="189" spans="2:16">
      <c r="B189" s="156">
        <v>187</v>
      </c>
      <c r="C189" s="176">
        <v>187</v>
      </c>
      <c r="D189" s="177">
        <f t="shared" si="13"/>
        <v>2316.5400000000113</v>
      </c>
      <c r="E189" s="177">
        <f t="shared" si="14"/>
        <v>2316.5400000000113</v>
      </c>
      <c r="F189" s="177">
        <f t="shared" si="15"/>
        <v>1441.800000000004</v>
      </c>
      <c r="G189" s="177">
        <f t="shared" si="16"/>
        <v>3399.76999999999</v>
      </c>
      <c r="H189" s="177">
        <f t="shared" si="17"/>
        <v>1355.7800000000052</v>
      </c>
      <c r="I189" s="177">
        <f t="shared" si="18"/>
        <v>3708.9300000000185</v>
      </c>
      <c r="K189" s="151">
        <f>K188+'Basic Data'!$AC$13</f>
        <v>2316.5400000000113</v>
      </c>
      <c r="L189" s="151">
        <f>L188+'Basic Data'!$AD$13</f>
        <v>2316.5400000000113</v>
      </c>
      <c r="M189" s="151">
        <f>M188+'Basic Data'!$AE$13</f>
        <v>1441.800000000004</v>
      </c>
      <c r="N189" s="151">
        <f>N188+'Basic Data'!$AF$13</f>
        <v>3399.76999999999</v>
      </c>
      <c r="O189" s="151">
        <f>O188+'Basic Data'!$AG$13</f>
        <v>1355.7800000000052</v>
      </c>
      <c r="P189" s="151">
        <f>P188+'Basic Data'!$AH$13</f>
        <v>3708.9300000000185</v>
      </c>
    </row>
    <row r="190" spans="2:16">
      <c r="B190" s="156">
        <v>188</v>
      </c>
      <c r="C190" s="176">
        <v>188</v>
      </c>
      <c r="D190" s="177">
        <f t="shared" si="13"/>
        <v>2328.4200000000114</v>
      </c>
      <c r="E190" s="177">
        <f t="shared" si="14"/>
        <v>2328.4200000000114</v>
      </c>
      <c r="F190" s="177">
        <f t="shared" si="15"/>
        <v>1449.1900000000041</v>
      </c>
      <c r="G190" s="177">
        <f t="shared" si="16"/>
        <v>3417.1999999999898</v>
      </c>
      <c r="H190" s="177">
        <f t="shared" si="17"/>
        <v>1362.7300000000052</v>
      </c>
      <c r="I190" s="177">
        <f t="shared" si="18"/>
        <v>3727.9400000000187</v>
      </c>
      <c r="K190" s="151">
        <f>K189+'Basic Data'!$AC$13</f>
        <v>2328.4200000000114</v>
      </c>
      <c r="L190" s="151">
        <f>L189+'Basic Data'!$AD$13</f>
        <v>2328.4200000000114</v>
      </c>
      <c r="M190" s="151">
        <f>M189+'Basic Data'!$AE$13</f>
        <v>1449.1900000000041</v>
      </c>
      <c r="N190" s="151">
        <f>N189+'Basic Data'!$AF$13</f>
        <v>3417.1999999999898</v>
      </c>
      <c r="O190" s="151">
        <f>O189+'Basic Data'!$AG$13</f>
        <v>1362.7300000000052</v>
      </c>
      <c r="P190" s="151">
        <f>P189+'Basic Data'!$AH$13</f>
        <v>3727.9400000000187</v>
      </c>
    </row>
    <row r="191" spans="2:16">
      <c r="B191" s="156">
        <v>189</v>
      </c>
      <c r="C191" s="176">
        <v>189</v>
      </c>
      <c r="D191" s="177">
        <f t="shared" si="13"/>
        <v>2340.3000000000116</v>
      </c>
      <c r="E191" s="177">
        <f t="shared" si="14"/>
        <v>2340.3000000000116</v>
      </c>
      <c r="F191" s="177">
        <f t="shared" si="15"/>
        <v>1456.5800000000042</v>
      </c>
      <c r="G191" s="177">
        <f t="shared" si="16"/>
        <v>3434.6299999999896</v>
      </c>
      <c r="H191" s="177">
        <f t="shared" si="17"/>
        <v>1369.6800000000053</v>
      </c>
      <c r="I191" s="177">
        <f t="shared" si="18"/>
        <v>3746.9500000000189</v>
      </c>
      <c r="K191" s="151">
        <f>K190+'Basic Data'!$AC$13</f>
        <v>2340.3000000000116</v>
      </c>
      <c r="L191" s="151">
        <f>L190+'Basic Data'!$AD$13</f>
        <v>2340.3000000000116</v>
      </c>
      <c r="M191" s="151">
        <f>M190+'Basic Data'!$AE$13</f>
        <v>1456.5800000000042</v>
      </c>
      <c r="N191" s="151">
        <f>N190+'Basic Data'!$AF$13</f>
        <v>3434.6299999999896</v>
      </c>
      <c r="O191" s="151">
        <f>O190+'Basic Data'!$AG$13</f>
        <v>1369.6800000000053</v>
      </c>
      <c r="P191" s="151">
        <f>P190+'Basic Data'!$AH$13</f>
        <v>3746.9500000000189</v>
      </c>
    </row>
    <row r="192" spans="2:16">
      <c r="B192" s="156">
        <v>190</v>
      </c>
      <c r="C192" s="176">
        <v>190</v>
      </c>
      <c r="D192" s="177">
        <f t="shared" si="13"/>
        <v>2352.1800000000117</v>
      </c>
      <c r="E192" s="177">
        <f t="shared" si="14"/>
        <v>2352.1800000000117</v>
      </c>
      <c r="F192" s="177">
        <f t="shared" si="15"/>
        <v>1463.9700000000043</v>
      </c>
      <c r="G192" s="177">
        <f t="shared" si="16"/>
        <v>3452.0599999999895</v>
      </c>
      <c r="H192" s="177">
        <f t="shared" si="17"/>
        <v>1376.6300000000053</v>
      </c>
      <c r="I192" s="177">
        <f t="shared" si="18"/>
        <v>3765.9600000000191</v>
      </c>
      <c r="K192" s="151">
        <f>K191+'Basic Data'!$AC$13</f>
        <v>2352.1800000000117</v>
      </c>
      <c r="L192" s="151">
        <f>L191+'Basic Data'!$AD$13</f>
        <v>2352.1800000000117</v>
      </c>
      <c r="M192" s="151">
        <f>M191+'Basic Data'!$AE$13</f>
        <v>1463.9700000000043</v>
      </c>
      <c r="N192" s="151">
        <f>N191+'Basic Data'!$AF$13</f>
        <v>3452.0599999999895</v>
      </c>
      <c r="O192" s="151">
        <f>O191+'Basic Data'!$AG$13</f>
        <v>1376.6300000000053</v>
      </c>
      <c r="P192" s="151">
        <f>P191+'Basic Data'!$AH$13</f>
        <v>3765.9600000000191</v>
      </c>
    </row>
    <row r="193" spans="2:16">
      <c r="B193" s="156">
        <v>191</v>
      </c>
      <c r="C193" s="176">
        <v>191</v>
      </c>
      <c r="D193" s="177">
        <f t="shared" si="13"/>
        <v>2364.0600000000118</v>
      </c>
      <c r="E193" s="177">
        <f t="shared" si="14"/>
        <v>2364.0600000000118</v>
      </c>
      <c r="F193" s="177">
        <f t="shared" si="15"/>
        <v>1471.3600000000044</v>
      </c>
      <c r="G193" s="177">
        <f t="shared" si="16"/>
        <v>3469.4899999999893</v>
      </c>
      <c r="H193" s="177">
        <f t="shared" si="17"/>
        <v>1383.5800000000054</v>
      </c>
      <c r="I193" s="177">
        <f t="shared" si="18"/>
        <v>3784.9700000000194</v>
      </c>
      <c r="K193" s="151">
        <f>K192+'Basic Data'!$AC$13</f>
        <v>2364.0600000000118</v>
      </c>
      <c r="L193" s="151">
        <f>L192+'Basic Data'!$AD$13</f>
        <v>2364.0600000000118</v>
      </c>
      <c r="M193" s="151">
        <f>M192+'Basic Data'!$AE$13</f>
        <v>1471.3600000000044</v>
      </c>
      <c r="N193" s="151">
        <f>N192+'Basic Data'!$AF$13</f>
        <v>3469.4899999999893</v>
      </c>
      <c r="O193" s="151">
        <f>O192+'Basic Data'!$AG$13</f>
        <v>1383.5800000000054</v>
      </c>
      <c r="P193" s="151">
        <f>P192+'Basic Data'!$AH$13</f>
        <v>3784.9700000000194</v>
      </c>
    </row>
    <row r="194" spans="2:16">
      <c r="B194" s="156">
        <v>192</v>
      </c>
      <c r="C194" s="176">
        <v>192</v>
      </c>
      <c r="D194" s="177">
        <f t="shared" si="13"/>
        <v>2375.9400000000119</v>
      </c>
      <c r="E194" s="177">
        <f t="shared" si="14"/>
        <v>2375.9400000000119</v>
      </c>
      <c r="F194" s="177">
        <f t="shared" si="15"/>
        <v>1478.7500000000045</v>
      </c>
      <c r="G194" s="177">
        <f t="shared" si="16"/>
        <v>3486.9199999999892</v>
      </c>
      <c r="H194" s="177">
        <f t="shared" si="17"/>
        <v>1390.5300000000054</v>
      </c>
      <c r="I194" s="177">
        <f t="shared" si="18"/>
        <v>3803.9800000000196</v>
      </c>
      <c r="K194" s="151">
        <f>K193+'Basic Data'!$AC$13</f>
        <v>2375.9400000000119</v>
      </c>
      <c r="L194" s="151">
        <f>L193+'Basic Data'!$AD$13</f>
        <v>2375.9400000000119</v>
      </c>
      <c r="M194" s="151">
        <f>M193+'Basic Data'!$AE$13</f>
        <v>1478.7500000000045</v>
      </c>
      <c r="N194" s="151">
        <f>N193+'Basic Data'!$AF$13</f>
        <v>3486.9199999999892</v>
      </c>
      <c r="O194" s="151">
        <f>O193+'Basic Data'!$AG$13</f>
        <v>1390.5300000000054</v>
      </c>
      <c r="P194" s="151">
        <f>P193+'Basic Data'!$AH$13</f>
        <v>3803.9800000000196</v>
      </c>
    </row>
    <row r="195" spans="2:16">
      <c r="B195" s="156">
        <v>193</v>
      </c>
      <c r="C195" s="176">
        <v>193</v>
      </c>
      <c r="D195" s="177">
        <f t="shared" si="13"/>
        <v>2387.820000000012</v>
      </c>
      <c r="E195" s="177">
        <f t="shared" si="14"/>
        <v>2387.820000000012</v>
      </c>
      <c r="F195" s="177">
        <f t="shared" si="15"/>
        <v>1486.1400000000046</v>
      </c>
      <c r="G195" s="177">
        <f t="shared" si="16"/>
        <v>3504.349999999989</v>
      </c>
      <c r="H195" s="177">
        <f t="shared" si="17"/>
        <v>1397.4800000000055</v>
      </c>
      <c r="I195" s="177">
        <f t="shared" si="18"/>
        <v>3822.9900000000198</v>
      </c>
      <c r="K195" s="151">
        <f>K194+'Basic Data'!$AC$13</f>
        <v>2387.820000000012</v>
      </c>
      <c r="L195" s="151">
        <f>L194+'Basic Data'!$AD$13</f>
        <v>2387.820000000012</v>
      </c>
      <c r="M195" s="151">
        <f>M194+'Basic Data'!$AE$13</f>
        <v>1486.1400000000046</v>
      </c>
      <c r="N195" s="151">
        <f>N194+'Basic Data'!$AF$13</f>
        <v>3504.349999999989</v>
      </c>
      <c r="O195" s="151">
        <f>O194+'Basic Data'!$AG$13</f>
        <v>1397.4800000000055</v>
      </c>
      <c r="P195" s="151">
        <f>P194+'Basic Data'!$AH$13</f>
        <v>3822.9900000000198</v>
      </c>
    </row>
    <row r="196" spans="2:16">
      <c r="B196" s="156">
        <v>194</v>
      </c>
      <c r="C196" s="176">
        <v>194</v>
      </c>
      <c r="D196" s="177">
        <f t="shared" ref="D196:D259" si="19">K196</f>
        <v>2399.7000000000121</v>
      </c>
      <c r="E196" s="177">
        <f t="shared" ref="E196:E259" si="20">L196</f>
        <v>2399.7000000000121</v>
      </c>
      <c r="F196" s="177">
        <f t="shared" ref="F196:F259" si="21">M196</f>
        <v>1493.5300000000047</v>
      </c>
      <c r="G196" s="177">
        <f t="shared" ref="G196:G259" si="22">N196</f>
        <v>3521.7799999999888</v>
      </c>
      <c r="H196" s="177">
        <f t="shared" ref="H196:H259" si="23">O196</f>
        <v>1404.4300000000055</v>
      </c>
      <c r="I196" s="177">
        <f t="shared" ref="I196:I259" si="24">P196</f>
        <v>3842.00000000002</v>
      </c>
      <c r="K196" s="151">
        <f>K195+'Basic Data'!$AC$13</f>
        <v>2399.7000000000121</v>
      </c>
      <c r="L196" s="151">
        <f>L195+'Basic Data'!$AD$13</f>
        <v>2399.7000000000121</v>
      </c>
      <c r="M196" s="151">
        <f>M195+'Basic Data'!$AE$13</f>
        <v>1493.5300000000047</v>
      </c>
      <c r="N196" s="151">
        <f>N195+'Basic Data'!$AF$13</f>
        <v>3521.7799999999888</v>
      </c>
      <c r="O196" s="151">
        <f>O195+'Basic Data'!$AG$13</f>
        <v>1404.4300000000055</v>
      </c>
      <c r="P196" s="151">
        <f>P195+'Basic Data'!$AH$13</f>
        <v>3842.00000000002</v>
      </c>
    </row>
    <row r="197" spans="2:16">
      <c r="B197" s="156">
        <v>195</v>
      </c>
      <c r="C197" s="176">
        <v>195</v>
      </c>
      <c r="D197" s="177">
        <f t="shared" si="19"/>
        <v>2411.5800000000122</v>
      </c>
      <c r="E197" s="177">
        <f t="shared" si="20"/>
        <v>2411.5800000000122</v>
      </c>
      <c r="F197" s="177">
        <f t="shared" si="21"/>
        <v>1500.9200000000048</v>
      </c>
      <c r="G197" s="177">
        <f t="shared" si="22"/>
        <v>3539.2099999999887</v>
      </c>
      <c r="H197" s="177">
        <f t="shared" si="23"/>
        <v>1411.3800000000056</v>
      </c>
      <c r="I197" s="177">
        <f t="shared" si="24"/>
        <v>3861.0100000000202</v>
      </c>
      <c r="K197" s="151">
        <f>K196+'Basic Data'!$AC$13</f>
        <v>2411.5800000000122</v>
      </c>
      <c r="L197" s="151">
        <f>L196+'Basic Data'!$AD$13</f>
        <v>2411.5800000000122</v>
      </c>
      <c r="M197" s="151">
        <f>M196+'Basic Data'!$AE$13</f>
        <v>1500.9200000000048</v>
      </c>
      <c r="N197" s="151">
        <f>N196+'Basic Data'!$AF$13</f>
        <v>3539.2099999999887</v>
      </c>
      <c r="O197" s="151">
        <f>O196+'Basic Data'!$AG$13</f>
        <v>1411.3800000000056</v>
      </c>
      <c r="P197" s="151">
        <f>P196+'Basic Data'!$AH$13</f>
        <v>3861.0100000000202</v>
      </c>
    </row>
    <row r="198" spans="2:16">
      <c r="B198" s="156">
        <v>196</v>
      </c>
      <c r="C198" s="176">
        <v>196</v>
      </c>
      <c r="D198" s="177">
        <f t="shared" si="19"/>
        <v>2423.4600000000123</v>
      </c>
      <c r="E198" s="177">
        <f t="shared" si="20"/>
        <v>2423.4600000000123</v>
      </c>
      <c r="F198" s="177">
        <f t="shared" si="21"/>
        <v>1508.3100000000049</v>
      </c>
      <c r="G198" s="177">
        <f t="shared" si="22"/>
        <v>3556.6399999999885</v>
      </c>
      <c r="H198" s="177">
        <f t="shared" si="23"/>
        <v>1418.3300000000056</v>
      </c>
      <c r="I198" s="177">
        <f t="shared" si="24"/>
        <v>3880.0200000000204</v>
      </c>
      <c r="K198" s="151">
        <f>K197+'Basic Data'!$AC$13</f>
        <v>2423.4600000000123</v>
      </c>
      <c r="L198" s="151">
        <f>L197+'Basic Data'!$AD$13</f>
        <v>2423.4600000000123</v>
      </c>
      <c r="M198" s="151">
        <f>M197+'Basic Data'!$AE$13</f>
        <v>1508.3100000000049</v>
      </c>
      <c r="N198" s="151">
        <f>N197+'Basic Data'!$AF$13</f>
        <v>3556.6399999999885</v>
      </c>
      <c r="O198" s="151">
        <f>O197+'Basic Data'!$AG$13</f>
        <v>1418.3300000000056</v>
      </c>
      <c r="P198" s="151">
        <f>P197+'Basic Data'!$AH$13</f>
        <v>3880.0200000000204</v>
      </c>
    </row>
    <row r="199" spans="2:16">
      <c r="B199" s="156">
        <v>197</v>
      </c>
      <c r="C199" s="176">
        <v>197</v>
      </c>
      <c r="D199" s="177">
        <f t="shared" si="19"/>
        <v>2435.3400000000124</v>
      </c>
      <c r="E199" s="177">
        <f t="shared" si="20"/>
        <v>2435.3400000000124</v>
      </c>
      <c r="F199" s="177">
        <f t="shared" si="21"/>
        <v>1515.700000000005</v>
      </c>
      <c r="G199" s="177">
        <f t="shared" si="22"/>
        <v>3574.0699999999883</v>
      </c>
      <c r="H199" s="177">
        <f t="shared" si="23"/>
        <v>1425.2800000000057</v>
      </c>
      <c r="I199" s="177">
        <f t="shared" si="24"/>
        <v>3899.0300000000207</v>
      </c>
      <c r="K199" s="151">
        <f>K198+'Basic Data'!$AC$13</f>
        <v>2435.3400000000124</v>
      </c>
      <c r="L199" s="151">
        <f>L198+'Basic Data'!$AD$13</f>
        <v>2435.3400000000124</v>
      </c>
      <c r="M199" s="151">
        <f>M198+'Basic Data'!$AE$13</f>
        <v>1515.700000000005</v>
      </c>
      <c r="N199" s="151">
        <f>N198+'Basic Data'!$AF$13</f>
        <v>3574.0699999999883</v>
      </c>
      <c r="O199" s="151">
        <f>O198+'Basic Data'!$AG$13</f>
        <v>1425.2800000000057</v>
      </c>
      <c r="P199" s="151">
        <f>P198+'Basic Data'!$AH$13</f>
        <v>3899.0300000000207</v>
      </c>
    </row>
    <row r="200" spans="2:16">
      <c r="B200" s="156">
        <v>198</v>
      </c>
      <c r="C200" s="176">
        <v>198</v>
      </c>
      <c r="D200" s="177">
        <f t="shared" si="19"/>
        <v>2447.2200000000125</v>
      </c>
      <c r="E200" s="177">
        <f t="shared" si="20"/>
        <v>2447.2200000000125</v>
      </c>
      <c r="F200" s="177">
        <f t="shared" si="21"/>
        <v>1523.0900000000051</v>
      </c>
      <c r="G200" s="177">
        <f t="shared" si="22"/>
        <v>3591.4999999999882</v>
      </c>
      <c r="H200" s="177">
        <f t="shared" si="23"/>
        <v>1432.2300000000057</v>
      </c>
      <c r="I200" s="177">
        <f t="shared" si="24"/>
        <v>3918.0400000000209</v>
      </c>
      <c r="K200" s="151">
        <f>K199+'Basic Data'!$AC$13</f>
        <v>2447.2200000000125</v>
      </c>
      <c r="L200" s="151">
        <f>L199+'Basic Data'!$AD$13</f>
        <v>2447.2200000000125</v>
      </c>
      <c r="M200" s="151">
        <f>M199+'Basic Data'!$AE$13</f>
        <v>1523.0900000000051</v>
      </c>
      <c r="N200" s="151">
        <f>N199+'Basic Data'!$AF$13</f>
        <v>3591.4999999999882</v>
      </c>
      <c r="O200" s="151">
        <f>O199+'Basic Data'!$AG$13</f>
        <v>1432.2300000000057</v>
      </c>
      <c r="P200" s="151">
        <f>P199+'Basic Data'!$AH$13</f>
        <v>3918.0400000000209</v>
      </c>
    </row>
    <row r="201" spans="2:16">
      <c r="B201" s="156">
        <v>199</v>
      </c>
      <c r="C201" s="176">
        <v>199</v>
      </c>
      <c r="D201" s="177">
        <f t="shared" si="19"/>
        <v>2459.1000000000126</v>
      </c>
      <c r="E201" s="177">
        <f t="shared" si="20"/>
        <v>2459.1000000000126</v>
      </c>
      <c r="F201" s="177">
        <f t="shared" si="21"/>
        <v>1530.4800000000052</v>
      </c>
      <c r="G201" s="177">
        <f t="shared" si="22"/>
        <v>3608.929999999988</v>
      </c>
      <c r="H201" s="177">
        <f t="shared" si="23"/>
        <v>1439.1800000000057</v>
      </c>
      <c r="I201" s="177">
        <f t="shared" si="24"/>
        <v>3937.0500000000211</v>
      </c>
      <c r="K201" s="151">
        <f>K200+'Basic Data'!$AC$13</f>
        <v>2459.1000000000126</v>
      </c>
      <c r="L201" s="151">
        <f>L200+'Basic Data'!$AD$13</f>
        <v>2459.1000000000126</v>
      </c>
      <c r="M201" s="151">
        <f>M200+'Basic Data'!$AE$13</f>
        <v>1530.4800000000052</v>
      </c>
      <c r="N201" s="151">
        <f>N200+'Basic Data'!$AF$13</f>
        <v>3608.929999999988</v>
      </c>
      <c r="O201" s="151">
        <f>O200+'Basic Data'!$AG$13</f>
        <v>1439.1800000000057</v>
      </c>
      <c r="P201" s="151">
        <f>P200+'Basic Data'!$AH$13</f>
        <v>3937.0500000000211</v>
      </c>
    </row>
    <row r="202" spans="2:16">
      <c r="B202" s="156">
        <v>200</v>
      </c>
      <c r="C202" s="176">
        <v>200</v>
      </c>
      <c r="D202" s="177">
        <f t="shared" si="19"/>
        <v>2470.9800000000128</v>
      </c>
      <c r="E202" s="177">
        <f t="shared" si="20"/>
        <v>2470.9800000000128</v>
      </c>
      <c r="F202" s="177">
        <f t="shared" si="21"/>
        <v>1537.8700000000053</v>
      </c>
      <c r="G202" s="177">
        <f t="shared" si="22"/>
        <v>3626.3599999999878</v>
      </c>
      <c r="H202" s="177">
        <f t="shared" si="23"/>
        <v>1446.1300000000058</v>
      </c>
      <c r="I202" s="177">
        <f t="shared" si="24"/>
        <v>3956.0600000000213</v>
      </c>
      <c r="K202" s="151">
        <f>K201+'Basic Data'!$AC$13</f>
        <v>2470.9800000000128</v>
      </c>
      <c r="L202" s="151">
        <f>L201+'Basic Data'!$AD$13</f>
        <v>2470.9800000000128</v>
      </c>
      <c r="M202" s="151">
        <f>M201+'Basic Data'!$AE$13</f>
        <v>1537.8700000000053</v>
      </c>
      <c r="N202" s="151">
        <f>N201+'Basic Data'!$AF$13</f>
        <v>3626.3599999999878</v>
      </c>
      <c r="O202" s="151">
        <f>O201+'Basic Data'!$AG$13</f>
        <v>1446.1300000000058</v>
      </c>
      <c r="P202" s="151">
        <f>P201+'Basic Data'!$AH$13</f>
        <v>3956.0600000000213</v>
      </c>
    </row>
    <row r="203" spans="2:16">
      <c r="B203" s="156">
        <v>201</v>
      </c>
      <c r="C203" s="176">
        <v>201</v>
      </c>
      <c r="D203" s="177">
        <f t="shared" si="19"/>
        <v>2482.8600000000129</v>
      </c>
      <c r="E203" s="177">
        <f t="shared" si="20"/>
        <v>2482.8600000000129</v>
      </c>
      <c r="F203" s="177">
        <f t="shared" si="21"/>
        <v>1545.2600000000054</v>
      </c>
      <c r="G203" s="177">
        <f t="shared" si="22"/>
        <v>3643.7899999999877</v>
      </c>
      <c r="H203" s="177">
        <f t="shared" si="23"/>
        <v>1453.0800000000058</v>
      </c>
      <c r="I203" s="177">
        <f t="shared" si="24"/>
        <v>3975.0700000000215</v>
      </c>
      <c r="K203" s="151">
        <f>K202+'Basic Data'!$AC$13</f>
        <v>2482.8600000000129</v>
      </c>
      <c r="L203" s="151">
        <f>L202+'Basic Data'!$AD$13</f>
        <v>2482.8600000000129</v>
      </c>
      <c r="M203" s="151">
        <f>M202+'Basic Data'!$AE$13</f>
        <v>1545.2600000000054</v>
      </c>
      <c r="N203" s="151">
        <f>N202+'Basic Data'!$AF$13</f>
        <v>3643.7899999999877</v>
      </c>
      <c r="O203" s="151">
        <f>O202+'Basic Data'!$AG$13</f>
        <v>1453.0800000000058</v>
      </c>
      <c r="P203" s="151">
        <f>P202+'Basic Data'!$AH$13</f>
        <v>3975.0700000000215</v>
      </c>
    </row>
    <row r="204" spans="2:16">
      <c r="B204" s="156">
        <v>202</v>
      </c>
      <c r="C204" s="176">
        <v>202</v>
      </c>
      <c r="D204" s="177">
        <f t="shared" si="19"/>
        <v>2494.740000000013</v>
      </c>
      <c r="E204" s="177">
        <f t="shared" si="20"/>
        <v>2494.740000000013</v>
      </c>
      <c r="F204" s="177">
        <f t="shared" si="21"/>
        <v>1552.6500000000055</v>
      </c>
      <c r="G204" s="177">
        <f t="shared" si="22"/>
        <v>3661.2199999999875</v>
      </c>
      <c r="H204" s="177">
        <f t="shared" si="23"/>
        <v>1460.0300000000059</v>
      </c>
      <c r="I204" s="177">
        <f t="shared" si="24"/>
        <v>3994.0800000000218</v>
      </c>
      <c r="K204" s="151">
        <f>K203+'Basic Data'!$AC$13</f>
        <v>2494.740000000013</v>
      </c>
      <c r="L204" s="151">
        <f>L203+'Basic Data'!$AD$13</f>
        <v>2494.740000000013</v>
      </c>
      <c r="M204" s="151">
        <f>M203+'Basic Data'!$AE$13</f>
        <v>1552.6500000000055</v>
      </c>
      <c r="N204" s="151">
        <f>N203+'Basic Data'!$AF$13</f>
        <v>3661.2199999999875</v>
      </c>
      <c r="O204" s="151">
        <f>O203+'Basic Data'!$AG$13</f>
        <v>1460.0300000000059</v>
      </c>
      <c r="P204" s="151">
        <f>P203+'Basic Data'!$AH$13</f>
        <v>3994.0800000000218</v>
      </c>
    </row>
    <row r="205" spans="2:16">
      <c r="B205" s="156">
        <v>203</v>
      </c>
      <c r="C205" s="176">
        <v>203</v>
      </c>
      <c r="D205" s="177">
        <f t="shared" si="19"/>
        <v>2506.6200000000131</v>
      </c>
      <c r="E205" s="177">
        <f t="shared" si="20"/>
        <v>2506.6200000000131</v>
      </c>
      <c r="F205" s="177">
        <f t="shared" si="21"/>
        <v>1560.0400000000056</v>
      </c>
      <c r="G205" s="177">
        <f t="shared" si="22"/>
        <v>3678.6499999999874</v>
      </c>
      <c r="H205" s="177">
        <f t="shared" si="23"/>
        <v>1466.9800000000059</v>
      </c>
      <c r="I205" s="177">
        <f t="shared" si="24"/>
        <v>4013.090000000022</v>
      </c>
      <c r="K205" s="151">
        <f>K204+'Basic Data'!$AC$13</f>
        <v>2506.6200000000131</v>
      </c>
      <c r="L205" s="151">
        <f>L204+'Basic Data'!$AD$13</f>
        <v>2506.6200000000131</v>
      </c>
      <c r="M205" s="151">
        <f>M204+'Basic Data'!$AE$13</f>
        <v>1560.0400000000056</v>
      </c>
      <c r="N205" s="151">
        <f>N204+'Basic Data'!$AF$13</f>
        <v>3678.6499999999874</v>
      </c>
      <c r="O205" s="151">
        <f>O204+'Basic Data'!$AG$13</f>
        <v>1466.9800000000059</v>
      </c>
      <c r="P205" s="151">
        <f>P204+'Basic Data'!$AH$13</f>
        <v>4013.090000000022</v>
      </c>
    </row>
    <row r="206" spans="2:16">
      <c r="B206" s="156">
        <v>204</v>
      </c>
      <c r="C206" s="176">
        <v>204</v>
      </c>
      <c r="D206" s="177">
        <f t="shared" si="19"/>
        <v>2518.5000000000132</v>
      </c>
      <c r="E206" s="177">
        <f t="shared" si="20"/>
        <v>2518.5000000000132</v>
      </c>
      <c r="F206" s="177">
        <f t="shared" si="21"/>
        <v>1567.4300000000057</v>
      </c>
      <c r="G206" s="177">
        <f t="shared" si="22"/>
        <v>3696.0799999999872</v>
      </c>
      <c r="H206" s="177">
        <f t="shared" si="23"/>
        <v>1473.930000000006</v>
      </c>
      <c r="I206" s="177">
        <f t="shared" si="24"/>
        <v>4032.1000000000222</v>
      </c>
      <c r="K206" s="151">
        <f>K205+'Basic Data'!$AC$13</f>
        <v>2518.5000000000132</v>
      </c>
      <c r="L206" s="151">
        <f>L205+'Basic Data'!$AD$13</f>
        <v>2518.5000000000132</v>
      </c>
      <c r="M206" s="151">
        <f>M205+'Basic Data'!$AE$13</f>
        <v>1567.4300000000057</v>
      </c>
      <c r="N206" s="151">
        <f>N205+'Basic Data'!$AF$13</f>
        <v>3696.0799999999872</v>
      </c>
      <c r="O206" s="151">
        <f>O205+'Basic Data'!$AG$13</f>
        <v>1473.930000000006</v>
      </c>
      <c r="P206" s="151">
        <f>P205+'Basic Data'!$AH$13</f>
        <v>4032.1000000000222</v>
      </c>
    </row>
    <row r="207" spans="2:16">
      <c r="B207" s="156">
        <v>205</v>
      </c>
      <c r="C207" s="176">
        <v>205</v>
      </c>
      <c r="D207" s="177">
        <f t="shared" si="19"/>
        <v>2530.3800000000133</v>
      </c>
      <c r="E207" s="177">
        <f t="shared" si="20"/>
        <v>2530.3800000000133</v>
      </c>
      <c r="F207" s="177">
        <f t="shared" si="21"/>
        <v>1574.8200000000058</v>
      </c>
      <c r="G207" s="177">
        <f t="shared" si="22"/>
        <v>3713.509999999987</v>
      </c>
      <c r="H207" s="177">
        <f t="shared" si="23"/>
        <v>1480.880000000006</v>
      </c>
      <c r="I207" s="177">
        <f t="shared" si="24"/>
        <v>4051.1100000000224</v>
      </c>
      <c r="K207" s="151">
        <f>K206+'Basic Data'!$AC$13</f>
        <v>2530.3800000000133</v>
      </c>
      <c r="L207" s="151">
        <f>L206+'Basic Data'!$AD$13</f>
        <v>2530.3800000000133</v>
      </c>
      <c r="M207" s="151">
        <f>M206+'Basic Data'!$AE$13</f>
        <v>1574.8200000000058</v>
      </c>
      <c r="N207" s="151">
        <f>N206+'Basic Data'!$AF$13</f>
        <v>3713.509999999987</v>
      </c>
      <c r="O207" s="151">
        <f>O206+'Basic Data'!$AG$13</f>
        <v>1480.880000000006</v>
      </c>
      <c r="P207" s="151">
        <f>P206+'Basic Data'!$AH$13</f>
        <v>4051.1100000000224</v>
      </c>
    </row>
    <row r="208" spans="2:16">
      <c r="B208" s="156">
        <v>206</v>
      </c>
      <c r="C208" s="176">
        <v>206</v>
      </c>
      <c r="D208" s="177">
        <f t="shared" si="19"/>
        <v>2542.2600000000134</v>
      </c>
      <c r="E208" s="177">
        <f t="shared" si="20"/>
        <v>2542.2600000000134</v>
      </c>
      <c r="F208" s="177">
        <f t="shared" si="21"/>
        <v>1582.2100000000059</v>
      </c>
      <c r="G208" s="177">
        <f t="shared" si="22"/>
        <v>3730.9399999999869</v>
      </c>
      <c r="H208" s="177">
        <f t="shared" si="23"/>
        <v>1487.8300000000061</v>
      </c>
      <c r="I208" s="177">
        <f t="shared" si="24"/>
        <v>4070.1200000000226</v>
      </c>
      <c r="K208" s="151">
        <f>K207+'Basic Data'!$AC$13</f>
        <v>2542.2600000000134</v>
      </c>
      <c r="L208" s="151">
        <f>L207+'Basic Data'!$AD$13</f>
        <v>2542.2600000000134</v>
      </c>
      <c r="M208" s="151">
        <f>M207+'Basic Data'!$AE$13</f>
        <v>1582.2100000000059</v>
      </c>
      <c r="N208" s="151">
        <f>N207+'Basic Data'!$AF$13</f>
        <v>3730.9399999999869</v>
      </c>
      <c r="O208" s="151">
        <f>O207+'Basic Data'!$AG$13</f>
        <v>1487.8300000000061</v>
      </c>
      <c r="P208" s="151">
        <f>P207+'Basic Data'!$AH$13</f>
        <v>4070.1200000000226</v>
      </c>
    </row>
    <row r="209" spans="2:16">
      <c r="B209" s="156">
        <v>207</v>
      </c>
      <c r="C209" s="176">
        <v>207</v>
      </c>
      <c r="D209" s="177">
        <f t="shared" si="19"/>
        <v>2554.1400000000135</v>
      </c>
      <c r="E209" s="177">
        <f t="shared" si="20"/>
        <v>2554.1400000000135</v>
      </c>
      <c r="F209" s="177">
        <f t="shared" si="21"/>
        <v>1589.600000000006</v>
      </c>
      <c r="G209" s="177">
        <f t="shared" si="22"/>
        <v>3748.3699999999867</v>
      </c>
      <c r="H209" s="177">
        <f t="shared" si="23"/>
        <v>1494.7800000000061</v>
      </c>
      <c r="I209" s="177">
        <f t="shared" si="24"/>
        <v>4089.1300000000228</v>
      </c>
      <c r="K209" s="151">
        <f>K208+'Basic Data'!$AC$13</f>
        <v>2554.1400000000135</v>
      </c>
      <c r="L209" s="151">
        <f>L208+'Basic Data'!$AD$13</f>
        <v>2554.1400000000135</v>
      </c>
      <c r="M209" s="151">
        <f>M208+'Basic Data'!$AE$13</f>
        <v>1589.600000000006</v>
      </c>
      <c r="N209" s="151">
        <f>N208+'Basic Data'!$AF$13</f>
        <v>3748.3699999999867</v>
      </c>
      <c r="O209" s="151">
        <f>O208+'Basic Data'!$AG$13</f>
        <v>1494.7800000000061</v>
      </c>
      <c r="P209" s="151">
        <f>P208+'Basic Data'!$AH$13</f>
        <v>4089.1300000000228</v>
      </c>
    </row>
    <row r="210" spans="2:16">
      <c r="B210" s="156">
        <v>208</v>
      </c>
      <c r="C210" s="176">
        <v>208</v>
      </c>
      <c r="D210" s="177">
        <f t="shared" si="19"/>
        <v>2566.0200000000136</v>
      </c>
      <c r="E210" s="177">
        <f t="shared" si="20"/>
        <v>2566.0200000000136</v>
      </c>
      <c r="F210" s="177">
        <f t="shared" si="21"/>
        <v>1596.9900000000061</v>
      </c>
      <c r="G210" s="177">
        <f t="shared" si="22"/>
        <v>3765.7999999999865</v>
      </c>
      <c r="H210" s="177">
        <f t="shared" si="23"/>
        <v>1501.7300000000062</v>
      </c>
      <c r="I210" s="177">
        <f t="shared" si="24"/>
        <v>4108.1400000000231</v>
      </c>
      <c r="K210" s="151">
        <f>K209+'Basic Data'!$AC$13</f>
        <v>2566.0200000000136</v>
      </c>
      <c r="L210" s="151">
        <f>L209+'Basic Data'!$AD$13</f>
        <v>2566.0200000000136</v>
      </c>
      <c r="M210" s="151">
        <f>M209+'Basic Data'!$AE$13</f>
        <v>1596.9900000000061</v>
      </c>
      <c r="N210" s="151">
        <f>N209+'Basic Data'!$AF$13</f>
        <v>3765.7999999999865</v>
      </c>
      <c r="O210" s="151">
        <f>O209+'Basic Data'!$AG$13</f>
        <v>1501.7300000000062</v>
      </c>
      <c r="P210" s="151">
        <f>P209+'Basic Data'!$AH$13</f>
        <v>4108.1400000000231</v>
      </c>
    </row>
    <row r="211" spans="2:16">
      <c r="B211" s="156">
        <v>209</v>
      </c>
      <c r="C211" s="176">
        <v>209</v>
      </c>
      <c r="D211" s="177">
        <f t="shared" si="19"/>
        <v>2577.9000000000137</v>
      </c>
      <c r="E211" s="177">
        <f t="shared" si="20"/>
        <v>2577.9000000000137</v>
      </c>
      <c r="F211" s="177">
        <f t="shared" si="21"/>
        <v>1604.3800000000062</v>
      </c>
      <c r="G211" s="177">
        <f t="shared" si="22"/>
        <v>3783.2299999999864</v>
      </c>
      <c r="H211" s="177">
        <f t="shared" si="23"/>
        <v>1508.6800000000062</v>
      </c>
      <c r="I211" s="177">
        <f t="shared" si="24"/>
        <v>4127.1500000000233</v>
      </c>
      <c r="K211" s="151">
        <f>K210+'Basic Data'!$AC$13</f>
        <v>2577.9000000000137</v>
      </c>
      <c r="L211" s="151">
        <f>L210+'Basic Data'!$AD$13</f>
        <v>2577.9000000000137</v>
      </c>
      <c r="M211" s="151">
        <f>M210+'Basic Data'!$AE$13</f>
        <v>1604.3800000000062</v>
      </c>
      <c r="N211" s="151">
        <f>N210+'Basic Data'!$AF$13</f>
        <v>3783.2299999999864</v>
      </c>
      <c r="O211" s="151">
        <f>O210+'Basic Data'!$AG$13</f>
        <v>1508.6800000000062</v>
      </c>
      <c r="P211" s="151">
        <f>P210+'Basic Data'!$AH$13</f>
        <v>4127.1500000000233</v>
      </c>
    </row>
    <row r="212" spans="2:16">
      <c r="B212" s="156">
        <v>210</v>
      </c>
      <c r="C212" s="176">
        <v>210</v>
      </c>
      <c r="D212" s="177">
        <f t="shared" si="19"/>
        <v>2589.7800000000138</v>
      </c>
      <c r="E212" s="177">
        <f t="shared" si="20"/>
        <v>2589.7800000000138</v>
      </c>
      <c r="F212" s="177">
        <f t="shared" si="21"/>
        <v>1611.7700000000063</v>
      </c>
      <c r="G212" s="177">
        <f t="shared" si="22"/>
        <v>3800.6599999999862</v>
      </c>
      <c r="H212" s="177">
        <f t="shared" si="23"/>
        <v>1515.6300000000062</v>
      </c>
      <c r="I212" s="177">
        <f t="shared" si="24"/>
        <v>4146.1600000000235</v>
      </c>
      <c r="K212" s="151">
        <f>K211+'Basic Data'!$AC$13</f>
        <v>2589.7800000000138</v>
      </c>
      <c r="L212" s="151">
        <f>L211+'Basic Data'!$AD$13</f>
        <v>2589.7800000000138</v>
      </c>
      <c r="M212" s="151">
        <f>M211+'Basic Data'!$AE$13</f>
        <v>1611.7700000000063</v>
      </c>
      <c r="N212" s="151">
        <f>N211+'Basic Data'!$AF$13</f>
        <v>3800.6599999999862</v>
      </c>
      <c r="O212" s="151">
        <f>O211+'Basic Data'!$AG$13</f>
        <v>1515.6300000000062</v>
      </c>
      <c r="P212" s="151">
        <f>P211+'Basic Data'!$AH$13</f>
        <v>4146.1600000000235</v>
      </c>
    </row>
    <row r="213" spans="2:16">
      <c r="B213" s="156">
        <v>211</v>
      </c>
      <c r="C213" s="176">
        <v>211</v>
      </c>
      <c r="D213" s="177">
        <f t="shared" si="19"/>
        <v>2601.660000000014</v>
      </c>
      <c r="E213" s="177">
        <f t="shared" si="20"/>
        <v>2601.660000000014</v>
      </c>
      <c r="F213" s="177">
        <f t="shared" si="21"/>
        <v>1619.1600000000064</v>
      </c>
      <c r="G213" s="177">
        <f t="shared" si="22"/>
        <v>3818.089999999986</v>
      </c>
      <c r="H213" s="177">
        <f t="shared" si="23"/>
        <v>1522.5800000000063</v>
      </c>
      <c r="I213" s="177">
        <f t="shared" si="24"/>
        <v>4165.1700000000237</v>
      </c>
      <c r="K213" s="151">
        <f>K212+'Basic Data'!$AC$13</f>
        <v>2601.660000000014</v>
      </c>
      <c r="L213" s="151">
        <f>L212+'Basic Data'!$AD$13</f>
        <v>2601.660000000014</v>
      </c>
      <c r="M213" s="151">
        <f>M212+'Basic Data'!$AE$13</f>
        <v>1619.1600000000064</v>
      </c>
      <c r="N213" s="151">
        <f>N212+'Basic Data'!$AF$13</f>
        <v>3818.089999999986</v>
      </c>
      <c r="O213" s="151">
        <f>O212+'Basic Data'!$AG$13</f>
        <v>1522.5800000000063</v>
      </c>
      <c r="P213" s="151">
        <f>P212+'Basic Data'!$AH$13</f>
        <v>4165.1700000000237</v>
      </c>
    </row>
    <row r="214" spans="2:16">
      <c r="B214" s="156">
        <v>212</v>
      </c>
      <c r="C214" s="176">
        <v>212</v>
      </c>
      <c r="D214" s="177">
        <f t="shared" si="19"/>
        <v>2613.5400000000141</v>
      </c>
      <c r="E214" s="177">
        <f t="shared" si="20"/>
        <v>2613.5400000000141</v>
      </c>
      <c r="F214" s="177">
        <f t="shared" si="21"/>
        <v>1626.5500000000065</v>
      </c>
      <c r="G214" s="177">
        <f t="shared" si="22"/>
        <v>3835.5199999999859</v>
      </c>
      <c r="H214" s="177">
        <f t="shared" si="23"/>
        <v>1529.5300000000063</v>
      </c>
      <c r="I214" s="177">
        <f t="shared" si="24"/>
        <v>4184.1800000000239</v>
      </c>
      <c r="K214" s="151">
        <f>K213+'Basic Data'!$AC$13</f>
        <v>2613.5400000000141</v>
      </c>
      <c r="L214" s="151">
        <f>L213+'Basic Data'!$AD$13</f>
        <v>2613.5400000000141</v>
      </c>
      <c r="M214" s="151">
        <f>M213+'Basic Data'!$AE$13</f>
        <v>1626.5500000000065</v>
      </c>
      <c r="N214" s="151">
        <f>N213+'Basic Data'!$AF$13</f>
        <v>3835.5199999999859</v>
      </c>
      <c r="O214" s="151">
        <f>O213+'Basic Data'!$AG$13</f>
        <v>1529.5300000000063</v>
      </c>
      <c r="P214" s="151">
        <f>P213+'Basic Data'!$AH$13</f>
        <v>4184.1800000000239</v>
      </c>
    </row>
    <row r="215" spans="2:16">
      <c r="B215" s="156">
        <v>213</v>
      </c>
      <c r="C215" s="176">
        <v>213</v>
      </c>
      <c r="D215" s="177">
        <f t="shared" si="19"/>
        <v>2625.4200000000142</v>
      </c>
      <c r="E215" s="177">
        <f t="shared" si="20"/>
        <v>2625.4200000000142</v>
      </c>
      <c r="F215" s="177">
        <f t="shared" si="21"/>
        <v>1633.9400000000066</v>
      </c>
      <c r="G215" s="177">
        <f t="shared" si="22"/>
        <v>3852.9499999999857</v>
      </c>
      <c r="H215" s="177">
        <f t="shared" si="23"/>
        <v>1536.4800000000064</v>
      </c>
      <c r="I215" s="177">
        <f t="shared" si="24"/>
        <v>4203.1900000000242</v>
      </c>
      <c r="K215" s="151">
        <f>K214+'Basic Data'!$AC$13</f>
        <v>2625.4200000000142</v>
      </c>
      <c r="L215" s="151">
        <f>L214+'Basic Data'!$AD$13</f>
        <v>2625.4200000000142</v>
      </c>
      <c r="M215" s="151">
        <f>M214+'Basic Data'!$AE$13</f>
        <v>1633.9400000000066</v>
      </c>
      <c r="N215" s="151">
        <f>N214+'Basic Data'!$AF$13</f>
        <v>3852.9499999999857</v>
      </c>
      <c r="O215" s="151">
        <f>O214+'Basic Data'!$AG$13</f>
        <v>1536.4800000000064</v>
      </c>
      <c r="P215" s="151">
        <f>P214+'Basic Data'!$AH$13</f>
        <v>4203.1900000000242</v>
      </c>
    </row>
    <row r="216" spans="2:16">
      <c r="B216" s="156">
        <v>214</v>
      </c>
      <c r="C216" s="176">
        <v>214</v>
      </c>
      <c r="D216" s="177">
        <f t="shared" si="19"/>
        <v>2637.3000000000143</v>
      </c>
      <c r="E216" s="177">
        <f t="shared" si="20"/>
        <v>2637.3000000000143</v>
      </c>
      <c r="F216" s="177">
        <f t="shared" si="21"/>
        <v>1641.3300000000067</v>
      </c>
      <c r="G216" s="177">
        <f t="shared" si="22"/>
        <v>3870.3799999999856</v>
      </c>
      <c r="H216" s="177">
        <f t="shared" si="23"/>
        <v>1543.4300000000064</v>
      </c>
      <c r="I216" s="177">
        <f t="shared" si="24"/>
        <v>4222.2000000000244</v>
      </c>
      <c r="K216" s="151">
        <f>K215+'Basic Data'!$AC$13</f>
        <v>2637.3000000000143</v>
      </c>
      <c r="L216" s="151">
        <f>L215+'Basic Data'!$AD$13</f>
        <v>2637.3000000000143</v>
      </c>
      <c r="M216" s="151">
        <f>M215+'Basic Data'!$AE$13</f>
        <v>1641.3300000000067</v>
      </c>
      <c r="N216" s="151">
        <f>N215+'Basic Data'!$AF$13</f>
        <v>3870.3799999999856</v>
      </c>
      <c r="O216" s="151">
        <f>O215+'Basic Data'!$AG$13</f>
        <v>1543.4300000000064</v>
      </c>
      <c r="P216" s="151">
        <f>P215+'Basic Data'!$AH$13</f>
        <v>4222.2000000000244</v>
      </c>
    </row>
    <row r="217" spans="2:16">
      <c r="B217" s="156">
        <v>215</v>
      </c>
      <c r="C217" s="176">
        <v>215</v>
      </c>
      <c r="D217" s="177">
        <f t="shared" si="19"/>
        <v>2649.1800000000144</v>
      </c>
      <c r="E217" s="177">
        <f t="shared" si="20"/>
        <v>2649.1800000000144</v>
      </c>
      <c r="F217" s="177">
        <f t="shared" si="21"/>
        <v>1648.7200000000068</v>
      </c>
      <c r="G217" s="177">
        <f t="shared" si="22"/>
        <v>3887.8099999999854</v>
      </c>
      <c r="H217" s="177">
        <f t="shared" si="23"/>
        <v>1550.3800000000065</v>
      </c>
      <c r="I217" s="177">
        <f t="shared" si="24"/>
        <v>4241.2100000000246</v>
      </c>
      <c r="K217" s="151">
        <f>K216+'Basic Data'!$AC$13</f>
        <v>2649.1800000000144</v>
      </c>
      <c r="L217" s="151">
        <f>L216+'Basic Data'!$AD$13</f>
        <v>2649.1800000000144</v>
      </c>
      <c r="M217" s="151">
        <f>M216+'Basic Data'!$AE$13</f>
        <v>1648.7200000000068</v>
      </c>
      <c r="N217" s="151">
        <f>N216+'Basic Data'!$AF$13</f>
        <v>3887.8099999999854</v>
      </c>
      <c r="O217" s="151">
        <f>O216+'Basic Data'!$AG$13</f>
        <v>1550.3800000000065</v>
      </c>
      <c r="P217" s="151">
        <f>P216+'Basic Data'!$AH$13</f>
        <v>4241.2100000000246</v>
      </c>
    </row>
    <row r="218" spans="2:16">
      <c r="B218" s="156">
        <v>216</v>
      </c>
      <c r="C218" s="176">
        <v>216</v>
      </c>
      <c r="D218" s="177">
        <f t="shared" si="19"/>
        <v>2661.0600000000145</v>
      </c>
      <c r="E218" s="177">
        <f t="shared" si="20"/>
        <v>2661.0600000000145</v>
      </c>
      <c r="F218" s="177">
        <f t="shared" si="21"/>
        <v>1656.1100000000069</v>
      </c>
      <c r="G218" s="177">
        <f t="shared" si="22"/>
        <v>3905.2399999999852</v>
      </c>
      <c r="H218" s="177">
        <f t="shared" si="23"/>
        <v>1557.3300000000065</v>
      </c>
      <c r="I218" s="177">
        <f t="shared" si="24"/>
        <v>4260.2200000000248</v>
      </c>
      <c r="K218" s="151">
        <f>K217+'Basic Data'!$AC$13</f>
        <v>2661.0600000000145</v>
      </c>
      <c r="L218" s="151">
        <f>L217+'Basic Data'!$AD$13</f>
        <v>2661.0600000000145</v>
      </c>
      <c r="M218" s="151">
        <f>M217+'Basic Data'!$AE$13</f>
        <v>1656.1100000000069</v>
      </c>
      <c r="N218" s="151">
        <f>N217+'Basic Data'!$AF$13</f>
        <v>3905.2399999999852</v>
      </c>
      <c r="O218" s="151">
        <f>O217+'Basic Data'!$AG$13</f>
        <v>1557.3300000000065</v>
      </c>
      <c r="P218" s="151">
        <f>P217+'Basic Data'!$AH$13</f>
        <v>4260.2200000000248</v>
      </c>
    </row>
    <row r="219" spans="2:16">
      <c r="B219" s="156">
        <v>217</v>
      </c>
      <c r="C219" s="176">
        <v>217</v>
      </c>
      <c r="D219" s="177">
        <f t="shared" si="19"/>
        <v>2672.9400000000146</v>
      </c>
      <c r="E219" s="177">
        <f t="shared" si="20"/>
        <v>2672.9400000000146</v>
      </c>
      <c r="F219" s="177">
        <f t="shared" si="21"/>
        <v>1663.500000000007</v>
      </c>
      <c r="G219" s="177">
        <f t="shared" si="22"/>
        <v>3922.6699999999851</v>
      </c>
      <c r="H219" s="177">
        <f t="shared" si="23"/>
        <v>1564.2800000000066</v>
      </c>
      <c r="I219" s="177">
        <f t="shared" si="24"/>
        <v>4279.230000000025</v>
      </c>
      <c r="K219" s="151">
        <f>K218+'Basic Data'!$AC$13</f>
        <v>2672.9400000000146</v>
      </c>
      <c r="L219" s="151">
        <f>L218+'Basic Data'!$AD$13</f>
        <v>2672.9400000000146</v>
      </c>
      <c r="M219" s="151">
        <f>M218+'Basic Data'!$AE$13</f>
        <v>1663.500000000007</v>
      </c>
      <c r="N219" s="151">
        <f>N218+'Basic Data'!$AF$13</f>
        <v>3922.6699999999851</v>
      </c>
      <c r="O219" s="151">
        <f>O218+'Basic Data'!$AG$13</f>
        <v>1564.2800000000066</v>
      </c>
      <c r="P219" s="151">
        <f>P218+'Basic Data'!$AH$13</f>
        <v>4279.230000000025</v>
      </c>
    </row>
    <row r="220" spans="2:16">
      <c r="B220" s="156">
        <v>218</v>
      </c>
      <c r="C220" s="176">
        <v>218</v>
      </c>
      <c r="D220" s="177">
        <f t="shared" si="19"/>
        <v>2684.8200000000147</v>
      </c>
      <c r="E220" s="177">
        <f t="shared" si="20"/>
        <v>2684.8200000000147</v>
      </c>
      <c r="F220" s="177">
        <f t="shared" si="21"/>
        <v>1670.8900000000071</v>
      </c>
      <c r="G220" s="177">
        <f t="shared" si="22"/>
        <v>3940.0999999999849</v>
      </c>
      <c r="H220" s="177">
        <f t="shared" si="23"/>
        <v>1571.2300000000066</v>
      </c>
      <c r="I220" s="177">
        <f t="shared" si="24"/>
        <v>4298.2400000000252</v>
      </c>
      <c r="K220" s="151">
        <f>K219+'Basic Data'!$AC$13</f>
        <v>2684.8200000000147</v>
      </c>
      <c r="L220" s="151">
        <f>L219+'Basic Data'!$AD$13</f>
        <v>2684.8200000000147</v>
      </c>
      <c r="M220" s="151">
        <f>M219+'Basic Data'!$AE$13</f>
        <v>1670.8900000000071</v>
      </c>
      <c r="N220" s="151">
        <f>N219+'Basic Data'!$AF$13</f>
        <v>3940.0999999999849</v>
      </c>
      <c r="O220" s="151">
        <f>O219+'Basic Data'!$AG$13</f>
        <v>1571.2300000000066</v>
      </c>
      <c r="P220" s="151">
        <f>P219+'Basic Data'!$AH$13</f>
        <v>4298.2400000000252</v>
      </c>
    </row>
    <row r="221" spans="2:16">
      <c r="B221" s="156">
        <v>219</v>
      </c>
      <c r="C221" s="176">
        <v>219</v>
      </c>
      <c r="D221" s="177">
        <f t="shared" si="19"/>
        <v>2696.7000000000148</v>
      </c>
      <c r="E221" s="177">
        <f t="shared" si="20"/>
        <v>2696.7000000000148</v>
      </c>
      <c r="F221" s="177">
        <f t="shared" si="21"/>
        <v>1678.2800000000072</v>
      </c>
      <c r="G221" s="177">
        <f t="shared" si="22"/>
        <v>3957.5299999999847</v>
      </c>
      <c r="H221" s="177">
        <f t="shared" si="23"/>
        <v>1578.1800000000067</v>
      </c>
      <c r="I221" s="177">
        <f t="shared" si="24"/>
        <v>4317.2500000000255</v>
      </c>
      <c r="K221" s="151">
        <f>K220+'Basic Data'!$AC$13</f>
        <v>2696.7000000000148</v>
      </c>
      <c r="L221" s="151">
        <f>L220+'Basic Data'!$AD$13</f>
        <v>2696.7000000000148</v>
      </c>
      <c r="M221" s="151">
        <f>M220+'Basic Data'!$AE$13</f>
        <v>1678.2800000000072</v>
      </c>
      <c r="N221" s="151">
        <f>N220+'Basic Data'!$AF$13</f>
        <v>3957.5299999999847</v>
      </c>
      <c r="O221" s="151">
        <f>O220+'Basic Data'!$AG$13</f>
        <v>1578.1800000000067</v>
      </c>
      <c r="P221" s="151">
        <f>P220+'Basic Data'!$AH$13</f>
        <v>4317.2500000000255</v>
      </c>
    </row>
    <row r="222" spans="2:16">
      <c r="B222" s="156">
        <v>220</v>
      </c>
      <c r="C222" s="176">
        <v>220</v>
      </c>
      <c r="D222" s="177">
        <f t="shared" si="19"/>
        <v>2708.5800000000149</v>
      </c>
      <c r="E222" s="177">
        <f t="shared" si="20"/>
        <v>2708.5800000000149</v>
      </c>
      <c r="F222" s="177">
        <f t="shared" si="21"/>
        <v>1685.6700000000073</v>
      </c>
      <c r="G222" s="177">
        <f t="shared" si="22"/>
        <v>3974.9599999999846</v>
      </c>
      <c r="H222" s="177">
        <f t="shared" si="23"/>
        <v>1585.1300000000067</v>
      </c>
      <c r="I222" s="177">
        <f t="shared" si="24"/>
        <v>4336.2600000000257</v>
      </c>
      <c r="K222" s="151">
        <f>K221+'Basic Data'!$AC$13</f>
        <v>2708.5800000000149</v>
      </c>
      <c r="L222" s="151">
        <f>L221+'Basic Data'!$AD$13</f>
        <v>2708.5800000000149</v>
      </c>
      <c r="M222" s="151">
        <f>M221+'Basic Data'!$AE$13</f>
        <v>1685.6700000000073</v>
      </c>
      <c r="N222" s="151">
        <f>N221+'Basic Data'!$AF$13</f>
        <v>3974.9599999999846</v>
      </c>
      <c r="O222" s="151">
        <f>O221+'Basic Data'!$AG$13</f>
        <v>1585.1300000000067</v>
      </c>
      <c r="P222" s="151">
        <f>P221+'Basic Data'!$AH$13</f>
        <v>4336.2600000000257</v>
      </c>
    </row>
    <row r="223" spans="2:16">
      <c r="B223" s="156">
        <v>221</v>
      </c>
      <c r="C223" s="176">
        <v>221</v>
      </c>
      <c r="D223" s="177">
        <f t="shared" si="19"/>
        <v>2720.460000000015</v>
      </c>
      <c r="E223" s="177">
        <f t="shared" si="20"/>
        <v>2720.460000000015</v>
      </c>
      <c r="F223" s="177">
        <f t="shared" si="21"/>
        <v>1693.0600000000074</v>
      </c>
      <c r="G223" s="177">
        <f t="shared" si="22"/>
        <v>3992.3899999999844</v>
      </c>
      <c r="H223" s="177">
        <f t="shared" si="23"/>
        <v>1592.0800000000067</v>
      </c>
      <c r="I223" s="177">
        <f t="shared" si="24"/>
        <v>4355.2700000000259</v>
      </c>
      <c r="K223" s="151">
        <f>K222+'Basic Data'!$AC$13</f>
        <v>2720.460000000015</v>
      </c>
      <c r="L223" s="151">
        <f>L222+'Basic Data'!$AD$13</f>
        <v>2720.460000000015</v>
      </c>
      <c r="M223" s="151">
        <f>M222+'Basic Data'!$AE$13</f>
        <v>1693.0600000000074</v>
      </c>
      <c r="N223" s="151">
        <f>N222+'Basic Data'!$AF$13</f>
        <v>3992.3899999999844</v>
      </c>
      <c r="O223" s="151">
        <f>O222+'Basic Data'!$AG$13</f>
        <v>1592.0800000000067</v>
      </c>
      <c r="P223" s="151">
        <f>P222+'Basic Data'!$AH$13</f>
        <v>4355.2700000000259</v>
      </c>
    </row>
    <row r="224" spans="2:16">
      <c r="B224" s="156">
        <v>222</v>
      </c>
      <c r="C224" s="176">
        <v>222</v>
      </c>
      <c r="D224" s="177">
        <f t="shared" si="19"/>
        <v>2732.3400000000152</v>
      </c>
      <c r="E224" s="177">
        <f t="shared" si="20"/>
        <v>2732.3400000000152</v>
      </c>
      <c r="F224" s="177">
        <f t="shared" si="21"/>
        <v>1700.4500000000075</v>
      </c>
      <c r="G224" s="177">
        <f t="shared" si="22"/>
        <v>4009.8199999999842</v>
      </c>
      <c r="H224" s="177">
        <f t="shared" si="23"/>
        <v>1599.0300000000068</v>
      </c>
      <c r="I224" s="177">
        <f t="shared" si="24"/>
        <v>4374.2800000000261</v>
      </c>
      <c r="K224" s="151">
        <f>K223+'Basic Data'!$AC$13</f>
        <v>2732.3400000000152</v>
      </c>
      <c r="L224" s="151">
        <f>L223+'Basic Data'!$AD$13</f>
        <v>2732.3400000000152</v>
      </c>
      <c r="M224" s="151">
        <f>M223+'Basic Data'!$AE$13</f>
        <v>1700.4500000000075</v>
      </c>
      <c r="N224" s="151">
        <f>N223+'Basic Data'!$AF$13</f>
        <v>4009.8199999999842</v>
      </c>
      <c r="O224" s="151">
        <f>O223+'Basic Data'!$AG$13</f>
        <v>1599.0300000000068</v>
      </c>
      <c r="P224" s="151">
        <f>P223+'Basic Data'!$AH$13</f>
        <v>4374.2800000000261</v>
      </c>
    </row>
    <row r="225" spans="2:16">
      <c r="B225" s="156">
        <v>223</v>
      </c>
      <c r="C225" s="176">
        <v>223</v>
      </c>
      <c r="D225" s="177">
        <f t="shared" si="19"/>
        <v>2744.2200000000153</v>
      </c>
      <c r="E225" s="177">
        <f t="shared" si="20"/>
        <v>2744.2200000000153</v>
      </c>
      <c r="F225" s="177">
        <f t="shared" si="21"/>
        <v>1707.8400000000076</v>
      </c>
      <c r="G225" s="177">
        <f t="shared" si="22"/>
        <v>4027.2499999999841</v>
      </c>
      <c r="H225" s="177">
        <f t="shared" si="23"/>
        <v>1605.9800000000068</v>
      </c>
      <c r="I225" s="177">
        <f t="shared" si="24"/>
        <v>4393.2900000000263</v>
      </c>
      <c r="K225" s="151">
        <f>K224+'Basic Data'!$AC$13</f>
        <v>2744.2200000000153</v>
      </c>
      <c r="L225" s="151">
        <f>L224+'Basic Data'!$AD$13</f>
        <v>2744.2200000000153</v>
      </c>
      <c r="M225" s="151">
        <f>M224+'Basic Data'!$AE$13</f>
        <v>1707.8400000000076</v>
      </c>
      <c r="N225" s="151">
        <f>N224+'Basic Data'!$AF$13</f>
        <v>4027.2499999999841</v>
      </c>
      <c r="O225" s="151">
        <f>O224+'Basic Data'!$AG$13</f>
        <v>1605.9800000000068</v>
      </c>
      <c r="P225" s="151">
        <f>P224+'Basic Data'!$AH$13</f>
        <v>4393.2900000000263</v>
      </c>
    </row>
    <row r="226" spans="2:16">
      <c r="B226" s="156">
        <v>224</v>
      </c>
      <c r="C226" s="176">
        <v>224</v>
      </c>
      <c r="D226" s="177">
        <f t="shared" si="19"/>
        <v>2756.1000000000154</v>
      </c>
      <c r="E226" s="177">
        <f t="shared" si="20"/>
        <v>2756.1000000000154</v>
      </c>
      <c r="F226" s="177">
        <f t="shared" si="21"/>
        <v>1715.2300000000077</v>
      </c>
      <c r="G226" s="177">
        <f t="shared" si="22"/>
        <v>4044.6799999999839</v>
      </c>
      <c r="H226" s="177">
        <f t="shared" si="23"/>
        <v>1612.9300000000069</v>
      </c>
      <c r="I226" s="177">
        <f t="shared" si="24"/>
        <v>4412.3000000000266</v>
      </c>
      <c r="K226" s="151">
        <f>K225+'Basic Data'!$AC$13</f>
        <v>2756.1000000000154</v>
      </c>
      <c r="L226" s="151">
        <f>L225+'Basic Data'!$AD$13</f>
        <v>2756.1000000000154</v>
      </c>
      <c r="M226" s="151">
        <f>M225+'Basic Data'!$AE$13</f>
        <v>1715.2300000000077</v>
      </c>
      <c r="N226" s="151">
        <f>N225+'Basic Data'!$AF$13</f>
        <v>4044.6799999999839</v>
      </c>
      <c r="O226" s="151">
        <f>O225+'Basic Data'!$AG$13</f>
        <v>1612.9300000000069</v>
      </c>
      <c r="P226" s="151">
        <f>P225+'Basic Data'!$AH$13</f>
        <v>4412.3000000000266</v>
      </c>
    </row>
    <row r="227" spans="2:16">
      <c r="B227" s="156">
        <v>225</v>
      </c>
      <c r="C227" s="176">
        <v>225</v>
      </c>
      <c r="D227" s="177">
        <f t="shared" si="19"/>
        <v>2767.9800000000155</v>
      </c>
      <c r="E227" s="177">
        <f t="shared" si="20"/>
        <v>2767.9800000000155</v>
      </c>
      <c r="F227" s="177">
        <f t="shared" si="21"/>
        <v>1722.6200000000078</v>
      </c>
      <c r="G227" s="177">
        <f t="shared" si="22"/>
        <v>4062.1099999999838</v>
      </c>
      <c r="H227" s="177">
        <f t="shared" si="23"/>
        <v>1619.8800000000069</v>
      </c>
      <c r="I227" s="177">
        <f t="shared" si="24"/>
        <v>4431.3100000000268</v>
      </c>
      <c r="K227" s="151">
        <f>K226+'Basic Data'!$AC$13</f>
        <v>2767.9800000000155</v>
      </c>
      <c r="L227" s="151">
        <f>L226+'Basic Data'!$AD$13</f>
        <v>2767.9800000000155</v>
      </c>
      <c r="M227" s="151">
        <f>M226+'Basic Data'!$AE$13</f>
        <v>1722.6200000000078</v>
      </c>
      <c r="N227" s="151">
        <f>N226+'Basic Data'!$AF$13</f>
        <v>4062.1099999999838</v>
      </c>
      <c r="O227" s="151">
        <f>O226+'Basic Data'!$AG$13</f>
        <v>1619.8800000000069</v>
      </c>
      <c r="P227" s="151">
        <f>P226+'Basic Data'!$AH$13</f>
        <v>4431.3100000000268</v>
      </c>
    </row>
    <row r="228" spans="2:16">
      <c r="B228" s="156">
        <v>226</v>
      </c>
      <c r="C228" s="176">
        <v>226</v>
      </c>
      <c r="D228" s="177">
        <f t="shared" si="19"/>
        <v>2779.8600000000156</v>
      </c>
      <c r="E228" s="177">
        <f t="shared" si="20"/>
        <v>2779.8600000000156</v>
      </c>
      <c r="F228" s="177">
        <f t="shared" si="21"/>
        <v>1730.0100000000079</v>
      </c>
      <c r="G228" s="177">
        <f t="shared" si="22"/>
        <v>4079.5399999999836</v>
      </c>
      <c r="H228" s="177">
        <f t="shared" si="23"/>
        <v>1626.830000000007</v>
      </c>
      <c r="I228" s="177">
        <f t="shared" si="24"/>
        <v>4450.320000000027</v>
      </c>
      <c r="K228" s="151">
        <f>K227+'Basic Data'!$AC$13</f>
        <v>2779.8600000000156</v>
      </c>
      <c r="L228" s="151">
        <f>L227+'Basic Data'!$AD$13</f>
        <v>2779.8600000000156</v>
      </c>
      <c r="M228" s="151">
        <f>M227+'Basic Data'!$AE$13</f>
        <v>1730.0100000000079</v>
      </c>
      <c r="N228" s="151">
        <f>N227+'Basic Data'!$AF$13</f>
        <v>4079.5399999999836</v>
      </c>
      <c r="O228" s="151">
        <f>O227+'Basic Data'!$AG$13</f>
        <v>1626.830000000007</v>
      </c>
      <c r="P228" s="151">
        <f>P227+'Basic Data'!$AH$13</f>
        <v>4450.320000000027</v>
      </c>
    </row>
    <row r="229" spans="2:16">
      <c r="B229" s="156">
        <v>227</v>
      </c>
      <c r="C229" s="176">
        <v>227</v>
      </c>
      <c r="D229" s="177">
        <f t="shared" si="19"/>
        <v>2791.7400000000157</v>
      </c>
      <c r="E229" s="177">
        <f t="shared" si="20"/>
        <v>2791.7400000000157</v>
      </c>
      <c r="F229" s="177">
        <f t="shared" si="21"/>
        <v>1737.400000000008</v>
      </c>
      <c r="G229" s="177">
        <f t="shared" si="22"/>
        <v>4096.9699999999839</v>
      </c>
      <c r="H229" s="177">
        <f t="shared" si="23"/>
        <v>1633.780000000007</v>
      </c>
      <c r="I229" s="177">
        <f t="shared" si="24"/>
        <v>4469.3300000000272</v>
      </c>
      <c r="K229" s="151">
        <f>K228+'Basic Data'!$AC$13</f>
        <v>2791.7400000000157</v>
      </c>
      <c r="L229" s="151">
        <f>L228+'Basic Data'!$AD$13</f>
        <v>2791.7400000000157</v>
      </c>
      <c r="M229" s="151">
        <f>M228+'Basic Data'!$AE$13</f>
        <v>1737.400000000008</v>
      </c>
      <c r="N229" s="151">
        <f>N228+'Basic Data'!$AF$13</f>
        <v>4096.9699999999839</v>
      </c>
      <c r="O229" s="151">
        <f>O228+'Basic Data'!$AG$13</f>
        <v>1633.780000000007</v>
      </c>
      <c r="P229" s="151">
        <f>P228+'Basic Data'!$AH$13</f>
        <v>4469.3300000000272</v>
      </c>
    </row>
    <row r="230" spans="2:16">
      <c r="B230" s="156">
        <v>228</v>
      </c>
      <c r="C230" s="176">
        <v>228</v>
      </c>
      <c r="D230" s="177">
        <f t="shared" si="19"/>
        <v>2803.6200000000158</v>
      </c>
      <c r="E230" s="177">
        <f t="shared" si="20"/>
        <v>2803.6200000000158</v>
      </c>
      <c r="F230" s="177">
        <f t="shared" si="21"/>
        <v>1744.7900000000081</v>
      </c>
      <c r="G230" s="177">
        <f t="shared" si="22"/>
        <v>4114.3999999999842</v>
      </c>
      <c r="H230" s="177">
        <f t="shared" si="23"/>
        <v>1640.7300000000071</v>
      </c>
      <c r="I230" s="177">
        <f t="shared" si="24"/>
        <v>4488.3400000000274</v>
      </c>
      <c r="K230" s="151">
        <f>K229+'Basic Data'!$AC$13</f>
        <v>2803.6200000000158</v>
      </c>
      <c r="L230" s="151">
        <f>L229+'Basic Data'!$AD$13</f>
        <v>2803.6200000000158</v>
      </c>
      <c r="M230" s="151">
        <f>M229+'Basic Data'!$AE$13</f>
        <v>1744.7900000000081</v>
      </c>
      <c r="N230" s="151">
        <f>N229+'Basic Data'!$AF$13</f>
        <v>4114.3999999999842</v>
      </c>
      <c r="O230" s="151">
        <f>O229+'Basic Data'!$AG$13</f>
        <v>1640.7300000000071</v>
      </c>
      <c r="P230" s="151">
        <f>P229+'Basic Data'!$AH$13</f>
        <v>4488.3400000000274</v>
      </c>
    </row>
    <row r="231" spans="2:16">
      <c r="B231" s="156">
        <v>229</v>
      </c>
      <c r="C231" s="176">
        <v>229</v>
      </c>
      <c r="D231" s="177">
        <f t="shared" si="19"/>
        <v>2815.5000000000159</v>
      </c>
      <c r="E231" s="177">
        <f t="shared" si="20"/>
        <v>2815.5000000000159</v>
      </c>
      <c r="F231" s="177">
        <f t="shared" si="21"/>
        <v>1752.1800000000082</v>
      </c>
      <c r="G231" s="177">
        <f t="shared" si="22"/>
        <v>4131.8299999999845</v>
      </c>
      <c r="H231" s="177">
        <f t="shared" si="23"/>
        <v>1647.6800000000071</v>
      </c>
      <c r="I231" s="177">
        <f t="shared" si="24"/>
        <v>4507.3500000000276</v>
      </c>
      <c r="K231" s="151">
        <f>K230+'Basic Data'!$AC$13</f>
        <v>2815.5000000000159</v>
      </c>
      <c r="L231" s="151">
        <f>L230+'Basic Data'!$AD$13</f>
        <v>2815.5000000000159</v>
      </c>
      <c r="M231" s="151">
        <f>M230+'Basic Data'!$AE$13</f>
        <v>1752.1800000000082</v>
      </c>
      <c r="N231" s="151">
        <f>N230+'Basic Data'!$AF$13</f>
        <v>4131.8299999999845</v>
      </c>
      <c r="O231" s="151">
        <f>O230+'Basic Data'!$AG$13</f>
        <v>1647.6800000000071</v>
      </c>
      <c r="P231" s="151">
        <f>P230+'Basic Data'!$AH$13</f>
        <v>4507.3500000000276</v>
      </c>
    </row>
    <row r="232" spans="2:16">
      <c r="B232" s="156">
        <v>230</v>
      </c>
      <c r="C232" s="176">
        <v>230</v>
      </c>
      <c r="D232" s="177">
        <f t="shared" si="19"/>
        <v>2827.380000000016</v>
      </c>
      <c r="E232" s="177">
        <f t="shared" si="20"/>
        <v>2827.380000000016</v>
      </c>
      <c r="F232" s="177">
        <f t="shared" si="21"/>
        <v>1759.5700000000083</v>
      </c>
      <c r="G232" s="177">
        <f t="shared" si="22"/>
        <v>4149.2599999999848</v>
      </c>
      <c r="H232" s="177">
        <f t="shared" si="23"/>
        <v>1654.6300000000072</v>
      </c>
      <c r="I232" s="177">
        <f t="shared" si="24"/>
        <v>4526.3600000000279</v>
      </c>
      <c r="K232" s="151">
        <f>K231+'Basic Data'!$AC$13</f>
        <v>2827.380000000016</v>
      </c>
      <c r="L232" s="151">
        <f>L231+'Basic Data'!$AD$13</f>
        <v>2827.380000000016</v>
      </c>
      <c r="M232" s="151">
        <f>M231+'Basic Data'!$AE$13</f>
        <v>1759.5700000000083</v>
      </c>
      <c r="N232" s="151">
        <f>N231+'Basic Data'!$AF$13</f>
        <v>4149.2599999999848</v>
      </c>
      <c r="O232" s="151">
        <f>O231+'Basic Data'!$AG$13</f>
        <v>1654.6300000000072</v>
      </c>
      <c r="P232" s="151">
        <f>P231+'Basic Data'!$AH$13</f>
        <v>4526.3600000000279</v>
      </c>
    </row>
    <row r="233" spans="2:16">
      <c r="B233" s="156">
        <v>231</v>
      </c>
      <c r="C233" s="176">
        <v>231</v>
      </c>
      <c r="D233" s="177">
        <f t="shared" si="19"/>
        <v>2839.2600000000161</v>
      </c>
      <c r="E233" s="177">
        <f t="shared" si="20"/>
        <v>2839.2600000000161</v>
      </c>
      <c r="F233" s="177">
        <f t="shared" si="21"/>
        <v>1766.9600000000084</v>
      </c>
      <c r="G233" s="177">
        <f t="shared" si="22"/>
        <v>4166.689999999985</v>
      </c>
      <c r="H233" s="177">
        <f t="shared" si="23"/>
        <v>1661.5800000000072</v>
      </c>
      <c r="I233" s="177">
        <f t="shared" si="24"/>
        <v>4545.3700000000281</v>
      </c>
      <c r="K233" s="151">
        <f>K232+'Basic Data'!$AC$13</f>
        <v>2839.2600000000161</v>
      </c>
      <c r="L233" s="151">
        <f>L232+'Basic Data'!$AD$13</f>
        <v>2839.2600000000161</v>
      </c>
      <c r="M233" s="151">
        <f>M232+'Basic Data'!$AE$13</f>
        <v>1766.9600000000084</v>
      </c>
      <c r="N233" s="151">
        <f>N232+'Basic Data'!$AF$13</f>
        <v>4166.689999999985</v>
      </c>
      <c r="O233" s="151">
        <f>O232+'Basic Data'!$AG$13</f>
        <v>1661.5800000000072</v>
      </c>
      <c r="P233" s="151">
        <f>P232+'Basic Data'!$AH$13</f>
        <v>4545.3700000000281</v>
      </c>
    </row>
    <row r="234" spans="2:16">
      <c r="B234" s="156">
        <v>232</v>
      </c>
      <c r="C234" s="176">
        <v>232</v>
      </c>
      <c r="D234" s="177">
        <f t="shared" si="19"/>
        <v>2851.1400000000162</v>
      </c>
      <c r="E234" s="177">
        <f t="shared" si="20"/>
        <v>2851.1400000000162</v>
      </c>
      <c r="F234" s="177">
        <f t="shared" si="21"/>
        <v>1774.3500000000085</v>
      </c>
      <c r="G234" s="177">
        <f t="shared" si="22"/>
        <v>4184.1199999999853</v>
      </c>
      <c r="H234" s="177">
        <f t="shared" si="23"/>
        <v>1668.5300000000072</v>
      </c>
      <c r="I234" s="177">
        <f t="shared" si="24"/>
        <v>4564.3800000000283</v>
      </c>
      <c r="K234" s="151">
        <f>K233+'Basic Data'!$AC$13</f>
        <v>2851.1400000000162</v>
      </c>
      <c r="L234" s="151">
        <f>L233+'Basic Data'!$AD$13</f>
        <v>2851.1400000000162</v>
      </c>
      <c r="M234" s="151">
        <f>M233+'Basic Data'!$AE$13</f>
        <v>1774.3500000000085</v>
      </c>
      <c r="N234" s="151">
        <f>N233+'Basic Data'!$AF$13</f>
        <v>4184.1199999999853</v>
      </c>
      <c r="O234" s="151">
        <f>O233+'Basic Data'!$AG$13</f>
        <v>1668.5300000000072</v>
      </c>
      <c r="P234" s="151">
        <f>P233+'Basic Data'!$AH$13</f>
        <v>4564.3800000000283</v>
      </c>
    </row>
    <row r="235" spans="2:16">
      <c r="B235" s="156">
        <v>233</v>
      </c>
      <c r="C235" s="176">
        <v>233</v>
      </c>
      <c r="D235" s="177">
        <f t="shared" si="19"/>
        <v>2863.0200000000164</v>
      </c>
      <c r="E235" s="177">
        <f t="shared" si="20"/>
        <v>2863.0200000000164</v>
      </c>
      <c r="F235" s="177">
        <f t="shared" si="21"/>
        <v>1781.7400000000086</v>
      </c>
      <c r="G235" s="177">
        <f t="shared" si="22"/>
        <v>4201.5499999999856</v>
      </c>
      <c r="H235" s="177">
        <f t="shared" si="23"/>
        <v>1675.4800000000073</v>
      </c>
      <c r="I235" s="177">
        <f t="shared" si="24"/>
        <v>4583.3900000000285</v>
      </c>
      <c r="K235" s="151">
        <f>K234+'Basic Data'!$AC$13</f>
        <v>2863.0200000000164</v>
      </c>
      <c r="L235" s="151">
        <f>L234+'Basic Data'!$AD$13</f>
        <v>2863.0200000000164</v>
      </c>
      <c r="M235" s="151">
        <f>M234+'Basic Data'!$AE$13</f>
        <v>1781.7400000000086</v>
      </c>
      <c r="N235" s="151">
        <f>N234+'Basic Data'!$AF$13</f>
        <v>4201.5499999999856</v>
      </c>
      <c r="O235" s="151">
        <f>O234+'Basic Data'!$AG$13</f>
        <v>1675.4800000000073</v>
      </c>
      <c r="P235" s="151">
        <f>P234+'Basic Data'!$AH$13</f>
        <v>4583.3900000000285</v>
      </c>
    </row>
    <row r="236" spans="2:16">
      <c r="B236" s="156">
        <v>234</v>
      </c>
      <c r="C236" s="176">
        <v>234</v>
      </c>
      <c r="D236" s="177">
        <f t="shared" si="19"/>
        <v>2874.9000000000165</v>
      </c>
      <c r="E236" s="177">
        <f t="shared" si="20"/>
        <v>2874.9000000000165</v>
      </c>
      <c r="F236" s="177">
        <f t="shared" si="21"/>
        <v>1789.1300000000087</v>
      </c>
      <c r="G236" s="177">
        <f t="shared" si="22"/>
        <v>4218.9799999999859</v>
      </c>
      <c r="H236" s="177">
        <f t="shared" si="23"/>
        <v>1682.4300000000073</v>
      </c>
      <c r="I236" s="177">
        <f t="shared" si="24"/>
        <v>4602.4000000000287</v>
      </c>
      <c r="K236" s="151">
        <f>K235+'Basic Data'!$AC$13</f>
        <v>2874.9000000000165</v>
      </c>
      <c r="L236" s="151">
        <f>L235+'Basic Data'!$AD$13</f>
        <v>2874.9000000000165</v>
      </c>
      <c r="M236" s="151">
        <f>M235+'Basic Data'!$AE$13</f>
        <v>1789.1300000000087</v>
      </c>
      <c r="N236" s="151">
        <f>N235+'Basic Data'!$AF$13</f>
        <v>4218.9799999999859</v>
      </c>
      <c r="O236" s="151">
        <f>O235+'Basic Data'!$AG$13</f>
        <v>1682.4300000000073</v>
      </c>
      <c r="P236" s="151">
        <f>P235+'Basic Data'!$AH$13</f>
        <v>4602.4000000000287</v>
      </c>
    </row>
    <row r="237" spans="2:16">
      <c r="B237" s="156">
        <v>235</v>
      </c>
      <c r="C237" s="176">
        <v>235</v>
      </c>
      <c r="D237" s="177">
        <f t="shared" si="19"/>
        <v>2886.7800000000166</v>
      </c>
      <c r="E237" s="177">
        <f t="shared" si="20"/>
        <v>2886.7800000000166</v>
      </c>
      <c r="F237" s="177">
        <f t="shared" si="21"/>
        <v>1796.5200000000088</v>
      </c>
      <c r="G237" s="177">
        <f t="shared" si="22"/>
        <v>4236.4099999999862</v>
      </c>
      <c r="H237" s="177">
        <f t="shared" si="23"/>
        <v>1689.3800000000074</v>
      </c>
      <c r="I237" s="177">
        <f t="shared" si="24"/>
        <v>4621.410000000029</v>
      </c>
      <c r="K237" s="151">
        <f>K236+'Basic Data'!$AC$13</f>
        <v>2886.7800000000166</v>
      </c>
      <c r="L237" s="151">
        <f>L236+'Basic Data'!$AD$13</f>
        <v>2886.7800000000166</v>
      </c>
      <c r="M237" s="151">
        <f>M236+'Basic Data'!$AE$13</f>
        <v>1796.5200000000088</v>
      </c>
      <c r="N237" s="151">
        <f>N236+'Basic Data'!$AF$13</f>
        <v>4236.4099999999862</v>
      </c>
      <c r="O237" s="151">
        <f>O236+'Basic Data'!$AG$13</f>
        <v>1689.3800000000074</v>
      </c>
      <c r="P237" s="151">
        <f>P236+'Basic Data'!$AH$13</f>
        <v>4621.410000000029</v>
      </c>
    </row>
    <row r="238" spans="2:16">
      <c r="B238" s="156">
        <v>236</v>
      </c>
      <c r="C238" s="176">
        <v>236</v>
      </c>
      <c r="D238" s="177">
        <f t="shared" si="19"/>
        <v>2898.6600000000167</v>
      </c>
      <c r="E238" s="177">
        <f t="shared" si="20"/>
        <v>2898.6600000000167</v>
      </c>
      <c r="F238" s="177">
        <f t="shared" si="21"/>
        <v>1803.9100000000089</v>
      </c>
      <c r="G238" s="177">
        <f t="shared" si="22"/>
        <v>4253.8399999999865</v>
      </c>
      <c r="H238" s="177">
        <f t="shared" si="23"/>
        <v>1696.3300000000074</v>
      </c>
      <c r="I238" s="177">
        <f t="shared" si="24"/>
        <v>4640.4200000000292</v>
      </c>
      <c r="K238" s="151">
        <f>K237+'Basic Data'!$AC$13</f>
        <v>2898.6600000000167</v>
      </c>
      <c r="L238" s="151">
        <f>L237+'Basic Data'!$AD$13</f>
        <v>2898.6600000000167</v>
      </c>
      <c r="M238" s="151">
        <f>M237+'Basic Data'!$AE$13</f>
        <v>1803.9100000000089</v>
      </c>
      <c r="N238" s="151">
        <f>N237+'Basic Data'!$AF$13</f>
        <v>4253.8399999999865</v>
      </c>
      <c r="O238" s="151">
        <f>O237+'Basic Data'!$AG$13</f>
        <v>1696.3300000000074</v>
      </c>
      <c r="P238" s="151">
        <f>P237+'Basic Data'!$AH$13</f>
        <v>4640.4200000000292</v>
      </c>
    </row>
    <row r="239" spans="2:16">
      <c r="B239" s="156">
        <v>237</v>
      </c>
      <c r="C239" s="176">
        <v>237</v>
      </c>
      <c r="D239" s="177">
        <f t="shared" si="19"/>
        <v>2910.5400000000168</v>
      </c>
      <c r="E239" s="177">
        <f t="shared" si="20"/>
        <v>2910.5400000000168</v>
      </c>
      <c r="F239" s="177">
        <f t="shared" si="21"/>
        <v>1811.300000000009</v>
      </c>
      <c r="G239" s="177">
        <f t="shared" si="22"/>
        <v>4271.2699999999868</v>
      </c>
      <c r="H239" s="177">
        <f t="shared" si="23"/>
        <v>1703.2800000000075</v>
      </c>
      <c r="I239" s="177">
        <f t="shared" si="24"/>
        <v>4659.4300000000294</v>
      </c>
      <c r="K239" s="151">
        <f>K238+'Basic Data'!$AC$13</f>
        <v>2910.5400000000168</v>
      </c>
      <c r="L239" s="151">
        <f>L238+'Basic Data'!$AD$13</f>
        <v>2910.5400000000168</v>
      </c>
      <c r="M239" s="151">
        <f>M238+'Basic Data'!$AE$13</f>
        <v>1811.300000000009</v>
      </c>
      <c r="N239" s="151">
        <f>N238+'Basic Data'!$AF$13</f>
        <v>4271.2699999999868</v>
      </c>
      <c r="O239" s="151">
        <f>O238+'Basic Data'!$AG$13</f>
        <v>1703.2800000000075</v>
      </c>
      <c r="P239" s="151">
        <f>P238+'Basic Data'!$AH$13</f>
        <v>4659.4300000000294</v>
      </c>
    </row>
    <row r="240" spans="2:16">
      <c r="B240" s="156">
        <v>238</v>
      </c>
      <c r="C240" s="176">
        <v>238</v>
      </c>
      <c r="D240" s="177">
        <f t="shared" si="19"/>
        <v>2922.4200000000169</v>
      </c>
      <c r="E240" s="177">
        <f t="shared" si="20"/>
        <v>2922.4200000000169</v>
      </c>
      <c r="F240" s="177">
        <f t="shared" si="21"/>
        <v>1818.6900000000091</v>
      </c>
      <c r="G240" s="177">
        <f t="shared" si="22"/>
        <v>4288.6999999999871</v>
      </c>
      <c r="H240" s="177">
        <f t="shared" si="23"/>
        <v>1710.2300000000075</v>
      </c>
      <c r="I240" s="177">
        <f t="shared" si="24"/>
        <v>4678.4400000000296</v>
      </c>
      <c r="K240" s="151">
        <f>K239+'Basic Data'!$AC$13</f>
        <v>2922.4200000000169</v>
      </c>
      <c r="L240" s="151">
        <f>L239+'Basic Data'!$AD$13</f>
        <v>2922.4200000000169</v>
      </c>
      <c r="M240" s="151">
        <f>M239+'Basic Data'!$AE$13</f>
        <v>1818.6900000000091</v>
      </c>
      <c r="N240" s="151">
        <f>N239+'Basic Data'!$AF$13</f>
        <v>4288.6999999999871</v>
      </c>
      <c r="O240" s="151">
        <f>O239+'Basic Data'!$AG$13</f>
        <v>1710.2300000000075</v>
      </c>
      <c r="P240" s="151">
        <f>P239+'Basic Data'!$AH$13</f>
        <v>4678.4400000000296</v>
      </c>
    </row>
    <row r="241" spans="2:16">
      <c r="B241" s="156">
        <v>239</v>
      </c>
      <c r="C241" s="176">
        <v>239</v>
      </c>
      <c r="D241" s="177">
        <f t="shared" si="19"/>
        <v>2934.300000000017</v>
      </c>
      <c r="E241" s="177">
        <f t="shared" si="20"/>
        <v>2934.300000000017</v>
      </c>
      <c r="F241" s="177">
        <f t="shared" si="21"/>
        <v>1826.0800000000092</v>
      </c>
      <c r="G241" s="177">
        <f t="shared" si="22"/>
        <v>4306.1299999999874</v>
      </c>
      <c r="H241" s="177">
        <f t="shared" si="23"/>
        <v>1717.1800000000076</v>
      </c>
      <c r="I241" s="177">
        <f t="shared" si="24"/>
        <v>4697.4500000000298</v>
      </c>
      <c r="K241" s="151">
        <f>K240+'Basic Data'!$AC$13</f>
        <v>2934.300000000017</v>
      </c>
      <c r="L241" s="151">
        <f>L240+'Basic Data'!$AD$13</f>
        <v>2934.300000000017</v>
      </c>
      <c r="M241" s="151">
        <f>M240+'Basic Data'!$AE$13</f>
        <v>1826.0800000000092</v>
      </c>
      <c r="N241" s="151">
        <f>N240+'Basic Data'!$AF$13</f>
        <v>4306.1299999999874</v>
      </c>
      <c r="O241" s="151">
        <f>O240+'Basic Data'!$AG$13</f>
        <v>1717.1800000000076</v>
      </c>
      <c r="P241" s="151">
        <f>P240+'Basic Data'!$AH$13</f>
        <v>4697.4500000000298</v>
      </c>
    </row>
    <row r="242" spans="2:16">
      <c r="B242" s="156">
        <v>240</v>
      </c>
      <c r="C242" s="176">
        <v>240</v>
      </c>
      <c r="D242" s="177">
        <f t="shared" si="19"/>
        <v>2946.1800000000171</v>
      </c>
      <c r="E242" s="177">
        <f t="shared" si="20"/>
        <v>2946.1800000000171</v>
      </c>
      <c r="F242" s="177">
        <f t="shared" si="21"/>
        <v>1833.4700000000093</v>
      </c>
      <c r="G242" s="177">
        <f t="shared" si="22"/>
        <v>4323.5599999999877</v>
      </c>
      <c r="H242" s="177">
        <f t="shared" si="23"/>
        <v>1724.1300000000076</v>
      </c>
      <c r="I242" s="177">
        <f t="shared" si="24"/>
        <v>4716.46000000003</v>
      </c>
      <c r="K242" s="151">
        <f>K241+'Basic Data'!$AC$13</f>
        <v>2946.1800000000171</v>
      </c>
      <c r="L242" s="151">
        <f>L241+'Basic Data'!$AD$13</f>
        <v>2946.1800000000171</v>
      </c>
      <c r="M242" s="151">
        <f>M241+'Basic Data'!$AE$13</f>
        <v>1833.4700000000093</v>
      </c>
      <c r="N242" s="151">
        <f>N241+'Basic Data'!$AF$13</f>
        <v>4323.5599999999877</v>
      </c>
      <c r="O242" s="151">
        <f>O241+'Basic Data'!$AG$13</f>
        <v>1724.1300000000076</v>
      </c>
      <c r="P242" s="151">
        <f>P241+'Basic Data'!$AH$13</f>
        <v>4716.46000000003</v>
      </c>
    </row>
    <row r="243" spans="2:16">
      <c r="B243" s="156">
        <v>241</v>
      </c>
      <c r="C243" s="176">
        <v>241</v>
      </c>
      <c r="D243" s="177">
        <f t="shared" si="19"/>
        <v>2958.0600000000172</v>
      </c>
      <c r="E243" s="177">
        <f t="shared" si="20"/>
        <v>2958.0600000000172</v>
      </c>
      <c r="F243" s="177">
        <f t="shared" si="21"/>
        <v>1840.8600000000094</v>
      </c>
      <c r="G243" s="177">
        <f t="shared" si="22"/>
        <v>4340.989999999988</v>
      </c>
      <c r="H243" s="177">
        <f t="shared" si="23"/>
        <v>1731.0800000000077</v>
      </c>
      <c r="I243" s="177">
        <f t="shared" si="24"/>
        <v>4735.4700000000303</v>
      </c>
      <c r="K243" s="151">
        <f>K242+'Basic Data'!$AC$13</f>
        <v>2958.0600000000172</v>
      </c>
      <c r="L243" s="151">
        <f>L242+'Basic Data'!$AD$13</f>
        <v>2958.0600000000172</v>
      </c>
      <c r="M243" s="151">
        <f>M242+'Basic Data'!$AE$13</f>
        <v>1840.8600000000094</v>
      </c>
      <c r="N243" s="151">
        <f>N242+'Basic Data'!$AF$13</f>
        <v>4340.989999999988</v>
      </c>
      <c r="O243" s="151">
        <f>O242+'Basic Data'!$AG$13</f>
        <v>1731.0800000000077</v>
      </c>
      <c r="P243" s="151">
        <f>P242+'Basic Data'!$AH$13</f>
        <v>4735.4700000000303</v>
      </c>
    </row>
    <row r="244" spans="2:16">
      <c r="B244" s="156">
        <v>242</v>
      </c>
      <c r="C244" s="176">
        <v>242</v>
      </c>
      <c r="D244" s="177">
        <f t="shared" si="19"/>
        <v>2969.9400000000173</v>
      </c>
      <c r="E244" s="177">
        <f t="shared" si="20"/>
        <v>2969.9400000000173</v>
      </c>
      <c r="F244" s="177">
        <f t="shared" si="21"/>
        <v>1848.2500000000095</v>
      </c>
      <c r="G244" s="177">
        <f t="shared" si="22"/>
        <v>4358.4199999999882</v>
      </c>
      <c r="H244" s="177">
        <f t="shared" si="23"/>
        <v>1738.0300000000077</v>
      </c>
      <c r="I244" s="177">
        <f t="shared" si="24"/>
        <v>4754.4800000000305</v>
      </c>
      <c r="K244" s="151">
        <f>K243+'Basic Data'!$AC$13</f>
        <v>2969.9400000000173</v>
      </c>
      <c r="L244" s="151">
        <f>L243+'Basic Data'!$AD$13</f>
        <v>2969.9400000000173</v>
      </c>
      <c r="M244" s="151">
        <f>M243+'Basic Data'!$AE$13</f>
        <v>1848.2500000000095</v>
      </c>
      <c r="N244" s="151">
        <f>N243+'Basic Data'!$AF$13</f>
        <v>4358.4199999999882</v>
      </c>
      <c r="O244" s="151">
        <f>O243+'Basic Data'!$AG$13</f>
        <v>1738.0300000000077</v>
      </c>
      <c r="P244" s="151">
        <f>P243+'Basic Data'!$AH$13</f>
        <v>4754.4800000000305</v>
      </c>
    </row>
    <row r="245" spans="2:16">
      <c r="B245" s="156">
        <v>243</v>
      </c>
      <c r="C245" s="176">
        <v>243</v>
      </c>
      <c r="D245" s="177">
        <f t="shared" si="19"/>
        <v>2981.8200000000174</v>
      </c>
      <c r="E245" s="177">
        <f t="shared" si="20"/>
        <v>2981.8200000000174</v>
      </c>
      <c r="F245" s="177">
        <f t="shared" si="21"/>
        <v>1855.6400000000096</v>
      </c>
      <c r="G245" s="177">
        <f t="shared" si="22"/>
        <v>4375.8499999999885</v>
      </c>
      <c r="H245" s="177">
        <f t="shared" si="23"/>
        <v>1744.9800000000077</v>
      </c>
      <c r="I245" s="177">
        <f t="shared" si="24"/>
        <v>4773.4900000000307</v>
      </c>
      <c r="K245" s="151">
        <f>K244+'Basic Data'!$AC$13</f>
        <v>2981.8200000000174</v>
      </c>
      <c r="L245" s="151">
        <f>L244+'Basic Data'!$AD$13</f>
        <v>2981.8200000000174</v>
      </c>
      <c r="M245" s="151">
        <f>M244+'Basic Data'!$AE$13</f>
        <v>1855.6400000000096</v>
      </c>
      <c r="N245" s="151">
        <f>N244+'Basic Data'!$AF$13</f>
        <v>4375.8499999999885</v>
      </c>
      <c r="O245" s="151">
        <f>O244+'Basic Data'!$AG$13</f>
        <v>1744.9800000000077</v>
      </c>
      <c r="P245" s="151">
        <f>P244+'Basic Data'!$AH$13</f>
        <v>4773.4900000000307</v>
      </c>
    </row>
    <row r="246" spans="2:16">
      <c r="B246" s="156">
        <v>244</v>
      </c>
      <c r="C246" s="176">
        <v>244</v>
      </c>
      <c r="D246" s="177">
        <f t="shared" si="19"/>
        <v>2993.7000000000176</v>
      </c>
      <c r="E246" s="177">
        <f t="shared" si="20"/>
        <v>2993.7000000000176</v>
      </c>
      <c r="F246" s="177">
        <f t="shared" si="21"/>
        <v>1863.0300000000097</v>
      </c>
      <c r="G246" s="177">
        <f t="shared" si="22"/>
        <v>4393.2799999999888</v>
      </c>
      <c r="H246" s="177">
        <f t="shared" si="23"/>
        <v>1751.9300000000078</v>
      </c>
      <c r="I246" s="177">
        <f t="shared" si="24"/>
        <v>4792.5000000000309</v>
      </c>
      <c r="K246" s="151">
        <f>K245+'Basic Data'!$AC$13</f>
        <v>2993.7000000000176</v>
      </c>
      <c r="L246" s="151">
        <f>L245+'Basic Data'!$AD$13</f>
        <v>2993.7000000000176</v>
      </c>
      <c r="M246" s="151">
        <f>M245+'Basic Data'!$AE$13</f>
        <v>1863.0300000000097</v>
      </c>
      <c r="N246" s="151">
        <f>N245+'Basic Data'!$AF$13</f>
        <v>4393.2799999999888</v>
      </c>
      <c r="O246" s="151">
        <f>O245+'Basic Data'!$AG$13</f>
        <v>1751.9300000000078</v>
      </c>
      <c r="P246" s="151">
        <f>P245+'Basic Data'!$AH$13</f>
        <v>4792.5000000000309</v>
      </c>
    </row>
    <row r="247" spans="2:16">
      <c r="B247" s="156">
        <v>245</v>
      </c>
      <c r="C247" s="176">
        <v>245</v>
      </c>
      <c r="D247" s="177">
        <f t="shared" si="19"/>
        <v>3005.5800000000177</v>
      </c>
      <c r="E247" s="177">
        <f t="shared" si="20"/>
        <v>3005.5800000000177</v>
      </c>
      <c r="F247" s="177">
        <f t="shared" si="21"/>
        <v>1870.4200000000098</v>
      </c>
      <c r="G247" s="177">
        <f t="shared" si="22"/>
        <v>4410.7099999999891</v>
      </c>
      <c r="H247" s="177">
        <f t="shared" si="23"/>
        <v>1758.8800000000078</v>
      </c>
      <c r="I247" s="177">
        <f t="shared" si="24"/>
        <v>4811.5100000000311</v>
      </c>
      <c r="K247" s="151">
        <f>K246+'Basic Data'!$AC$13</f>
        <v>3005.5800000000177</v>
      </c>
      <c r="L247" s="151">
        <f>L246+'Basic Data'!$AD$13</f>
        <v>3005.5800000000177</v>
      </c>
      <c r="M247" s="151">
        <f>M246+'Basic Data'!$AE$13</f>
        <v>1870.4200000000098</v>
      </c>
      <c r="N247" s="151">
        <f>N246+'Basic Data'!$AF$13</f>
        <v>4410.7099999999891</v>
      </c>
      <c r="O247" s="151">
        <f>O246+'Basic Data'!$AG$13</f>
        <v>1758.8800000000078</v>
      </c>
      <c r="P247" s="151">
        <f>P246+'Basic Data'!$AH$13</f>
        <v>4811.5100000000311</v>
      </c>
    </row>
    <row r="248" spans="2:16">
      <c r="B248" s="156">
        <v>246</v>
      </c>
      <c r="C248" s="176">
        <v>246</v>
      </c>
      <c r="D248" s="177">
        <f t="shared" si="19"/>
        <v>3017.4600000000178</v>
      </c>
      <c r="E248" s="177">
        <f t="shared" si="20"/>
        <v>3017.4600000000178</v>
      </c>
      <c r="F248" s="177">
        <f t="shared" si="21"/>
        <v>1877.8100000000099</v>
      </c>
      <c r="G248" s="177">
        <f t="shared" si="22"/>
        <v>4428.1399999999894</v>
      </c>
      <c r="H248" s="177">
        <f t="shared" si="23"/>
        <v>1765.8300000000079</v>
      </c>
      <c r="I248" s="177">
        <f t="shared" si="24"/>
        <v>4830.5200000000314</v>
      </c>
      <c r="K248" s="151">
        <f>K247+'Basic Data'!$AC$13</f>
        <v>3017.4600000000178</v>
      </c>
      <c r="L248" s="151">
        <f>L247+'Basic Data'!$AD$13</f>
        <v>3017.4600000000178</v>
      </c>
      <c r="M248" s="151">
        <f>M247+'Basic Data'!$AE$13</f>
        <v>1877.8100000000099</v>
      </c>
      <c r="N248" s="151">
        <f>N247+'Basic Data'!$AF$13</f>
        <v>4428.1399999999894</v>
      </c>
      <c r="O248" s="151">
        <f>O247+'Basic Data'!$AG$13</f>
        <v>1765.8300000000079</v>
      </c>
      <c r="P248" s="151">
        <f>P247+'Basic Data'!$AH$13</f>
        <v>4830.5200000000314</v>
      </c>
    </row>
    <row r="249" spans="2:16">
      <c r="B249" s="156">
        <v>247</v>
      </c>
      <c r="C249" s="176">
        <v>247</v>
      </c>
      <c r="D249" s="177">
        <f t="shared" si="19"/>
        <v>3029.3400000000179</v>
      </c>
      <c r="E249" s="177">
        <f t="shared" si="20"/>
        <v>3029.3400000000179</v>
      </c>
      <c r="F249" s="177">
        <f t="shared" si="21"/>
        <v>1885.20000000001</v>
      </c>
      <c r="G249" s="177">
        <f t="shared" si="22"/>
        <v>4445.5699999999897</v>
      </c>
      <c r="H249" s="177">
        <f t="shared" si="23"/>
        <v>1772.7800000000079</v>
      </c>
      <c r="I249" s="177">
        <f t="shared" si="24"/>
        <v>4849.5300000000316</v>
      </c>
      <c r="K249" s="151">
        <f>K248+'Basic Data'!$AC$13</f>
        <v>3029.3400000000179</v>
      </c>
      <c r="L249" s="151">
        <f>L248+'Basic Data'!$AD$13</f>
        <v>3029.3400000000179</v>
      </c>
      <c r="M249" s="151">
        <f>M248+'Basic Data'!$AE$13</f>
        <v>1885.20000000001</v>
      </c>
      <c r="N249" s="151">
        <f>N248+'Basic Data'!$AF$13</f>
        <v>4445.5699999999897</v>
      </c>
      <c r="O249" s="151">
        <f>O248+'Basic Data'!$AG$13</f>
        <v>1772.7800000000079</v>
      </c>
      <c r="P249" s="151">
        <f>P248+'Basic Data'!$AH$13</f>
        <v>4849.5300000000316</v>
      </c>
    </row>
    <row r="250" spans="2:16">
      <c r="B250" s="156">
        <v>248</v>
      </c>
      <c r="C250" s="176">
        <v>248</v>
      </c>
      <c r="D250" s="177">
        <f t="shared" si="19"/>
        <v>3041.220000000018</v>
      </c>
      <c r="E250" s="177">
        <f t="shared" si="20"/>
        <v>3041.220000000018</v>
      </c>
      <c r="F250" s="177">
        <f t="shared" si="21"/>
        <v>1892.5900000000101</v>
      </c>
      <c r="G250" s="177">
        <f t="shared" si="22"/>
        <v>4462.99999999999</v>
      </c>
      <c r="H250" s="177">
        <f t="shared" si="23"/>
        <v>1779.730000000008</v>
      </c>
      <c r="I250" s="177">
        <f t="shared" si="24"/>
        <v>4868.5400000000318</v>
      </c>
      <c r="K250" s="151">
        <f>K249+'Basic Data'!$AC$13</f>
        <v>3041.220000000018</v>
      </c>
      <c r="L250" s="151">
        <f>L249+'Basic Data'!$AD$13</f>
        <v>3041.220000000018</v>
      </c>
      <c r="M250" s="151">
        <f>M249+'Basic Data'!$AE$13</f>
        <v>1892.5900000000101</v>
      </c>
      <c r="N250" s="151">
        <f>N249+'Basic Data'!$AF$13</f>
        <v>4462.99999999999</v>
      </c>
      <c r="O250" s="151">
        <f>O249+'Basic Data'!$AG$13</f>
        <v>1779.730000000008</v>
      </c>
      <c r="P250" s="151">
        <f>P249+'Basic Data'!$AH$13</f>
        <v>4868.5400000000318</v>
      </c>
    </row>
    <row r="251" spans="2:16">
      <c r="B251" s="156">
        <v>249</v>
      </c>
      <c r="C251" s="176">
        <v>249</v>
      </c>
      <c r="D251" s="177">
        <f t="shared" si="19"/>
        <v>3053.1000000000181</v>
      </c>
      <c r="E251" s="177">
        <f t="shared" si="20"/>
        <v>3053.1000000000181</v>
      </c>
      <c r="F251" s="177">
        <f t="shared" si="21"/>
        <v>1899.9800000000103</v>
      </c>
      <c r="G251" s="177">
        <f t="shared" si="22"/>
        <v>4480.4299999999903</v>
      </c>
      <c r="H251" s="177">
        <f t="shared" si="23"/>
        <v>1786.680000000008</v>
      </c>
      <c r="I251" s="177">
        <f t="shared" si="24"/>
        <v>4887.550000000032</v>
      </c>
      <c r="K251" s="151">
        <f>K250+'Basic Data'!$AC$13</f>
        <v>3053.1000000000181</v>
      </c>
      <c r="L251" s="151">
        <f>L250+'Basic Data'!$AD$13</f>
        <v>3053.1000000000181</v>
      </c>
      <c r="M251" s="151">
        <f>M250+'Basic Data'!$AE$13</f>
        <v>1899.9800000000103</v>
      </c>
      <c r="N251" s="151">
        <f>N250+'Basic Data'!$AF$13</f>
        <v>4480.4299999999903</v>
      </c>
      <c r="O251" s="151">
        <f>O250+'Basic Data'!$AG$13</f>
        <v>1786.680000000008</v>
      </c>
      <c r="P251" s="151">
        <f>P250+'Basic Data'!$AH$13</f>
        <v>4887.550000000032</v>
      </c>
    </row>
    <row r="252" spans="2:16">
      <c r="B252" s="156">
        <v>250</v>
      </c>
      <c r="C252" s="176">
        <v>250</v>
      </c>
      <c r="D252" s="177">
        <f t="shared" si="19"/>
        <v>3064.9800000000182</v>
      </c>
      <c r="E252" s="177">
        <f t="shared" si="20"/>
        <v>3064.9800000000182</v>
      </c>
      <c r="F252" s="177">
        <f t="shared" si="21"/>
        <v>1907.3700000000104</v>
      </c>
      <c r="G252" s="177">
        <f t="shared" si="22"/>
        <v>4497.8599999999906</v>
      </c>
      <c r="H252" s="177">
        <f t="shared" si="23"/>
        <v>1793.6300000000081</v>
      </c>
      <c r="I252" s="177">
        <f t="shared" si="24"/>
        <v>4906.5600000000322</v>
      </c>
      <c r="K252" s="151">
        <f>K251+'Basic Data'!$AC$13</f>
        <v>3064.9800000000182</v>
      </c>
      <c r="L252" s="151">
        <f>L251+'Basic Data'!$AD$13</f>
        <v>3064.9800000000182</v>
      </c>
      <c r="M252" s="151">
        <f>M251+'Basic Data'!$AE$13</f>
        <v>1907.3700000000104</v>
      </c>
      <c r="N252" s="151">
        <f>N251+'Basic Data'!$AF$13</f>
        <v>4497.8599999999906</v>
      </c>
      <c r="O252" s="151">
        <f>O251+'Basic Data'!$AG$13</f>
        <v>1793.6300000000081</v>
      </c>
      <c r="P252" s="151">
        <f>P251+'Basic Data'!$AH$13</f>
        <v>4906.5600000000322</v>
      </c>
    </row>
    <row r="253" spans="2:16">
      <c r="B253" s="156">
        <v>251</v>
      </c>
      <c r="C253" s="176">
        <v>251</v>
      </c>
      <c r="D253" s="177">
        <f t="shared" si="19"/>
        <v>3076.8600000000183</v>
      </c>
      <c r="E253" s="177">
        <f t="shared" si="20"/>
        <v>3076.8600000000183</v>
      </c>
      <c r="F253" s="177">
        <f t="shared" si="21"/>
        <v>1914.7600000000105</v>
      </c>
      <c r="G253" s="177">
        <f t="shared" si="22"/>
        <v>4515.2899999999909</v>
      </c>
      <c r="H253" s="177">
        <f t="shared" si="23"/>
        <v>1800.5800000000081</v>
      </c>
      <c r="I253" s="177">
        <f t="shared" si="24"/>
        <v>4925.5700000000325</v>
      </c>
      <c r="K253" s="151">
        <f>K252+'Basic Data'!$AC$13</f>
        <v>3076.8600000000183</v>
      </c>
      <c r="L253" s="151">
        <f>L252+'Basic Data'!$AD$13</f>
        <v>3076.8600000000183</v>
      </c>
      <c r="M253" s="151">
        <f>M252+'Basic Data'!$AE$13</f>
        <v>1914.7600000000105</v>
      </c>
      <c r="N253" s="151">
        <f>N252+'Basic Data'!$AF$13</f>
        <v>4515.2899999999909</v>
      </c>
      <c r="O253" s="151">
        <f>O252+'Basic Data'!$AG$13</f>
        <v>1800.5800000000081</v>
      </c>
      <c r="P253" s="151">
        <f>P252+'Basic Data'!$AH$13</f>
        <v>4925.5700000000325</v>
      </c>
    </row>
    <row r="254" spans="2:16">
      <c r="B254" s="156">
        <v>252</v>
      </c>
      <c r="C254" s="176">
        <v>252</v>
      </c>
      <c r="D254" s="177">
        <f t="shared" si="19"/>
        <v>3088.7400000000184</v>
      </c>
      <c r="E254" s="177">
        <f t="shared" si="20"/>
        <v>3088.7400000000184</v>
      </c>
      <c r="F254" s="177">
        <f t="shared" si="21"/>
        <v>1922.1500000000106</v>
      </c>
      <c r="G254" s="177">
        <f t="shared" si="22"/>
        <v>4532.7199999999912</v>
      </c>
      <c r="H254" s="177">
        <f t="shared" si="23"/>
        <v>1807.5300000000082</v>
      </c>
      <c r="I254" s="177">
        <f t="shared" si="24"/>
        <v>4944.5800000000327</v>
      </c>
      <c r="K254" s="151">
        <f>K253+'Basic Data'!$AC$13</f>
        <v>3088.7400000000184</v>
      </c>
      <c r="L254" s="151">
        <f>L253+'Basic Data'!$AD$13</f>
        <v>3088.7400000000184</v>
      </c>
      <c r="M254" s="151">
        <f>M253+'Basic Data'!$AE$13</f>
        <v>1922.1500000000106</v>
      </c>
      <c r="N254" s="151">
        <f>N253+'Basic Data'!$AF$13</f>
        <v>4532.7199999999912</v>
      </c>
      <c r="O254" s="151">
        <f>O253+'Basic Data'!$AG$13</f>
        <v>1807.5300000000082</v>
      </c>
      <c r="P254" s="151">
        <f>P253+'Basic Data'!$AH$13</f>
        <v>4944.5800000000327</v>
      </c>
    </row>
    <row r="255" spans="2:16">
      <c r="B255" s="156">
        <v>253</v>
      </c>
      <c r="C255" s="176">
        <v>253</v>
      </c>
      <c r="D255" s="177">
        <f t="shared" si="19"/>
        <v>3100.6200000000185</v>
      </c>
      <c r="E255" s="177">
        <f t="shared" si="20"/>
        <v>3100.6200000000185</v>
      </c>
      <c r="F255" s="177">
        <f t="shared" si="21"/>
        <v>1929.5400000000107</v>
      </c>
      <c r="G255" s="177">
        <f t="shared" si="22"/>
        <v>4550.1499999999915</v>
      </c>
      <c r="H255" s="177">
        <f t="shared" si="23"/>
        <v>1814.4800000000082</v>
      </c>
      <c r="I255" s="177">
        <f t="shared" si="24"/>
        <v>4963.5900000000329</v>
      </c>
      <c r="K255" s="151">
        <f>K254+'Basic Data'!$AC$13</f>
        <v>3100.6200000000185</v>
      </c>
      <c r="L255" s="151">
        <f>L254+'Basic Data'!$AD$13</f>
        <v>3100.6200000000185</v>
      </c>
      <c r="M255" s="151">
        <f>M254+'Basic Data'!$AE$13</f>
        <v>1929.5400000000107</v>
      </c>
      <c r="N255" s="151">
        <f>N254+'Basic Data'!$AF$13</f>
        <v>4550.1499999999915</v>
      </c>
      <c r="O255" s="151">
        <f>O254+'Basic Data'!$AG$13</f>
        <v>1814.4800000000082</v>
      </c>
      <c r="P255" s="151">
        <f>P254+'Basic Data'!$AH$13</f>
        <v>4963.5900000000329</v>
      </c>
    </row>
    <row r="256" spans="2:16">
      <c r="B256" s="156">
        <v>254</v>
      </c>
      <c r="C256" s="176">
        <v>254</v>
      </c>
      <c r="D256" s="177">
        <f t="shared" si="19"/>
        <v>3112.5000000000186</v>
      </c>
      <c r="E256" s="177">
        <f t="shared" si="20"/>
        <v>3112.5000000000186</v>
      </c>
      <c r="F256" s="177">
        <f t="shared" si="21"/>
        <v>1936.9300000000108</v>
      </c>
      <c r="G256" s="177">
        <f t="shared" si="22"/>
        <v>4567.5799999999917</v>
      </c>
      <c r="H256" s="177">
        <f t="shared" si="23"/>
        <v>1821.4300000000082</v>
      </c>
      <c r="I256" s="177">
        <f t="shared" si="24"/>
        <v>4982.6000000000331</v>
      </c>
      <c r="K256" s="151">
        <f>K255+'Basic Data'!$AC$13</f>
        <v>3112.5000000000186</v>
      </c>
      <c r="L256" s="151">
        <f>L255+'Basic Data'!$AD$13</f>
        <v>3112.5000000000186</v>
      </c>
      <c r="M256" s="151">
        <f>M255+'Basic Data'!$AE$13</f>
        <v>1936.9300000000108</v>
      </c>
      <c r="N256" s="151">
        <f>N255+'Basic Data'!$AF$13</f>
        <v>4567.5799999999917</v>
      </c>
      <c r="O256" s="151">
        <f>O255+'Basic Data'!$AG$13</f>
        <v>1821.4300000000082</v>
      </c>
      <c r="P256" s="151">
        <f>P255+'Basic Data'!$AH$13</f>
        <v>4982.6000000000331</v>
      </c>
    </row>
    <row r="257" spans="2:16">
      <c r="B257" s="156">
        <v>255</v>
      </c>
      <c r="C257" s="176">
        <v>255</v>
      </c>
      <c r="D257" s="177">
        <f t="shared" si="19"/>
        <v>3124.3800000000188</v>
      </c>
      <c r="E257" s="177">
        <f t="shared" si="20"/>
        <v>3124.3800000000188</v>
      </c>
      <c r="F257" s="177">
        <f t="shared" si="21"/>
        <v>1944.3200000000109</v>
      </c>
      <c r="G257" s="177">
        <f t="shared" si="22"/>
        <v>4585.009999999992</v>
      </c>
      <c r="H257" s="177">
        <f t="shared" si="23"/>
        <v>1828.3800000000083</v>
      </c>
      <c r="I257" s="177">
        <f t="shared" si="24"/>
        <v>5001.6100000000333</v>
      </c>
      <c r="K257" s="151">
        <f>K256+'Basic Data'!$AC$13</f>
        <v>3124.3800000000188</v>
      </c>
      <c r="L257" s="151">
        <f>L256+'Basic Data'!$AD$13</f>
        <v>3124.3800000000188</v>
      </c>
      <c r="M257" s="151">
        <f>M256+'Basic Data'!$AE$13</f>
        <v>1944.3200000000109</v>
      </c>
      <c r="N257" s="151">
        <f>N256+'Basic Data'!$AF$13</f>
        <v>4585.009999999992</v>
      </c>
      <c r="O257" s="151">
        <f>O256+'Basic Data'!$AG$13</f>
        <v>1828.3800000000083</v>
      </c>
      <c r="P257" s="151">
        <f>P256+'Basic Data'!$AH$13</f>
        <v>5001.6100000000333</v>
      </c>
    </row>
    <row r="258" spans="2:16">
      <c r="B258" s="156">
        <v>256</v>
      </c>
      <c r="C258" s="176">
        <v>256</v>
      </c>
      <c r="D258" s="177">
        <f t="shared" si="19"/>
        <v>3136.2600000000189</v>
      </c>
      <c r="E258" s="177">
        <f t="shared" si="20"/>
        <v>3136.2600000000189</v>
      </c>
      <c r="F258" s="177">
        <f t="shared" si="21"/>
        <v>1951.710000000011</v>
      </c>
      <c r="G258" s="177">
        <f t="shared" si="22"/>
        <v>4602.4399999999923</v>
      </c>
      <c r="H258" s="177">
        <f t="shared" si="23"/>
        <v>1835.3300000000083</v>
      </c>
      <c r="I258" s="177">
        <f t="shared" si="24"/>
        <v>5020.6200000000335</v>
      </c>
      <c r="K258" s="151">
        <f>K257+'Basic Data'!$AC$13</f>
        <v>3136.2600000000189</v>
      </c>
      <c r="L258" s="151">
        <f>L257+'Basic Data'!$AD$13</f>
        <v>3136.2600000000189</v>
      </c>
      <c r="M258" s="151">
        <f>M257+'Basic Data'!$AE$13</f>
        <v>1951.710000000011</v>
      </c>
      <c r="N258" s="151">
        <f>N257+'Basic Data'!$AF$13</f>
        <v>4602.4399999999923</v>
      </c>
      <c r="O258" s="151">
        <f>O257+'Basic Data'!$AG$13</f>
        <v>1835.3300000000083</v>
      </c>
      <c r="P258" s="151">
        <f>P257+'Basic Data'!$AH$13</f>
        <v>5020.6200000000335</v>
      </c>
    </row>
    <row r="259" spans="2:16">
      <c r="B259" s="156">
        <v>257</v>
      </c>
      <c r="C259" s="176">
        <v>257</v>
      </c>
      <c r="D259" s="177">
        <f t="shared" si="19"/>
        <v>3148.140000000019</v>
      </c>
      <c r="E259" s="177">
        <f t="shared" si="20"/>
        <v>3148.140000000019</v>
      </c>
      <c r="F259" s="177">
        <f t="shared" si="21"/>
        <v>1959.1000000000111</v>
      </c>
      <c r="G259" s="177">
        <f t="shared" si="22"/>
        <v>4619.8699999999926</v>
      </c>
      <c r="H259" s="177">
        <f t="shared" si="23"/>
        <v>1842.2800000000084</v>
      </c>
      <c r="I259" s="177">
        <f t="shared" si="24"/>
        <v>5039.6300000000338</v>
      </c>
      <c r="K259" s="151">
        <f>K258+'Basic Data'!$AC$13</f>
        <v>3148.140000000019</v>
      </c>
      <c r="L259" s="151">
        <f>L258+'Basic Data'!$AD$13</f>
        <v>3148.140000000019</v>
      </c>
      <c r="M259" s="151">
        <f>M258+'Basic Data'!$AE$13</f>
        <v>1959.1000000000111</v>
      </c>
      <c r="N259" s="151">
        <f>N258+'Basic Data'!$AF$13</f>
        <v>4619.8699999999926</v>
      </c>
      <c r="O259" s="151">
        <f>O258+'Basic Data'!$AG$13</f>
        <v>1842.2800000000084</v>
      </c>
      <c r="P259" s="151">
        <f>P258+'Basic Data'!$AH$13</f>
        <v>5039.6300000000338</v>
      </c>
    </row>
    <row r="260" spans="2:16">
      <c r="B260" s="156">
        <v>258</v>
      </c>
      <c r="C260" s="176">
        <v>258</v>
      </c>
      <c r="D260" s="177">
        <f t="shared" ref="D260:D323" si="25">K260</f>
        <v>3160.0200000000191</v>
      </c>
      <c r="E260" s="177">
        <f t="shared" ref="E260:E323" si="26">L260</f>
        <v>3160.0200000000191</v>
      </c>
      <c r="F260" s="177">
        <f t="shared" ref="F260:F323" si="27">M260</f>
        <v>1966.4900000000112</v>
      </c>
      <c r="G260" s="177">
        <f t="shared" ref="G260:G323" si="28">N260</f>
        <v>4637.2999999999929</v>
      </c>
      <c r="H260" s="177">
        <f t="shared" ref="H260:H323" si="29">O260</f>
        <v>1849.2300000000084</v>
      </c>
      <c r="I260" s="177">
        <f t="shared" ref="I260:I323" si="30">P260</f>
        <v>5058.640000000034</v>
      </c>
      <c r="K260" s="151">
        <f>K259+'Basic Data'!$AC$13</f>
        <v>3160.0200000000191</v>
      </c>
      <c r="L260" s="151">
        <f>L259+'Basic Data'!$AD$13</f>
        <v>3160.0200000000191</v>
      </c>
      <c r="M260" s="151">
        <f>M259+'Basic Data'!$AE$13</f>
        <v>1966.4900000000112</v>
      </c>
      <c r="N260" s="151">
        <f>N259+'Basic Data'!$AF$13</f>
        <v>4637.2999999999929</v>
      </c>
      <c r="O260" s="151">
        <f>O259+'Basic Data'!$AG$13</f>
        <v>1849.2300000000084</v>
      </c>
      <c r="P260" s="151">
        <f>P259+'Basic Data'!$AH$13</f>
        <v>5058.640000000034</v>
      </c>
    </row>
    <row r="261" spans="2:16">
      <c r="B261" s="156">
        <v>259</v>
      </c>
      <c r="C261" s="176">
        <v>259</v>
      </c>
      <c r="D261" s="177">
        <f t="shared" si="25"/>
        <v>3171.9000000000192</v>
      </c>
      <c r="E261" s="177">
        <f t="shared" si="26"/>
        <v>3171.9000000000192</v>
      </c>
      <c r="F261" s="177">
        <f t="shared" si="27"/>
        <v>1973.8800000000113</v>
      </c>
      <c r="G261" s="177">
        <f t="shared" si="28"/>
        <v>4654.7299999999932</v>
      </c>
      <c r="H261" s="177">
        <f t="shared" si="29"/>
        <v>1856.1800000000085</v>
      </c>
      <c r="I261" s="177">
        <f t="shared" si="30"/>
        <v>5077.6500000000342</v>
      </c>
      <c r="K261" s="151">
        <f>K260+'Basic Data'!$AC$13</f>
        <v>3171.9000000000192</v>
      </c>
      <c r="L261" s="151">
        <f>L260+'Basic Data'!$AD$13</f>
        <v>3171.9000000000192</v>
      </c>
      <c r="M261" s="151">
        <f>M260+'Basic Data'!$AE$13</f>
        <v>1973.8800000000113</v>
      </c>
      <c r="N261" s="151">
        <f>N260+'Basic Data'!$AF$13</f>
        <v>4654.7299999999932</v>
      </c>
      <c r="O261" s="151">
        <f>O260+'Basic Data'!$AG$13</f>
        <v>1856.1800000000085</v>
      </c>
      <c r="P261" s="151">
        <f>P260+'Basic Data'!$AH$13</f>
        <v>5077.6500000000342</v>
      </c>
    </row>
    <row r="262" spans="2:16">
      <c r="B262" s="156">
        <v>260</v>
      </c>
      <c r="C262" s="176">
        <v>260</v>
      </c>
      <c r="D262" s="177">
        <f t="shared" si="25"/>
        <v>3183.7800000000193</v>
      </c>
      <c r="E262" s="177">
        <f t="shared" si="26"/>
        <v>3183.7800000000193</v>
      </c>
      <c r="F262" s="177">
        <f t="shared" si="27"/>
        <v>1981.2700000000114</v>
      </c>
      <c r="G262" s="177">
        <f t="shared" si="28"/>
        <v>4672.1599999999935</v>
      </c>
      <c r="H262" s="177">
        <f t="shared" si="29"/>
        <v>1863.1300000000085</v>
      </c>
      <c r="I262" s="177">
        <f t="shared" si="30"/>
        <v>5096.6600000000344</v>
      </c>
      <c r="K262" s="151">
        <f>K261+'Basic Data'!$AC$13</f>
        <v>3183.7800000000193</v>
      </c>
      <c r="L262" s="151">
        <f>L261+'Basic Data'!$AD$13</f>
        <v>3183.7800000000193</v>
      </c>
      <c r="M262" s="151">
        <f>M261+'Basic Data'!$AE$13</f>
        <v>1981.2700000000114</v>
      </c>
      <c r="N262" s="151">
        <f>N261+'Basic Data'!$AF$13</f>
        <v>4672.1599999999935</v>
      </c>
      <c r="O262" s="151">
        <f>O261+'Basic Data'!$AG$13</f>
        <v>1863.1300000000085</v>
      </c>
      <c r="P262" s="151">
        <f>P261+'Basic Data'!$AH$13</f>
        <v>5096.6600000000344</v>
      </c>
    </row>
    <row r="263" spans="2:16">
      <c r="B263" s="156">
        <v>261</v>
      </c>
      <c r="C263" s="176">
        <v>261</v>
      </c>
      <c r="D263" s="177">
        <f t="shared" si="25"/>
        <v>3195.6600000000194</v>
      </c>
      <c r="E263" s="177">
        <f t="shared" si="26"/>
        <v>3195.6600000000194</v>
      </c>
      <c r="F263" s="177">
        <f t="shared" si="27"/>
        <v>1988.6600000000115</v>
      </c>
      <c r="G263" s="177">
        <f t="shared" si="28"/>
        <v>4689.5899999999938</v>
      </c>
      <c r="H263" s="177">
        <f t="shared" si="29"/>
        <v>1870.0800000000086</v>
      </c>
      <c r="I263" s="177">
        <f t="shared" si="30"/>
        <v>5115.6700000000346</v>
      </c>
      <c r="K263" s="151">
        <f>K262+'Basic Data'!$AC$13</f>
        <v>3195.6600000000194</v>
      </c>
      <c r="L263" s="151">
        <f>L262+'Basic Data'!$AD$13</f>
        <v>3195.6600000000194</v>
      </c>
      <c r="M263" s="151">
        <f>M262+'Basic Data'!$AE$13</f>
        <v>1988.6600000000115</v>
      </c>
      <c r="N263" s="151">
        <f>N262+'Basic Data'!$AF$13</f>
        <v>4689.5899999999938</v>
      </c>
      <c r="O263" s="151">
        <f>O262+'Basic Data'!$AG$13</f>
        <v>1870.0800000000086</v>
      </c>
      <c r="P263" s="151">
        <f>P262+'Basic Data'!$AH$13</f>
        <v>5115.6700000000346</v>
      </c>
    </row>
    <row r="264" spans="2:16">
      <c r="B264" s="156">
        <v>262</v>
      </c>
      <c r="C264" s="176">
        <v>262</v>
      </c>
      <c r="D264" s="177">
        <f t="shared" si="25"/>
        <v>3207.5400000000195</v>
      </c>
      <c r="E264" s="177">
        <f t="shared" si="26"/>
        <v>3207.5400000000195</v>
      </c>
      <c r="F264" s="177">
        <f t="shared" si="27"/>
        <v>1996.0500000000116</v>
      </c>
      <c r="G264" s="177">
        <f t="shared" si="28"/>
        <v>4707.0199999999941</v>
      </c>
      <c r="H264" s="177">
        <f t="shared" si="29"/>
        <v>1877.0300000000086</v>
      </c>
      <c r="I264" s="177">
        <f t="shared" si="30"/>
        <v>5134.6800000000349</v>
      </c>
      <c r="K264" s="151">
        <f>K263+'Basic Data'!$AC$13</f>
        <v>3207.5400000000195</v>
      </c>
      <c r="L264" s="151">
        <f>L263+'Basic Data'!$AD$13</f>
        <v>3207.5400000000195</v>
      </c>
      <c r="M264" s="151">
        <f>M263+'Basic Data'!$AE$13</f>
        <v>1996.0500000000116</v>
      </c>
      <c r="N264" s="151">
        <f>N263+'Basic Data'!$AF$13</f>
        <v>4707.0199999999941</v>
      </c>
      <c r="O264" s="151">
        <f>O263+'Basic Data'!$AG$13</f>
        <v>1877.0300000000086</v>
      </c>
      <c r="P264" s="151">
        <f>P263+'Basic Data'!$AH$13</f>
        <v>5134.6800000000349</v>
      </c>
    </row>
    <row r="265" spans="2:16">
      <c r="B265" s="156">
        <v>263</v>
      </c>
      <c r="C265" s="176">
        <v>263</v>
      </c>
      <c r="D265" s="177">
        <f t="shared" si="25"/>
        <v>3219.4200000000196</v>
      </c>
      <c r="E265" s="177">
        <f t="shared" si="26"/>
        <v>3219.4200000000196</v>
      </c>
      <c r="F265" s="177">
        <f t="shared" si="27"/>
        <v>2003.4400000000117</v>
      </c>
      <c r="G265" s="177">
        <f t="shared" si="28"/>
        <v>4724.4499999999944</v>
      </c>
      <c r="H265" s="177">
        <f t="shared" si="29"/>
        <v>1883.9800000000087</v>
      </c>
      <c r="I265" s="177">
        <f t="shared" si="30"/>
        <v>5153.6900000000351</v>
      </c>
      <c r="K265" s="151">
        <f>K264+'Basic Data'!$AC$13</f>
        <v>3219.4200000000196</v>
      </c>
      <c r="L265" s="151">
        <f>L264+'Basic Data'!$AD$13</f>
        <v>3219.4200000000196</v>
      </c>
      <c r="M265" s="151">
        <f>M264+'Basic Data'!$AE$13</f>
        <v>2003.4400000000117</v>
      </c>
      <c r="N265" s="151">
        <f>N264+'Basic Data'!$AF$13</f>
        <v>4724.4499999999944</v>
      </c>
      <c r="O265" s="151">
        <f>O264+'Basic Data'!$AG$13</f>
        <v>1883.9800000000087</v>
      </c>
      <c r="P265" s="151">
        <f>P264+'Basic Data'!$AH$13</f>
        <v>5153.6900000000351</v>
      </c>
    </row>
    <row r="266" spans="2:16">
      <c r="B266" s="156">
        <v>264</v>
      </c>
      <c r="C266" s="176">
        <v>264</v>
      </c>
      <c r="D266" s="177">
        <f t="shared" si="25"/>
        <v>3231.3000000000197</v>
      </c>
      <c r="E266" s="177">
        <f t="shared" si="26"/>
        <v>3231.3000000000197</v>
      </c>
      <c r="F266" s="177">
        <f t="shared" si="27"/>
        <v>2010.8300000000118</v>
      </c>
      <c r="G266" s="177">
        <f t="shared" si="28"/>
        <v>4741.8799999999947</v>
      </c>
      <c r="H266" s="177">
        <f t="shared" si="29"/>
        <v>1890.9300000000087</v>
      </c>
      <c r="I266" s="177">
        <f t="shared" si="30"/>
        <v>5172.7000000000353</v>
      </c>
      <c r="K266" s="151">
        <f>K265+'Basic Data'!$AC$13</f>
        <v>3231.3000000000197</v>
      </c>
      <c r="L266" s="151">
        <f>L265+'Basic Data'!$AD$13</f>
        <v>3231.3000000000197</v>
      </c>
      <c r="M266" s="151">
        <f>M265+'Basic Data'!$AE$13</f>
        <v>2010.8300000000118</v>
      </c>
      <c r="N266" s="151">
        <f>N265+'Basic Data'!$AF$13</f>
        <v>4741.8799999999947</v>
      </c>
      <c r="O266" s="151">
        <f>O265+'Basic Data'!$AG$13</f>
        <v>1890.9300000000087</v>
      </c>
      <c r="P266" s="151">
        <f>P265+'Basic Data'!$AH$13</f>
        <v>5172.7000000000353</v>
      </c>
    </row>
    <row r="267" spans="2:16">
      <c r="B267" s="156">
        <v>265</v>
      </c>
      <c r="C267" s="176">
        <v>265</v>
      </c>
      <c r="D267" s="177">
        <f t="shared" si="25"/>
        <v>3243.1800000000198</v>
      </c>
      <c r="E267" s="177">
        <f t="shared" si="26"/>
        <v>3243.1800000000198</v>
      </c>
      <c r="F267" s="177">
        <f t="shared" si="27"/>
        <v>2018.2200000000119</v>
      </c>
      <c r="G267" s="177">
        <f t="shared" si="28"/>
        <v>4759.3099999999949</v>
      </c>
      <c r="H267" s="177">
        <f t="shared" si="29"/>
        <v>1897.8800000000087</v>
      </c>
      <c r="I267" s="177">
        <f t="shared" si="30"/>
        <v>5191.7100000000355</v>
      </c>
      <c r="K267" s="151">
        <f>K266+'Basic Data'!$AC$13</f>
        <v>3243.1800000000198</v>
      </c>
      <c r="L267" s="151">
        <f>L266+'Basic Data'!$AD$13</f>
        <v>3243.1800000000198</v>
      </c>
      <c r="M267" s="151">
        <f>M266+'Basic Data'!$AE$13</f>
        <v>2018.2200000000119</v>
      </c>
      <c r="N267" s="151">
        <f>N266+'Basic Data'!$AF$13</f>
        <v>4759.3099999999949</v>
      </c>
      <c r="O267" s="151">
        <f>O266+'Basic Data'!$AG$13</f>
        <v>1897.8800000000087</v>
      </c>
      <c r="P267" s="151">
        <f>P266+'Basic Data'!$AH$13</f>
        <v>5191.7100000000355</v>
      </c>
    </row>
    <row r="268" spans="2:16">
      <c r="B268" s="156">
        <v>266</v>
      </c>
      <c r="C268" s="176">
        <v>266</v>
      </c>
      <c r="D268" s="177">
        <f t="shared" si="25"/>
        <v>3255.06000000002</v>
      </c>
      <c r="E268" s="177">
        <f t="shared" si="26"/>
        <v>3255.06000000002</v>
      </c>
      <c r="F268" s="177">
        <f t="shared" si="27"/>
        <v>2025.610000000012</v>
      </c>
      <c r="G268" s="177">
        <f t="shared" si="28"/>
        <v>4776.7399999999952</v>
      </c>
      <c r="H268" s="177">
        <f t="shared" si="29"/>
        <v>1904.8300000000088</v>
      </c>
      <c r="I268" s="177">
        <f t="shared" si="30"/>
        <v>5210.7200000000357</v>
      </c>
      <c r="K268" s="151">
        <f>K267+'Basic Data'!$AC$13</f>
        <v>3255.06000000002</v>
      </c>
      <c r="L268" s="151">
        <f>L267+'Basic Data'!$AD$13</f>
        <v>3255.06000000002</v>
      </c>
      <c r="M268" s="151">
        <f>M267+'Basic Data'!$AE$13</f>
        <v>2025.610000000012</v>
      </c>
      <c r="N268" s="151">
        <f>N267+'Basic Data'!$AF$13</f>
        <v>4776.7399999999952</v>
      </c>
      <c r="O268" s="151">
        <f>O267+'Basic Data'!$AG$13</f>
        <v>1904.8300000000088</v>
      </c>
      <c r="P268" s="151">
        <f>P267+'Basic Data'!$AH$13</f>
        <v>5210.7200000000357</v>
      </c>
    </row>
    <row r="269" spans="2:16">
      <c r="B269" s="156">
        <v>267</v>
      </c>
      <c r="C269" s="176">
        <v>267</v>
      </c>
      <c r="D269" s="177">
        <f t="shared" si="25"/>
        <v>3266.9400000000201</v>
      </c>
      <c r="E269" s="177">
        <f t="shared" si="26"/>
        <v>3266.9400000000201</v>
      </c>
      <c r="F269" s="177">
        <f t="shared" si="27"/>
        <v>2033.0000000000121</v>
      </c>
      <c r="G269" s="177">
        <f t="shared" si="28"/>
        <v>4794.1699999999955</v>
      </c>
      <c r="H269" s="177">
        <f t="shared" si="29"/>
        <v>1911.7800000000088</v>
      </c>
      <c r="I269" s="177">
        <f t="shared" si="30"/>
        <v>5229.7300000000359</v>
      </c>
      <c r="K269" s="151">
        <f>K268+'Basic Data'!$AC$13</f>
        <v>3266.9400000000201</v>
      </c>
      <c r="L269" s="151">
        <f>L268+'Basic Data'!$AD$13</f>
        <v>3266.9400000000201</v>
      </c>
      <c r="M269" s="151">
        <f>M268+'Basic Data'!$AE$13</f>
        <v>2033.0000000000121</v>
      </c>
      <c r="N269" s="151">
        <f>N268+'Basic Data'!$AF$13</f>
        <v>4794.1699999999955</v>
      </c>
      <c r="O269" s="151">
        <f>O268+'Basic Data'!$AG$13</f>
        <v>1911.7800000000088</v>
      </c>
      <c r="P269" s="151">
        <f>P268+'Basic Data'!$AH$13</f>
        <v>5229.7300000000359</v>
      </c>
    </row>
    <row r="270" spans="2:16">
      <c r="B270" s="156">
        <v>268</v>
      </c>
      <c r="C270" s="176">
        <v>268</v>
      </c>
      <c r="D270" s="177">
        <f t="shared" si="25"/>
        <v>3278.8200000000202</v>
      </c>
      <c r="E270" s="177">
        <f t="shared" si="26"/>
        <v>3278.8200000000202</v>
      </c>
      <c r="F270" s="177">
        <f t="shared" si="27"/>
        <v>2040.3900000000122</v>
      </c>
      <c r="G270" s="177">
        <f t="shared" si="28"/>
        <v>4811.5999999999958</v>
      </c>
      <c r="H270" s="177">
        <f t="shared" si="29"/>
        <v>1918.7300000000089</v>
      </c>
      <c r="I270" s="177">
        <f t="shared" si="30"/>
        <v>5248.7400000000362</v>
      </c>
      <c r="K270" s="151">
        <f>K269+'Basic Data'!$AC$13</f>
        <v>3278.8200000000202</v>
      </c>
      <c r="L270" s="151">
        <f>L269+'Basic Data'!$AD$13</f>
        <v>3278.8200000000202</v>
      </c>
      <c r="M270" s="151">
        <f>M269+'Basic Data'!$AE$13</f>
        <v>2040.3900000000122</v>
      </c>
      <c r="N270" s="151">
        <f>N269+'Basic Data'!$AF$13</f>
        <v>4811.5999999999958</v>
      </c>
      <c r="O270" s="151">
        <f>O269+'Basic Data'!$AG$13</f>
        <v>1918.7300000000089</v>
      </c>
      <c r="P270" s="151">
        <f>P269+'Basic Data'!$AH$13</f>
        <v>5248.7400000000362</v>
      </c>
    </row>
    <row r="271" spans="2:16">
      <c r="B271" s="156">
        <v>269</v>
      </c>
      <c r="C271" s="176">
        <v>269</v>
      </c>
      <c r="D271" s="177">
        <f t="shared" si="25"/>
        <v>3290.7000000000203</v>
      </c>
      <c r="E271" s="177">
        <f t="shared" si="26"/>
        <v>3290.7000000000203</v>
      </c>
      <c r="F271" s="177">
        <f t="shared" si="27"/>
        <v>2047.7800000000123</v>
      </c>
      <c r="G271" s="177">
        <f t="shared" si="28"/>
        <v>4829.0299999999961</v>
      </c>
      <c r="H271" s="177">
        <f t="shared" si="29"/>
        <v>1925.6800000000089</v>
      </c>
      <c r="I271" s="177">
        <f t="shared" si="30"/>
        <v>5267.7500000000364</v>
      </c>
      <c r="K271" s="151">
        <f>K270+'Basic Data'!$AC$13</f>
        <v>3290.7000000000203</v>
      </c>
      <c r="L271" s="151">
        <f>L270+'Basic Data'!$AD$13</f>
        <v>3290.7000000000203</v>
      </c>
      <c r="M271" s="151">
        <f>M270+'Basic Data'!$AE$13</f>
        <v>2047.7800000000123</v>
      </c>
      <c r="N271" s="151">
        <f>N270+'Basic Data'!$AF$13</f>
        <v>4829.0299999999961</v>
      </c>
      <c r="O271" s="151">
        <f>O270+'Basic Data'!$AG$13</f>
        <v>1925.6800000000089</v>
      </c>
      <c r="P271" s="151">
        <f>P270+'Basic Data'!$AH$13</f>
        <v>5267.7500000000364</v>
      </c>
    </row>
    <row r="272" spans="2:16">
      <c r="B272" s="156">
        <v>270</v>
      </c>
      <c r="C272" s="176">
        <v>270</v>
      </c>
      <c r="D272" s="177">
        <f t="shared" si="25"/>
        <v>3302.5800000000204</v>
      </c>
      <c r="E272" s="177">
        <f t="shared" si="26"/>
        <v>3302.5800000000204</v>
      </c>
      <c r="F272" s="177">
        <f t="shared" si="27"/>
        <v>2055.1700000000124</v>
      </c>
      <c r="G272" s="177">
        <f t="shared" si="28"/>
        <v>4846.4599999999964</v>
      </c>
      <c r="H272" s="177">
        <f t="shared" si="29"/>
        <v>1932.630000000009</v>
      </c>
      <c r="I272" s="177">
        <f t="shared" si="30"/>
        <v>5286.7600000000366</v>
      </c>
      <c r="K272" s="151">
        <f>K271+'Basic Data'!$AC$13</f>
        <v>3302.5800000000204</v>
      </c>
      <c r="L272" s="151">
        <f>L271+'Basic Data'!$AD$13</f>
        <v>3302.5800000000204</v>
      </c>
      <c r="M272" s="151">
        <f>M271+'Basic Data'!$AE$13</f>
        <v>2055.1700000000124</v>
      </c>
      <c r="N272" s="151">
        <f>N271+'Basic Data'!$AF$13</f>
        <v>4846.4599999999964</v>
      </c>
      <c r="O272" s="151">
        <f>O271+'Basic Data'!$AG$13</f>
        <v>1932.630000000009</v>
      </c>
      <c r="P272" s="151">
        <f>P271+'Basic Data'!$AH$13</f>
        <v>5286.7600000000366</v>
      </c>
    </row>
    <row r="273" spans="2:16">
      <c r="B273" s="156">
        <v>271</v>
      </c>
      <c r="C273" s="176">
        <v>271</v>
      </c>
      <c r="D273" s="177">
        <f t="shared" si="25"/>
        <v>3314.4600000000205</v>
      </c>
      <c r="E273" s="177">
        <f t="shared" si="26"/>
        <v>3314.4600000000205</v>
      </c>
      <c r="F273" s="177">
        <f t="shared" si="27"/>
        <v>2062.5600000000122</v>
      </c>
      <c r="G273" s="177">
        <f t="shared" si="28"/>
        <v>4863.8899999999967</v>
      </c>
      <c r="H273" s="177">
        <f t="shared" si="29"/>
        <v>1939.580000000009</v>
      </c>
      <c r="I273" s="177">
        <f t="shared" si="30"/>
        <v>5305.7700000000368</v>
      </c>
      <c r="K273" s="151">
        <f>K272+'Basic Data'!$AC$13</f>
        <v>3314.4600000000205</v>
      </c>
      <c r="L273" s="151">
        <f>L272+'Basic Data'!$AD$13</f>
        <v>3314.4600000000205</v>
      </c>
      <c r="M273" s="151">
        <f>M272+'Basic Data'!$AE$13</f>
        <v>2062.5600000000122</v>
      </c>
      <c r="N273" s="151">
        <f>N272+'Basic Data'!$AF$13</f>
        <v>4863.8899999999967</v>
      </c>
      <c r="O273" s="151">
        <f>O272+'Basic Data'!$AG$13</f>
        <v>1939.580000000009</v>
      </c>
      <c r="P273" s="151">
        <f>P272+'Basic Data'!$AH$13</f>
        <v>5305.7700000000368</v>
      </c>
    </row>
    <row r="274" spans="2:16">
      <c r="B274" s="156">
        <v>272</v>
      </c>
      <c r="C274" s="176">
        <v>272</v>
      </c>
      <c r="D274" s="177">
        <f t="shared" si="25"/>
        <v>3326.3400000000206</v>
      </c>
      <c r="E274" s="177">
        <f t="shared" si="26"/>
        <v>3326.3400000000206</v>
      </c>
      <c r="F274" s="177">
        <f t="shared" si="27"/>
        <v>2069.9500000000121</v>
      </c>
      <c r="G274" s="177">
        <f t="shared" si="28"/>
        <v>4881.319999999997</v>
      </c>
      <c r="H274" s="177">
        <f t="shared" si="29"/>
        <v>1946.5300000000091</v>
      </c>
      <c r="I274" s="177">
        <f t="shared" si="30"/>
        <v>5324.780000000037</v>
      </c>
      <c r="K274" s="151">
        <f>K273+'Basic Data'!$AC$13</f>
        <v>3326.3400000000206</v>
      </c>
      <c r="L274" s="151">
        <f>L273+'Basic Data'!$AD$13</f>
        <v>3326.3400000000206</v>
      </c>
      <c r="M274" s="151">
        <f>M273+'Basic Data'!$AE$13</f>
        <v>2069.9500000000121</v>
      </c>
      <c r="N274" s="151">
        <f>N273+'Basic Data'!$AF$13</f>
        <v>4881.319999999997</v>
      </c>
      <c r="O274" s="151">
        <f>O273+'Basic Data'!$AG$13</f>
        <v>1946.5300000000091</v>
      </c>
      <c r="P274" s="151">
        <f>P273+'Basic Data'!$AH$13</f>
        <v>5324.780000000037</v>
      </c>
    </row>
    <row r="275" spans="2:16">
      <c r="B275" s="156">
        <v>273</v>
      </c>
      <c r="C275" s="176">
        <v>273</v>
      </c>
      <c r="D275" s="177">
        <f t="shared" si="25"/>
        <v>3338.2200000000207</v>
      </c>
      <c r="E275" s="177">
        <f t="shared" si="26"/>
        <v>3338.2200000000207</v>
      </c>
      <c r="F275" s="177">
        <f t="shared" si="27"/>
        <v>2077.340000000012</v>
      </c>
      <c r="G275" s="177">
        <f t="shared" si="28"/>
        <v>4898.7499999999973</v>
      </c>
      <c r="H275" s="177">
        <f t="shared" si="29"/>
        <v>1953.4800000000091</v>
      </c>
      <c r="I275" s="177">
        <f t="shared" si="30"/>
        <v>5343.7900000000373</v>
      </c>
      <c r="K275" s="151">
        <f>K274+'Basic Data'!$AC$13</f>
        <v>3338.2200000000207</v>
      </c>
      <c r="L275" s="151">
        <f>L274+'Basic Data'!$AD$13</f>
        <v>3338.2200000000207</v>
      </c>
      <c r="M275" s="151">
        <f>M274+'Basic Data'!$AE$13</f>
        <v>2077.340000000012</v>
      </c>
      <c r="N275" s="151">
        <f>N274+'Basic Data'!$AF$13</f>
        <v>4898.7499999999973</v>
      </c>
      <c r="O275" s="151">
        <f>O274+'Basic Data'!$AG$13</f>
        <v>1953.4800000000091</v>
      </c>
      <c r="P275" s="151">
        <f>P274+'Basic Data'!$AH$13</f>
        <v>5343.7900000000373</v>
      </c>
    </row>
    <row r="276" spans="2:16">
      <c r="B276" s="156">
        <v>274</v>
      </c>
      <c r="C276" s="176">
        <v>274</v>
      </c>
      <c r="D276" s="177">
        <f t="shared" si="25"/>
        <v>3350.1000000000208</v>
      </c>
      <c r="E276" s="177">
        <f t="shared" si="26"/>
        <v>3350.1000000000208</v>
      </c>
      <c r="F276" s="177">
        <f t="shared" si="27"/>
        <v>2084.7300000000118</v>
      </c>
      <c r="G276" s="177">
        <f t="shared" si="28"/>
        <v>4916.1799999999976</v>
      </c>
      <c r="H276" s="177">
        <f t="shared" si="29"/>
        <v>1960.4300000000092</v>
      </c>
      <c r="I276" s="177">
        <f t="shared" si="30"/>
        <v>5362.8000000000375</v>
      </c>
      <c r="K276" s="151">
        <f>K275+'Basic Data'!$AC$13</f>
        <v>3350.1000000000208</v>
      </c>
      <c r="L276" s="151">
        <f>L275+'Basic Data'!$AD$13</f>
        <v>3350.1000000000208</v>
      </c>
      <c r="M276" s="151">
        <f>M275+'Basic Data'!$AE$13</f>
        <v>2084.7300000000118</v>
      </c>
      <c r="N276" s="151">
        <f>N275+'Basic Data'!$AF$13</f>
        <v>4916.1799999999976</v>
      </c>
      <c r="O276" s="151">
        <f>O275+'Basic Data'!$AG$13</f>
        <v>1960.4300000000092</v>
      </c>
      <c r="P276" s="151">
        <f>P275+'Basic Data'!$AH$13</f>
        <v>5362.8000000000375</v>
      </c>
    </row>
    <row r="277" spans="2:16">
      <c r="B277" s="156">
        <v>275</v>
      </c>
      <c r="C277" s="176">
        <v>275</v>
      </c>
      <c r="D277" s="177">
        <f t="shared" si="25"/>
        <v>3361.9800000000209</v>
      </c>
      <c r="E277" s="177">
        <f t="shared" si="26"/>
        <v>3361.9800000000209</v>
      </c>
      <c r="F277" s="177">
        <f t="shared" si="27"/>
        <v>2092.1200000000117</v>
      </c>
      <c r="G277" s="177">
        <f t="shared" si="28"/>
        <v>4933.6099999999979</v>
      </c>
      <c r="H277" s="177">
        <f t="shared" si="29"/>
        <v>1967.3800000000092</v>
      </c>
      <c r="I277" s="177">
        <f t="shared" si="30"/>
        <v>5381.8100000000377</v>
      </c>
      <c r="K277" s="151">
        <f>K276+'Basic Data'!$AC$13</f>
        <v>3361.9800000000209</v>
      </c>
      <c r="L277" s="151">
        <f>L276+'Basic Data'!$AD$13</f>
        <v>3361.9800000000209</v>
      </c>
      <c r="M277" s="151">
        <f>M276+'Basic Data'!$AE$13</f>
        <v>2092.1200000000117</v>
      </c>
      <c r="N277" s="151">
        <f>N276+'Basic Data'!$AF$13</f>
        <v>4933.6099999999979</v>
      </c>
      <c r="O277" s="151">
        <f>O276+'Basic Data'!$AG$13</f>
        <v>1967.3800000000092</v>
      </c>
      <c r="P277" s="151">
        <f>P276+'Basic Data'!$AH$13</f>
        <v>5381.8100000000377</v>
      </c>
    </row>
    <row r="278" spans="2:16">
      <c r="B278" s="156">
        <v>276</v>
      </c>
      <c r="C278" s="176">
        <v>276</v>
      </c>
      <c r="D278" s="177">
        <f t="shared" si="25"/>
        <v>3373.860000000021</v>
      </c>
      <c r="E278" s="177">
        <f t="shared" si="26"/>
        <v>3373.860000000021</v>
      </c>
      <c r="F278" s="177">
        <f t="shared" si="27"/>
        <v>2099.5100000000116</v>
      </c>
      <c r="G278" s="177">
        <f t="shared" si="28"/>
        <v>4951.0399999999981</v>
      </c>
      <c r="H278" s="177">
        <f t="shared" si="29"/>
        <v>1974.3300000000092</v>
      </c>
      <c r="I278" s="177">
        <f t="shared" si="30"/>
        <v>5400.8200000000379</v>
      </c>
      <c r="K278" s="151">
        <f>K277+'Basic Data'!$AC$13</f>
        <v>3373.860000000021</v>
      </c>
      <c r="L278" s="151">
        <f>L277+'Basic Data'!$AD$13</f>
        <v>3373.860000000021</v>
      </c>
      <c r="M278" s="151">
        <f>M277+'Basic Data'!$AE$13</f>
        <v>2099.5100000000116</v>
      </c>
      <c r="N278" s="151">
        <f>N277+'Basic Data'!$AF$13</f>
        <v>4951.0399999999981</v>
      </c>
      <c r="O278" s="151">
        <f>O277+'Basic Data'!$AG$13</f>
        <v>1974.3300000000092</v>
      </c>
      <c r="P278" s="151">
        <f>P277+'Basic Data'!$AH$13</f>
        <v>5400.8200000000379</v>
      </c>
    </row>
    <row r="279" spans="2:16">
      <c r="B279" s="156">
        <v>277</v>
      </c>
      <c r="C279" s="176">
        <v>277</v>
      </c>
      <c r="D279" s="177">
        <f t="shared" si="25"/>
        <v>3385.7400000000212</v>
      </c>
      <c r="E279" s="177">
        <f t="shared" si="26"/>
        <v>3385.7400000000212</v>
      </c>
      <c r="F279" s="177">
        <f t="shared" si="27"/>
        <v>2106.9000000000115</v>
      </c>
      <c r="G279" s="177">
        <f t="shared" si="28"/>
        <v>4968.4699999999984</v>
      </c>
      <c r="H279" s="177">
        <f t="shared" si="29"/>
        <v>1981.2800000000093</v>
      </c>
      <c r="I279" s="177">
        <f t="shared" si="30"/>
        <v>5419.8300000000381</v>
      </c>
      <c r="K279" s="151">
        <f>K278+'Basic Data'!$AC$13</f>
        <v>3385.7400000000212</v>
      </c>
      <c r="L279" s="151">
        <f>L278+'Basic Data'!$AD$13</f>
        <v>3385.7400000000212</v>
      </c>
      <c r="M279" s="151">
        <f>M278+'Basic Data'!$AE$13</f>
        <v>2106.9000000000115</v>
      </c>
      <c r="N279" s="151">
        <f>N278+'Basic Data'!$AF$13</f>
        <v>4968.4699999999984</v>
      </c>
      <c r="O279" s="151">
        <f>O278+'Basic Data'!$AG$13</f>
        <v>1981.2800000000093</v>
      </c>
      <c r="P279" s="151">
        <f>P278+'Basic Data'!$AH$13</f>
        <v>5419.8300000000381</v>
      </c>
    </row>
    <row r="280" spans="2:16">
      <c r="B280" s="156">
        <v>278</v>
      </c>
      <c r="C280" s="176">
        <v>278</v>
      </c>
      <c r="D280" s="177">
        <f t="shared" si="25"/>
        <v>3397.6200000000213</v>
      </c>
      <c r="E280" s="177">
        <f t="shared" si="26"/>
        <v>3397.6200000000213</v>
      </c>
      <c r="F280" s="177">
        <f t="shared" si="27"/>
        <v>2114.2900000000113</v>
      </c>
      <c r="G280" s="177">
        <f t="shared" si="28"/>
        <v>4985.8999999999987</v>
      </c>
      <c r="H280" s="177">
        <f t="shared" si="29"/>
        <v>1988.2300000000093</v>
      </c>
      <c r="I280" s="177">
        <f t="shared" si="30"/>
        <v>5438.8400000000383</v>
      </c>
      <c r="K280" s="151">
        <f>K279+'Basic Data'!$AC$13</f>
        <v>3397.6200000000213</v>
      </c>
      <c r="L280" s="151">
        <f>L279+'Basic Data'!$AD$13</f>
        <v>3397.6200000000213</v>
      </c>
      <c r="M280" s="151">
        <f>M279+'Basic Data'!$AE$13</f>
        <v>2114.2900000000113</v>
      </c>
      <c r="N280" s="151">
        <f>N279+'Basic Data'!$AF$13</f>
        <v>4985.8999999999987</v>
      </c>
      <c r="O280" s="151">
        <f>O279+'Basic Data'!$AG$13</f>
        <v>1988.2300000000093</v>
      </c>
      <c r="P280" s="151">
        <f>P279+'Basic Data'!$AH$13</f>
        <v>5438.8400000000383</v>
      </c>
    </row>
    <row r="281" spans="2:16">
      <c r="B281" s="156">
        <v>279</v>
      </c>
      <c r="C281" s="176">
        <v>279</v>
      </c>
      <c r="D281" s="177">
        <f t="shared" si="25"/>
        <v>3409.5000000000214</v>
      </c>
      <c r="E281" s="177">
        <f t="shared" si="26"/>
        <v>3409.5000000000214</v>
      </c>
      <c r="F281" s="177">
        <f t="shared" si="27"/>
        <v>2121.6800000000112</v>
      </c>
      <c r="G281" s="177">
        <f t="shared" si="28"/>
        <v>5003.329999999999</v>
      </c>
      <c r="H281" s="177">
        <f t="shared" si="29"/>
        <v>1995.1800000000094</v>
      </c>
      <c r="I281" s="177">
        <f t="shared" si="30"/>
        <v>5457.8500000000386</v>
      </c>
      <c r="K281" s="151">
        <f>K280+'Basic Data'!$AC$13</f>
        <v>3409.5000000000214</v>
      </c>
      <c r="L281" s="151">
        <f>L280+'Basic Data'!$AD$13</f>
        <v>3409.5000000000214</v>
      </c>
      <c r="M281" s="151">
        <f>M280+'Basic Data'!$AE$13</f>
        <v>2121.6800000000112</v>
      </c>
      <c r="N281" s="151">
        <f>N280+'Basic Data'!$AF$13</f>
        <v>5003.329999999999</v>
      </c>
      <c r="O281" s="151">
        <f>O280+'Basic Data'!$AG$13</f>
        <v>1995.1800000000094</v>
      </c>
      <c r="P281" s="151">
        <f>P280+'Basic Data'!$AH$13</f>
        <v>5457.8500000000386</v>
      </c>
    </row>
    <row r="282" spans="2:16">
      <c r="B282" s="156">
        <v>280</v>
      </c>
      <c r="C282" s="176">
        <v>280</v>
      </c>
      <c r="D282" s="177">
        <f t="shared" si="25"/>
        <v>3421.3800000000215</v>
      </c>
      <c r="E282" s="177">
        <f t="shared" si="26"/>
        <v>3421.3800000000215</v>
      </c>
      <c r="F282" s="177">
        <f t="shared" si="27"/>
        <v>2129.0700000000111</v>
      </c>
      <c r="G282" s="177">
        <f t="shared" si="28"/>
        <v>5020.7599999999993</v>
      </c>
      <c r="H282" s="177">
        <f t="shared" si="29"/>
        <v>2002.1300000000094</v>
      </c>
      <c r="I282" s="177">
        <f t="shared" si="30"/>
        <v>5476.8600000000388</v>
      </c>
      <c r="K282" s="151">
        <f>K281+'Basic Data'!$AC$13</f>
        <v>3421.3800000000215</v>
      </c>
      <c r="L282" s="151">
        <f>L281+'Basic Data'!$AD$13</f>
        <v>3421.3800000000215</v>
      </c>
      <c r="M282" s="151">
        <f>M281+'Basic Data'!$AE$13</f>
        <v>2129.0700000000111</v>
      </c>
      <c r="N282" s="151">
        <f>N281+'Basic Data'!$AF$13</f>
        <v>5020.7599999999993</v>
      </c>
      <c r="O282" s="151">
        <f>O281+'Basic Data'!$AG$13</f>
        <v>2002.1300000000094</v>
      </c>
      <c r="P282" s="151">
        <f>P281+'Basic Data'!$AH$13</f>
        <v>5476.8600000000388</v>
      </c>
    </row>
    <row r="283" spans="2:16">
      <c r="B283" s="156">
        <v>281</v>
      </c>
      <c r="C283" s="176">
        <v>281</v>
      </c>
      <c r="D283" s="177">
        <f t="shared" si="25"/>
        <v>3433.2600000000216</v>
      </c>
      <c r="E283" s="177">
        <f t="shared" si="26"/>
        <v>3433.2600000000216</v>
      </c>
      <c r="F283" s="177">
        <f t="shared" si="27"/>
        <v>2136.460000000011</v>
      </c>
      <c r="G283" s="177">
        <f t="shared" si="28"/>
        <v>5038.1899999999996</v>
      </c>
      <c r="H283" s="177">
        <f t="shared" si="29"/>
        <v>2009.0800000000095</v>
      </c>
      <c r="I283" s="177">
        <f t="shared" si="30"/>
        <v>5495.870000000039</v>
      </c>
      <c r="K283" s="151">
        <f>K282+'Basic Data'!$AC$13</f>
        <v>3433.2600000000216</v>
      </c>
      <c r="L283" s="151">
        <f>L282+'Basic Data'!$AD$13</f>
        <v>3433.2600000000216</v>
      </c>
      <c r="M283" s="151">
        <f>M282+'Basic Data'!$AE$13</f>
        <v>2136.460000000011</v>
      </c>
      <c r="N283" s="151">
        <f>N282+'Basic Data'!$AF$13</f>
        <v>5038.1899999999996</v>
      </c>
      <c r="O283" s="151">
        <f>O282+'Basic Data'!$AG$13</f>
        <v>2009.0800000000095</v>
      </c>
      <c r="P283" s="151">
        <f>P282+'Basic Data'!$AH$13</f>
        <v>5495.870000000039</v>
      </c>
    </row>
    <row r="284" spans="2:16">
      <c r="B284" s="156">
        <v>282</v>
      </c>
      <c r="C284" s="176">
        <v>282</v>
      </c>
      <c r="D284" s="177">
        <f t="shared" si="25"/>
        <v>3445.1400000000217</v>
      </c>
      <c r="E284" s="177">
        <f t="shared" si="26"/>
        <v>3445.1400000000217</v>
      </c>
      <c r="F284" s="177">
        <f t="shared" si="27"/>
        <v>2143.8500000000108</v>
      </c>
      <c r="G284" s="177">
        <f t="shared" si="28"/>
        <v>5055.62</v>
      </c>
      <c r="H284" s="177">
        <f t="shared" si="29"/>
        <v>2016.0300000000095</v>
      </c>
      <c r="I284" s="177">
        <f t="shared" si="30"/>
        <v>5514.8800000000392</v>
      </c>
      <c r="K284" s="151">
        <f>K283+'Basic Data'!$AC$13</f>
        <v>3445.1400000000217</v>
      </c>
      <c r="L284" s="151">
        <f>L283+'Basic Data'!$AD$13</f>
        <v>3445.1400000000217</v>
      </c>
      <c r="M284" s="151">
        <f>M283+'Basic Data'!$AE$13</f>
        <v>2143.8500000000108</v>
      </c>
      <c r="N284" s="151">
        <f>N283+'Basic Data'!$AF$13</f>
        <v>5055.62</v>
      </c>
      <c r="O284" s="151">
        <f>O283+'Basic Data'!$AG$13</f>
        <v>2016.0300000000095</v>
      </c>
      <c r="P284" s="151">
        <f>P283+'Basic Data'!$AH$13</f>
        <v>5514.8800000000392</v>
      </c>
    </row>
    <row r="285" spans="2:16">
      <c r="B285" s="156">
        <v>283</v>
      </c>
      <c r="C285" s="176">
        <v>283</v>
      </c>
      <c r="D285" s="177">
        <f t="shared" si="25"/>
        <v>3457.0200000000218</v>
      </c>
      <c r="E285" s="177">
        <f t="shared" si="26"/>
        <v>3457.0200000000218</v>
      </c>
      <c r="F285" s="177">
        <f t="shared" si="27"/>
        <v>2151.2400000000107</v>
      </c>
      <c r="G285" s="177">
        <f t="shared" si="28"/>
        <v>5073.05</v>
      </c>
      <c r="H285" s="177">
        <f t="shared" si="29"/>
        <v>2022.9800000000096</v>
      </c>
      <c r="I285" s="177">
        <f t="shared" si="30"/>
        <v>5533.8900000000394</v>
      </c>
      <c r="K285" s="151">
        <f>K284+'Basic Data'!$AC$13</f>
        <v>3457.0200000000218</v>
      </c>
      <c r="L285" s="151">
        <f>L284+'Basic Data'!$AD$13</f>
        <v>3457.0200000000218</v>
      </c>
      <c r="M285" s="151">
        <f>M284+'Basic Data'!$AE$13</f>
        <v>2151.2400000000107</v>
      </c>
      <c r="N285" s="151">
        <f>N284+'Basic Data'!$AF$13</f>
        <v>5073.05</v>
      </c>
      <c r="O285" s="151">
        <f>O284+'Basic Data'!$AG$13</f>
        <v>2022.9800000000096</v>
      </c>
      <c r="P285" s="151">
        <f>P284+'Basic Data'!$AH$13</f>
        <v>5533.8900000000394</v>
      </c>
    </row>
    <row r="286" spans="2:16">
      <c r="B286" s="156">
        <v>284</v>
      </c>
      <c r="C286" s="176">
        <v>284</v>
      </c>
      <c r="D286" s="177">
        <f t="shared" si="25"/>
        <v>3468.9000000000219</v>
      </c>
      <c r="E286" s="177">
        <f t="shared" si="26"/>
        <v>3468.9000000000219</v>
      </c>
      <c r="F286" s="177">
        <f t="shared" si="27"/>
        <v>2158.6300000000106</v>
      </c>
      <c r="G286" s="177">
        <f t="shared" si="28"/>
        <v>5090.4800000000005</v>
      </c>
      <c r="H286" s="177">
        <f t="shared" si="29"/>
        <v>2029.9300000000096</v>
      </c>
      <c r="I286" s="177">
        <f t="shared" si="30"/>
        <v>5552.9000000000397</v>
      </c>
      <c r="K286" s="151">
        <f>K285+'Basic Data'!$AC$13</f>
        <v>3468.9000000000219</v>
      </c>
      <c r="L286" s="151">
        <f>L285+'Basic Data'!$AD$13</f>
        <v>3468.9000000000219</v>
      </c>
      <c r="M286" s="151">
        <f>M285+'Basic Data'!$AE$13</f>
        <v>2158.6300000000106</v>
      </c>
      <c r="N286" s="151">
        <f>N285+'Basic Data'!$AF$13</f>
        <v>5090.4800000000005</v>
      </c>
      <c r="O286" s="151">
        <f>O285+'Basic Data'!$AG$13</f>
        <v>2029.9300000000096</v>
      </c>
      <c r="P286" s="151">
        <f>P285+'Basic Data'!$AH$13</f>
        <v>5552.9000000000397</v>
      </c>
    </row>
    <row r="287" spans="2:16">
      <c r="B287" s="156">
        <v>285</v>
      </c>
      <c r="C287" s="176">
        <v>285</v>
      </c>
      <c r="D287" s="177">
        <f t="shared" si="25"/>
        <v>3480.780000000022</v>
      </c>
      <c r="E287" s="177">
        <f t="shared" si="26"/>
        <v>3480.780000000022</v>
      </c>
      <c r="F287" s="177">
        <f t="shared" si="27"/>
        <v>2166.0200000000104</v>
      </c>
      <c r="G287" s="177">
        <f t="shared" si="28"/>
        <v>5107.9100000000008</v>
      </c>
      <c r="H287" s="177">
        <f t="shared" si="29"/>
        <v>2036.8800000000097</v>
      </c>
      <c r="I287" s="177">
        <f t="shared" si="30"/>
        <v>5571.9100000000399</v>
      </c>
      <c r="K287" s="151">
        <f>K286+'Basic Data'!$AC$13</f>
        <v>3480.780000000022</v>
      </c>
      <c r="L287" s="151">
        <f>L286+'Basic Data'!$AD$13</f>
        <v>3480.780000000022</v>
      </c>
      <c r="M287" s="151">
        <f>M286+'Basic Data'!$AE$13</f>
        <v>2166.0200000000104</v>
      </c>
      <c r="N287" s="151">
        <f>N286+'Basic Data'!$AF$13</f>
        <v>5107.9100000000008</v>
      </c>
      <c r="O287" s="151">
        <f>O286+'Basic Data'!$AG$13</f>
        <v>2036.8800000000097</v>
      </c>
      <c r="P287" s="151">
        <f>P286+'Basic Data'!$AH$13</f>
        <v>5571.9100000000399</v>
      </c>
    </row>
    <row r="288" spans="2:16">
      <c r="B288" s="156">
        <v>286</v>
      </c>
      <c r="C288" s="176">
        <v>286</v>
      </c>
      <c r="D288" s="177">
        <f t="shared" si="25"/>
        <v>3492.6600000000221</v>
      </c>
      <c r="E288" s="177">
        <f t="shared" si="26"/>
        <v>3492.6600000000221</v>
      </c>
      <c r="F288" s="177">
        <f t="shared" si="27"/>
        <v>2173.4100000000103</v>
      </c>
      <c r="G288" s="177">
        <f t="shared" si="28"/>
        <v>5125.3400000000011</v>
      </c>
      <c r="H288" s="177">
        <f t="shared" si="29"/>
        <v>2043.8300000000097</v>
      </c>
      <c r="I288" s="177">
        <f t="shared" si="30"/>
        <v>5590.9200000000401</v>
      </c>
      <c r="K288" s="151">
        <f>K287+'Basic Data'!$AC$13</f>
        <v>3492.6600000000221</v>
      </c>
      <c r="L288" s="151">
        <f>L287+'Basic Data'!$AD$13</f>
        <v>3492.6600000000221</v>
      </c>
      <c r="M288" s="151">
        <f>M287+'Basic Data'!$AE$13</f>
        <v>2173.4100000000103</v>
      </c>
      <c r="N288" s="151">
        <f>N287+'Basic Data'!$AF$13</f>
        <v>5125.3400000000011</v>
      </c>
      <c r="O288" s="151">
        <f>O287+'Basic Data'!$AG$13</f>
        <v>2043.8300000000097</v>
      </c>
      <c r="P288" s="151">
        <f>P287+'Basic Data'!$AH$13</f>
        <v>5590.9200000000401</v>
      </c>
    </row>
    <row r="289" spans="2:16">
      <c r="B289" s="156">
        <v>287</v>
      </c>
      <c r="C289" s="176">
        <v>287</v>
      </c>
      <c r="D289" s="177">
        <f t="shared" si="25"/>
        <v>3504.5400000000222</v>
      </c>
      <c r="E289" s="177">
        <f t="shared" si="26"/>
        <v>3504.5400000000222</v>
      </c>
      <c r="F289" s="177">
        <f t="shared" si="27"/>
        <v>2180.8000000000102</v>
      </c>
      <c r="G289" s="177">
        <f t="shared" si="28"/>
        <v>5142.7700000000013</v>
      </c>
      <c r="H289" s="177">
        <f t="shared" si="29"/>
        <v>2050.7800000000097</v>
      </c>
      <c r="I289" s="177">
        <f t="shared" si="30"/>
        <v>5609.9300000000403</v>
      </c>
      <c r="K289" s="151">
        <f>K288+'Basic Data'!$AC$13</f>
        <v>3504.5400000000222</v>
      </c>
      <c r="L289" s="151">
        <f>L288+'Basic Data'!$AD$13</f>
        <v>3504.5400000000222</v>
      </c>
      <c r="M289" s="151">
        <f>M288+'Basic Data'!$AE$13</f>
        <v>2180.8000000000102</v>
      </c>
      <c r="N289" s="151">
        <f>N288+'Basic Data'!$AF$13</f>
        <v>5142.7700000000013</v>
      </c>
      <c r="O289" s="151">
        <f>O288+'Basic Data'!$AG$13</f>
        <v>2050.7800000000097</v>
      </c>
      <c r="P289" s="151">
        <f>P288+'Basic Data'!$AH$13</f>
        <v>5609.9300000000403</v>
      </c>
    </row>
    <row r="290" spans="2:16">
      <c r="B290" s="156">
        <v>288</v>
      </c>
      <c r="C290" s="176">
        <v>288</v>
      </c>
      <c r="D290" s="177">
        <f t="shared" si="25"/>
        <v>3516.4200000000224</v>
      </c>
      <c r="E290" s="177">
        <f t="shared" si="26"/>
        <v>3516.4200000000224</v>
      </c>
      <c r="F290" s="177">
        <f t="shared" si="27"/>
        <v>2188.1900000000101</v>
      </c>
      <c r="G290" s="177">
        <f t="shared" si="28"/>
        <v>5160.2000000000016</v>
      </c>
      <c r="H290" s="177">
        <f t="shared" si="29"/>
        <v>2057.7300000000096</v>
      </c>
      <c r="I290" s="177">
        <f t="shared" si="30"/>
        <v>5628.9400000000405</v>
      </c>
      <c r="K290" s="151">
        <f>K289+'Basic Data'!$AC$13</f>
        <v>3516.4200000000224</v>
      </c>
      <c r="L290" s="151">
        <f>L289+'Basic Data'!$AD$13</f>
        <v>3516.4200000000224</v>
      </c>
      <c r="M290" s="151">
        <f>M289+'Basic Data'!$AE$13</f>
        <v>2188.1900000000101</v>
      </c>
      <c r="N290" s="151">
        <f>N289+'Basic Data'!$AF$13</f>
        <v>5160.2000000000016</v>
      </c>
      <c r="O290" s="151">
        <f>O289+'Basic Data'!$AG$13</f>
        <v>2057.7300000000096</v>
      </c>
      <c r="P290" s="151">
        <f>P289+'Basic Data'!$AH$13</f>
        <v>5628.9400000000405</v>
      </c>
    </row>
    <row r="291" spans="2:16">
      <c r="B291" s="156">
        <v>289</v>
      </c>
      <c r="C291" s="176">
        <v>289</v>
      </c>
      <c r="D291" s="177">
        <f t="shared" si="25"/>
        <v>3528.3000000000225</v>
      </c>
      <c r="E291" s="177">
        <f t="shared" si="26"/>
        <v>3528.3000000000225</v>
      </c>
      <c r="F291" s="177">
        <f t="shared" si="27"/>
        <v>2195.5800000000099</v>
      </c>
      <c r="G291" s="177">
        <f t="shared" si="28"/>
        <v>5177.6300000000019</v>
      </c>
      <c r="H291" s="177">
        <f t="shared" si="29"/>
        <v>2064.6800000000094</v>
      </c>
      <c r="I291" s="177">
        <f t="shared" si="30"/>
        <v>5647.9500000000407</v>
      </c>
      <c r="K291" s="151">
        <f>K290+'Basic Data'!$AC$13</f>
        <v>3528.3000000000225</v>
      </c>
      <c r="L291" s="151">
        <f>L290+'Basic Data'!$AD$13</f>
        <v>3528.3000000000225</v>
      </c>
      <c r="M291" s="151">
        <f>M290+'Basic Data'!$AE$13</f>
        <v>2195.5800000000099</v>
      </c>
      <c r="N291" s="151">
        <f>N290+'Basic Data'!$AF$13</f>
        <v>5177.6300000000019</v>
      </c>
      <c r="O291" s="151">
        <f>O290+'Basic Data'!$AG$13</f>
        <v>2064.6800000000094</v>
      </c>
      <c r="P291" s="151">
        <f>P290+'Basic Data'!$AH$13</f>
        <v>5647.9500000000407</v>
      </c>
    </row>
    <row r="292" spans="2:16">
      <c r="B292" s="156">
        <v>290</v>
      </c>
      <c r="C292" s="176">
        <v>290</v>
      </c>
      <c r="D292" s="177">
        <f t="shared" si="25"/>
        <v>3540.1800000000226</v>
      </c>
      <c r="E292" s="177">
        <f t="shared" si="26"/>
        <v>3540.1800000000226</v>
      </c>
      <c r="F292" s="177">
        <f t="shared" si="27"/>
        <v>2202.9700000000098</v>
      </c>
      <c r="G292" s="177">
        <f t="shared" si="28"/>
        <v>5195.0600000000022</v>
      </c>
      <c r="H292" s="177">
        <f t="shared" si="29"/>
        <v>2071.6300000000092</v>
      </c>
      <c r="I292" s="177">
        <f t="shared" si="30"/>
        <v>5666.960000000041</v>
      </c>
      <c r="K292" s="151">
        <f>K291+'Basic Data'!$AC$13</f>
        <v>3540.1800000000226</v>
      </c>
      <c r="L292" s="151">
        <f>L291+'Basic Data'!$AD$13</f>
        <v>3540.1800000000226</v>
      </c>
      <c r="M292" s="151">
        <f>M291+'Basic Data'!$AE$13</f>
        <v>2202.9700000000098</v>
      </c>
      <c r="N292" s="151">
        <f>N291+'Basic Data'!$AF$13</f>
        <v>5195.0600000000022</v>
      </c>
      <c r="O292" s="151">
        <f>O291+'Basic Data'!$AG$13</f>
        <v>2071.6300000000092</v>
      </c>
      <c r="P292" s="151">
        <f>P291+'Basic Data'!$AH$13</f>
        <v>5666.960000000041</v>
      </c>
    </row>
    <row r="293" spans="2:16">
      <c r="B293" s="156">
        <v>291</v>
      </c>
      <c r="C293" s="176">
        <v>291</v>
      </c>
      <c r="D293" s="177">
        <f t="shared" si="25"/>
        <v>3552.0600000000227</v>
      </c>
      <c r="E293" s="177">
        <f t="shared" si="26"/>
        <v>3552.0600000000227</v>
      </c>
      <c r="F293" s="177">
        <f t="shared" si="27"/>
        <v>2210.3600000000097</v>
      </c>
      <c r="G293" s="177">
        <f t="shared" si="28"/>
        <v>5212.4900000000025</v>
      </c>
      <c r="H293" s="177">
        <f t="shared" si="29"/>
        <v>2078.580000000009</v>
      </c>
      <c r="I293" s="177">
        <f t="shared" si="30"/>
        <v>5685.9700000000412</v>
      </c>
      <c r="K293" s="151">
        <f>K292+'Basic Data'!$AC$13</f>
        <v>3552.0600000000227</v>
      </c>
      <c r="L293" s="151">
        <f>L292+'Basic Data'!$AD$13</f>
        <v>3552.0600000000227</v>
      </c>
      <c r="M293" s="151">
        <f>M292+'Basic Data'!$AE$13</f>
        <v>2210.3600000000097</v>
      </c>
      <c r="N293" s="151">
        <f>N292+'Basic Data'!$AF$13</f>
        <v>5212.4900000000025</v>
      </c>
      <c r="O293" s="151">
        <f>O292+'Basic Data'!$AG$13</f>
        <v>2078.580000000009</v>
      </c>
      <c r="P293" s="151">
        <f>P292+'Basic Data'!$AH$13</f>
        <v>5685.9700000000412</v>
      </c>
    </row>
    <row r="294" spans="2:16">
      <c r="B294" s="156">
        <v>292</v>
      </c>
      <c r="C294" s="176">
        <v>292</v>
      </c>
      <c r="D294" s="177">
        <f t="shared" si="25"/>
        <v>3563.9400000000228</v>
      </c>
      <c r="E294" s="177">
        <f t="shared" si="26"/>
        <v>3563.9400000000228</v>
      </c>
      <c r="F294" s="177">
        <f t="shared" si="27"/>
        <v>2217.7500000000095</v>
      </c>
      <c r="G294" s="177">
        <f t="shared" si="28"/>
        <v>5229.9200000000028</v>
      </c>
      <c r="H294" s="177">
        <f t="shared" si="29"/>
        <v>2085.5300000000088</v>
      </c>
      <c r="I294" s="177">
        <f t="shared" si="30"/>
        <v>5704.9800000000414</v>
      </c>
      <c r="K294" s="151">
        <f>K293+'Basic Data'!$AC$13</f>
        <v>3563.9400000000228</v>
      </c>
      <c r="L294" s="151">
        <f>L293+'Basic Data'!$AD$13</f>
        <v>3563.9400000000228</v>
      </c>
      <c r="M294" s="151">
        <f>M293+'Basic Data'!$AE$13</f>
        <v>2217.7500000000095</v>
      </c>
      <c r="N294" s="151">
        <f>N293+'Basic Data'!$AF$13</f>
        <v>5229.9200000000028</v>
      </c>
      <c r="O294" s="151">
        <f>O293+'Basic Data'!$AG$13</f>
        <v>2085.5300000000088</v>
      </c>
      <c r="P294" s="151">
        <f>P293+'Basic Data'!$AH$13</f>
        <v>5704.9800000000414</v>
      </c>
    </row>
    <row r="295" spans="2:16">
      <c r="B295" s="156">
        <v>293</v>
      </c>
      <c r="C295" s="176">
        <v>293</v>
      </c>
      <c r="D295" s="177">
        <f t="shared" si="25"/>
        <v>3575.8200000000229</v>
      </c>
      <c r="E295" s="177">
        <f t="shared" si="26"/>
        <v>3575.8200000000229</v>
      </c>
      <c r="F295" s="177">
        <f t="shared" si="27"/>
        <v>2225.1400000000094</v>
      </c>
      <c r="G295" s="177">
        <f t="shared" si="28"/>
        <v>5247.3500000000031</v>
      </c>
      <c r="H295" s="177">
        <f t="shared" si="29"/>
        <v>2092.4800000000087</v>
      </c>
      <c r="I295" s="177">
        <f t="shared" si="30"/>
        <v>5723.9900000000416</v>
      </c>
      <c r="K295" s="151">
        <f>K294+'Basic Data'!$AC$13</f>
        <v>3575.8200000000229</v>
      </c>
      <c r="L295" s="151">
        <f>L294+'Basic Data'!$AD$13</f>
        <v>3575.8200000000229</v>
      </c>
      <c r="M295" s="151">
        <f>M294+'Basic Data'!$AE$13</f>
        <v>2225.1400000000094</v>
      </c>
      <c r="N295" s="151">
        <f>N294+'Basic Data'!$AF$13</f>
        <v>5247.3500000000031</v>
      </c>
      <c r="O295" s="151">
        <f>O294+'Basic Data'!$AG$13</f>
        <v>2092.4800000000087</v>
      </c>
      <c r="P295" s="151">
        <f>P294+'Basic Data'!$AH$13</f>
        <v>5723.9900000000416</v>
      </c>
    </row>
    <row r="296" spans="2:16">
      <c r="B296" s="156">
        <v>294</v>
      </c>
      <c r="C296" s="176">
        <v>294</v>
      </c>
      <c r="D296" s="177">
        <f t="shared" si="25"/>
        <v>3587.700000000023</v>
      </c>
      <c r="E296" s="177">
        <f t="shared" si="26"/>
        <v>3587.700000000023</v>
      </c>
      <c r="F296" s="177">
        <f t="shared" si="27"/>
        <v>2232.5300000000093</v>
      </c>
      <c r="G296" s="177">
        <f t="shared" si="28"/>
        <v>5264.7800000000034</v>
      </c>
      <c r="H296" s="177">
        <f t="shared" si="29"/>
        <v>2099.4300000000085</v>
      </c>
      <c r="I296" s="177">
        <f t="shared" si="30"/>
        <v>5743.0000000000418</v>
      </c>
      <c r="K296" s="151">
        <f>K295+'Basic Data'!$AC$13</f>
        <v>3587.700000000023</v>
      </c>
      <c r="L296" s="151">
        <f>L295+'Basic Data'!$AD$13</f>
        <v>3587.700000000023</v>
      </c>
      <c r="M296" s="151">
        <f>M295+'Basic Data'!$AE$13</f>
        <v>2232.5300000000093</v>
      </c>
      <c r="N296" s="151">
        <f>N295+'Basic Data'!$AF$13</f>
        <v>5264.7800000000034</v>
      </c>
      <c r="O296" s="151">
        <f>O295+'Basic Data'!$AG$13</f>
        <v>2099.4300000000085</v>
      </c>
      <c r="P296" s="151">
        <f>P295+'Basic Data'!$AH$13</f>
        <v>5743.0000000000418</v>
      </c>
    </row>
    <row r="297" spans="2:16">
      <c r="B297" s="156">
        <v>295</v>
      </c>
      <c r="C297" s="176">
        <v>295</v>
      </c>
      <c r="D297" s="177">
        <f t="shared" si="25"/>
        <v>3599.5800000000231</v>
      </c>
      <c r="E297" s="177">
        <f t="shared" si="26"/>
        <v>3599.5800000000231</v>
      </c>
      <c r="F297" s="177">
        <f t="shared" si="27"/>
        <v>2239.9200000000092</v>
      </c>
      <c r="G297" s="177">
        <f t="shared" si="28"/>
        <v>5282.2100000000037</v>
      </c>
      <c r="H297" s="177">
        <f t="shared" si="29"/>
        <v>2106.3800000000083</v>
      </c>
      <c r="I297" s="177">
        <f t="shared" si="30"/>
        <v>5762.0100000000421</v>
      </c>
      <c r="K297" s="151">
        <f>K296+'Basic Data'!$AC$13</f>
        <v>3599.5800000000231</v>
      </c>
      <c r="L297" s="151">
        <f>L296+'Basic Data'!$AD$13</f>
        <v>3599.5800000000231</v>
      </c>
      <c r="M297" s="151">
        <f>M296+'Basic Data'!$AE$13</f>
        <v>2239.9200000000092</v>
      </c>
      <c r="N297" s="151">
        <f>N296+'Basic Data'!$AF$13</f>
        <v>5282.2100000000037</v>
      </c>
      <c r="O297" s="151">
        <f>O296+'Basic Data'!$AG$13</f>
        <v>2106.3800000000083</v>
      </c>
      <c r="P297" s="151">
        <f>P296+'Basic Data'!$AH$13</f>
        <v>5762.0100000000421</v>
      </c>
    </row>
    <row r="298" spans="2:16">
      <c r="B298" s="156">
        <v>296</v>
      </c>
      <c r="C298" s="176">
        <v>296</v>
      </c>
      <c r="D298" s="177">
        <f t="shared" si="25"/>
        <v>3611.4600000000232</v>
      </c>
      <c r="E298" s="177">
        <f t="shared" si="26"/>
        <v>3611.4600000000232</v>
      </c>
      <c r="F298" s="177">
        <f t="shared" si="27"/>
        <v>2247.310000000009</v>
      </c>
      <c r="G298" s="177">
        <f t="shared" si="28"/>
        <v>5299.640000000004</v>
      </c>
      <c r="H298" s="177">
        <f t="shared" si="29"/>
        <v>2113.3300000000081</v>
      </c>
      <c r="I298" s="177">
        <f t="shared" si="30"/>
        <v>5781.0200000000423</v>
      </c>
      <c r="K298" s="151">
        <f>K297+'Basic Data'!$AC$13</f>
        <v>3611.4600000000232</v>
      </c>
      <c r="L298" s="151">
        <f>L297+'Basic Data'!$AD$13</f>
        <v>3611.4600000000232</v>
      </c>
      <c r="M298" s="151">
        <f>M297+'Basic Data'!$AE$13</f>
        <v>2247.310000000009</v>
      </c>
      <c r="N298" s="151">
        <f>N297+'Basic Data'!$AF$13</f>
        <v>5299.640000000004</v>
      </c>
      <c r="O298" s="151">
        <f>O297+'Basic Data'!$AG$13</f>
        <v>2113.3300000000081</v>
      </c>
      <c r="P298" s="151">
        <f>P297+'Basic Data'!$AH$13</f>
        <v>5781.0200000000423</v>
      </c>
    </row>
    <row r="299" spans="2:16">
      <c r="B299" s="156">
        <v>297</v>
      </c>
      <c r="C299" s="176">
        <v>297</v>
      </c>
      <c r="D299" s="177">
        <f t="shared" si="25"/>
        <v>3623.3400000000233</v>
      </c>
      <c r="E299" s="177">
        <f t="shared" si="26"/>
        <v>3623.3400000000233</v>
      </c>
      <c r="F299" s="177">
        <f t="shared" si="27"/>
        <v>2254.7000000000089</v>
      </c>
      <c r="G299" s="177">
        <f t="shared" si="28"/>
        <v>5317.0700000000043</v>
      </c>
      <c r="H299" s="177">
        <f t="shared" si="29"/>
        <v>2120.2800000000079</v>
      </c>
      <c r="I299" s="177">
        <f t="shared" si="30"/>
        <v>5800.0300000000425</v>
      </c>
      <c r="K299" s="151">
        <f>K298+'Basic Data'!$AC$13</f>
        <v>3623.3400000000233</v>
      </c>
      <c r="L299" s="151">
        <f>L298+'Basic Data'!$AD$13</f>
        <v>3623.3400000000233</v>
      </c>
      <c r="M299" s="151">
        <f>M298+'Basic Data'!$AE$13</f>
        <v>2254.7000000000089</v>
      </c>
      <c r="N299" s="151">
        <f>N298+'Basic Data'!$AF$13</f>
        <v>5317.0700000000043</v>
      </c>
      <c r="O299" s="151">
        <f>O298+'Basic Data'!$AG$13</f>
        <v>2120.2800000000079</v>
      </c>
      <c r="P299" s="151">
        <f>P298+'Basic Data'!$AH$13</f>
        <v>5800.0300000000425</v>
      </c>
    </row>
    <row r="300" spans="2:16">
      <c r="B300" s="156">
        <v>298</v>
      </c>
      <c r="C300" s="176">
        <v>298</v>
      </c>
      <c r="D300" s="177">
        <f t="shared" si="25"/>
        <v>3635.2200000000234</v>
      </c>
      <c r="E300" s="177">
        <f t="shared" si="26"/>
        <v>3635.2200000000234</v>
      </c>
      <c r="F300" s="177">
        <f t="shared" si="27"/>
        <v>2262.0900000000088</v>
      </c>
      <c r="G300" s="177">
        <f t="shared" si="28"/>
        <v>5334.5000000000045</v>
      </c>
      <c r="H300" s="177">
        <f t="shared" si="29"/>
        <v>2127.2300000000077</v>
      </c>
      <c r="I300" s="177">
        <f t="shared" si="30"/>
        <v>5819.0400000000427</v>
      </c>
      <c r="K300" s="151">
        <f>K299+'Basic Data'!$AC$13</f>
        <v>3635.2200000000234</v>
      </c>
      <c r="L300" s="151">
        <f>L299+'Basic Data'!$AD$13</f>
        <v>3635.2200000000234</v>
      </c>
      <c r="M300" s="151">
        <f>M299+'Basic Data'!$AE$13</f>
        <v>2262.0900000000088</v>
      </c>
      <c r="N300" s="151">
        <f>N299+'Basic Data'!$AF$13</f>
        <v>5334.5000000000045</v>
      </c>
      <c r="O300" s="151">
        <f>O299+'Basic Data'!$AG$13</f>
        <v>2127.2300000000077</v>
      </c>
      <c r="P300" s="151">
        <f>P299+'Basic Data'!$AH$13</f>
        <v>5819.0400000000427</v>
      </c>
    </row>
    <row r="301" spans="2:16">
      <c r="B301" s="156">
        <v>299</v>
      </c>
      <c r="C301" s="176">
        <v>299</v>
      </c>
      <c r="D301" s="177">
        <f t="shared" si="25"/>
        <v>3647.1000000000236</v>
      </c>
      <c r="E301" s="177">
        <f t="shared" si="26"/>
        <v>3647.1000000000236</v>
      </c>
      <c r="F301" s="177">
        <f t="shared" si="27"/>
        <v>2269.4800000000087</v>
      </c>
      <c r="G301" s="177">
        <f t="shared" si="28"/>
        <v>5351.9300000000048</v>
      </c>
      <c r="H301" s="177">
        <f t="shared" si="29"/>
        <v>2134.1800000000076</v>
      </c>
      <c r="I301" s="177">
        <f t="shared" si="30"/>
        <v>5838.0500000000429</v>
      </c>
      <c r="K301" s="151">
        <f>K300+'Basic Data'!$AC$13</f>
        <v>3647.1000000000236</v>
      </c>
      <c r="L301" s="151">
        <f>L300+'Basic Data'!$AD$13</f>
        <v>3647.1000000000236</v>
      </c>
      <c r="M301" s="151">
        <f>M300+'Basic Data'!$AE$13</f>
        <v>2269.4800000000087</v>
      </c>
      <c r="N301" s="151">
        <f>N300+'Basic Data'!$AF$13</f>
        <v>5351.9300000000048</v>
      </c>
      <c r="O301" s="151">
        <f>O300+'Basic Data'!$AG$13</f>
        <v>2134.1800000000076</v>
      </c>
      <c r="P301" s="151">
        <f>P300+'Basic Data'!$AH$13</f>
        <v>5838.0500000000429</v>
      </c>
    </row>
    <row r="302" spans="2:16">
      <c r="B302" s="156">
        <v>300</v>
      </c>
      <c r="C302" s="176">
        <v>300</v>
      </c>
      <c r="D302" s="177">
        <f t="shared" si="25"/>
        <v>3658.9800000000237</v>
      </c>
      <c r="E302" s="177">
        <f t="shared" si="26"/>
        <v>3658.9800000000237</v>
      </c>
      <c r="F302" s="177">
        <f t="shared" si="27"/>
        <v>2276.8700000000085</v>
      </c>
      <c r="G302" s="177">
        <f t="shared" si="28"/>
        <v>5369.3600000000051</v>
      </c>
      <c r="H302" s="177">
        <f t="shared" si="29"/>
        <v>2141.1300000000074</v>
      </c>
      <c r="I302" s="177">
        <f t="shared" si="30"/>
        <v>5857.0600000000431</v>
      </c>
      <c r="K302" s="151">
        <f>K301+'Basic Data'!$AC$13</f>
        <v>3658.9800000000237</v>
      </c>
      <c r="L302" s="151">
        <f>L301+'Basic Data'!$AD$13</f>
        <v>3658.9800000000237</v>
      </c>
      <c r="M302" s="151">
        <f>M301+'Basic Data'!$AE$13</f>
        <v>2276.8700000000085</v>
      </c>
      <c r="N302" s="151">
        <f>N301+'Basic Data'!$AF$13</f>
        <v>5369.3600000000051</v>
      </c>
      <c r="O302" s="151">
        <f>O301+'Basic Data'!$AG$13</f>
        <v>2141.1300000000074</v>
      </c>
      <c r="P302" s="151">
        <f>P301+'Basic Data'!$AH$13</f>
        <v>5857.0600000000431</v>
      </c>
    </row>
    <row r="303" spans="2:16">
      <c r="B303" s="156">
        <v>301</v>
      </c>
      <c r="C303" s="176">
        <v>301</v>
      </c>
      <c r="D303" s="177">
        <f t="shared" si="25"/>
        <v>3670.8600000000238</v>
      </c>
      <c r="E303" s="177">
        <f t="shared" si="26"/>
        <v>3670.8600000000238</v>
      </c>
      <c r="F303" s="177">
        <f t="shared" si="27"/>
        <v>2284.2600000000084</v>
      </c>
      <c r="G303" s="177">
        <f t="shared" si="28"/>
        <v>5386.7900000000054</v>
      </c>
      <c r="H303" s="177">
        <f t="shared" si="29"/>
        <v>2148.0800000000072</v>
      </c>
      <c r="I303" s="177">
        <f t="shared" si="30"/>
        <v>5876.0700000000434</v>
      </c>
      <c r="K303" s="151">
        <f>K302+'Basic Data'!$AC$13</f>
        <v>3670.8600000000238</v>
      </c>
      <c r="L303" s="151">
        <f>L302+'Basic Data'!$AD$13</f>
        <v>3670.8600000000238</v>
      </c>
      <c r="M303" s="151">
        <f>M302+'Basic Data'!$AE$13</f>
        <v>2284.2600000000084</v>
      </c>
      <c r="N303" s="151">
        <f>N302+'Basic Data'!$AF$13</f>
        <v>5386.7900000000054</v>
      </c>
      <c r="O303" s="151">
        <f>O302+'Basic Data'!$AG$13</f>
        <v>2148.0800000000072</v>
      </c>
      <c r="P303" s="151">
        <f>P302+'Basic Data'!$AH$13</f>
        <v>5876.0700000000434</v>
      </c>
    </row>
    <row r="304" spans="2:16">
      <c r="B304" s="156">
        <v>302</v>
      </c>
      <c r="C304" s="176">
        <v>302</v>
      </c>
      <c r="D304" s="177">
        <f t="shared" si="25"/>
        <v>3682.7400000000239</v>
      </c>
      <c r="E304" s="177">
        <f t="shared" si="26"/>
        <v>3682.7400000000239</v>
      </c>
      <c r="F304" s="177">
        <f t="shared" si="27"/>
        <v>2291.6500000000083</v>
      </c>
      <c r="G304" s="177">
        <f t="shared" si="28"/>
        <v>5404.2200000000057</v>
      </c>
      <c r="H304" s="177">
        <f t="shared" si="29"/>
        <v>2155.030000000007</v>
      </c>
      <c r="I304" s="177">
        <f t="shared" si="30"/>
        <v>5895.0800000000436</v>
      </c>
      <c r="K304" s="151">
        <f>K303+'Basic Data'!$AC$13</f>
        <v>3682.7400000000239</v>
      </c>
      <c r="L304" s="151">
        <f>L303+'Basic Data'!$AD$13</f>
        <v>3682.7400000000239</v>
      </c>
      <c r="M304" s="151">
        <f>M303+'Basic Data'!$AE$13</f>
        <v>2291.6500000000083</v>
      </c>
      <c r="N304" s="151">
        <f>N303+'Basic Data'!$AF$13</f>
        <v>5404.2200000000057</v>
      </c>
      <c r="O304" s="151">
        <f>O303+'Basic Data'!$AG$13</f>
        <v>2155.030000000007</v>
      </c>
      <c r="P304" s="151">
        <f>P303+'Basic Data'!$AH$13</f>
        <v>5895.0800000000436</v>
      </c>
    </row>
    <row r="305" spans="2:16">
      <c r="B305" s="156">
        <v>303</v>
      </c>
      <c r="C305" s="176">
        <v>303</v>
      </c>
      <c r="D305" s="177">
        <f t="shared" si="25"/>
        <v>3694.620000000024</v>
      </c>
      <c r="E305" s="177">
        <f t="shared" si="26"/>
        <v>3694.620000000024</v>
      </c>
      <c r="F305" s="177">
        <f t="shared" si="27"/>
        <v>2299.0400000000081</v>
      </c>
      <c r="G305" s="177">
        <f t="shared" si="28"/>
        <v>5421.650000000006</v>
      </c>
      <c r="H305" s="177">
        <f t="shared" si="29"/>
        <v>2161.9800000000068</v>
      </c>
      <c r="I305" s="177">
        <f t="shared" si="30"/>
        <v>5914.0900000000438</v>
      </c>
      <c r="K305" s="151">
        <f>K304+'Basic Data'!$AC$13</f>
        <v>3694.620000000024</v>
      </c>
      <c r="L305" s="151">
        <f>L304+'Basic Data'!$AD$13</f>
        <v>3694.620000000024</v>
      </c>
      <c r="M305" s="151">
        <f>M304+'Basic Data'!$AE$13</f>
        <v>2299.0400000000081</v>
      </c>
      <c r="N305" s="151">
        <f>N304+'Basic Data'!$AF$13</f>
        <v>5421.650000000006</v>
      </c>
      <c r="O305" s="151">
        <f>O304+'Basic Data'!$AG$13</f>
        <v>2161.9800000000068</v>
      </c>
      <c r="P305" s="151">
        <f>P304+'Basic Data'!$AH$13</f>
        <v>5914.0900000000438</v>
      </c>
    </row>
    <row r="306" spans="2:16">
      <c r="B306" s="156">
        <v>304</v>
      </c>
      <c r="C306" s="176">
        <v>304</v>
      </c>
      <c r="D306" s="177">
        <f t="shared" si="25"/>
        <v>3706.5000000000241</v>
      </c>
      <c r="E306" s="177">
        <f t="shared" si="26"/>
        <v>3706.5000000000241</v>
      </c>
      <c r="F306" s="177">
        <f t="shared" si="27"/>
        <v>2306.430000000008</v>
      </c>
      <c r="G306" s="177">
        <f t="shared" si="28"/>
        <v>5439.0800000000063</v>
      </c>
      <c r="H306" s="177">
        <f t="shared" si="29"/>
        <v>2168.9300000000067</v>
      </c>
      <c r="I306" s="177">
        <f t="shared" si="30"/>
        <v>5933.100000000044</v>
      </c>
      <c r="K306" s="151">
        <f>K305+'Basic Data'!$AC$13</f>
        <v>3706.5000000000241</v>
      </c>
      <c r="L306" s="151">
        <f>L305+'Basic Data'!$AD$13</f>
        <v>3706.5000000000241</v>
      </c>
      <c r="M306" s="151">
        <f>M305+'Basic Data'!$AE$13</f>
        <v>2306.430000000008</v>
      </c>
      <c r="N306" s="151">
        <f>N305+'Basic Data'!$AF$13</f>
        <v>5439.0800000000063</v>
      </c>
      <c r="O306" s="151">
        <f>O305+'Basic Data'!$AG$13</f>
        <v>2168.9300000000067</v>
      </c>
      <c r="P306" s="151">
        <f>P305+'Basic Data'!$AH$13</f>
        <v>5933.100000000044</v>
      </c>
    </row>
    <row r="307" spans="2:16">
      <c r="B307" s="156">
        <v>305</v>
      </c>
      <c r="C307" s="176">
        <v>305</v>
      </c>
      <c r="D307" s="177">
        <f t="shared" si="25"/>
        <v>3718.3800000000242</v>
      </c>
      <c r="E307" s="177">
        <f t="shared" si="26"/>
        <v>3718.3800000000242</v>
      </c>
      <c r="F307" s="177">
        <f t="shared" si="27"/>
        <v>2313.8200000000079</v>
      </c>
      <c r="G307" s="177">
        <f t="shared" si="28"/>
        <v>5456.5100000000066</v>
      </c>
      <c r="H307" s="177">
        <f t="shared" si="29"/>
        <v>2175.8800000000065</v>
      </c>
      <c r="I307" s="177">
        <f t="shared" si="30"/>
        <v>5952.1100000000442</v>
      </c>
      <c r="K307" s="151">
        <f>K306+'Basic Data'!$AC$13</f>
        <v>3718.3800000000242</v>
      </c>
      <c r="L307" s="151">
        <f>L306+'Basic Data'!$AD$13</f>
        <v>3718.3800000000242</v>
      </c>
      <c r="M307" s="151">
        <f>M306+'Basic Data'!$AE$13</f>
        <v>2313.8200000000079</v>
      </c>
      <c r="N307" s="151">
        <f>N306+'Basic Data'!$AF$13</f>
        <v>5456.5100000000066</v>
      </c>
      <c r="O307" s="151">
        <f>O306+'Basic Data'!$AG$13</f>
        <v>2175.8800000000065</v>
      </c>
      <c r="P307" s="151">
        <f>P306+'Basic Data'!$AH$13</f>
        <v>5952.1100000000442</v>
      </c>
    </row>
    <row r="308" spans="2:16">
      <c r="B308" s="156">
        <v>306</v>
      </c>
      <c r="C308" s="176">
        <v>306</v>
      </c>
      <c r="D308" s="177">
        <f t="shared" si="25"/>
        <v>3730.2600000000243</v>
      </c>
      <c r="E308" s="177">
        <f t="shared" si="26"/>
        <v>3730.2600000000243</v>
      </c>
      <c r="F308" s="177">
        <f t="shared" si="27"/>
        <v>2321.2100000000078</v>
      </c>
      <c r="G308" s="177">
        <f t="shared" si="28"/>
        <v>5473.9400000000069</v>
      </c>
      <c r="H308" s="177">
        <f t="shared" si="29"/>
        <v>2182.8300000000063</v>
      </c>
      <c r="I308" s="177">
        <f t="shared" si="30"/>
        <v>5971.1200000000445</v>
      </c>
      <c r="K308" s="151">
        <f>K307+'Basic Data'!$AC$13</f>
        <v>3730.2600000000243</v>
      </c>
      <c r="L308" s="151">
        <f>L307+'Basic Data'!$AD$13</f>
        <v>3730.2600000000243</v>
      </c>
      <c r="M308" s="151">
        <f>M307+'Basic Data'!$AE$13</f>
        <v>2321.2100000000078</v>
      </c>
      <c r="N308" s="151">
        <f>N307+'Basic Data'!$AF$13</f>
        <v>5473.9400000000069</v>
      </c>
      <c r="O308" s="151">
        <f>O307+'Basic Data'!$AG$13</f>
        <v>2182.8300000000063</v>
      </c>
      <c r="P308" s="151">
        <f>P307+'Basic Data'!$AH$13</f>
        <v>5971.1200000000445</v>
      </c>
    </row>
    <row r="309" spans="2:16">
      <c r="B309" s="156">
        <v>307</v>
      </c>
      <c r="C309" s="176">
        <v>307</v>
      </c>
      <c r="D309" s="177">
        <f t="shared" si="25"/>
        <v>3742.1400000000244</v>
      </c>
      <c r="E309" s="177">
        <f t="shared" si="26"/>
        <v>3742.1400000000244</v>
      </c>
      <c r="F309" s="177">
        <f t="shared" si="27"/>
        <v>2328.6000000000076</v>
      </c>
      <c r="G309" s="177">
        <f t="shared" si="28"/>
        <v>5491.3700000000072</v>
      </c>
      <c r="H309" s="177">
        <f t="shared" si="29"/>
        <v>2189.7800000000061</v>
      </c>
      <c r="I309" s="177">
        <f t="shared" si="30"/>
        <v>5990.1300000000447</v>
      </c>
      <c r="K309" s="151">
        <f>K308+'Basic Data'!$AC$13</f>
        <v>3742.1400000000244</v>
      </c>
      <c r="L309" s="151">
        <f>L308+'Basic Data'!$AD$13</f>
        <v>3742.1400000000244</v>
      </c>
      <c r="M309" s="151">
        <f>M308+'Basic Data'!$AE$13</f>
        <v>2328.6000000000076</v>
      </c>
      <c r="N309" s="151">
        <f>N308+'Basic Data'!$AF$13</f>
        <v>5491.3700000000072</v>
      </c>
      <c r="O309" s="151">
        <f>O308+'Basic Data'!$AG$13</f>
        <v>2189.7800000000061</v>
      </c>
      <c r="P309" s="151">
        <f>P308+'Basic Data'!$AH$13</f>
        <v>5990.1300000000447</v>
      </c>
    </row>
    <row r="310" spans="2:16">
      <c r="B310" s="156">
        <v>308</v>
      </c>
      <c r="C310" s="176">
        <v>308</v>
      </c>
      <c r="D310" s="177">
        <f t="shared" si="25"/>
        <v>3754.0200000000245</v>
      </c>
      <c r="E310" s="177">
        <f t="shared" si="26"/>
        <v>3754.0200000000245</v>
      </c>
      <c r="F310" s="177">
        <f t="shared" si="27"/>
        <v>2335.9900000000075</v>
      </c>
      <c r="G310" s="177">
        <f t="shared" si="28"/>
        <v>5508.8000000000075</v>
      </c>
      <c r="H310" s="177">
        <f t="shared" si="29"/>
        <v>2196.7300000000059</v>
      </c>
      <c r="I310" s="177">
        <f t="shared" si="30"/>
        <v>6009.1400000000449</v>
      </c>
      <c r="K310" s="151">
        <f>K309+'Basic Data'!$AC$13</f>
        <v>3754.0200000000245</v>
      </c>
      <c r="L310" s="151">
        <f>L309+'Basic Data'!$AD$13</f>
        <v>3754.0200000000245</v>
      </c>
      <c r="M310" s="151">
        <f>M309+'Basic Data'!$AE$13</f>
        <v>2335.9900000000075</v>
      </c>
      <c r="N310" s="151">
        <f>N309+'Basic Data'!$AF$13</f>
        <v>5508.8000000000075</v>
      </c>
      <c r="O310" s="151">
        <f>O309+'Basic Data'!$AG$13</f>
        <v>2196.7300000000059</v>
      </c>
      <c r="P310" s="151">
        <f>P309+'Basic Data'!$AH$13</f>
        <v>6009.1400000000449</v>
      </c>
    </row>
    <row r="311" spans="2:16">
      <c r="B311" s="156">
        <v>309</v>
      </c>
      <c r="C311" s="176">
        <v>309</v>
      </c>
      <c r="D311" s="177">
        <f t="shared" si="25"/>
        <v>3765.9000000000246</v>
      </c>
      <c r="E311" s="177">
        <f t="shared" si="26"/>
        <v>3765.9000000000246</v>
      </c>
      <c r="F311" s="177">
        <f t="shared" si="27"/>
        <v>2343.3800000000074</v>
      </c>
      <c r="G311" s="177">
        <f t="shared" si="28"/>
        <v>5526.2300000000077</v>
      </c>
      <c r="H311" s="177">
        <f t="shared" si="29"/>
        <v>2203.6800000000057</v>
      </c>
      <c r="I311" s="177">
        <f t="shared" si="30"/>
        <v>6028.1500000000451</v>
      </c>
      <c r="K311" s="151">
        <f>K310+'Basic Data'!$AC$13</f>
        <v>3765.9000000000246</v>
      </c>
      <c r="L311" s="151">
        <f>L310+'Basic Data'!$AD$13</f>
        <v>3765.9000000000246</v>
      </c>
      <c r="M311" s="151">
        <f>M310+'Basic Data'!$AE$13</f>
        <v>2343.3800000000074</v>
      </c>
      <c r="N311" s="151">
        <f>N310+'Basic Data'!$AF$13</f>
        <v>5526.2300000000077</v>
      </c>
      <c r="O311" s="151">
        <f>O310+'Basic Data'!$AG$13</f>
        <v>2203.6800000000057</v>
      </c>
      <c r="P311" s="151">
        <f>P310+'Basic Data'!$AH$13</f>
        <v>6028.1500000000451</v>
      </c>
    </row>
    <row r="312" spans="2:16">
      <c r="B312" s="156">
        <v>310</v>
      </c>
      <c r="C312" s="176">
        <v>310</v>
      </c>
      <c r="D312" s="177">
        <f t="shared" si="25"/>
        <v>3777.7800000000248</v>
      </c>
      <c r="E312" s="177">
        <f t="shared" si="26"/>
        <v>3777.7800000000248</v>
      </c>
      <c r="F312" s="177">
        <f t="shared" si="27"/>
        <v>2350.7700000000073</v>
      </c>
      <c r="G312" s="177">
        <f t="shared" si="28"/>
        <v>5543.660000000008</v>
      </c>
      <c r="H312" s="177">
        <f t="shared" si="29"/>
        <v>2210.6300000000056</v>
      </c>
      <c r="I312" s="177">
        <f t="shared" si="30"/>
        <v>6047.1600000000453</v>
      </c>
      <c r="K312" s="151">
        <f>K311+'Basic Data'!$AC$13</f>
        <v>3777.7800000000248</v>
      </c>
      <c r="L312" s="151">
        <f>L311+'Basic Data'!$AD$13</f>
        <v>3777.7800000000248</v>
      </c>
      <c r="M312" s="151">
        <f>M311+'Basic Data'!$AE$13</f>
        <v>2350.7700000000073</v>
      </c>
      <c r="N312" s="151">
        <f>N311+'Basic Data'!$AF$13</f>
        <v>5543.660000000008</v>
      </c>
      <c r="O312" s="151">
        <f>O311+'Basic Data'!$AG$13</f>
        <v>2210.6300000000056</v>
      </c>
      <c r="P312" s="151">
        <f>P311+'Basic Data'!$AH$13</f>
        <v>6047.1600000000453</v>
      </c>
    </row>
    <row r="313" spans="2:16">
      <c r="B313" s="156">
        <v>311</v>
      </c>
      <c r="C313" s="176">
        <v>311</v>
      </c>
      <c r="D313" s="177">
        <f t="shared" si="25"/>
        <v>3789.6600000000249</v>
      </c>
      <c r="E313" s="177">
        <f t="shared" si="26"/>
        <v>3789.6600000000249</v>
      </c>
      <c r="F313" s="177">
        <f t="shared" si="27"/>
        <v>2358.1600000000071</v>
      </c>
      <c r="G313" s="177">
        <f t="shared" si="28"/>
        <v>5561.0900000000083</v>
      </c>
      <c r="H313" s="177">
        <f t="shared" si="29"/>
        <v>2217.5800000000054</v>
      </c>
      <c r="I313" s="177">
        <f t="shared" si="30"/>
        <v>6066.1700000000455</v>
      </c>
      <c r="K313" s="151">
        <f>K312+'Basic Data'!$AC$13</f>
        <v>3789.6600000000249</v>
      </c>
      <c r="L313" s="151">
        <f>L312+'Basic Data'!$AD$13</f>
        <v>3789.6600000000249</v>
      </c>
      <c r="M313" s="151">
        <f>M312+'Basic Data'!$AE$13</f>
        <v>2358.1600000000071</v>
      </c>
      <c r="N313" s="151">
        <f>N312+'Basic Data'!$AF$13</f>
        <v>5561.0900000000083</v>
      </c>
      <c r="O313" s="151">
        <f>O312+'Basic Data'!$AG$13</f>
        <v>2217.5800000000054</v>
      </c>
      <c r="P313" s="151">
        <f>P312+'Basic Data'!$AH$13</f>
        <v>6066.1700000000455</v>
      </c>
    </row>
    <row r="314" spans="2:16">
      <c r="B314" s="156">
        <v>312</v>
      </c>
      <c r="C314" s="176">
        <v>312</v>
      </c>
      <c r="D314" s="177">
        <f t="shared" si="25"/>
        <v>3801.540000000025</v>
      </c>
      <c r="E314" s="177">
        <f t="shared" si="26"/>
        <v>3801.540000000025</v>
      </c>
      <c r="F314" s="177">
        <f t="shared" si="27"/>
        <v>2365.550000000007</v>
      </c>
      <c r="G314" s="177">
        <f t="shared" si="28"/>
        <v>5578.5200000000086</v>
      </c>
      <c r="H314" s="177">
        <f t="shared" si="29"/>
        <v>2224.5300000000052</v>
      </c>
      <c r="I314" s="177">
        <f t="shared" si="30"/>
        <v>6085.1800000000458</v>
      </c>
      <c r="K314" s="151">
        <f>K313+'Basic Data'!$AC$13</f>
        <v>3801.540000000025</v>
      </c>
      <c r="L314" s="151">
        <f>L313+'Basic Data'!$AD$13</f>
        <v>3801.540000000025</v>
      </c>
      <c r="M314" s="151">
        <f>M313+'Basic Data'!$AE$13</f>
        <v>2365.550000000007</v>
      </c>
      <c r="N314" s="151">
        <f>N313+'Basic Data'!$AF$13</f>
        <v>5578.5200000000086</v>
      </c>
      <c r="O314" s="151">
        <f>O313+'Basic Data'!$AG$13</f>
        <v>2224.5300000000052</v>
      </c>
      <c r="P314" s="151">
        <f>P313+'Basic Data'!$AH$13</f>
        <v>6085.1800000000458</v>
      </c>
    </row>
    <row r="315" spans="2:16">
      <c r="B315" s="156">
        <v>313</v>
      </c>
      <c r="C315" s="176">
        <v>313</v>
      </c>
      <c r="D315" s="177">
        <f t="shared" si="25"/>
        <v>3813.4200000000251</v>
      </c>
      <c r="E315" s="177">
        <f t="shared" si="26"/>
        <v>3813.4200000000251</v>
      </c>
      <c r="F315" s="177">
        <f t="shared" si="27"/>
        <v>2372.9400000000069</v>
      </c>
      <c r="G315" s="177">
        <f t="shared" si="28"/>
        <v>5595.9500000000089</v>
      </c>
      <c r="H315" s="177">
        <f t="shared" si="29"/>
        <v>2231.480000000005</v>
      </c>
      <c r="I315" s="177">
        <f t="shared" si="30"/>
        <v>6104.190000000046</v>
      </c>
      <c r="K315" s="151">
        <f>K314+'Basic Data'!$AC$13</f>
        <v>3813.4200000000251</v>
      </c>
      <c r="L315" s="151">
        <f>L314+'Basic Data'!$AD$13</f>
        <v>3813.4200000000251</v>
      </c>
      <c r="M315" s="151">
        <f>M314+'Basic Data'!$AE$13</f>
        <v>2372.9400000000069</v>
      </c>
      <c r="N315" s="151">
        <f>N314+'Basic Data'!$AF$13</f>
        <v>5595.9500000000089</v>
      </c>
      <c r="O315" s="151">
        <f>O314+'Basic Data'!$AG$13</f>
        <v>2231.480000000005</v>
      </c>
      <c r="P315" s="151">
        <f>P314+'Basic Data'!$AH$13</f>
        <v>6104.190000000046</v>
      </c>
    </row>
    <row r="316" spans="2:16">
      <c r="B316" s="156">
        <v>314</v>
      </c>
      <c r="C316" s="176">
        <v>314</v>
      </c>
      <c r="D316" s="177">
        <f t="shared" si="25"/>
        <v>3825.3000000000252</v>
      </c>
      <c r="E316" s="177">
        <f t="shared" si="26"/>
        <v>3825.3000000000252</v>
      </c>
      <c r="F316" s="177">
        <f t="shared" si="27"/>
        <v>2380.3300000000067</v>
      </c>
      <c r="G316" s="177">
        <f t="shared" si="28"/>
        <v>5613.3800000000092</v>
      </c>
      <c r="H316" s="177">
        <f t="shared" si="29"/>
        <v>2238.4300000000048</v>
      </c>
      <c r="I316" s="177">
        <f t="shared" si="30"/>
        <v>6123.2000000000462</v>
      </c>
      <c r="K316" s="151">
        <f>K315+'Basic Data'!$AC$13</f>
        <v>3825.3000000000252</v>
      </c>
      <c r="L316" s="151">
        <f>L315+'Basic Data'!$AD$13</f>
        <v>3825.3000000000252</v>
      </c>
      <c r="M316" s="151">
        <f>M315+'Basic Data'!$AE$13</f>
        <v>2380.3300000000067</v>
      </c>
      <c r="N316" s="151">
        <f>N315+'Basic Data'!$AF$13</f>
        <v>5613.3800000000092</v>
      </c>
      <c r="O316" s="151">
        <f>O315+'Basic Data'!$AG$13</f>
        <v>2238.4300000000048</v>
      </c>
      <c r="P316" s="151">
        <f>P315+'Basic Data'!$AH$13</f>
        <v>6123.2000000000462</v>
      </c>
    </row>
    <row r="317" spans="2:16">
      <c r="B317" s="156">
        <v>315</v>
      </c>
      <c r="C317" s="176">
        <v>315</v>
      </c>
      <c r="D317" s="177">
        <f t="shared" si="25"/>
        <v>3837.1800000000253</v>
      </c>
      <c r="E317" s="177">
        <f t="shared" si="26"/>
        <v>3837.1800000000253</v>
      </c>
      <c r="F317" s="177">
        <f t="shared" si="27"/>
        <v>2387.7200000000066</v>
      </c>
      <c r="G317" s="177">
        <f t="shared" si="28"/>
        <v>5630.8100000000095</v>
      </c>
      <c r="H317" s="177">
        <f t="shared" si="29"/>
        <v>2245.3800000000047</v>
      </c>
      <c r="I317" s="177">
        <f t="shared" si="30"/>
        <v>6142.2100000000464</v>
      </c>
      <c r="K317" s="151">
        <f>K316+'Basic Data'!$AC$13</f>
        <v>3837.1800000000253</v>
      </c>
      <c r="L317" s="151">
        <f>L316+'Basic Data'!$AD$13</f>
        <v>3837.1800000000253</v>
      </c>
      <c r="M317" s="151">
        <f>M316+'Basic Data'!$AE$13</f>
        <v>2387.7200000000066</v>
      </c>
      <c r="N317" s="151">
        <f>N316+'Basic Data'!$AF$13</f>
        <v>5630.8100000000095</v>
      </c>
      <c r="O317" s="151">
        <f>O316+'Basic Data'!$AG$13</f>
        <v>2245.3800000000047</v>
      </c>
      <c r="P317" s="151">
        <f>P316+'Basic Data'!$AH$13</f>
        <v>6142.2100000000464</v>
      </c>
    </row>
    <row r="318" spans="2:16">
      <c r="B318" s="156">
        <v>316</v>
      </c>
      <c r="C318" s="176">
        <v>316</v>
      </c>
      <c r="D318" s="177">
        <f t="shared" si="25"/>
        <v>3849.0600000000254</v>
      </c>
      <c r="E318" s="177">
        <f t="shared" si="26"/>
        <v>3849.0600000000254</v>
      </c>
      <c r="F318" s="177">
        <f t="shared" si="27"/>
        <v>2395.1100000000065</v>
      </c>
      <c r="G318" s="177">
        <f t="shared" si="28"/>
        <v>5648.2400000000098</v>
      </c>
      <c r="H318" s="177">
        <f t="shared" si="29"/>
        <v>2252.3300000000045</v>
      </c>
      <c r="I318" s="177">
        <f t="shared" si="30"/>
        <v>6161.2200000000466</v>
      </c>
      <c r="K318" s="151">
        <f>K317+'Basic Data'!$AC$13</f>
        <v>3849.0600000000254</v>
      </c>
      <c r="L318" s="151">
        <f>L317+'Basic Data'!$AD$13</f>
        <v>3849.0600000000254</v>
      </c>
      <c r="M318" s="151">
        <f>M317+'Basic Data'!$AE$13</f>
        <v>2395.1100000000065</v>
      </c>
      <c r="N318" s="151">
        <f>N317+'Basic Data'!$AF$13</f>
        <v>5648.2400000000098</v>
      </c>
      <c r="O318" s="151">
        <f>O317+'Basic Data'!$AG$13</f>
        <v>2252.3300000000045</v>
      </c>
      <c r="P318" s="151">
        <f>P317+'Basic Data'!$AH$13</f>
        <v>6161.2200000000466</v>
      </c>
    </row>
    <row r="319" spans="2:16">
      <c r="B319" s="156">
        <v>317</v>
      </c>
      <c r="C319" s="176">
        <v>317</v>
      </c>
      <c r="D319" s="177">
        <f t="shared" si="25"/>
        <v>3860.9400000000255</v>
      </c>
      <c r="E319" s="177">
        <f t="shared" si="26"/>
        <v>3860.9400000000255</v>
      </c>
      <c r="F319" s="177">
        <f t="shared" si="27"/>
        <v>2402.5000000000064</v>
      </c>
      <c r="G319" s="177">
        <f t="shared" si="28"/>
        <v>5665.6700000000101</v>
      </c>
      <c r="H319" s="177">
        <f t="shared" si="29"/>
        <v>2259.2800000000043</v>
      </c>
      <c r="I319" s="177">
        <f t="shared" si="30"/>
        <v>6180.2300000000469</v>
      </c>
      <c r="K319" s="151">
        <f>K318+'Basic Data'!$AC$13</f>
        <v>3860.9400000000255</v>
      </c>
      <c r="L319" s="151">
        <f>L318+'Basic Data'!$AD$13</f>
        <v>3860.9400000000255</v>
      </c>
      <c r="M319" s="151">
        <f>M318+'Basic Data'!$AE$13</f>
        <v>2402.5000000000064</v>
      </c>
      <c r="N319" s="151">
        <f>N318+'Basic Data'!$AF$13</f>
        <v>5665.6700000000101</v>
      </c>
      <c r="O319" s="151">
        <f>O318+'Basic Data'!$AG$13</f>
        <v>2259.2800000000043</v>
      </c>
      <c r="P319" s="151">
        <f>P318+'Basic Data'!$AH$13</f>
        <v>6180.2300000000469</v>
      </c>
    </row>
    <row r="320" spans="2:16">
      <c r="B320" s="156">
        <v>318</v>
      </c>
      <c r="C320" s="176">
        <v>318</v>
      </c>
      <c r="D320" s="177">
        <f t="shared" si="25"/>
        <v>3872.8200000000256</v>
      </c>
      <c r="E320" s="177">
        <f t="shared" si="26"/>
        <v>3872.8200000000256</v>
      </c>
      <c r="F320" s="177">
        <f t="shared" si="27"/>
        <v>2409.8900000000062</v>
      </c>
      <c r="G320" s="177">
        <f t="shared" si="28"/>
        <v>5683.1000000000104</v>
      </c>
      <c r="H320" s="177">
        <f t="shared" si="29"/>
        <v>2266.2300000000041</v>
      </c>
      <c r="I320" s="177">
        <f t="shared" si="30"/>
        <v>6199.2400000000471</v>
      </c>
      <c r="K320" s="151">
        <f>K319+'Basic Data'!$AC$13</f>
        <v>3872.8200000000256</v>
      </c>
      <c r="L320" s="151">
        <f>L319+'Basic Data'!$AD$13</f>
        <v>3872.8200000000256</v>
      </c>
      <c r="M320" s="151">
        <f>M319+'Basic Data'!$AE$13</f>
        <v>2409.8900000000062</v>
      </c>
      <c r="N320" s="151">
        <f>N319+'Basic Data'!$AF$13</f>
        <v>5683.1000000000104</v>
      </c>
      <c r="O320" s="151">
        <f>O319+'Basic Data'!$AG$13</f>
        <v>2266.2300000000041</v>
      </c>
      <c r="P320" s="151">
        <f>P319+'Basic Data'!$AH$13</f>
        <v>6199.2400000000471</v>
      </c>
    </row>
    <row r="321" spans="2:16">
      <c r="B321" s="156">
        <v>319</v>
      </c>
      <c r="C321" s="176">
        <v>319</v>
      </c>
      <c r="D321" s="177">
        <f t="shared" si="25"/>
        <v>3884.7000000000257</v>
      </c>
      <c r="E321" s="177">
        <f t="shared" si="26"/>
        <v>3884.7000000000257</v>
      </c>
      <c r="F321" s="177">
        <f t="shared" si="27"/>
        <v>2417.2800000000061</v>
      </c>
      <c r="G321" s="177">
        <f t="shared" si="28"/>
        <v>5700.5300000000107</v>
      </c>
      <c r="H321" s="177">
        <f t="shared" si="29"/>
        <v>2273.1800000000039</v>
      </c>
      <c r="I321" s="177">
        <f t="shared" si="30"/>
        <v>6218.2500000000473</v>
      </c>
      <c r="K321" s="151">
        <f>K320+'Basic Data'!$AC$13</f>
        <v>3884.7000000000257</v>
      </c>
      <c r="L321" s="151">
        <f>L320+'Basic Data'!$AD$13</f>
        <v>3884.7000000000257</v>
      </c>
      <c r="M321" s="151">
        <f>M320+'Basic Data'!$AE$13</f>
        <v>2417.2800000000061</v>
      </c>
      <c r="N321" s="151">
        <f>N320+'Basic Data'!$AF$13</f>
        <v>5700.5300000000107</v>
      </c>
      <c r="O321" s="151">
        <f>O320+'Basic Data'!$AG$13</f>
        <v>2273.1800000000039</v>
      </c>
      <c r="P321" s="151">
        <f>P320+'Basic Data'!$AH$13</f>
        <v>6218.2500000000473</v>
      </c>
    </row>
    <row r="322" spans="2:16">
      <c r="B322" s="156">
        <v>320</v>
      </c>
      <c r="C322" s="176">
        <v>320</v>
      </c>
      <c r="D322" s="177">
        <f t="shared" si="25"/>
        <v>3896.5800000000258</v>
      </c>
      <c r="E322" s="177">
        <f t="shared" si="26"/>
        <v>3896.5800000000258</v>
      </c>
      <c r="F322" s="177">
        <f t="shared" si="27"/>
        <v>2424.670000000006</v>
      </c>
      <c r="G322" s="177">
        <f t="shared" si="28"/>
        <v>5717.960000000011</v>
      </c>
      <c r="H322" s="177">
        <f t="shared" si="29"/>
        <v>2280.1300000000037</v>
      </c>
      <c r="I322" s="177">
        <f t="shared" si="30"/>
        <v>6237.2600000000475</v>
      </c>
      <c r="K322" s="151">
        <f>K321+'Basic Data'!$AC$13</f>
        <v>3896.5800000000258</v>
      </c>
      <c r="L322" s="151">
        <f>L321+'Basic Data'!$AD$13</f>
        <v>3896.5800000000258</v>
      </c>
      <c r="M322" s="151">
        <f>M321+'Basic Data'!$AE$13</f>
        <v>2424.670000000006</v>
      </c>
      <c r="N322" s="151">
        <f>N321+'Basic Data'!$AF$13</f>
        <v>5717.960000000011</v>
      </c>
      <c r="O322" s="151">
        <f>O321+'Basic Data'!$AG$13</f>
        <v>2280.1300000000037</v>
      </c>
      <c r="P322" s="151">
        <f>P321+'Basic Data'!$AH$13</f>
        <v>6237.2600000000475</v>
      </c>
    </row>
    <row r="323" spans="2:16">
      <c r="B323" s="156">
        <v>321</v>
      </c>
      <c r="C323" s="176">
        <v>321</v>
      </c>
      <c r="D323" s="177">
        <f t="shared" si="25"/>
        <v>3908.460000000026</v>
      </c>
      <c r="E323" s="177">
        <f t="shared" si="26"/>
        <v>3908.460000000026</v>
      </c>
      <c r="F323" s="177">
        <f t="shared" si="27"/>
        <v>2432.0600000000059</v>
      </c>
      <c r="G323" s="177">
        <f t="shared" si="28"/>
        <v>5735.3900000000112</v>
      </c>
      <c r="H323" s="177">
        <f t="shared" si="29"/>
        <v>2287.0800000000036</v>
      </c>
      <c r="I323" s="177">
        <f t="shared" si="30"/>
        <v>6256.2700000000477</v>
      </c>
      <c r="K323" s="151">
        <f>K322+'Basic Data'!$AC$13</f>
        <v>3908.460000000026</v>
      </c>
      <c r="L323" s="151">
        <f>L322+'Basic Data'!$AD$13</f>
        <v>3908.460000000026</v>
      </c>
      <c r="M323" s="151">
        <f>M322+'Basic Data'!$AE$13</f>
        <v>2432.0600000000059</v>
      </c>
      <c r="N323" s="151">
        <f>N322+'Basic Data'!$AF$13</f>
        <v>5735.3900000000112</v>
      </c>
      <c r="O323" s="151">
        <f>O322+'Basic Data'!$AG$13</f>
        <v>2287.0800000000036</v>
      </c>
      <c r="P323" s="151">
        <f>P322+'Basic Data'!$AH$13</f>
        <v>6256.2700000000477</v>
      </c>
    </row>
    <row r="324" spans="2:16">
      <c r="B324" s="156">
        <v>322</v>
      </c>
      <c r="C324" s="176">
        <v>322</v>
      </c>
      <c r="D324" s="177">
        <f t="shared" ref="D324:D387" si="31">K324</f>
        <v>3920.3400000000261</v>
      </c>
      <c r="E324" s="177">
        <f t="shared" ref="E324:E387" si="32">L324</f>
        <v>3920.3400000000261</v>
      </c>
      <c r="F324" s="177">
        <f t="shared" ref="F324:F387" si="33">M324</f>
        <v>2439.4500000000057</v>
      </c>
      <c r="G324" s="177">
        <f t="shared" ref="G324:G387" si="34">N324</f>
        <v>5752.8200000000115</v>
      </c>
      <c r="H324" s="177">
        <f t="shared" ref="H324:H387" si="35">O324</f>
        <v>2294.0300000000034</v>
      </c>
      <c r="I324" s="177">
        <f t="shared" ref="I324:I387" si="36">P324</f>
        <v>6275.2800000000479</v>
      </c>
      <c r="K324" s="151">
        <f>K323+'Basic Data'!$AC$13</f>
        <v>3920.3400000000261</v>
      </c>
      <c r="L324" s="151">
        <f>L323+'Basic Data'!$AD$13</f>
        <v>3920.3400000000261</v>
      </c>
      <c r="M324" s="151">
        <f>M323+'Basic Data'!$AE$13</f>
        <v>2439.4500000000057</v>
      </c>
      <c r="N324" s="151">
        <f>N323+'Basic Data'!$AF$13</f>
        <v>5752.8200000000115</v>
      </c>
      <c r="O324" s="151">
        <f>O323+'Basic Data'!$AG$13</f>
        <v>2294.0300000000034</v>
      </c>
      <c r="P324" s="151">
        <f>P323+'Basic Data'!$AH$13</f>
        <v>6275.2800000000479</v>
      </c>
    </row>
    <row r="325" spans="2:16">
      <c r="B325" s="156">
        <v>323</v>
      </c>
      <c r="C325" s="176">
        <v>323</v>
      </c>
      <c r="D325" s="177">
        <f t="shared" si="31"/>
        <v>3932.2200000000262</v>
      </c>
      <c r="E325" s="177">
        <f t="shared" si="32"/>
        <v>3932.2200000000262</v>
      </c>
      <c r="F325" s="177">
        <f t="shared" si="33"/>
        <v>2446.8400000000056</v>
      </c>
      <c r="G325" s="177">
        <f t="shared" si="34"/>
        <v>5770.2500000000118</v>
      </c>
      <c r="H325" s="177">
        <f t="shared" si="35"/>
        <v>2300.9800000000032</v>
      </c>
      <c r="I325" s="177">
        <f t="shared" si="36"/>
        <v>6294.2900000000482</v>
      </c>
      <c r="K325" s="151">
        <f>K324+'Basic Data'!$AC$13</f>
        <v>3932.2200000000262</v>
      </c>
      <c r="L325" s="151">
        <f>L324+'Basic Data'!$AD$13</f>
        <v>3932.2200000000262</v>
      </c>
      <c r="M325" s="151">
        <f>M324+'Basic Data'!$AE$13</f>
        <v>2446.8400000000056</v>
      </c>
      <c r="N325" s="151">
        <f>N324+'Basic Data'!$AF$13</f>
        <v>5770.2500000000118</v>
      </c>
      <c r="O325" s="151">
        <f>O324+'Basic Data'!$AG$13</f>
        <v>2300.9800000000032</v>
      </c>
      <c r="P325" s="151">
        <f>P324+'Basic Data'!$AH$13</f>
        <v>6294.2900000000482</v>
      </c>
    </row>
    <row r="326" spans="2:16">
      <c r="B326" s="156">
        <v>324</v>
      </c>
      <c r="C326" s="176">
        <v>324</v>
      </c>
      <c r="D326" s="177">
        <f t="shared" si="31"/>
        <v>3944.1000000000263</v>
      </c>
      <c r="E326" s="177">
        <f t="shared" si="32"/>
        <v>3944.1000000000263</v>
      </c>
      <c r="F326" s="177">
        <f t="shared" si="33"/>
        <v>2454.2300000000055</v>
      </c>
      <c r="G326" s="177">
        <f t="shared" si="34"/>
        <v>5787.6800000000121</v>
      </c>
      <c r="H326" s="177">
        <f t="shared" si="35"/>
        <v>2307.930000000003</v>
      </c>
      <c r="I326" s="177">
        <f t="shared" si="36"/>
        <v>6313.3000000000484</v>
      </c>
      <c r="K326" s="151">
        <f>K325+'Basic Data'!$AC$13</f>
        <v>3944.1000000000263</v>
      </c>
      <c r="L326" s="151">
        <f>L325+'Basic Data'!$AD$13</f>
        <v>3944.1000000000263</v>
      </c>
      <c r="M326" s="151">
        <f>M325+'Basic Data'!$AE$13</f>
        <v>2454.2300000000055</v>
      </c>
      <c r="N326" s="151">
        <f>N325+'Basic Data'!$AF$13</f>
        <v>5787.6800000000121</v>
      </c>
      <c r="O326" s="151">
        <f>O325+'Basic Data'!$AG$13</f>
        <v>2307.930000000003</v>
      </c>
      <c r="P326" s="151">
        <f>P325+'Basic Data'!$AH$13</f>
        <v>6313.3000000000484</v>
      </c>
    </row>
    <row r="327" spans="2:16">
      <c r="B327" s="156">
        <v>325</v>
      </c>
      <c r="C327" s="176">
        <v>325</v>
      </c>
      <c r="D327" s="177">
        <f t="shared" si="31"/>
        <v>3955.9800000000264</v>
      </c>
      <c r="E327" s="177">
        <f t="shared" si="32"/>
        <v>3955.9800000000264</v>
      </c>
      <c r="F327" s="177">
        <f t="shared" si="33"/>
        <v>2461.6200000000053</v>
      </c>
      <c r="G327" s="177">
        <f t="shared" si="34"/>
        <v>5805.1100000000124</v>
      </c>
      <c r="H327" s="177">
        <f t="shared" si="35"/>
        <v>2314.8800000000028</v>
      </c>
      <c r="I327" s="177">
        <f t="shared" si="36"/>
        <v>6332.3100000000486</v>
      </c>
      <c r="K327" s="151">
        <f>K326+'Basic Data'!$AC$13</f>
        <v>3955.9800000000264</v>
      </c>
      <c r="L327" s="151">
        <f>L326+'Basic Data'!$AD$13</f>
        <v>3955.9800000000264</v>
      </c>
      <c r="M327" s="151">
        <f>M326+'Basic Data'!$AE$13</f>
        <v>2461.6200000000053</v>
      </c>
      <c r="N327" s="151">
        <f>N326+'Basic Data'!$AF$13</f>
        <v>5805.1100000000124</v>
      </c>
      <c r="O327" s="151">
        <f>O326+'Basic Data'!$AG$13</f>
        <v>2314.8800000000028</v>
      </c>
      <c r="P327" s="151">
        <f>P326+'Basic Data'!$AH$13</f>
        <v>6332.3100000000486</v>
      </c>
    </row>
    <row r="328" spans="2:16">
      <c r="B328" s="156">
        <v>326</v>
      </c>
      <c r="C328" s="176">
        <v>326</v>
      </c>
      <c r="D328" s="177">
        <f t="shared" si="31"/>
        <v>3967.8600000000265</v>
      </c>
      <c r="E328" s="177">
        <f t="shared" si="32"/>
        <v>3967.8600000000265</v>
      </c>
      <c r="F328" s="177">
        <f t="shared" si="33"/>
        <v>2469.0100000000052</v>
      </c>
      <c r="G328" s="177">
        <f t="shared" si="34"/>
        <v>5822.5400000000127</v>
      </c>
      <c r="H328" s="177">
        <f t="shared" si="35"/>
        <v>2321.8300000000027</v>
      </c>
      <c r="I328" s="177">
        <f t="shared" si="36"/>
        <v>6351.3200000000488</v>
      </c>
      <c r="K328" s="151">
        <f>K327+'Basic Data'!$AC$13</f>
        <v>3967.8600000000265</v>
      </c>
      <c r="L328" s="151">
        <f>L327+'Basic Data'!$AD$13</f>
        <v>3967.8600000000265</v>
      </c>
      <c r="M328" s="151">
        <f>M327+'Basic Data'!$AE$13</f>
        <v>2469.0100000000052</v>
      </c>
      <c r="N328" s="151">
        <f>N327+'Basic Data'!$AF$13</f>
        <v>5822.5400000000127</v>
      </c>
      <c r="O328" s="151">
        <f>O327+'Basic Data'!$AG$13</f>
        <v>2321.8300000000027</v>
      </c>
      <c r="P328" s="151">
        <f>P327+'Basic Data'!$AH$13</f>
        <v>6351.3200000000488</v>
      </c>
    </row>
    <row r="329" spans="2:16">
      <c r="B329" s="156">
        <v>327</v>
      </c>
      <c r="C329" s="176">
        <v>327</v>
      </c>
      <c r="D329" s="177">
        <f t="shared" si="31"/>
        <v>3979.7400000000266</v>
      </c>
      <c r="E329" s="177">
        <f t="shared" si="32"/>
        <v>3979.7400000000266</v>
      </c>
      <c r="F329" s="177">
        <f t="shared" si="33"/>
        <v>2476.4000000000051</v>
      </c>
      <c r="G329" s="177">
        <f t="shared" si="34"/>
        <v>5839.970000000013</v>
      </c>
      <c r="H329" s="177">
        <f t="shared" si="35"/>
        <v>2328.7800000000025</v>
      </c>
      <c r="I329" s="177">
        <f t="shared" si="36"/>
        <v>6370.330000000049</v>
      </c>
      <c r="K329" s="151">
        <f>K328+'Basic Data'!$AC$13</f>
        <v>3979.7400000000266</v>
      </c>
      <c r="L329" s="151">
        <f>L328+'Basic Data'!$AD$13</f>
        <v>3979.7400000000266</v>
      </c>
      <c r="M329" s="151">
        <f>M328+'Basic Data'!$AE$13</f>
        <v>2476.4000000000051</v>
      </c>
      <c r="N329" s="151">
        <f>N328+'Basic Data'!$AF$13</f>
        <v>5839.970000000013</v>
      </c>
      <c r="O329" s="151">
        <f>O328+'Basic Data'!$AG$13</f>
        <v>2328.7800000000025</v>
      </c>
      <c r="P329" s="151">
        <f>P328+'Basic Data'!$AH$13</f>
        <v>6370.330000000049</v>
      </c>
    </row>
    <row r="330" spans="2:16">
      <c r="B330" s="156">
        <v>328</v>
      </c>
      <c r="C330" s="176">
        <v>328</v>
      </c>
      <c r="D330" s="177">
        <f t="shared" si="31"/>
        <v>3991.6200000000267</v>
      </c>
      <c r="E330" s="177">
        <f t="shared" si="32"/>
        <v>3991.6200000000267</v>
      </c>
      <c r="F330" s="177">
        <f t="shared" si="33"/>
        <v>2483.790000000005</v>
      </c>
      <c r="G330" s="177">
        <f t="shared" si="34"/>
        <v>5857.4000000000133</v>
      </c>
      <c r="H330" s="177">
        <f t="shared" si="35"/>
        <v>2335.7300000000023</v>
      </c>
      <c r="I330" s="177">
        <f t="shared" si="36"/>
        <v>6389.3400000000493</v>
      </c>
      <c r="K330" s="151">
        <f>K329+'Basic Data'!$AC$13</f>
        <v>3991.6200000000267</v>
      </c>
      <c r="L330" s="151">
        <f>L329+'Basic Data'!$AD$13</f>
        <v>3991.6200000000267</v>
      </c>
      <c r="M330" s="151">
        <f>M329+'Basic Data'!$AE$13</f>
        <v>2483.790000000005</v>
      </c>
      <c r="N330" s="151">
        <f>N329+'Basic Data'!$AF$13</f>
        <v>5857.4000000000133</v>
      </c>
      <c r="O330" s="151">
        <f>O329+'Basic Data'!$AG$13</f>
        <v>2335.7300000000023</v>
      </c>
      <c r="P330" s="151">
        <f>P329+'Basic Data'!$AH$13</f>
        <v>6389.3400000000493</v>
      </c>
    </row>
    <row r="331" spans="2:16">
      <c r="B331" s="156">
        <v>329</v>
      </c>
      <c r="C331" s="176">
        <v>329</v>
      </c>
      <c r="D331" s="177">
        <f t="shared" si="31"/>
        <v>4003.5000000000268</v>
      </c>
      <c r="E331" s="177">
        <f t="shared" si="32"/>
        <v>4003.5000000000268</v>
      </c>
      <c r="F331" s="177">
        <f t="shared" si="33"/>
        <v>2491.1800000000048</v>
      </c>
      <c r="G331" s="177">
        <f t="shared" si="34"/>
        <v>5874.8300000000136</v>
      </c>
      <c r="H331" s="177">
        <f t="shared" si="35"/>
        <v>2342.6800000000021</v>
      </c>
      <c r="I331" s="177">
        <f t="shared" si="36"/>
        <v>6408.3500000000495</v>
      </c>
      <c r="K331" s="151">
        <f>K330+'Basic Data'!$AC$13</f>
        <v>4003.5000000000268</v>
      </c>
      <c r="L331" s="151">
        <f>L330+'Basic Data'!$AD$13</f>
        <v>4003.5000000000268</v>
      </c>
      <c r="M331" s="151">
        <f>M330+'Basic Data'!$AE$13</f>
        <v>2491.1800000000048</v>
      </c>
      <c r="N331" s="151">
        <f>N330+'Basic Data'!$AF$13</f>
        <v>5874.8300000000136</v>
      </c>
      <c r="O331" s="151">
        <f>O330+'Basic Data'!$AG$13</f>
        <v>2342.6800000000021</v>
      </c>
      <c r="P331" s="151">
        <f>P330+'Basic Data'!$AH$13</f>
        <v>6408.3500000000495</v>
      </c>
    </row>
    <row r="332" spans="2:16">
      <c r="B332" s="156">
        <v>330</v>
      </c>
      <c r="C332" s="176">
        <v>330</v>
      </c>
      <c r="D332" s="177">
        <f t="shared" si="31"/>
        <v>4015.3800000000269</v>
      </c>
      <c r="E332" s="177">
        <f t="shared" si="32"/>
        <v>4015.3800000000269</v>
      </c>
      <c r="F332" s="177">
        <f t="shared" si="33"/>
        <v>2498.5700000000047</v>
      </c>
      <c r="G332" s="177">
        <f t="shared" si="34"/>
        <v>5892.2600000000139</v>
      </c>
      <c r="H332" s="177">
        <f t="shared" si="35"/>
        <v>2349.6300000000019</v>
      </c>
      <c r="I332" s="177">
        <f t="shared" si="36"/>
        <v>6427.3600000000497</v>
      </c>
      <c r="K332" s="151">
        <f>K331+'Basic Data'!$AC$13</f>
        <v>4015.3800000000269</v>
      </c>
      <c r="L332" s="151">
        <f>L331+'Basic Data'!$AD$13</f>
        <v>4015.3800000000269</v>
      </c>
      <c r="M332" s="151">
        <f>M331+'Basic Data'!$AE$13</f>
        <v>2498.5700000000047</v>
      </c>
      <c r="N332" s="151">
        <f>N331+'Basic Data'!$AF$13</f>
        <v>5892.2600000000139</v>
      </c>
      <c r="O332" s="151">
        <f>O331+'Basic Data'!$AG$13</f>
        <v>2349.6300000000019</v>
      </c>
      <c r="P332" s="151">
        <f>P331+'Basic Data'!$AH$13</f>
        <v>6427.3600000000497</v>
      </c>
    </row>
    <row r="333" spans="2:16">
      <c r="B333" s="156">
        <v>331</v>
      </c>
      <c r="C333" s="176">
        <v>331</v>
      </c>
      <c r="D333" s="177">
        <f t="shared" si="31"/>
        <v>4027.260000000027</v>
      </c>
      <c r="E333" s="177">
        <f t="shared" si="32"/>
        <v>4027.260000000027</v>
      </c>
      <c r="F333" s="177">
        <f t="shared" si="33"/>
        <v>2505.9600000000046</v>
      </c>
      <c r="G333" s="177">
        <f t="shared" si="34"/>
        <v>5909.6900000000142</v>
      </c>
      <c r="H333" s="177">
        <f t="shared" si="35"/>
        <v>2356.5800000000017</v>
      </c>
      <c r="I333" s="177">
        <f t="shared" si="36"/>
        <v>6446.3700000000499</v>
      </c>
      <c r="K333" s="151">
        <f>K332+'Basic Data'!$AC$13</f>
        <v>4027.260000000027</v>
      </c>
      <c r="L333" s="151">
        <f>L332+'Basic Data'!$AD$13</f>
        <v>4027.260000000027</v>
      </c>
      <c r="M333" s="151">
        <f>M332+'Basic Data'!$AE$13</f>
        <v>2505.9600000000046</v>
      </c>
      <c r="N333" s="151">
        <f>N332+'Basic Data'!$AF$13</f>
        <v>5909.6900000000142</v>
      </c>
      <c r="O333" s="151">
        <f>O332+'Basic Data'!$AG$13</f>
        <v>2356.5800000000017</v>
      </c>
      <c r="P333" s="151">
        <f>P332+'Basic Data'!$AH$13</f>
        <v>6446.3700000000499</v>
      </c>
    </row>
    <row r="334" spans="2:16">
      <c r="B334" s="156">
        <v>332</v>
      </c>
      <c r="C334" s="176">
        <v>332</v>
      </c>
      <c r="D334" s="177">
        <f t="shared" si="31"/>
        <v>4039.1400000000272</v>
      </c>
      <c r="E334" s="177">
        <f t="shared" si="32"/>
        <v>4039.1400000000272</v>
      </c>
      <c r="F334" s="177">
        <f t="shared" si="33"/>
        <v>2513.3500000000045</v>
      </c>
      <c r="G334" s="177">
        <f t="shared" si="34"/>
        <v>5927.1200000000144</v>
      </c>
      <c r="H334" s="177">
        <f t="shared" si="35"/>
        <v>2363.5300000000016</v>
      </c>
      <c r="I334" s="177">
        <f t="shared" si="36"/>
        <v>6465.3800000000501</v>
      </c>
      <c r="K334" s="151">
        <f>K333+'Basic Data'!$AC$13</f>
        <v>4039.1400000000272</v>
      </c>
      <c r="L334" s="151">
        <f>L333+'Basic Data'!$AD$13</f>
        <v>4039.1400000000272</v>
      </c>
      <c r="M334" s="151">
        <f>M333+'Basic Data'!$AE$13</f>
        <v>2513.3500000000045</v>
      </c>
      <c r="N334" s="151">
        <f>N333+'Basic Data'!$AF$13</f>
        <v>5927.1200000000144</v>
      </c>
      <c r="O334" s="151">
        <f>O333+'Basic Data'!$AG$13</f>
        <v>2363.5300000000016</v>
      </c>
      <c r="P334" s="151">
        <f>P333+'Basic Data'!$AH$13</f>
        <v>6465.3800000000501</v>
      </c>
    </row>
    <row r="335" spans="2:16">
      <c r="B335" s="156">
        <v>333</v>
      </c>
      <c r="C335" s="176">
        <v>333</v>
      </c>
      <c r="D335" s="177">
        <f t="shared" si="31"/>
        <v>4051.0200000000273</v>
      </c>
      <c r="E335" s="177">
        <f t="shared" si="32"/>
        <v>4051.0200000000273</v>
      </c>
      <c r="F335" s="177">
        <f t="shared" si="33"/>
        <v>2520.7400000000043</v>
      </c>
      <c r="G335" s="177">
        <f t="shared" si="34"/>
        <v>5944.5500000000147</v>
      </c>
      <c r="H335" s="177">
        <f t="shared" si="35"/>
        <v>2370.4800000000014</v>
      </c>
      <c r="I335" s="177">
        <f t="shared" si="36"/>
        <v>6484.3900000000503</v>
      </c>
      <c r="K335" s="151">
        <f>K334+'Basic Data'!$AC$13</f>
        <v>4051.0200000000273</v>
      </c>
      <c r="L335" s="151">
        <f>L334+'Basic Data'!$AD$13</f>
        <v>4051.0200000000273</v>
      </c>
      <c r="M335" s="151">
        <f>M334+'Basic Data'!$AE$13</f>
        <v>2520.7400000000043</v>
      </c>
      <c r="N335" s="151">
        <f>N334+'Basic Data'!$AF$13</f>
        <v>5944.5500000000147</v>
      </c>
      <c r="O335" s="151">
        <f>O334+'Basic Data'!$AG$13</f>
        <v>2370.4800000000014</v>
      </c>
      <c r="P335" s="151">
        <f>P334+'Basic Data'!$AH$13</f>
        <v>6484.3900000000503</v>
      </c>
    </row>
    <row r="336" spans="2:16">
      <c r="B336" s="156">
        <v>334</v>
      </c>
      <c r="C336" s="176">
        <v>334</v>
      </c>
      <c r="D336" s="177">
        <f t="shared" si="31"/>
        <v>4062.9000000000274</v>
      </c>
      <c r="E336" s="177">
        <f t="shared" si="32"/>
        <v>4062.9000000000274</v>
      </c>
      <c r="F336" s="177">
        <f t="shared" si="33"/>
        <v>2528.1300000000042</v>
      </c>
      <c r="G336" s="177">
        <f t="shared" si="34"/>
        <v>5961.980000000015</v>
      </c>
      <c r="H336" s="177">
        <f t="shared" si="35"/>
        <v>2377.4300000000012</v>
      </c>
      <c r="I336" s="177">
        <f t="shared" si="36"/>
        <v>6503.4000000000506</v>
      </c>
      <c r="K336" s="151">
        <f>K335+'Basic Data'!$AC$13</f>
        <v>4062.9000000000274</v>
      </c>
      <c r="L336" s="151">
        <f>L335+'Basic Data'!$AD$13</f>
        <v>4062.9000000000274</v>
      </c>
      <c r="M336" s="151">
        <f>M335+'Basic Data'!$AE$13</f>
        <v>2528.1300000000042</v>
      </c>
      <c r="N336" s="151">
        <f>N335+'Basic Data'!$AF$13</f>
        <v>5961.980000000015</v>
      </c>
      <c r="O336" s="151">
        <f>O335+'Basic Data'!$AG$13</f>
        <v>2377.4300000000012</v>
      </c>
      <c r="P336" s="151">
        <f>P335+'Basic Data'!$AH$13</f>
        <v>6503.4000000000506</v>
      </c>
    </row>
    <row r="337" spans="2:16">
      <c r="B337" s="156">
        <v>335</v>
      </c>
      <c r="C337" s="176">
        <v>335</v>
      </c>
      <c r="D337" s="177">
        <f t="shared" si="31"/>
        <v>4074.7800000000275</v>
      </c>
      <c r="E337" s="177">
        <f t="shared" si="32"/>
        <v>4074.7800000000275</v>
      </c>
      <c r="F337" s="177">
        <f t="shared" si="33"/>
        <v>2535.5200000000041</v>
      </c>
      <c r="G337" s="177">
        <f t="shared" si="34"/>
        <v>5979.4100000000153</v>
      </c>
      <c r="H337" s="177">
        <f t="shared" si="35"/>
        <v>2384.380000000001</v>
      </c>
      <c r="I337" s="177">
        <f t="shared" si="36"/>
        <v>6522.4100000000508</v>
      </c>
      <c r="K337" s="151">
        <f>K336+'Basic Data'!$AC$13</f>
        <v>4074.7800000000275</v>
      </c>
      <c r="L337" s="151">
        <f>L336+'Basic Data'!$AD$13</f>
        <v>4074.7800000000275</v>
      </c>
      <c r="M337" s="151">
        <f>M336+'Basic Data'!$AE$13</f>
        <v>2535.5200000000041</v>
      </c>
      <c r="N337" s="151">
        <f>N336+'Basic Data'!$AF$13</f>
        <v>5979.4100000000153</v>
      </c>
      <c r="O337" s="151">
        <f>O336+'Basic Data'!$AG$13</f>
        <v>2384.380000000001</v>
      </c>
      <c r="P337" s="151">
        <f>P336+'Basic Data'!$AH$13</f>
        <v>6522.4100000000508</v>
      </c>
    </row>
    <row r="338" spans="2:16">
      <c r="B338" s="156">
        <v>336</v>
      </c>
      <c r="C338" s="176">
        <v>336</v>
      </c>
      <c r="D338" s="177">
        <f t="shared" si="31"/>
        <v>4086.6600000000276</v>
      </c>
      <c r="E338" s="177">
        <f t="shared" si="32"/>
        <v>4086.6600000000276</v>
      </c>
      <c r="F338" s="177">
        <f t="shared" si="33"/>
        <v>2542.9100000000039</v>
      </c>
      <c r="G338" s="177">
        <f t="shared" si="34"/>
        <v>5996.8400000000156</v>
      </c>
      <c r="H338" s="177">
        <f t="shared" si="35"/>
        <v>2391.3300000000008</v>
      </c>
      <c r="I338" s="177">
        <f t="shared" si="36"/>
        <v>6541.420000000051</v>
      </c>
      <c r="K338" s="151">
        <f>K337+'Basic Data'!$AC$13</f>
        <v>4086.6600000000276</v>
      </c>
      <c r="L338" s="151">
        <f>L337+'Basic Data'!$AD$13</f>
        <v>4086.6600000000276</v>
      </c>
      <c r="M338" s="151">
        <f>M337+'Basic Data'!$AE$13</f>
        <v>2542.9100000000039</v>
      </c>
      <c r="N338" s="151">
        <f>N337+'Basic Data'!$AF$13</f>
        <v>5996.8400000000156</v>
      </c>
      <c r="O338" s="151">
        <f>O337+'Basic Data'!$AG$13</f>
        <v>2391.3300000000008</v>
      </c>
      <c r="P338" s="151">
        <f>P337+'Basic Data'!$AH$13</f>
        <v>6541.420000000051</v>
      </c>
    </row>
    <row r="339" spans="2:16">
      <c r="B339" s="156">
        <v>337</v>
      </c>
      <c r="C339" s="176">
        <v>337</v>
      </c>
      <c r="D339" s="177">
        <f t="shared" si="31"/>
        <v>4098.5400000000272</v>
      </c>
      <c r="E339" s="177">
        <f t="shared" si="32"/>
        <v>4098.5400000000272</v>
      </c>
      <c r="F339" s="177">
        <f t="shared" si="33"/>
        <v>2550.3000000000038</v>
      </c>
      <c r="G339" s="177">
        <f t="shared" si="34"/>
        <v>6014.2700000000159</v>
      </c>
      <c r="H339" s="177">
        <f t="shared" si="35"/>
        <v>2398.2800000000007</v>
      </c>
      <c r="I339" s="177">
        <f t="shared" si="36"/>
        <v>6560.4300000000512</v>
      </c>
      <c r="K339" s="151">
        <f>K338+'Basic Data'!$AC$13</f>
        <v>4098.5400000000272</v>
      </c>
      <c r="L339" s="151">
        <f>L338+'Basic Data'!$AD$13</f>
        <v>4098.5400000000272</v>
      </c>
      <c r="M339" s="151">
        <f>M338+'Basic Data'!$AE$13</f>
        <v>2550.3000000000038</v>
      </c>
      <c r="N339" s="151">
        <f>N338+'Basic Data'!$AF$13</f>
        <v>6014.2700000000159</v>
      </c>
      <c r="O339" s="151">
        <f>O338+'Basic Data'!$AG$13</f>
        <v>2398.2800000000007</v>
      </c>
      <c r="P339" s="151">
        <f>P338+'Basic Data'!$AH$13</f>
        <v>6560.4300000000512</v>
      </c>
    </row>
    <row r="340" spans="2:16">
      <c r="B340" s="156">
        <v>338</v>
      </c>
      <c r="C340" s="176">
        <v>338</v>
      </c>
      <c r="D340" s="177">
        <f t="shared" si="31"/>
        <v>4110.4200000000274</v>
      </c>
      <c r="E340" s="177">
        <f t="shared" si="32"/>
        <v>4110.4200000000274</v>
      </c>
      <c r="F340" s="177">
        <f t="shared" si="33"/>
        <v>2557.6900000000037</v>
      </c>
      <c r="G340" s="177">
        <f t="shared" si="34"/>
        <v>6031.7000000000162</v>
      </c>
      <c r="H340" s="177">
        <f t="shared" si="35"/>
        <v>2405.2300000000005</v>
      </c>
      <c r="I340" s="177">
        <f t="shared" si="36"/>
        <v>6579.4400000000514</v>
      </c>
      <c r="K340" s="151">
        <f>K339+'Basic Data'!$AC$13</f>
        <v>4110.4200000000274</v>
      </c>
      <c r="L340" s="151">
        <f>L339+'Basic Data'!$AD$13</f>
        <v>4110.4200000000274</v>
      </c>
      <c r="M340" s="151">
        <f>M339+'Basic Data'!$AE$13</f>
        <v>2557.6900000000037</v>
      </c>
      <c r="N340" s="151">
        <f>N339+'Basic Data'!$AF$13</f>
        <v>6031.7000000000162</v>
      </c>
      <c r="O340" s="151">
        <f>O339+'Basic Data'!$AG$13</f>
        <v>2405.2300000000005</v>
      </c>
      <c r="P340" s="151">
        <f>P339+'Basic Data'!$AH$13</f>
        <v>6579.4400000000514</v>
      </c>
    </row>
    <row r="341" spans="2:16">
      <c r="B341" s="156">
        <v>339</v>
      </c>
      <c r="C341" s="176">
        <v>339</v>
      </c>
      <c r="D341" s="177">
        <f t="shared" si="31"/>
        <v>4122.3000000000275</v>
      </c>
      <c r="E341" s="177">
        <f t="shared" si="32"/>
        <v>4122.3000000000275</v>
      </c>
      <c r="F341" s="177">
        <f t="shared" si="33"/>
        <v>2565.0800000000036</v>
      </c>
      <c r="G341" s="177">
        <f t="shared" si="34"/>
        <v>6049.1300000000165</v>
      </c>
      <c r="H341" s="177">
        <f t="shared" si="35"/>
        <v>2412.1800000000003</v>
      </c>
      <c r="I341" s="177">
        <f t="shared" si="36"/>
        <v>6598.4500000000517</v>
      </c>
      <c r="K341" s="151">
        <f>K340+'Basic Data'!$AC$13</f>
        <v>4122.3000000000275</v>
      </c>
      <c r="L341" s="151">
        <f>L340+'Basic Data'!$AD$13</f>
        <v>4122.3000000000275</v>
      </c>
      <c r="M341" s="151">
        <f>M340+'Basic Data'!$AE$13</f>
        <v>2565.0800000000036</v>
      </c>
      <c r="N341" s="151">
        <f>N340+'Basic Data'!$AF$13</f>
        <v>6049.1300000000165</v>
      </c>
      <c r="O341" s="151">
        <f>O340+'Basic Data'!$AG$13</f>
        <v>2412.1800000000003</v>
      </c>
      <c r="P341" s="151">
        <f>P340+'Basic Data'!$AH$13</f>
        <v>6598.4500000000517</v>
      </c>
    </row>
    <row r="342" spans="2:16">
      <c r="B342" s="156">
        <v>340</v>
      </c>
      <c r="C342" s="176">
        <v>340</v>
      </c>
      <c r="D342" s="177">
        <f t="shared" si="31"/>
        <v>4134.1800000000276</v>
      </c>
      <c r="E342" s="177">
        <f t="shared" si="32"/>
        <v>4134.1800000000276</v>
      </c>
      <c r="F342" s="177">
        <f t="shared" si="33"/>
        <v>2572.4700000000034</v>
      </c>
      <c r="G342" s="177">
        <f t="shared" si="34"/>
        <v>6066.5600000000168</v>
      </c>
      <c r="H342" s="177">
        <f t="shared" si="35"/>
        <v>2419.13</v>
      </c>
      <c r="I342" s="177">
        <f t="shared" si="36"/>
        <v>6617.4600000000519</v>
      </c>
      <c r="K342" s="151">
        <f>K341+'Basic Data'!$AC$13</f>
        <v>4134.1800000000276</v>
      </c>
      <c r="L342" s="151">
        <f>L341+'Basic Data'!$AD$13</f>
        <v>4134.1800000000276</v>
      </c>
      <c r="M342" s="151">
        <f>M341+'Basic Data'!$AE$13</f>
        <v>2572.4700000000034</v>
      </c>
      <c r="N342" s="151">
        <f>N341+'Basic Data'!$AF$13</f>
        <v>6066.5600000000168</v>
      </c>
      <c r="O342" s="151">
        <f>O341+'Basic Data'!$AG$13</f>
        <v>2419.13</v>
      </c>
      <c r="P342" s="151">
        <f>P341+'Basic Data'!$AH$13</f>
        <v>6617.4600000000519</v>
      </c>
    </row>
    <row r="343" spans="2:16">
      <c r="B343" s="156">
        <v>341</v>
      </c>
      <c r="C343" s="176">
        <v>341</v>
      </c>
      <c r="D343" s="177">
        <f t="shared" si="31"/>
        <v>4146.0600000000277</v>
      </c>
      <c r="E343" s="177">
        <f t="shared" si="32"/>
        <v>4146.0600000000277</v>
      </c>
      <c r="F343" s="177">
        <f t="shared" si="33"/>
        <v>2579.8600000000033</v>
      </c>
      <c r="G343" s="177">
        <f t="shared" si="34"/>
        <v>6083.9900000000171</v>
      </c>
      <c r="H343" s="177">
        <f t="shared" si="35"/>
        <v>2426.08</v>
      </c>
      <c r="I343" s="177">
        <f t="shared" si="36"/>
        <v>6636.4700000000521</v>
      </c>
      <c r="K343" s="151">
        <f>K342+'Basic Data'!$AC$13</f>
        <v>4146.0600000000277</v>
      </c>
      <c r="L343" s="151">
        <f>L342+'Basic Data'!$AD$13</f>
        <v>4146.0600000000277</v>
      </c>
      <c r="M343" s="151">
        <f>M342+'Basic Data'!$AE$13</f>
        <v>2579.8600000000033</v>
      </c>
      <c r="N343" s="151">
        <f>N342+'Basic Data'!$AF$13</f>
        <v>6083.9900000000171</v>
      </c>
      <c r="O343" s="151">
        <f>O342+'Basic Data'!$AG$13</f>
        <v>2426.08</v>
      </c>
      <c r="P343" s="151">
        <f>P342+'Basic Data'!$AH$13</f>
        <v>6636.4700000000521</v>
      </c>
    </row>
    <row r="344" spans="2:16">
      <c r="B344" s="156">
        <v>342</v>
      </c>
      <c r="C344" s="176">
        <v>342</v>
      </c>
      <c r="D344" s="177">
        <f t="shared" si="31"/>
        <v>4157.9400000000278</v>
      </c>
      <c r="E344" s="177">
        <f t="shared" si="32"/>
        <v>4157.9400000000278</v>
      </c>
      <c r="F344" s="177">
        <f t="shared" si="33"/>
        <v>2587.2500000000032</v>
      </c>
      <c r="G344" s="177">
        <f t="shared" si="34"/>
        <v>6101.4200000000174</v>
      </c>
      <c r="H344" s="177">
        <f t="shared" si="35"/>
        <v>2433.0299999999997</v>
      </c>
      <c r="I344" s="177">
        <f t="shared" si="36"/>
        <v>6655.4800000000523</v>
      </c>
      <c r="K344" s="151">
        <f>K343+'Basic Data'!$AC$13</f>
        <v>4157.9400000000278</v>
      </c>
      <c r="L344" s="151">
        <f>L343+'Basic Data'!$AD$13</f>
        <v>4157.9400000000278</v>
      </c>
      <c r="M344" s="151">
        <f>M343+'Basic Data'!$AE$13</f>
        <v>2587.2500000000032</v>
      </c>
      <c r="N344" s="151">
        <f>N343+'Basic Data'!$AF$13</f>
        <v>6101.4200000000174</v>
      </c>
      <c r="O344" s="151">
        <f>O343+'Basic Data'!$AG$13</f>
        <v>2433.0299999999997</v>
      </c>
      <c r="P344" s="151">
        <f>P343+'Basic Data'!$AH$13</f>
        <v>6655.4800000000523</v>
      </c>
    </row>
    <row r="345" spans="2:16">
      <c r="B345" s="156">
        <v>343</v>
      </c>
      <c r="C345" s="176">
        <v>343</v>
      </c>
      <c r="D345" s="177">
        <f t="shared" si="31"/>
        <v>4169.8200000000279</v>
      </c>
      <c r="E345" s="177">
        <f t="shared" si="32"/>
        <v>4169.8200000000279</v>
      </c>
      <c r="F345" s="177">
        <f t="shared" si="33"/>
        <v>2594.6400000000031</v>
      </c>
      <c r="G345" s="177">
        <f t="shared" si="34"/>
        <v>6118.8500000000176</v>
      </c>
      <c r="H345" s="177">
        <f t="shared" si="35"/>
        <v>2439.9799999999996</v>
      </c>
      <c r="I345" s="177">
        <f t="shared" si="36"/>
        <v>6674.4900000000525</v>
      </c>
      <c r="K345" s="151">
        <f>K344+'Basic Data'!$AC$13</f>
        <v>4169.8200000000279</v>
      </c>
      <c r="L345" s="151">
        <f>L344+'Basic Data'!$AD$13</f>
        <v>4169.8200000000279</v>
      </c>
      <c r="M345" s="151">
        <f>M344+'Basic Data'!$AE$13</f>
        <v>2594.6400000000031</v>
      </c>
      <c r="N345" s="151">
        <f>N344+'Basic Data'!$AF$13</f>
        <v>6118.8500000000176</v>
      </c>
      <c r="O345" s="151">
        <f>O344+'Basic Data'!$AG$13</f>
        <v>2439.9799999999996</v>
      </c>
      <c r="P345" s="151">
        <f>P344+'Basic Data'!$AH$13</f>
        <v>6674.4900000000525</v>
      </c>
    </row>
    <row r="346" spans="2:16">
      <c r="B346" s="156">
        <v>344</v>
      </c>
      <c r="C346" s="176">
        <v>344</v>
      </c>
      <c r="D346" s="177">
        <f t="shared" si="31"/>
        <v>4181.700000000028</v>
      </c>
      <c r="E346" s="177">
        <f t="shared" si="32"/>
        <v>4181.700000000028</v>
      </c>
      <c r="F346" s="177">
        <f t="shared" si="33"/>
        <v>2602.0300000000029</v>
      </c>
      <c r="G346" s="177">
        <f t="shared" si="34"/>
        <v>6136.2800000000179</v>
      </c>
      <c r="H346" s="177">
        <f t="shared" si="35"/>
        <v>2446.9299999999994</v>
      </c>
      <c r="I346" s="177">
        <f t="shared" si="36"/>
        <v>6693.5000000000528</v>
      </c>
      <c r="K346" s="151">
        <f>K345+'Basic Data'!$AC$13</f>
        <v>4181.700000000028</v>
      </c>
      <c r="L346" s="151">
        <f>L345+'Basic Data'!$AD$13</f>
        <v>4181.700000000028</v>
      </c>
      <c r="M346" s="151">
        <f>M345+'Basic Data'!$AE$13</f>
        <v>2602.0300000000029</v>
      </c>
      <c r="N346" s="151">
        <f>N345+'Basic Data'!$AF$13</f>
        <v>6136.2800000000179</v>
      </c>
      <c r="O346" s="151">
        <f>O345+'Basic Data'!$AG$13</f>
        <v>2446.9299999999994</v>
      </c>
      <c r="P346" s="151">
        <f>P345+'Basic Data'!$AH$13</f>
        <v>6693.5000000000528</v>
      </c>
    </row>
    <row r="347" spans="2:16">
      <c r="B347" s="156">
        <v>345</v>
      </c>
      <c r="C347" s="176">
        <v>345</v>
      </c>
      <c r="D347" s="177">
        <f t="shared" si="31"/>
        <v>4193.5800000000281</v>
      </c>
      <c r="E347" s="177">
        <f t="shared" si="32"/>
        <v>4193.5800000000281</v>
      </c>
      <c r="F347" s="177">
        <f t="shared" si="33"/>
        <v>2609.4200000000028</v>
      </c>
      <c r="G347" s="177">
        <f t="shared" si="34"/>
        <v>6153.7100000000182</v>
      </c>
      <c r="H347" s="177">
        <f t="shared" si="35"/>
        <v>2453.8799999999992</v>
      </c>
      <c r="I347" s="177">
        <f t="shared" si="36"/>
        <v>6712.510000000053</v>
      </c>
      <c r="K347" s="151">
        <f>K346+'Basic Data'!$AC$13</f>
        <v>4193.5800000000281</v>
      </c>
      <c r="L347" s="151">
        <f>L346+'Basic Data'!$AD$13</f>
        <v>4193.5800000000281</v>
      </c>
      <c r="M347" s="151">
        <f>M346+'Basic Data'!$AE$13</f>
        <v>2609.4200000000028</v>
      </c>
      <c r="N347" s="151">
        <f>N346+'Basic Data'!$AF$13</f>
        <v>6153.7100000000182</v>
      </c>
      <c r="O347" s="151">
        <f>O346+'Basic Data'!$AG$13</f>
        <v>2453.8799999999992</v>
      </c>
      <c r="P347" s="151">
        <f>P346+'Basic Data'!$AH$13</f>
        <v>6712.510000000053</v>
      </c>
    </row>
    <row r="348" spans="2:16">
      <c r="B348" s="156">
        <v>346</v>
      </c>
      <c r="C348" s="176">
        <v>346</v>
      </c>
      <c r="D348" s="177">
        <f t="shared" si="31"/>
        <v>4205.4600000000282</v>
      </c>
      <c r="E348" s="177">
        <f t="shared" si="32"/>
        <v>4205.4600000000282</v>
      </c>
      <c r="F348" s="177">
        <f t="shared" si="33"/>
        <v>2616.8100000000027</v>
      </c>
      <c r="G348" s="177">
        <f t="shared" si="34"/>
        <v>6171.1400000000185</v>
      </c>
      <c r="H348" s="177">
        <f t="shared" si="35"/>
        <v>2460.829999999999</v>
      </c>
      <c r="I348" s="177">
        <f t="shared" si="36"/>
        <v>6731.5200000000532</v>
      </c>
      <c r="K348" s="151">
        <f>K347+'Basic Data'!$AC$13</f>
        <v>4205.4600000000282</v>
      </c>
      <c r="L348" s="151">
        <f>L347+'Basic Data'!$AD$13</f>
        <v>4205.4600000000282</v>
      </c>
      <c r="M348" s="151">
        <f>M347+'Basic Data'!$AE$13</f>
        <v>2616.8100000000027</v>
      </c>
      <c r="N348" s="151">
        <f>N347+'Basic Data'!$AF$13</f>
        <v>6171.1400000000185</v>
      </c>
      <c r="O348" s="151">
        <f>O347+'Basic Data'!$AG$13</f>
        <v>2460.829999999999</v>
      </c>
      <c r="P348" s="151">
        <f>P347+'Basic Data'!$AH$13</f>
        <v>6731.5200000000532</v>
      </c>
    </row>
    <row r="349" spans="2:16">
      <c r="B349" s="156">
        <v>347</v>
      </c>
      <c r="C349" s="176">
        <v>347</v>
      </c>
      <c r="D349" s="177">
        <f t="shared" si="31"/>
        <v>4217.3400000000283</v>
      </c>
      <c r="E349" s="177">
        <f t="shared" si="32"/>
        <v>4217.3400000000283</v>
      </c>
      <c r="F349" s="177">
        <f t="shared" si="33"/>
        <v>2624.2000000000025</v>
      </c>
      <c r="G349" s="177">
        <f t="shared" si="34"/>
        <v>6188.5700000000188</v>
      </c>
      <c r="H349" s="177">
        <f t="shared" si="35"/>
        <v>2467.7799999999988</v>
      </c>
      <c r="I349" s="177">
        <f t="shared" si="36"/>
        <v>6750.5300000000534</v>
      </c>
      <c r="K349" s="151">
        <f>K348+'Basic Data'!$AC$13</f>
        <v>4217.3400000000283</v>
      </c>
      <c r="L349" s="151">
        <f>L348+'Basic Data'!$AD$13</f>
        <v>4217.3400000000283</v>
      </c>
      <c r="M349" s="151">
        <f>M348+'Basic Data'!$AE$13</f>
        <v>2624.2000000000025</v>
      </c>
      <c r="N349" s="151">
        <f>N348+'Basic Data'!$AF$13</f>
        <v>6188.5700000000188</v>
      </c>
      <c r="O349" s="151">
        <f>O348+'Basic Data'!$AG$13</f>
        <v>2467.7799999999988</v>
      </c>
      <c r="P349" s="151">
        <f>P348+'Basic Data'!$AH$13</f>
        <v>6750.5300000000534</v>
      </c>
    </row>
    <row r="350" spans="2:16">
      <c r="B350" s="156">
        <v>348</v>
      </c>
      <c r="C350" s="176">
        <v>348</v>
      </c>
      <c r="D350" s="177">
        <f t="shared" si="31"/>
        <v>4229.2200000000284</v>
      </c>
      <c r="E350" s="177">
        <f t="shared" si="32"/>
        <v>4229.2200000000284</v>
      </c>
      <c r="F350" s="177">
        <f t="shared" si="33"/>
        <v>2631.5900000000024</v>
      </c>
      <c r="G350" s="177">
        <f t="shared" si="34"/>
        <v>6206.0000000000191</v>
      </c>
      <c r="H350" s="177">
        <f t="shared" si="35"/>
        <v>2474.7299999999987</v>
      </c>
      <c r="I350" s="177">
        <f t="shared" si="36"/>
        <v>6769.5400000000536</v>
      </c>
      <c r="K350" s="151">
        <f>K349+'Basic Data'!$AC$13</f>
        <v>4229.2200000000284</v>
      </c>
      <c r="L350" s="151">
        <f>L349+'Basic Data'!$AD$13</f>
        <v>4229.2200000000284</v>
      </c>
      <c r="M350" s="151">
        <f>M349+'Basic Data'!$AE$13</f>
        <v>2631.5900000000024</v>
      </c>
      <c r="N350" s="151">
        <f>N349+'Basic Data'!$AF$13</f>
        <v>6206.0000000000191</v>
      </c>
      <c r="O350" s="151">
        <f>O349+'Basic Data'!$AG$13</f>
        <v>2474.7299999999987</v>
      </c>
      <c r="P350" s="151">
        <f>P349+'Basic Data'!$AH$13</f>
        <v>6769.5400000000536</v>
      </c>
    </row>
    <row r="351" spans="2:16">
      <c r="B351" s="156">
        <v>349</v>
      </c>
      <c r="C351" s="176">
        <v>349</v>
      </c>
      <c r="D351" s="177">
        <f t="shared" si="31"/>
        <v>4241.1000000000286</v>
      </c>
      <c r="E351" s="177">
        <f t="shared" si="32"/>
        <v>4241.1000000000286</v>
      </c>
      <c r="F351" s="177">
        <f t="shared" si="33"/>
        <v>2638.9800000000023</v>
      </c>
      <c r="G351" s="177">
        <f t="shared" si="34"/>
        <v>6223.4300000000194</v>
      </c>
      <c r="H351" s="177">
        <f t="shared" si="35"/>
        <v>2481.6799999999985</v>
      </c>
      <c r="I351" s="177">
        <f t="shared" si="36"/>
        <v>6788.5500000000538</v>
      </c>
      <c r="K351" s="151">
        <f>K350+'Basic Data'!$AC$13</f>
        <v>4241.1000000000286</v>
      </c>
      <c r="L351" s="151">
        <f>L350+'Basic Data'!$AD$13</f>
        <v>4241.1000000000286</v>
      </c>
      <c r="M351" s="151">
        <f>M350+'Basic Data'!$AE$13</f>
        <v>2638.9800000000023</v>
      </c>
      <c r="N351" s="151">
        <f>N350+'Basic Data'!$AF$13</f>
        <v>6223.4300000000194</v>
      </c>
      <c r="O351" s="151">
        <f>O350+'Basic Data'!$AG$13</f>
        <v>2481.6799999999985</v>
      </c>
      <c r="P351" s="151">
        <f>P350+'Basic Data'!$AH$13</f>
        <v>6788.5500000000538</v>
      </c>
    </row>
    <row r="352" spans="2:16">
      <c r="B352" s="156">
        <v>350</v>
      </c>
      <c r="C352" s="176">
        <v>350</v>
      </c>
      <c r="D352" s="177">
        <f t="shared" si="31"/>
        <v>4252.9800000000287</v>
      </c>
      <c r="E352" s="177">
        <f t="shared" si="32"/>
        <v>4252.9800000000287</v>
      </c>
      <c r="F352" s="177">
        <f t="shared" si="33"/>
        <v>2646.3700000000022</v>
      </c>
      <c r="G352" s="177">
        <f t="shared" si="34"/>
        <v>6240.8600000000197</v>
      </c>
      <c r="H352" s="177">
        <f t="shared" si="35"/>
        <v>2488.6299999999983</v>
      </c>
      <c r="I352" s="177">
        <f t="shared" si="36"/>
        <v>6807.5600000000541</v>
      </c>
      <c r="K352" s="151">
        <f>K351+'Basic Data'!$AC$13</f>
        <v>4252.9800000000287</v>
      </c>
      <c r="L352" s="151">
        <f>L351+'Basic Data'!$AD$13</f>
        <v>4252.9800000000287</v>
      </c>
      <c r="M352" s="151">
        <f>M351+'Basic Data'!$AE$13</f>
        <v>2646.3700000000022</v>
      </c>
      <c r="N352" s="151">
        <f>N351+'Basic Data'!$AF$13</f>
        <v>6240.8600000000197</v>
      </c>
      <c r="O352" s="151">
        <f>O351+'Basic Data'!$AG$13</f>
        <v>2488.6299999999983</v>
      </c>
      <c r="P352" s="151">
        <f>P351+'Basic Data'!$AH$13</f>
        <v>6807.5600000000541</v>
      </c>
    </row>
    <row r="353" spans="2:16">
      <c r="B353" s="156">
        <v>351</v>
      </c>
      <c r="C353" s="176">
        <v>351</v>
      </c>
      <c r="D353" s="177">
        <f t="shared" si="31"/>
        <v>4264.8600000000288</v>
      </c>
      <c r="E353" s="177">
        <f t="shared" si="32"/>
        <v>4264.8600000000288</v>
      </c>
      <c r="F353" s="177">
        <f t="shared" si="33"/>
        <v>2653.760000000002</v>
      </c>
      <c r="G353" s="177">
        <f t="shared" si="34"/>
        <v>6258.29000000002</v>
      </c>
      <c r="H353" s="177">
        <f t="shared" si="35"/>
        <v>2495.5799999999981</v>
      </c>
      <c r="I353" s="177">
        <f t="shared" si="36"/>
        <v>6826.5700000000543</v>
      </c>
      <c r="K353" s="151">
        <f>K352+'Basic Data'!$AC$13</f>
        <v>4264.8600000000288</v>
      </c>
      <c r="L353" s="151">
        <f>L352+'Basic Data'!$AD$13</f>
        <v>4264.8600000000288</v>
      </c>
      <c r="M353" s="151">
        <f>M352+'Basic Data'!$AE$13</f>
        <v>2653.760000000002</v>
      </c>
      <c r="N353" s="151">
        <f>N352+'Basic Data'!$AF$13</f>
        <v>6258.29000000002</v>
      </c>
      <c r="O353" s="151">
        <f>O352+'Basic Data'!$AG$13</f>
        <v>2495.5799999999981</v>
      </c>
      <c r="P353" s="151">
        <f>P352+'Basic Data'!$AH$13</f>
        <v>6826.5700000000543</v>
      </c>
    </row>
    <row r="354" spans="2:16">
      <c r="B354" s="156">
        <v>352</v>
      </c>
      <c r="C354" s="176">
        <v>352</v>
      </c>
      <c r="D354" s="177">
        <f t="shared" si="31"/>
        <v>4276.7400000000289</v>
      </c>
      <c r="E354" s="177">
        <f t="shared" si="32"/>
        <v>4276.7400000000289</v>
      </c>
      <c r="F354" s="177">
        <f t="shared" si="33"/>
        <v>2661.1500000000019</v>
      </c>
      <c r="G354" s="177">
        <f t="shared" si="34"/>
        <v>6275.7200000000203</v>
      </c>
      <c r="H354" s="177">
        <f t="shared" si="35"/>
        <v>2502.5299999999979</v>
      </c>
      <c r="I354" s="177">
        <f t="shared" si="36"/>
        <v>6845.5800000000545</v>
      </c>
      <c r="K354" s="151">
        <f>K353+'Basic Data'!$AC$13</f>
        <v>4276.7400000000289</v>
      </c>
      <c r="L354" s="151">
        <f>L353+'Basic Data'!$AD$13</f>
        <v>4276.7400000000289</v>
      </c>
      <c r="M354" s="151">
        <f>M353+'Basic Data'!$AE$13</f>
        <v>2661.1500000000019</v>
      </c>
      <c r="N354" s="151">
        <f>N353+'Basic Data'!$AF$13</f>
        <v>6275.7200000000203</v>
      </c>
      <c r="O354" s="151">
        <f>O353+'Basic Data'!$AG$13</f>
        <v>2502.5299999999979</v>
      </c>
      <c r="P354" s="151">
        <f>P353+'Basic Data'!$AH$13</f>
        <v>6845.5800000000545</v>
      </c>
    </row>
    <row r="355" spans="2:16">
      <c r="B355" s="156">
        <v>353</v>
      </c>
      <c r="C355" s="176">
        <v>353</v>
      </c>
      <c r="D355" s="177">
        <f t="shared" si="31"/>
        <v>4288.620000000029</v>
      </c>
      <c r="E355" s="177">
        <f t="shared" si="32"/>
        <v>4288.620000000029</v>
      </c>
      <c r="F355" s="177">
        <f t="shared" si="33"/>
        <v>2668.5400000000018</v>
      </c>
      <c r="G355" s="177">
        <f t="shared" si="34"/>
        <v>6293.1500000000206</v>
      </c>
      <c r="H355" s="177">
        <f t="shared" si="35"/>
        <v>2509.4799999999977</v>
      </c>
      <c r="I355" s="177">
        <f t="shared" si="36"/>
        <v>6864.5900000000547</v>
      </c>
      <c r="K355" s="151">
        <f>K354+'Basic Data'!$AC$13</f>
        <v>4288.620000000029</v>
      </c>
      <c r="L355" s="151">
        <f>L354+'Basic Data'!$AD$13</f>
        <v>4288.620000000029</v>
      </c>
      <c r="M355" s="151">
        <f>M354+'Basic Data'!$AE$13</f>
        <v>2668.5400000000018</v>
      </c>
      <c r="N355" s="151">
        <f>N354+'Basic Data'!$AF$13</f>
        <v>6293.1500000000206</v>
      </c>
      <c r="O355" s="151">
        <f>O354+'Basic Data'!$AG$13</f>
        <v>2509.4799999999977</v>
      </c>
      <c r="P355" s="151">
        <f>P354+'Basic Data'!$AH$13</f>
        <v>6864.5900000000547</v>
      </c>
    </row>
    <row r="356" spans="2:16">
      <c r="B356" s="156">
        <v>354</v>
      </c>
      <c r="C356" s="176">
        <v>354</v>
      </c>
      <c r="D356" s="177">
        <f t="shared" si="31"/>
        <v>4300.5000000000291</v>
      </c>
      <c r="E356" s="177">
        <f t="shared" si="32"/>
        <v>4300.5000000000291</v>
      </c>
      <c r="F356" s="177">
        <f t="shared" si="33"/>
        <v>2675.9300000000017</v>
      </c>
      <c r="G356" s="177">
        <f t="shared" si="34"/>
        <v>6310.5800000000208</v>
      </c>
      <c r="H356" s="177">
        <f t="shared" si="35"/>
        <v>2516.4299999999976</v>
      </c>
      <c r="I356" s="177">
        <f t="shared" si="36"/>
        <v>6883.6000000000549</v>
      </c>
      <c r="K356" s="151">
        <f>K355+'Basic Data'!$AC$13</f>
        <v>4300.5000000000291</v>
      </c>
      <c r="L356" s="151">
        <f>L355+'Basic Data'!$AD$13</f>
        <v>4300.5000000000291</v>
      </c>
      <c r="M356" s="151">
        <f>M355+'Basic Data'!$AE$13</f>
        <v>2675.9300000000017</v>
      </c>
      <c r="N356" s="151">
        <f>N355+'Basic Data'!$AF$13</f>
        <v>6310.5800000000208</v>
      </c>
      <c r="O356" s="151">
        <f>O355+'Basic Data'!$AG$13</f>
        <v>2516.4299999999976</v>
      </c>
      <c r="P356" s="151">
        <f>P355+'Basic Data'!$AH$13</f>
        <v>6883.6000000000549</v>
      </c>
    </row>
    <row r="357" spans="2:16">
      <c r="B357" s="156">
        <v>355</v>
      </c>
      <c r="C357" s="176">
        <v>355</v>
      </c>
      <c r="D357" s="177">
        <f t="shared" si="31"/>
        <v>4312.3800000000292</v>
      </c>
      <c r="E357" s="177">
        <f t="shared" si="32"/>
        <v>4312.3800000000292</v>
      </c>
      <c r="F357" s="177">
        <f t="shared" si="33"/>
        <v>2683.3200000000015</v>
      </c>
      <c r="G357" s="177">
        <f t="shared" si="34"/>
        <v>6328.0100000000211</v>
      </c>
      <c r="H357" s="177">
        <f t="shared" si="35"/>
        <v>2523.3799999999974</v>
      </c>
      <c r="I357" s="177">
        <f t="shared" si="36"/>
        <v>6902.6100000000552</v>
      </c>
      <c r="K357" s="151">
        <f>K356+'Basic Data'!$AC$13</f>
        <v>4312.3800000000292</v>
      </c>
      <c r="L357" s="151">
        <f>L356+'Basic Data'!$AD$13</f>
        <v>4312.3800000000292</v>
      </c>
      <c r="M357" s="151">
        <f>M356+'Basic Data'!$AE$13</f>
        <v>2683.3200000000015</v>
      </c>
      <c r="N357" s="151">
        <f>N356+'Basic Data'!$AF$13</f>
        <v>6328.0100000000211</v>
      </c>
      <c r="O357" s="151">
        <f>O356+'Basic Data'!$AG$13</f>
        <v>2523.3799999999974</v>
      </c>
      <c r="P357" s="151">
        <f>P356+'Basic Data'!$AH$13</f>
        <v>6902.6100000000552</v>
      </c>
    </row>
    <row r="358" spans="2:16">
      <c r="B358" s="156">
        <v>356</v>
      </c>
      <c r="C358" s="176">
        <v>356</v>
      </c>
      <c r="D358" s="177">
        <f t="shared" si="31"/>
        <v>4324.2600000000293</v>
      </c>
      <c r="E358" s="177">
        <f t="shared" si="32"/>
        <v>4324.2600000000293</v>
      </c>
      <c r="F358" s="177">
        <f t="shared" si="33"/>
        <v>2690.7100000000014</v>
      </c>
      <c r="G358" s="177">
        <f t="shared" si="34"/>
        <v>6345.4400000000214</v>
      </c>
      <c r="H358" s="177">
        <f t="shared" si="35"/>
        <v>2530.3299999999972</v>
      </c>
      <c r="I358" s="177">
        <f t="shared" si="36"/>
        <v>6921.6200000000554</v>
      </c>
      <c r="K358" s="151">
        <f>K357+'Basic Data'!$AC$13</f>
        <v>4324.2600000000293</v>
      </c>
      <c r="L358" s="151">
        <f>L357+'Basic Data'!$AD$13</f>
        <v>4324.2600000000293</v>
      </c>
      <c r="M358" s="151">
        <f>M357+'Basic Data'!$AE$13</f>
        <v>2690.7100000000014</v>
      </c>
      <c r="N358" s="151">
        <f>N357+'Basic Data'!$AF$13</f>
        <v>6345.4400000000214</v>
      </c>
      <c r="O358" s="151">
        <f>O357+'Basic Data'!$AG$13</f>
        <v>2530.3299999999972</v>
      </c>
      <c r="P358" s="151">
        <f>P357+'Basic Data'!$AH$13</f>
        <v>6921.6200000000554</v>
      </c>
    </row>
    <row r="359" spans="2:16">
      <c r="B359" s="156">
        <v>357</v>
      </c>
      <c r="C359" s="176">
        <v>357</v>
      </c>
      <c r="D359" s="177">
        <f t="shared" si="31"/>
        <v>4336.1400000000294</v>
      </c>
      <c r="E359" s="177">
        <f t="shared" si="32"/>
        <v>4336.1400000000294</v>
      </c>
      <c r="F359" s="177">
        <f t="shared" si="33"/>
        <v>2698.1000000000013</v>
      </c>
      <c r="G359" s="177">
        <f t="shared" si="34"/>
        <v>6362.8700000000217</v>
      </c>
      <c r="H359" s="177">
        <f t="shared" si="35"/>
        <v>2537.279999999997</v>
      </c>
      <c r="I359" s="177">
        <f t="shared" si="36"/>
        <v>6940.6300000000556</v>
      </c>
      <c r="K359" s="151">
        <f>K358+'Basic Data'!$AC$13</f>
        <v>4336.1400000000294</v>
      </c>
      <c r="L359" s="151">
        <f>L358+'Basic Data'!$AD$13</f>
        <v>4336.1400000000294</v>
      </c>
      <c r="M359" s="151">
        <f>M358+'Basic Data'!$AE$13</f>
        <v>2698.1000000000013</v>
      </c>
      <c r="N359" s="151">
        <f>N358+'Basic Data'!$AF$13</f>
        <v>6362.8700000000217</v>
      </c>
      <c r="O359" s="151">
        <f>O358+'Basic Data'!$AG$13</f>
        <v>2537.279999999997</v>
      </c>
      <c r="P359" s="151">
        <f>P358+'Basic Data'!$AH$13</f>
        <v>6940.6300000000556</v>
      </c>
    </row>
    <row r="360" spans="2:16">
      <c r="B360" s="156">
        <v>358</v>
      </c>
      <c r="C360" s="176">
        <v>358</v>
      </c>
      <c r="D360" s="177">
        <f t="shared" si="31"/>
        <v>4348.0200000000295</v>
      </c>
      <c r="E360" s="177">
        <f t="shared" si="32"/>
        <v>4348.0200000000295</v>
      </c>
      <c r="F360" s="177">
        <f t="shared" si="33"/>
        <v>2705.4900000000011</v>
      </c>
      <c r="G360" s="177">
        <f t="shared" si="34"/>
        <v>6380.300000000022</v>
      </c>
      <c r="H360" s="177">
        <f t="shared" si="35"/>
        <v>2544.2299999999968</v>
      </c>
      <c r="I360" s="177">
        <f t="shared" si="36"/>
        <v>6959.6400000000558</v>
      </c>
      <c r="K360" s="151">
        <f>K359+'Basic Data'!$AC$13</f>
        <v>4348.0200000000295</v>
      </c>
      <c r="L360" s="151">
        <f>L359+'Basic Data'!$AD$13</f>
        <v>4348.0200000000295</v>
      </c>
      <c r="M360" s="151">
        <f>M359+'Basic Data'!$AE$13</f>
        <v>2705.4900000000011</v>
      </c>
      <c r="N360" s="151">
        <f>N359+'Basic Data'!$AF$13</f>
        <v>6380.300000000022</v>
      </c>
      <c r="O360" s="151">
        <f>O359+'Basic Data'!$AG$13</f>
        <v>2544.2299999999968</v>
      </c>
      <c r="P360" s="151">
        <f>P359+'Basic Data'!$AH$13</f>
        <v>6959.6400000000558</v>
      </c>
    </row>
    <row r="361" spans="2:16">
      <c r="B361" s="156">
        <v>359</v>
      </c>
      <c r="C361" s="176">
        <v>359</v>
      </c>
      <c r="D361" s="177">
        <f t="shared" si="31"/>
        <v>4359.9000000000296</v>
      </c>
      <c r="E361" s="177">
        <f t="shared" si="32"/>
        <v>4359.9000000000296</v>
      </c>
      <c r="F361" s="177">
        <f t="shared" si="33"/>
        <v>2712.880000000001</v>
      </c>
      <c r="G361" s="177">
        <f t="shared" si="34"/>
        <v>6397.7300000000223</v>
      </c>
      <c r="H361" s="177">
        <f t="shared" si="35"/>
        <v>2551.1799999999967</v>
      </c>
      <c r="I361" s="177">
        <f t="shared" si="36"/>
        <v>6978.650000000056</v>
      </c>
      <c r="K361" s="151">
        <f>K360+'Basic Data'!$AC$13</f>
        <v>4359.9000000000296</v>
      </c>
      <c r="L361" s="151">
        <f>L360+'Basic Data'!$AD$13</f>
        <v>4359.9000000000296</v>
      </c>
      <c r="M361" s="151">
        <f>M360+'Basic Data'!$AE$13</f>
        <v>2712.880000000001</v>
      </c>
      <c r="N361" s="151">
        <f>N360+'Basic Data'!$AF$13</f>
        <v>6397.7300000000223</v>
      </c>
      <c r="O361" s="151">
        <f>O360+'Basic Data'!$AG$13</f>
        <v>2551.1799999999967</v>
      </c>
      <c r="P361" s="151">
        <f>P360+'Basic Data'!$AH$13</f>
        <v>6978.650000000056</v>
      </c>
    </row>
    <row r="362" spans="2:16">
      <c r="B362" s="156">
        <v>360</v>
      </c>
      <c r="C362" s="176">
        <v>360</v>
      </c>
      <c r="D362" s="177">
        <f t="shared" si="31"/>
        <v>4371.7800000000298</v>
      </c>
      <c r="E362" s="177">
        <f t="shared" si="32"/>
        <v>4371.7800000000298</v>
      </c>
      <c r="F362" s="177">
        <f t="shared" si="33"/>
        <v>2720.2700000000009</v>
      </c>
      <c r="G362" s="177">
        <f t="shared" si="34"/>
        <v>6415.1600000000226</v>
      </c>
      <c r="H362" s="177">
        <f t="shared" si="35"/>
        <v>2558.1299999999965</v>
      </c>
      <c r="I362" s="177">
        <f t="shared" si="36"/>
        <v>6997.6600000000562</v>
      </c>
      <c r="K362" s="151">
        <f>K361+'Basic Data'!$AC$13</f>
        <v>4371.7800000000298</v>
      </c>
      <c r="L362" s="151">
        <f>L361+'Basic Data'!$AD$13</f>
        <v>4371.7800000000298</v>
      </c>
      <c r="M362" s="151">
        <f>M361+'Basic Data'!$AE$13</f>
        <v>2720.2700000000009</v>
      </c>
      <c r="N362" s="151">
        <f>N361+'Basic Data'!$AF$13</f>
        <v>6415.1600000000226</v>
      </c>
      <c r="O362" s="151">
        <f>O361+'Basic Data'!$AG$13</f>
        <v>2558.1299999999965</v>
      </c>
      <c r="P362" s="151">
        <f>P361+'Basic Data'!$AH$13</f>
        <v>6997.6600000000562</v>
      </c>
    </row>
    <row r="363" spans="2:16">
      <c r="B363" s="156">
        <v>361</v>
      </c>
      <c r="C363" s="176">
        <v>361</v>
      </c>
      <c r="D363" s="177">
        <f t="shared" si="31"/>
        <v>4383.6600000000299</v>
      </c>
      <c r="E363" s="177">
        <f t="shared" si="32"/>
        <v>4383.6600000000299</v>
      </c>
      <c r="F363" s="177">
        <f t="shared" si="33"/>
        <v>2727.6600000000008</v>
      </c>
      <c r="G363" s="177">
        <f t="shared" si="34"/>
        <v>6432.5900000000229</v>
      </c>
      <c r="H363" s="177">
        <f t="shared" si="35"/>
        <v>2565.0799999999963</v>
      </c>
      <c r="I363" s="177">
        <f t="shared" si="36"/>
        <v>7016.6700000000565</v>
      </c>
      <c r="K363" s="151">
        <f>K362+'Basic Data'!$AC$13</f>
        <v>4383.6600000000299</v>
      </c>
      <c r="L363" s="151">
        <f>L362+'Basic Data'!$AD$13</f>
        <v>4383.6600000000299</v>
      </c>
      <c r="M363" s="151">
        <f>M362+'Basic Data'!$AE$13</f>
        <v>2727.6600000000008</v>
      </c>
      <c r="N363" s="151">
        <f>N362+'Basic Data'!$AF$13</f>
        <v>6432.5900000000229</v>
      </c>
      <c r="O363" s="151">
        <f>O362+'Basic Data'!$AG$13</f>
        <v>2565.0799999999963</v>
      </c>
      <c r="P363" s="151">
        <f>P362+'Basic Data'!$AH$13</f>
        <v>7016.6700000000565</v>
      </c>
    </row>
    <row r="364" spans="2:16">
      <c r="B364" s="156">
        <v>362</v>
      </c>
      <c r="C364" s="176">
        <v>362</v>
      </c>
      <c r="D364" s="177">
        <f t="shared" si="31"/>
        <v>4395.54000000003</v>
      </c>
      <c r="E364" s="177">
        <f t="shared" si="32"/>
        <v>4395.54000000003</v>
      </c>
      <c r="F364" s="177">
        <f t="shared" si="33"/>
        <v>2735.0500000000006</v>
      </c>
      <c r="G364" s="177">
        <f t="shared" si="34"/>
        <v>6450.0200000000232</v>
      </c>
      <c r="H364" s="177">
        <f t="shared" si="35"/>
        <v>2572.0299999999961</v>
      </c>
      <c r="I364" s="177">
        <f t="shared" si="36"/>
        <v>7035.6800000000567</v>
      </c>
      <c r="K364" s="151">
        <f>K363+'Basic Data'!$AC$13</f>
        <v>4395.54000000003</v>
      </c>
      <c r="L364" s="151">
        <f>L363+'Basic Data'!$AD$13</f>
        <v>4395.54000000003</v>
      </c>
      <c r="M364" s="151">
        <f>M363+'Basic Data'!$AE$13</f>
        <v>2735.0500000000006</v>
      </c>
      <c r="N364" s="151">
        <f>N363+'Basic Data'!$AF$13</f>
        <v>6450.0200000000232</v>
      </c>
      <c r="O364" s="151">
        <f>O363+'Basic Data'!$AG$13</f>
        <v>2572.0299999999961</v>
      </c>
      <c r="P364" s="151">
        <f>P363+'Basic Data'!$AH$13</f>
        <v>7035.6800000000567</v>
      </c>
    </row>
    <row r="365" spans="2:16">
      <c r="B365" s="156">
        <v>363</v>
      </c>
      <c r="C365" s="176">
        <v>363</v>
      </c>
      <c r="D365" s="177">
        <f t="shared" si="31"/>
        <v>4407.4200000000301</v>
      </c>
      <c r="E365" s="177">
        <f t="shared" si="32"/>
        <v>4407.4200000000301</v>
      </c>
      <c r="F365" s="177">
        <f t="shared" si="33"/>
        <v>2742.4400000000005</v>
      </c>
      <c r="G365" s="177">
        <f t="shared" si="34"/>
        <v>6467.4500000000235</v>
      </c>
      <c r="H365" s="177">
        <f t="shared" si="35"/>
        <v>2578.9799999999959</v>
      </c>
      <c r="I365" s="177">
        <f t="shared" si="36"/>
        <v>7054.6900000000569</v>
      </c>
      <c r="K365" s="151">
        <f>K364+'Basic Data'!$AC$13</f>
        <v>4407.4200000000301</v>
      </c>
      <c r="L365" s="151">
        <f>L364+'Basic Data'!$AD$13</f>
        <v>4407.4200000000301</v>
      </c>
      <c r="M365" s="151">
        <f>M364+'Basic Data'!$AE$13</f>
        <v>2742.4400000000005</v>
      </c>
      <c r="N365" s="151">
        <f>N364+'Basic Data'!$AF$13</f>
        <v>6467.4500000000235</v>
      </c>
      <c r="O365" s="151">
        <f>O364+'Basic Data'!$AG$13</f>
        <v>2578.9799999999959</v>
      </c>
      <c r="P365" s="151">
        <f>P364+'Basic Data'!$AH$13</f>
        <v>7054.6900000000569</v>
      </c>
    </row>
    <row r="366" spans="2:16">
      <c r="B366" s="156">
        <v>364</v>
      </c>
      <c r="C366" s="176">
        <v>364</v>
      </c>
      <c r="D366" s="177">
        <f t="shared" si="31"/>
        <v>4419.3000000000302</v>
      </c>
      <c r="E366" s="177">
        <f t="shared" si="32"/>
        <v>4419.3000000000302</v>
      </c>
      <c r="F366" s="177">
        <f t="shared" si="33"/>
        <v>2749.8300000000004</v>
      </c>
      <c r="G366" s="177">
        <f t="shared" si="34"/>
        <v>6484.8800000000238</v>
      </c>
      <c r="H366" s="177">
        <f t="shared" si="35"/>
        <v>2585.9299999999957</v>
      </c>
      <c r="I366" s="177">
        <f t="shared" si="36"/>
        <v>7073.7000000000571</v>
      </c>
      <c r="K366" s="151">
        <f>K365+'Basic Data'!$AC$13</f>
        <v>4419.3000000000302</v>
      </c>
      <c r="L366" s="151">
        <f>L365+'Basic Data'!$AD$13</f>
        <v>4419.3000000000302</v>
      </c>
      <c r="M366" s="151">
        <f>M365+'Basic Data'!$AE$13</f>
        <v>2749.8300000000004</v>
      </c>
      <c r="N366" s="151">
        <f>N365+'Basic Data'!$AF$13</f>
        <v>6484.8800000000238</v>
      </c>
      <c r="O366" s="151">
        <f>O365+'Basic Data'!$AG$13</f>
        <v>2585.9299999999957</v>
      </c>
      <c r="P366" s="151">
        <f>P365+'Basic Data'!$AH$13</f>
        <v>7073.7000000000571</v>
      </c>
    </row>
    <row r="367" spans="2:16">
      <c r="B367" s="156">
        <v>365</v>
      </c>
      <c r="C367" s="176">
        <v>365</v>
      </c>
      <c r="D367" s="177">
        <f t="shared" si="31"/>
        <v>4431.1800000000303</v>
      </c>
      <c r="E367" s="177">
        <f t="shared" si="32"/>
        <v>4431.1800000000303</v>
      </c>
      <c r="F367" s="177">
        <f t="shared" si="33"/>
        <v>2757.2200000000003</v>
      </c>
      <c r="G367" s="177">
        <f t="shared" si="34"/>
        <v>6502.310000000024</v>
      </c>
      <c r="H367" s="177">
        <f t="shared" si="35"/>
        <v>2592.8799999999956</v>
      </c>
      <c r="I367" s="177">
        <f t="shared" si="36"/>
        <v>7092.7100000000573</v>
      </c>
      <c r="K367" s="151">
        <f>K366+'Basic Data'!$AC$13</f>
        <v>4431.1800000000303</v>
      </c>
      <c r="L367" s="151">
        <f>L366+'Basic Data'!$AD$13</f>
        <v>4431.1800000000303</v>
      </c>
      <c r="M367" s="151">
        <f>M366+'Basic Data'!$AE$13</f>
        <v>2757.2200000000003</v>
      </c>
      <c r="N367" s="151">
        <f>N366+'Basic Data'!$AF$13</f>
        <v>6502.310000000024</v>
      </c>
      <c r="O367" s="151">
        <f>O366+'Basic Data'!$AG$13</f>
        <v>2592.8799999999956</v>
      </c>
      <c r="P367" s="151">
        <f>P366+'Basic Data'!$AH$13</f>
        <v>7092.7100000000573</v>
      </c>
    </row>
    <row r="368" spans="2:16">
      <c r="B368" s="156">
        <v>366</v>
      </c>
      <c r="C368" s="176">
        <v>366</v>
      </c>
      <c r="D368" s="177">
        <f t="shared" si="31"/>
        <v>4443.0600000000304</v>
      </c>
      <c r="E368" s="177">
        <f t="shared" si="32"/>
        <v>4443.0600000000304</v>
      </c>
      <c r="F368" s="177">
        <f t="shared" si="33"/>
        <v>2764.61</v>
      </c>
      <c r="G368" s="177">
        <f t="shared" si="34"/>
        <v>6519.7400000000243</v>
      </c>
      <c r="H368" s="177">
        <f t="shared" si="35"/>
        <v>2599.8299999999954</v>
      </c>
      <c r="I368" s="177">
        <f t="shared" si="36"/>
        <v>7111.7200000000576</v>
      </c>
      <c r="K368" s="151">
        <f>K367+'Basic Data'!$AC$13</f>
        <v>4443.0600000000304</v>
      </c>
      <c r="L368" s="151">
        <f>L367+'Basic Data'!$AD$13</f>
        <v>4443.0600000000304</v>
      </c>
      <c r="M368" s="151">
        <f>M367+'Basic Data'!$AE$13</f>
        <v>2764.61</v>
      </c>
      <c r="N368" s="151">
        <f>N367+'Basic Data'!$AF$13</f>
        <v>6519.7400000000243</v>
      </c>
      <c r="O368" s="151">
        <f>O367+'Basic Data'!$AG$13</f>
        <v>2599.8299999999954</v>
      </c>
      <c r="P368" s="151">
        <f>P367+'Basic Data'!$AH$13</f>
        <v>7111.7200000000576</v>
      </c>
    </row>
    <row r="369" spans="2:16">
      <c r="B369" s="156">
        <v>367</v>
      </c>
      <c r="C369" s="176">
        <v>367</v>
      </c>
      <c r="D369" s="177">
        <f t="shared" si="31"/>
        <v>4454.9400000000305</v>
      </c>
      <c r="E369" s="177">
        <f t="shared" si="32"/>
        <v>4454.9400000000305</v>
      </c>
      <c r="F369" s="177">
        <f t="shared" si="33"/>
        <v>2772</v>
      </c>
      <c r="G369" s="177">
        <f t="shared" si="34"/>
        <v>6537.1700000000246</v>
      </c>
      <c r="H369" s="177">
        <f t="shared" si="35"/>
        <v>2606.7799999999952</v>
      </c>
      <c r="I369" s="177">
        <f t="shared" si="36"/>
        <v>7130.7300000000578</v>
      </c>
      <c r="K369" s="151">
        <f>K368+'Basic Data'!$AC$13</f>
        <v>4454.9400000000305</v>
      </c>
      <c r="L369" s="151">
        <f>L368+'Basic Data'!$AD$13</f>
        <v>4454.9400000000305</v>
      </c>
      <c r="M369" s="151">
        <f>M368+'Basic Data'!$AE$13</f>
        <v>2772</v>
      </c>
      <c r="N369" s="151">
        <f>N368+'Basic Data'!$AF$13</f>
        <v>6537.1700000000246</v>
      </c>
      <c r="O369" s="151">
        <f>O368+'Basic Data'!$AG$13</f>
        <v>2606.7799999999952</v>
      </c>
      <c r="P369" s="151">
        <f>P368+'Basic Data'!$AH$13</f>
        <v>7130.7300000000578</v>
      </c>
    </row>
    <row r="370" spans="2:16">
      <c r="B370" s="156">
        <v>368</v>
      </c>
      <c r="C370" s="176">
        <v>368</v>
      </c>
      <c r="D370" s="177">
        <f t="shared" si="31"/>
        <v>4466.8200000000306</v>
      </c>
      <c r="E370" s="177">
        <f t="shared" si="32"/>
        <v>4466.8200000000306</v>
      </c>
      <c r="F370" s="177">
        <f t="shared" si="33"/>
        <v>2779.39</v>
      </c>
      <c r="G370" s="177">
        <f t="shared" si="34"/>
        <v>6554.6000000000249</v>
      </c>
      <c r="H370" s="177">
        <f t="shared" si="35"/>
        <v>2613.729999999995</v>
      </c>
      <c r="I370" s="177">
        <f t="shared" si="36"/>
        <v>7149.740000000058</v>
      </c>
      <c r="K370" s="151">
        <f>K369+'Basic Data'!$AC$13</f>
        <v>4466.8200000000306</v>
      </c>
      <c r="L370" s="151">
        <f>L369+'Basic Data'!$AD$13</f>
        <v>4466.8200000000306</v>
      </c>
      <c r="M370" s="151">
        <f>M369+'Basic Data'!$AE$13</f>
        <v>2779.39</v>
      </c>
      <c r="N370" s="151">
        <f>N369+'Basic Data'!$AF$13</f>
        <v>6554.6000000000249</v>
      </c>
      <c r="O370" s="151">
        <f>O369+'Basic Data'!$AG$13</f>
        <v>2613.729999999995</v>
      </c>
      <c r="P370" s="151">
        <f>P369+'Basic Data'!$AH$13</f>
        <v>7149.740000000058</v>
      </c>
    </row>
    <row r="371" spans="2:16">
      <c r="B371" s="156">
        <v>369</v>
      </c>
      <c r="C371" s="176">
        <v>369</v>
      </c>
      <c r="D371" s="177">
        <f t="shared" si="31"/>
        <v>4478.7000000000307</v>
      </c>
      <c r="E371" s="177">
        <f t="shared" si="32"/>
        <v>4478.7000000000307</v>
      </c>
      <c r="F371" s="177">
        <f t="shared" si="33"/>
        <v>2786.7799999999997</v>
      </c>
      <c r="G371" s="177">
        <f t="shared" si="34"/>
        <v>6572.0300000000252</v>
      </c>
      <c r="H371" s="177">
        <f t="shared" si="35"/>
        <v>2620.6799999999948</v>
      </c>
      <c r="I371" s="177">
        <f t="shared" si="36"/>
        <v>7168.7500000000582</v>
      </c>
      <c r="K371" s="151">
        <f>K370+'Basic Data'!$AC$13</f>
        <v>4478.7000000000307</v>
      </c>
      <c r="L371" s="151">
        <f>L370+'Basic Data'!$AD$13</f>
        <v>4478.7000000000307</v>
      </c>
      <c r="M371" s="151">
        <f>M370+'Basic Data'!$AE$13</f>
        <v>2786.7799999999997</v>
      </c>
      <c r="N371" s="151">
        <f>N370+'Basic Data'!$AF$13</f>
        <v>6572.0300000000252</v>
      </c>
      <c r="O371" s="151">
        <f>O370+'Basic Data'!$AG$13</f>
        <v>2620.6799999999948</v>
      </c>
      <c r="P371" s="151">
        <f>P370+'Basic Data'!$AH$13</f>
        <v>7168.7500000000582</v>
      </c>
    </row>
    <row r="372" spans="2:16">
      <c r="B372" s="156">
        <v>370</v>
      </c>
      <c r="C372" s="176">
        <v>370</v>
      </c>
      <c r="D372" s="177">
        <f t="shared" si="31"/>
        <v>4490.5800000000309</v>
      </c>
      <c r="E372" s="177">
        <f t="shared" si="32"/>
        <v>4490.5800000000309</v>
      </c>
      <c r="F372" s="177">
        <f t="shared" si="33"/>
        <v>2794.1699999999996</v>
      </c>
      <c r="G372" s="177">
        <f t="shared" si="34"/>
        <v>6589.4600000000255</v>
      </c>
      <c r="H372" s="177">
        <f t="shared" si="35"/>
        <v>2627.6299999999947</v>
      </c>
      <c r="I372" s="177">
        <f t="shared" si="36"/>
        <v>7187.7600000000584</v>
      </c>
      <c r="K372" s="151">
        <f>K371+'Basic Data'!$AC$13</f>
        <v>4490.5800000000309</v>
      </c>
      <c r="L372" s="151">
        <f>L371+'Basic Data'!$AD$13</f>
        <v>4490.5800000000309</v>
      </c>
      <c r="M372" s="151">
        <f>M371+'Basic Data'!$AE$13</f>
        <v>2794.1699999999996</v>
      </c>
      <c r="N372" s="151">
        <f>N371+'Basic Data'!$AF$13</f>
        <v>6589.4600000000255</v>
      </c>
      <c r="O372" s="151">
        <f>O371+'Basic Data'!$AG$13</f>
        <v>2627.6299999999947</v>
      </c>
      <c r="P372" s="151">
        <f>P371+'Basic Data'!$AH$13</f>
        <v>7187.7600000000584</v>
      </c>
    </row>
    <row r="373" spans="2:16">
      <c r="B373" s="156">
        <v>371</v>
      </c>
      <c r="C373" s="176">
        <v>371</v>
      </c>
      <c r="D373" s="177">
        <f t="shared" si="31"/>
        <v>4502.460000000031</v>
      </c>
      <c r="E373" s="177">
        <f t="shared" si="32"/>
        <v>4502.460000000031</v>
      </c>
      <c r="F373" s="177">
        <f t="shared" si="33"/>
        <v>2801.5599999999995</v>
      </c>
      <c r="G373" s="177">
        <f t="shared" si="34"/>
        <v>6606.8900000000258</v>
      </c>
      <c r="H373" s="177">
        <f t="shared" si="35"/>
        <v>2634.5799999999945</v>
      </c>
      <c r="I373" s="177">
        <f t="shared" si="36"/>
        <v>7206.7700000000586</v>
      </c>
      <c r="K373" s="151">
        <f>K372+'Basic Data'!$AC$13</f>
        <v>4502.460000000031</v>
      </c>
      <c r="L373" s="151">
        <f>L372+'Basic Data'!$AD$13</f>
        <v>4502.460000000031</v>
      </c>
      <c r="M373" s="151">
        <f>M372+'Basic Data'!$AE$13</f>
        <v>2801.5599999999995</v>
      </c>
      <c r="N373" s="151">
        <f>N372+'Basic Data'!$AF$13</f>
        <v>6606.8900000000258</v>
      </c>
      <c r="O373" s="151">
        <f>O372+'Basic Data'!$AG$13</f>
        <v>2634.5799999999945</v>
      </c>
      <c r="P373" s="151">
        <f>P372+'Basic Data'!$AH$13</f>
        <v>7206.7700000000586</v>
      </c>
    </row>
    <row r="374" spans="2:16">
      <c r="B374" s="156">
        <v>372</v>
      </c>
      <c r="C374" s="176">
        <v>372</v>
      </c>
      <c r="D374" s="177">
        <f t="shared" si="31"/>
        <v>4514.3400000000311</v>
      </c>
      <c r="E374" s="177">
        <f t="shared" si="32"/>
        <v>4514.3400000000311</v>
      </c>
      <c r="F374" s="177">
        <f t="shared" si="33"/>
        <v>2808.9499999999994</v>
      </c>
      <c r="G374" s="177">
        <f t="shared" si="34"/>
        <v>6624.3200000000261</v>
      </c>
      <c r="H374" s="177">
        <f t="shared" si="35"/>
        <v>2641.5299999999943</v>
      </c>
      <c r="I374" s="177">
        <f t="shared" si="36"/>
        <v>7225.7800000000589</v>
      </c>
      <c r="K374" s="151">
        <f>K373+'Basic Data'!$AC$13</f>
        <v>4514.3400000000311</v>
      </c>
      <c r="L374" s="151">
        <f>L373+'Basic Data'!$AD$13</f>
        <v>4514.3400000000311</v>
      </c>
      <c r="M374" s="151">
        <f>M373+'Basic Data'!$AE$13</f>
        <v>2808.9499999999994</v>
      </c>
      <c r="N374" s="151">
        <f>N373+'Basic Data'!$AF$13</f>
        <v>6624.3200000000261</v>
      </c>
      <c r="O374" s="151">
        <f>O373+'Basic Data'!$AG$13</f>
        <v>2641.5299999999943</v>
      </c>
      <c r="P374" s="151">
        <f>P373+'Basic Data'!$AH$13</f>
        <v>7225.7800000000589</v>
      </c>
    </row>
    <row r="375" spans="2:16">
      <c r="B375" s="156">
        <v>373</v>
      </c>
      <c r="C375" s="176">
        <v>373</v>
      </c>
      <c r="D375" s="177">
        <f t="shared" si="31"/>
        <v>4526.2200000000312</v>
      </c>
      <c r="E375" s="177">
        <f t="shared" si="32"/>
        <v>4526.2200000000312</v>
      </c>
      <c r="F375" s="177">
        <f t="shared" si="33"/>
        <v>2816.3399999999992</v>
      </c>
      <c r="G375" s="177">
        <f t="shared" si="34"/>
        <v>6641.7500000000264</v>
      </c>
      <c r="H375" s="177">
        <f t="shared" si="35"/>
        <v>2648.4799999999941</v>
      </c>
      <c r="I375" s="177">
        <f t="shared" si="36"/>
        <v>7244.7900000000591</v>
      </c>
      <c r="K375" s="151">
        <f>K374+'Basic Data'!$AC$13</f>
        <v>4526.2200000000312</v>
      </c>
      <c r="L375" s="151">
        <f>L374+'Basic Data'!$AD$13</f>
        <v>4526.2200000000312</v>
      </c>
      <c r="M375" s="151">
        <f>M374+'Basic Data'!$AE$13</f>
        <v>2816.3399999999992</v>
      </c>
      <c r="N375" s="151">
        <f>N374+'Basic Data'!$AF$13</f>
        <v>6641.7500000000264</v>
      </c>
      <c r="O375" s="151">
        <f>O374+'Basic Data'!$AG$13</f>
        <v>2648.4799999999941</v>
      </c>
      <c r="P375" s="151">
        <f>P374+'Basic Data'!$AH$13</f>
        <v>7244.7900000000591</v>
      </c>
    </row>
    <row r="376" spans="2:16">
      <c r="B376" s="156">
        <v>374</v>
      </c>
      <c r="C376" s="176">
        <v>374</v>
      </c>
      <c r="D376" s="177">
        <f t="shared" si="31"/>
        <v>4538.1000000000313</v>
      </c>
      <c r="E376" s="177">
        <f t="shared" si="32"/>
        <v>4538.1000000000313</v>
      </c>
      <c r="F376" s="177">
        <f t="shared" si="33"/>
        <v>2823.7299999999991</v>
      </c>
      <c r="G376" s="177">
        <f t="shared" si="34"/>
        <v>6659.1800000000267</v>
      </c>
      <c r="H376" s="177">
        <f t="shared" si="35"/>
        <v>2655.4299999999939</v>
      </c>
      <c r="I376" s="177">
        <f t="shared" si="36"/>
        <v>7263.8000000000593</v>
      </c>
      <c r="K376" s="151">
        <f>K375+'Basic Data'!$AC$13</f>
        <v>4538.1000000000313</v>
      </c>
      <c r="L376" s="151">
        <f>L375+'Basic Data'!$AD$13</f>
        <v>4538.1000000000313</v>
      </c>
      <c r="M376" s="151">
        <f>M375+'Basic Data'!$AE$13</f>
        <v>2823.7299999999991</v>
      </c>
      <c r="N376" s="151">
        <f>N375+'Basic Data'!$AF$13</f>
        <v>6659.1800000000267</v>
      </c>
      <c r="O376" s="151">
        <f>O375+'Basic Data'!$AG$13</f>
        <v>2655.4299999999939</v>
      </c>
      <c r="P376" s="151">
        <f>P375+'Basic Data'!$AH$13</f>
        <v>7263.8000000000593</v>
      </c>
    </row>
    <row r="377" spans="2:16">
      <c r="B377" s="156">
        <v>375</v>
      </c>
      <c r="C377" s="176">
        <v>375</v>
      </c>
      <c r="D377" s="177">
        <f t="shared" si="31"/>
        <v>4549.9800000000314</v>
      </c>
      <c r="E377" s="177">
        <f t="shared" si="32"/>
        <v>4549.9800000000314</v>
      </c>
      <c r="F377" s="177">
        <f t="shared" si="33"/>
        <v>2831.119999999999</v>
      </c>
      <c r="G377" s="177">
        <f t="shared" si="34"/>
        <v>6676.610000000027</v>
      </c>
      <c r="H377" s="177">
        <f t="shared" si="35"/>
        <v>2662.3799999999937</v>
      </c>
      <c r="I377" s="177">
        <f t="shared" si="36"/>
        <v>7282.8100000000595</v>
      </c>
      <c r="K377" s="151">
        <f>K376+'Basic Data'!$AC$13</f>
        <v>4549.9800000000314</v>
      </c>
      <c r="L377" s="151">
        <f>L376+'Basic Data'!$AD$13</f>
        <v>4549.9800000000314</v>
      </c>
      <c r="M377" s="151">
        <f>M376+'Basic Data'!$AE$13</f>
        <v>2831.119999999999</v>
      </c>
      <c r="N377" s="151">
        <f>N376+'Basic Data'!$AF$13</f>
        <v>6676.610000000027</v>
      </c>
      <c r="O377" s="151">
        <f>O376+'Basic Data'!$AG$13</f>
        <v>2662.3799999999937</v>
      </c>
      <c r="P377" s="151">
        <f>P376+'Basic Data'!$AH$13</f>
        <v>7282.8100000000595</v>
      </c>
    </row>
    <row r="378" spans="2:16">
      <c r="B378" s="156">
        <v>376</v>
      </c>
      <c r="C378" s="176">
        <v>376</v>
      </c>
      <c r="D378" s="177">
        <f t="shared" si="31"/>
        <v>4561.8600000000315</v>
      </c>
      <c r="E378" s="177">
        <f t="shared" si="32"/>
        <v>4561.8600000000315</v>
      </c>
      <c r="F378" s="177">
        <f t="shared" si="33"/>
        <v>2838.5099999999989</v>
      </c>
      <c r="G378" s="177">
        <f t="shared" si="34"/>
        <v>6694.0400000000272</v>
      </c>
      <c r="H378" s="177">
        <f t="shared" si="35"/>
        <v>2669.3299999999936</v>
      </c>
      <c r="I378" s="177">
        <f t="shared" si="36"/>
        <v>7301.8200000000597</v>
      </c>
      <c r="K378" s="151">
        <f>K377+'Basic Data'!$AC$13</f>
        <v>4561.8600000000315</v>
      </c>
      <c r="L378" s="151">
        <f>L377+'Basic Data'!$AD$13</f>
        <v>4561.8600000000315</v>
      </c>
      <c r="M378" s="151">
        <f>M377+'Basic Data'!$AE$13</f>
        <v>2838.5099999999989</v>
      </c>
      <c r="N378" s="151">
        <f>N377+'Basic Data'!$AF$13</f>
        <v>6694.0400000000272</v>
      </c>
      <c r="O378" s="151">
        <f>O377+'Basic Data'!$AG$13</f>
        <v>2669.3299999999936</v>
      </c>
      <c r="P378" s="151">
        <f>P377+'Basic Data'!$AH$13</f>
        <v>7301.8200000000597</v>
      </c>
    </row>
    <row r="379" spans="2:16">
      <c r="B379" s="156">
        <v>377</v>
      </c>
      <c r="C379" s="176">
        <v>377</v>
      </c>
      <c r="D379" s="177">
        <f t="shared" si="31"/>
        <v>4573.7400000000316</v>
      </c>
      <c r="E379" s="177">
        <f t="shared" si="32"/>
        <v>4573.7400000000316</v>
      </c>
      <c r="F379" s="177">
        <f t="shared" si="33"/>
        <v>2845.8999999999987</v>
      </c>
      <c r="G379" s="177">
        <f t="shared" si="34"/>
        <v>6711.4700000000275</v>
      </c>
      <c r="H379" s="177">
        <f t="shared" si="35"/>
        <v>2676.2799999999934</v>
      </c>
      <c r="I379" s="177">
        <f t="shared" si="36"/>
        <v>7320.83000000006</v>
      </c>
      <c r="K379" s="151">
        <f>K378+'Basic Data'!$AC$13</f>
        <v>4573.7400000000316</v>
      </c>
      <c r="L379" s="151">
        <f>L378+'Basic Data'!$AD$13</f>
        <v>4573.7400000000316</v>
      </c>
      <c r="M379" s="151">
        <f>M378+'Basic Data'!$AE$13</f>
        <v>2845.8999999999987</v>
      </c>
      <c r="N379" s="151">
        <f>N378+'Basic Data'!$AF$13</f>
        <v>6711.4700000000275</v>
      </c>
      <c r="O379" s="151">
        <f>O378+'Basic Data'!$AG$13</f>
        <v>2676.2799999999934</v>
      </c>
      <c r="P379" s="151">
        <f>P378+'Basic Data'!$AH$13</f>
        <v>7320.83000000006</v>
      </c>
    </row>
    <row r="380" spans="2:16">
      <c r="B380" s="156">
        <v>378</v>
      </c>
      <c r="C380" s="176">
        <v>378</v>
      </c>
      <c r="D380" s="177">
        <f t="shared" si="31"/>
        <v>4585.6200000000317</v>
      </c>
      <c r="E380" s="177">
        <f t="shared" si="32"/>
        <v>4585.6200000000317</v>
      </c>
      <c r="F380" s="177">
        <f t="shared" si="33"/>
        <v>2853.2899999999986</v>
      </c>
      <c r="G380" s="177">
        <f t="shared" si="34"/>
        <v>6728.9000000000278</v>
      </c>
      <c r="H380" s="177">
        <f t="shared" si="35"/>
        <v>2683.2299999999932</v>
      </c>
      <c r="I380" s="177">
        <f t="shared" si="36"/>
        <v>7339.8400000000602</v>
      </c>
      <c r="K380" s="151">
        <f>K379+'Basic Data'!$AC$13</f>
        <v>4585.6200000000317</v>
      </c>
      <c r="L380" s="151">
        <f>L379+'Basic Data'!$AD$13</f>
        <v>4585.6200000000317</v>
      </c>
      <c r="M380" s="151">
        <f>M379+'Basic Data'!$AE$13</f>
        <v>2853.2899999999986</v>
      </c>
      <c r="N380" s="151">
        <f>N379+'Basic Data'!$AF$13</f>
        <v>6728.9000000000278</v>
      </c>
      <c r="O380" s="151">
        <f>O379+'Basic Data'!$AG$13</f>
        <v>2683.2299999999932</v>
      </c>
      <c r="P380" s="151">
        <f>P379+'Basic Data'!$AH$13</f>
        <v>7339.8400000000602</v>
      </c>
    </row>
    <row r="381" spans="2:16">
      <c r="B381" s="156">
        <v>379</v>
      </c>
      <c r="C381" s="176">
        <v>379</v>
      </c>
      <c r="D381" s="177">
        <f t="shared" si="31"/>
        <v>4597.5000000000318</v>
      </c>
      <c r="E381" s="177">
        <f t="shared" si="32"/>
        <v>4597.5000000000318</v>
      </c>
      <c r="F381" s="177">
        <f t="shared" si="33"/>
        <v>2860.6799999999985</v>
      </c>
      <c r="G381" s="177">
        <f t="shared" si="34"/>
        <v>6746.3300000000281</v>
      </c>
      <c r="H381" s="177">
        <f t="shared" si="35"/>
        <v>2690.179999999993</v>
      </c>
      <c r="I381" s="177">
        <f t="shared" si="36"/>
        <v>7358.8500000000604</v>
      </c>
      <c r="K381" s="151">
        <f>K380+'Basic Data'!$AC$13</f>
        <v>4597.5000000000318</v>
      </c>
      <c r="L381" s="151">
        <f>L380+'Basic Data'!$AD$13</f>
        <v>4597.5000000000318</v>
      </c>
      <c r="M381" s="151">
        <f>M380+'Basic Data'!$AE$13</f>
        <v>2860.6799999999985</v>
      </c>
      <c r="N381" s="151">
        <f>N380+'Basic Data'!$AF$13</f>
        <v>6746.3300000000281</v>
      </c>
      <c r="O381" s="151">
        <f>O380+'Basic Data'!$AG$13</f>
        <v>2690.179999999993</v>
      </c>
      <c r="P381" s="151">
        <f>P380+'Basic Data'!$AH$13</f>
        <v>7358.8500000000604</v>
      </c>
    </row>
    <row r="382" spans="2:16">
      <c r="B382" s="156">
        <v>380</v>
      </c>
      <c r="C382" s="176">
        <v>380</v>
      </c>
      <c r="D382" s="177">
        <f t="shared" si="31"/>
        <v>4609.3800000000319</v>
      </c>
      <c r="E382" s="177">
        <f t="shared" si="32"/>
        <v>4609.3800000000319</v>
      </c>
      <c r="F382" s="177">
        <f t="shared" si="33"/>
        <v>2868.0699999999983</v>
      </c>
      <c r="G382" s="177">
        <f t="shared" si="34"/>
        <v>6763.7600000000284</v>
      </c>
      <c r="H382" s="177">
        <f t="shared" si="35"/>
        <v>2697.1299999999928</v>
      </c>
      <c r="I382" s="177">
        <f t="shared" si="36"/>
        <v>7377.8600000000606</v>
      </c>
      <c r="K382" s="151">
        <f>K381+'Basic Data'!$AC$13</f>
        <v>4609.3800000000319</v>
      </c>
      <c r="L382" s="151">
        <f>L381+'Basic Data'!$AD$13</f>
        <v>4609.3800000000319</v>
      </c>
      <c r="M382" s="151">
        <f>M381+'Basic Data'!$AE$13</f>
        <v>2868.0699999999983</v>
      </c>
      <c r="N382" s="151">
        <f>N381+'Basic Data'!$AF$13</f>
        <v>6763.7600000000284</v>
      </c>
      <c r="O382" s="151">
        <f>O381+'Basic Data'!$AG$13</f>
        <v>2697.1299999999928</v>
      </c>
      <c r="P382" s="151">
        <f>P381+'Basic Data'!$AH$13</f>
        <v>7377.8600000000606</v>
      </c>
    </row>
    <row r="383" spans="2:16">
      <c r="B383" s="156">
        <v>381</v>
      </c>
      <c r="C383" s="176">
        <v>381</v>
      </c>
      <c r="D383" s="177">
        <f t="shared" si="31"/>
        <v>4621.2600000000321</v>
      </c>
      <c r="E383" s="177">
        <f t="shared" si="32"/>
        <v>4621.2600000000321</v>
      </c>
      <c r="F383" s="177">
        <f t="shared" si="33"/>
        <v>2875.4599999999982</v>
      </c>
      <c r="G383" s="177">
        <f t="shared" si="34"/>
        <v>6781.1900000000287</v>
      </c>
      <c r="H383" s="177">
        <f t="shared" si="35"/>
        <v>2704.0799999999927</v>
      </c>
      <c r="I383" s="177">
        <f t="shared" si="36"/>
        <v>7396.8700000000608</v>
      </c>
      <c r="K383" s="151">
        <f>K382+'Basic Data'!$AC$13</f>
        <v>4621.2600000000321</v>
      </c>
      <c r="L383" s="151">
        <f>L382+'Basic Data'!$AD$13</f>
        <v>4621.2600000000321</v>
      </c>
      <c r="M383" s="151">
        <f>M382+'Basic Data'!$AE$13</f>
        <v>2875.4599999999982</v>
      </c>
      <c r="N383" s="151">
        <f>N382+'Basic Data'!$AF$13</f>
        <v>6781.1900000000287</v>
      </c>
      <c r="O383" s="151">
        <f>O382+'Basic Data'!$AG$13</f>
        <v>2704.0799999999927</v>
      </c>
      <c r="P383" s="151">
        <f>P382+'Basic Data'!$AH$13</f>
        <v>7396.8700000000608</v>
      </c>
    </row>
    <row r="384" spans="2:16">
      <c r="B384" s="156">
        <v>382</v>
      </c>
      <c r="C384" s="176">
        <v>382</v>
      </c>
      <c r="D384" s="177">
        <f t="shared" si="31"/>
        <v>4633.1400000000322</v>
      </c>
      <c r="E384" s="177">
        <f t="shared" si="32"/>
        <v>4633.1400000000322</v>
      </c>
      <c r="F384" s="177">
        <f t="shared" si="33"/>
        <v>2882.8499999999981</v>
      </c>
      <c r="G384" s="177">
        <f t="shared" si="34"/>
        <v>6798.620000000029</v>
      </c>
      <c r="H384" s="177">
        <f t="shared" si="35"/>
        <v>2711.0299999999925</v>
      </c>
      <c r="I384" s="177">
        <f t="shared" si="36"/>
        <v>7415.880000000061</v>
      </c>
      <c r="K384" s="151">
        <f>K383+'Basic Data'!$AC$13</f>
        <v>4633.1400000000322</v>
      </c>
      <c r="L384" s="151">
        <f>L383+'Basic Data'!$AD$13</f>
        <v>4633.1400000000322</v>
      </c>
      <c r="M384" s="151">
        <f>M383+'Basic Data'!$AE$13</f>
        <v>2882.8499999999981</v>
      </c>
      <c r="N384" s="151">
        <f>N383+'Basic Data'!$AF$13</f>
        <v>6798.620000000029</v>
      </c>
      <c r="O384" s="151">
        <f>O383+'Basic Data'!$AG$13</f>
        <v>2711.0299999999925</v>
      </c>
      <c r="P384" s="151">
        <f>P383+'Basic Data'!$AH$13</f>
        <v>7415.880000000061</v>
      </c>
    </row>
    <row r="385" spans="2:16">
      <c r="B385" s="156">
        <v>383</v>
      </c>
      <c r="C385" s="176">
        <v>383</v>
      </c>
      <c r="D385" s="177">
        <f t="shared" si="31"/>
        <v>4645.0200000000323</v>
      </c>
      <c r="E385" s="177">
        <f t="shared" si="32"/>
        <v>4645.0200000000323</v>
      </c>
      <c r="F385" s="177">
        <f t="shared" si="33"/>
        <v>2890.239999999998</v>
      </c>
      <c r="G385" s="177">
        <f t="shared" si="34"/>
        <v>6816.0500000000293</v>
      </c>
      <c r="H385" s="177">
        <f t="shared" si="35"/>
        <v>2717.9799999999923</v>
      </c>
      <c r="I385" s="177">
        <f t="shared" si="36"/>
        <v>7434.8900000000613</v>
      </c>
      <c r="K385" s="151">
        <f>K384+'Basic Data'!$AC$13</f>
        <v>4645.0200000000323</v>
      </c>
      <c r="L385" s="151">
        <f>L384+'Basic Data'!$AD$13</f>
        <v>4645.0200000000323</v>
      </c>
      <c r="M385" s="151">
        <f>M384+'Basic Data'!$AE$13</f>
        <v>2890.239999999998</v>
      </c>
      <c r="N385" s="151">
        <f>N384+'Basic Data'!$AF$13</f>
        <v>6816.0500000000293</v>
      </c>
      <c r="O385" s="151">
        <f>O384+'Basic Data'!$AG$13</f>
        <v>2717.9799999999923</v>
      </c>
      <c r="P385" s="151">
        <f>P384+'Basic Data'!$AH$13</f>
        <v>7434.8900000000613</v>
      </c>
    </row>
    <row r="386" spans="2:16">
      <c r="B386" s="156">
        <v>384</v>
      </c>
      <c r="C386" s="176">
        <v>384</v>
      </c>
      <c r="D386" s="177">
        <f t="shared" si="31"/>
        <v>4656.9000000000324</v>
      </c>
      <c r="E386" s="177">
        <f t="shared" si="32"/>
        <v>4656.9000000000324</v>
      </c>
      <c r="F386" s="177">
        <f t="shared" si="33"/>
        <v>2897.6299999999978</v>
      </c>
      <c r="G386" s="177">
        <f t="shared" si="34"/>
        <v>6833.4800000000296</v>
      </c>
      <c r="H386" s="177">
        <f t="shared" si="35"/>
        <v>2724.9299999999921</v>
      </c>
      <c r="I386" s="177">
        <f t="shared" si="36"/>
        <v>7453.9000000000615</v>
      </c>
      <c r="K386" s="151">
        <f>K385+'Basic Data'!$AC$13</f>
        <v>4656.9000000000324</v>
      </c>
      <c r="L386" s="151">
        <f>L385+'Basic Data'!$AD$13</f>
        <v>4656.9000000000324</v>
      </c>
      <c r="M386" s="151">
        <f>M385+'Basic Data'!$AE$13</f>
        <v>2897.6299999999978</v>
      </c>
      <c r="N386" s="151">
        <f>N385+'Basic Data'!$AF$13</f>
        <v>6833.4800000000296</v>
      </c>
      <c r="O386" s="151">
        <f>O385+'Basic Data'!$AG$13</f>
        <v>2724.9299999999921</v>
      </c>
      <c r="P386" s="151">
        <f>P385+'Basic Data'!$AH$13</f>
        <v>7453.9000000000615</v>
      </c>
    </row>
    <row r="387" spans="2:16">
      <c r="B387" s="156">
        <v>385</v>
      </c>
      <c r="C387" s="176">
        <v>385</v>
      </c>
      <c r="D387" s="177">
        <f t="shared" si="31"/>
        <v>4668.7800000000325</v>
      </c>
      <c r="E387" s="177">
        <f t="shared" si="32"/>
        <v>4668.7800000000325</v>
      </c>
      <c r="F387" s="177">
        <f t="shared" si="33"/>
        <v>2905.0199999999977</v>
      </c>
      <c r="G387" s="177">
        <f t="shared" si="34"/>
        <v>6850.9100000000299</v>
      </c>
      <c r="H387" s="177">
        <f t="shared" si="35"/>
        <v>2731.8799999999919</v>
      </c>
      <c r="I387" s="177">
        <f t="shared" si="36"/>
        <v>7472.9100000000617</v>
      </c>
      <c r="K387" s="151">
        <f>K386+'Basic Data'!$AC$13</f>
        <v>4668.7800000000325</v>
      </c>
      <c r="L387" s="151">
        <f>L386+'Basic Data'!$AD$13</f>
        <v>4668.7800000000325</v>
      </c>
      <c r="M387" s="151">
        <f>M386+'Basic Data'!$AE$13</f>
        <v>2905.0199999999977</v>
      </c>
      <c r="N387" s="151">
        <f>N386+'Basic Data'!$AF$13</f>
        <v>6850.9100000000299</v>
      </c>
      <c r="O387" s="151">
        <f>O386+'Basic Data'!$AG$13</f>
        <v>2731.8799999999919</v>
      </c>
      <c r="P387" s="151">
        <f>P386+'Basic Data'!$AH$13</f>
        <v>7472.9100000000617</v>
      </c>
    </row>
    <row r="388" spans="2:16">
      <c r="B388" s="156">
        <v>386</v>
      </c>
      <c r="C388" s="176">
        <v>386</v>
      </c>
      <c r="D388" s="177">
        <f t="shared" ref="D388:D451" si="37">K388</f>
        <v>4680.6600000000326</v>
      </c>
      <c r="E388" s="177">
        <f t="shared" ref="E388:E451" si="38">L388</f>
        <v>4680.6600000000326</v>
      </c>
      <c r="F388" s="177">
        <f t="shared" ref="F388:F451" si="39">M388</f>
        <v>2912.4099999999976</v>
      </c>
      <c r="G388" s="177">
        <f t="shared" ref="G388:G451" si="40">N388</f>
        <v>6868.3400000000302</v>
      </c>
      <c r="H388" s="177">
        <f t="shared" ref="H388:H451" si="41">O388</f>
        <v>2738.8299999999917</v>
      </c>
      <c r="I388" s="177">
        <f t="shared" ref="I388:I451" si="42">P388</f>
        <v>7491.9200000000619</v>
      </c>
      <c r="K388" s="151">
        <f>K387+'Basic Data'!$AC$13</f>
        <v>4680.6600000000326</v>
      </c>
      <c r="L388" s="151">
        <f>L387+'Basic Data'!$AD$13</f>
        <v>4680.6600000000326</v>
      </c>
      <c r="M388" s="151">
        <f>M387+'Basic Data'!$AE$13</f>
        <v>2912.4099999999976</v>
      </c>
      <c r="N388" s="151">
        <f>N387+'Basic Data'!$AF$13</f>
        <v>6868.3400000000302</v>
      </c>
      <c r="O388" s="151">
        <f>O387+'Basic Data'!$AG$13</f>
        <v>2738.8299999999917</v>
      </c>
      <c r="P388" s="151">
        <f>P387+'Basic Data'!$AH$13</f>
        <v>7491.9200000000619</v>
      </c>
    </row>
    <row r="389" spans="2:16">
      <c r="B389" s="156">
        <v>387</v>
      </c>
      <c r="C389" s="176">
        <v>387</v>
      </c>
      <c r="D389" s="177">
        <f t="shared" si="37"/>
        <v>4692.5400000000327</v>
      </c>
      <c r="E389" s="177">
        <f t="shared" si="38"/>
        <v>4692.5400000000327</v>
      </c>
      <c r="F389" s="177">
        <f t="shared" si="39"/>
        <v>2919.7999999999975</v>
      </c>
      <c r="G389" s="177">
        <f t="shared" si="40"/>
        <v>6885.7700000000304</v>
      </c>
      <c r="H389" s="177">
        <f t="shared" si="41"/>
        <v>2745.7799999999916</v>
      </c>
      <c r="I389" s="177">
        <f t="shared" si="42"/>
        <v>7510.9300000000621</v>
      </c>
      <c r="K389" s="151">
        <f>K388+'Basic Data'!$AC$13</f>
        <v>4692.5400000000327</v>
      </c>
      <c r="L389" s="151">
        <f>L388+'Basic Data'!$AD$13</f>
        <v>4692.5400000000327</v>
      </c>
      <c r="M389" s="151">
        <f>M388+'Basic Data'!$AE$13</f>
        <v>2919.7999999999975</v>
      </c>
      <c r="N389" s="151">
        <f>N388+'Basic Data'!$AF$13</f>
        <v>6885.7700000000304</v>
      </c>
      <c r="O389" s="151">
        <f>O388+'Basic Data'!$AG$13</f>
        <v>2745.7799999999916</v>
      </c>
      <c r="P389" s="151">
        <f>P388+'Basic Data'!$AH$13</f>
        <v>7510.9300000000621</v>
      </c>
    </row>
    <row r="390" spans="2:16">
      <c r="B390" s="156">
        <v>388</v>
      </c>
      <c r="C390" s="176">
        <v>388</v>
      </c>
      <c r="D390" s="177">
        <f t="shared" si="37"/>
        <v>4704.4200000000328</v>
      </c>
      <c r="E390" s="177">
        <f t="shared" si="38"/>
        <v>4704.4200000000328</v>
      </c>
      <c r="F390" s="177">
        <f t="shared" si="39"/>
        <v>2927.1899999999973</v>
      </c>
      <c r="G390" s="177">
        <f t="shared" si="40"/>
        <v>6903.2000000000307</v>
      </c>
      <c r="H390" s="177">
        <f t="shared" si="41"/>
        <v>2752.7299999999914</v>
      </c>
      <c r="I390" s="177">
        <f t="shared" si="42"/>
        <v>7529.9400000000624</v>
      </c>
      <c r="K390" s="151">
        <f>K389+'Basic Data'!$AC$13</f>
        <v>4704.4200000000328</v>
      </c>
      <c r="L390" s="151">
        <f>L389+'Basic Data'!$AD$13</f>
        <v>4704.4200000000328</v>
      </c>
      <c r="M390" s="151">
        <f>M389+'Basic Data'!$AE$13</f>
        <v>2927.1899999999973</v>
      </c>
      <c r="N390" s="151">
        <f>N389+'Basic Data'!$AF$13</f>
        <v>6903.2000000000307</v>
      </c>
      <c r="O390" s="151">
        <f>O389+'Basic Data'!$AG$13</f>
        <v>2752.7299999999914</v>
      </c>
      <c r="P390" s="151">
        <f>P389+'Basic Data'!$AH$13</f>
        <v>7529.9400000000624</v>
      </c>
    </row>
    <row r="391" spans="2:16">
      <c r="B391" s="156">
        <v>389</v>
      </c>
      <c r="C391" s="176">
        <v>389</v>
      </c>
      <c r="D391" s="177">
        <f t="shared" si="37"/>
        <v>4716.3000000000329</v>
      </c>
      <c r="E391" s="177">
        <f t="shared" si="38"/>
        <v>4716.3000000000329</v>
      </c>
      <c r="F391" s="177">
        <f t="shared" si="39"/>
        <v>2934.5799999999972</v>
      </c>
      <c r="G391" s="177">
        <f t="shared" si="40"/>
        <v>6920.630000000031</v>
      </c>
      <c r="H391" s="177">
        <f t="shared" si="41"/>
        <v>2759.6799999999912</v>
      </c>
      <c r="I391" s="177">
        <f t="shared" si="42"/>
        <v>7548.9500000000626</v>
      </c>
      <c r="K391" s="151">
        <f>K390+'Basic Data'!$AC$13</f>
        <v>4716.3000000000329</v>
      </c>
      <c r="L391" s="151">
        <f>L390+'Basic Data'!$AD$13</f>
        <v>4716.3000000000329</v>
      </c>
      <c r="M391" s="151">
        <f>M390+'Basic Data'!$AE$13</f>
        <v>2934.5799999999972</v>
      </c>
      <c r="N391" s="151">
        <f>N390+'Basic Data'!$AF$13</f>
        <v>6920.630000000031</v>
      </c>
      <c r="O391" s="151">
        <f>O390+'Basic Data'!$AG$13</f>
        <v>2759.6799999999912</v>
      </c>
      <c r="P391" s="151">
        <f>P390+'Basic Data'!$AH$13</f>
        <v>7548.9500000000626</v>
      </c>
    </row>
    <row r="392" spans="2:16">
      <c r="B392" s="156">
        <v>390</v>
      </c>
      <c r="C392" s="176">
        <v>390</v>
      </c>
      <c r="D392" s="177">
        <f t="shared" si="37"/>
        <v>4728.180000000033</v>
      </c>
      <c r="E392" s="177">
        <f t="shared" si="38"/>
        <v>4728.180000000033</v>
      </c>
      <c r="F392" s="177">
        <f t="shared" si="39"/>
        <v>2941.9699999999971</v>
      </c>
      <c r="G392" s="177">
        <f t="shared" si="40"/>
        <v>6938.0600000000313</v>
      </c>
      <c r="H392" s="177">
        <f t="shared" si="41"/>
        <v>2766.629999999991</v>
      </c>
      <c r="I392" s="177">
        <f t="shared" si="42"/>
        <v>7567.9600000000628</v>
      </c>
      <c r="K392" s="151">
        <f>K391+'Basic Data'!$AC$13</f>
        <v>4728.180000000033</v>
      </c>
      <c r="L392" s="151">
        <f>L391+'Basic Data'!$AD$13</f>
        <v>4728.180000000033</v>
      </c>
      <c r="M392" s="151">
        <f>M391+'Basic Data'!$AE$13</f>
        <v>2941.9699999999971</v>
      </c>
      <c r="N392" s="151">
        <f>N391+'Basic Data'!$AF$13</f>
        <v>6938.0600000000313</v>
      </c>
      <c r="O392" s="151">
        <f>O391+'Basic Data'!$AG$13</f>
        <v>2766.629999999991</v>
      </c>
      <c r="P392" s="151">
        <f>P391+'Basic Data'!$AH$13</f>
        <v>7567.9600000000628</v>
      </c>
    </row>
    <row r="393" spans="2:16">
      <c r="B393" s="156">
        <v>391</v>
      </c>
      <c r="C393" s="176">
        <v>391</v>
      </c>
      <c r="D393" s="177">
        <f t="shared" si="37"/>
        <v>4740.0600000000331</v>
      </c>
      <c r="E393" s="177">
        <f t="shared" si="38"/>
        <v>4740.0600000000331</v>
      </c>
      <c r="F393" s="177">
        <f t="shared" si="39"/>
        <v>2949.3599999999969</v>
      </c>
      <c r="G393" s="177">
        <f t="shared" si="40"/>
        <v>6955.4900000000316</v>
      </c>
      <c r="H393" s="177">
        <f t="shared" si="41"/>
        <v>2773.5799999999908</v>
      </c>
      <c r="I393" s="177">
        <f t="shared" si="42"/>
        <v>7586.970000000063</v>
      </c>
      <c r="K393" s="151">
        <f>K392+'Basic Data'!$AC$13</f>
        <v>4740.0600000000331</v>
      </c>
      <c r="L393" s="151">
        <f>L392+'Basic Data'!$AD$13</f>
        <v>4740.0600000000331</v>
      </c>
      <c r="M393" s="151">
        <f>M392+'Basic Data'!$AE$13</f>
        <v>2949.3599999999969</v>
      </c>
      <c r="N393" s="151">
        <f>N392+'Basic Data'!$AF$13</f>
        <v>6955.4900000000316</v>
      </c>
      <c r="O393" s="151">
        <f>O392+'Basic Data'!$AG$13</f>
        <v>2773.5799999999908</v>
      </c>
      <c r="P393" s="151">
        <f>P392+'Basic Data'!$AH$13</f>
        <v>7586.970000000063</v>
      </c>
    </row>
    <row r="394" spans="2:16">
      <c r="B394" s="156">
        <v>392</v>
      </c>
      <c r="C394" s="176">
        <v>392</v>
      </c>
      <c r="D394" s="177">
        <f t="shared" si="37"/>
        <v>4751.9400000000333</v>
      </c>
      <c r="E394" s="177">
        <f t="shared" si="38"/>
        <v>4751.9400000000333</v>
      </c>
      <c r="F394" s="177">
        <f t="shared" si="39"/>
        <v>2956.7499999999968</v>
      </c>
      <c r="G394" s="177">
        <f t="shared" si="40"/>
        <v>6972.9200000000319</v>
      </c>
      <c r="H394" s="177">
        <f t="shared" si="41"/>
        <v>2780.5299999999907</v>
      </c>
      <c r="I394" s="177">
        <f t="shared" si="42"/>
        <v>7605.9800000000632</v>
      </c>
      <c r="K394" s="151">
        <f>K393+'Basic Data'!$AC$13</f>
        <v>4751.9400000000333</v>
      </c>
      <c r="L394" s="151">
        <f>L393+'Basic Data'!$AD$13</f>
        <v>4751.9400000000333</v>
      </c>
      <c r="M394" s="151">
        <f>M393+'Basic Data'!$AE$13</f>
        <v>2956.7499999999968</v>
      </c>
      <c r="N394" s="151">
        <f>N393+'Basic Data'!$AF$13</f>
        <v>6972.9200000000319</v>
      </c>
      <c r="O394" s="151">
        <f>O393+'Basic Data'!$AG$13</f>
        <v>2780.5299999999907</v>
      </c>
      <c r="P394" s="151">
        <f>P393+'Basic Data'!$AH$13</f>
        <v>7605.9800000000632</v>
      </c>
    </row>
    <row r="395" spans="2:16">
      <c r="B395" s="156">
        <v>393</v>
      </c>
      <c r="C395" s="176">
        <v>393</v>
      </c>
      <c r="D395" s="177">
        <f t="shared" si="37"/>
        <v>4763.8200000000334</v>
      </c>
      <c r="E395" s="177">
        <f t="shared" si="38"/>
        <v>4763.8200000000334</v>
      </c>
      <c r="F395" s="177">
        <f t="shared" si="39"/>
        <v>2964.1399999999967</v>
      </c>
      <c r="G395" s="177">
        <f t="shared" si="40"/>
        <v>6990.3500000000322</v>
      </c>
      <c r="H395" s="177">
        <f t="shared" si="41"/>
        <v>2787.4799999999905</v>
      </c>
      <c r="I395" s="177">
        <f t="shared" si="42"/>
        <v>7624.9900000000634</v>
      </c>
      <c r="K395" s="151">
        <f>K394+'Basic Data'!$AC$13</f>
        <v>4763.8200000000334</v>
      </c>
      <c r="L395" s="151">
        <f>L394+'Basic Data'!$AD$13</f>
        <v>4763.8200000000334</v>
      </c>
      <c r="M395" s="151">
        <f>M394+'Basic Data'!$AE$13</f>
        <v>2964.1399999999967</v>
      </c>
      <c r="N395" s="151">
        <f>N394+'Basic Data'!$AF$13</f>
        <v>6990.3500000000322</v>
      </c>
      <c r="O395" s="151">
        <f>O394+'Basic Data'!$AG$13</f>
        <v>2787.4799999999905</v>
      </c>
      <c r="P395" s="151">
        <f>P394+'Basic Data'!$AH$13</f>
        <v>7624.9900000000634</v>
      </c>
    </row>
    <row r="396" spans="2:16">
      <c r="B396" s="156">
        <v>394</v>
      </c>
      <c r="C396" s="176">
        <v>394</v>
      </c>
      <c r="D396" s="177">
        <f t="shared" si="37"/>
        <v>4775.7000000000335</v>
      </c>
      <c r="E396" s="177">
        <f t="shared" si="38"/>
        <v>4775.7000000000335</v>
      </c>
      <c r="F396" s="177">
        <f t="shared" si="39"/>
        <v>2971.5299999999966</v>
      </c>
      <c r="G396" s="177">
        <f t="shared" si="40"/>
        <v>7007.7800000000325</v>
      </c>
      <c r="H396" s="177">
        <f t="shared" si="41"/>
        <v>2794.4299999999903</v>
      </c>
      <c r="I396" s="177">
        <f t="shared" si="42"/>
        <v>7644.0000000000637</v>
      </c>
      <c r="K396" s="151">
        <f>K395+'Basic Data'!$AC$13</f>
        <v>4775.7000000000335</v>
      </c>
      <c r="L396" s="151">
        <f>L395+'Basic Data'!$AD$13</f>
        <v>4775.7000000000335</v>
      </c>
      <c r="M396" s="151">
        <f>M395+'Basic Data'!$AE$13</f>
        <v>2971.5299999999966</v>
      </c>
      <c r="N396" s="151">
        <f>N395+'Basic Data'!$AF$13</f>
        <v>7007.7800000000325</v>
      </c>
      <c r="O396" s="151">
        <f>O395+'Basic Data'!$AG$13</f>
        <v>2794.4299999999903</v>
      </c>
      <c r="P396" s="151">
        <f>P395+'Basic Data'!$AH$13</f>
        <v>7644.0000000000637</v>
      </c>
    </row>
    <row r="397" spans="2:16">
      <c r="B397" s="156">
        <v>395</v>
      </c>
      <c r="C397" s="176">
        <v>395</v>
      </c>
      <c r="D397" s="177">
        <f t="shared" si="37"/>
        <v>4787.5800000000336</v>
      </c>
      <c r="E397" s="177">
        <f t="shared" si="38"/>
        <v>4787.5800000000336</v>
      </c>
      <c r="F397" s="177">
        <f t="shared" si="39"/>
        <v>2978.9199999999964</v>
      </c>
      <c r="G397" s="177">
        <f t="shared" si="40"/>
        <v>7025.2100000000328</v>
      </c>
      <c r="H397" s="177">
        <f t="shared" si="41"/>
        <v>2801.3799999999901</v>
      </c>
      <c r="I397" s="177">
        <f t="shared" si="42"/>
        <v>7663.0100000000639</v>
      </c>
      <c r="K397" s="151">
        <f>K396+'Basic Data'!$AC$13</f>
        <v>4787.5800000000336</v>
      </c>
      <c r="L397" s="151">
        <f>L396+'Basic Data'!$AD$13</f>
        <v>4787.5800000000336</v>
      </c>
      <c r="M397" s="151">
        <f>M396+'Basic Data'!$AE$13</f>
        <v>2978.9199999999964</v>
      </c>
      <c r="N397" s="151">
        <f>N396+'Basic Data'!$AF$13</f>
        <v>7025.2100000000328</v>
      </c>
      <c r="O397" s="151">
        <f>O396+'Basic Data'!$AG$13</f>
        <v>2801.3799999999901</v>
      </c>
      <c r="P397" s="151">
        <f>P396+'Basic Data'!$AH$13</f>
        <v>7663.0100000000639</v>
      </c>
    </row>
    <row r="398" spans="2:16">
      <c r="B398" s="156">
        <v>396</v>
      </c>
      <c r="C398" s="176">
        <v>396</v>
      </c>
      <c r="D398" s="177">
        <f t="shared" si="37"/>
        <v>4799.4600000000337</v>
      </c>
      <c r="E398" s="177">
        <f t="shared" si="38"/>
        <v>4799.4600000000337</v>
      </c>
      <c r="F398" s="177">
        <f t="shared" si="39"/>
        <v>2986.3099999999963</v>
      </c>
      <c r="G398" s="177">
        <f t="shared" si="40"/>
        <v>7042.6400000000331</v>
      </c>
      <c r="H398" s="177">
        <f t="shared" si="41"/>
        <v>2808.3299999999899</v>
      </c>
      <c r="I398" s="177">
        <f t="shared" si="42"/>
        <v>7682.0200000000641</v>
      </c>
      <c r="K398" s="151">
        <f>K397+'Basic Data'!$AC$13</f>
        <v>4799.4600000000337</v>
      </c>
      <c r="L398" s="151">
        <f>L397+'Basic Data'!$AD$13</f>
        <v>4799.4600000000337</v>
      </c>
      <c r="M398" s="151">
        <f>M397+'Basic Data'!$AE$13</f>
        <v>2986.3099999999963</v>
      </c>
      <c r="N398" s="151">
        <f>N397+'Basic Data'!$AF$13</f>
        <v>7042.6400000000331</v>
      </c>
      <c r="O398" s="151">
        <f>O397+'Basic Data'!$AG$13</f>
        <v>2808.3299999999899</v>
      </c>
      <c r="P398" s="151">
        <f>P397+'Basic Data'!$AH$13</f>
        <v>7682.0200000000641</v>
      </c>
    </row>
    <row r="399" spans="2:16">
      <c r="B399" s="156">
        <v>397</v>
      </c>
      <c r="C399" s="176">
        <v>397</v>
      </c>
      <c r="D399" s="177">
        <f t="shared" si="37"/>
        <v>4811.3400000000338</v>
      </c>
      <c r="E399" s="177">
        <f t="shared" si="38"/>
        <v>4811.3400000000338</v>
      </c>
      <c r="F399" s="177">
        <f t="shared" si="39"/>
        <v>2993.6999999999962</v>
      </c>
      <c r="G399" s="177">
        <f t="shared" si="40"/>
        <v>7060.0700000000334</v>
      </c>
      <c r="H399" s="177">
        <f t="shared" si="41"/>
        <v>2815.2799999999897</v>
      </c>
      <c r="I399" s="177">
        <f t="shared" si="42"/>
        <v>7701.0300000000643</v>
      </c>
      <c r="K399" s="151">
        <f>K398+'Basic Data'!$AC$13</f>
        <v>4811.3400000000338</v>
      </c>
      <c r="L399" s="151">
        <f>L398+'Basic Data'!$AD$13</f>
        <v>4811.3400000000338</v>
      </c>
      <c r="M399" s="151">
        <f>M398+'Basic Data'!$AE$13</f>
        <v>2993.6999999999962</v>
      </c>
      <c r="N399" s="151">
        <f>N398+'Basic Data'!$AF$13</f>
        <v>7060.0700000000334</v>
      </c>
      <c r="O399" s="151">
        <f>O398+'Basic Data'!$AG$13</f>
        <v>2815.2799999999897</v>
      </c>
      <c r="P399" s="151">
        <f>P398+'Basic Data'!$AH$13</f>
        <v>7701.0300000000643</v>
      </c>
    </row>
    <row r="400" spans="2:16">
      <c r="B400" s="156">
        <v>398</v>
      </c>
      <c r="C400" s="176">
        <v>398</v>
      </c>
      <c r="D400" s="177">
        <f t="shared" si="37"/>
        <v>4823.2200000000339</v>
      </c>
      <c r="E400" s="177">
        <f t="shared" si="38"/>
        <v>4823.2200000000339</v>
      </c>
      <c r="F400" s="177">
        <f t="shared" si="39"/>
        <v>3001.0899999999961</v>
      </c>
      <c r="G400" s="177">
        <f t="shared" si="40"/>
        <v>7077.5000000000337</v>
      </c>
      <c r="H400" s="177">
        <f t="shared" si="41"/>
        <v>2822.2299999999896</v>
      </c>
      <c r="I400" s="177">
        <f t="shared" si="42"/>
        <v>7720.0400000000645</v>
      </c>
      <c r="K400" s="151">
        <f>K399+'Basic Data'!$AC$13</f>
        <v>4823.2200000000339</v>
      </c>
      <c r="L400" s="151">
        <f>L399+'Basic Data'!$AD$13</f>
        <v>4823.2200000000339</v>
      </c>
      <c r="M400" s="151">
        <f>M399+'Basic Data'!$AE$13</f>
        <v>3001.0899999999961</v>
      </c>
      <c r="N400" s="151">
        <f>N399+'Basic Data'!$AF$13</f>
        <v>7077.5000000000337</v>
      </c>
      <c r="O400" s="151">
        <f>O399+'Basic Data'!$AG$13</f>
        <v>2822.2299999999896</v>
      </c>
      <c r="P400" s="151">
        <f>P399+'Basic Data'!$AH$13</f>
        <v>7720.0400000000645</v>
      </c>
    </row>
    <row r="401" spans="2:16">
      <c r="B401" s="156">
        <v>399</v>
      </c>
      <c r="C401" s="176">
        <v>399</v>
      </c>
      <c r="D401" s="177">
        <f t="shared" si="37"/>
        <v>4835.100000000034</v>
      </c>
      <c r="E401" s="177">
        <f t="shared" si="38"/>
        <v>4835.100000000034</v>
      </c>
      <c r="F401" s="177">
        <f t="shared" si="39"/>
        <v>3008.4799999999959</v>
      </c>
      <c r="G401" s="177">
        <f t="shared" si="40"/>
        <v>7094.9300000000339</v>
      </c>
      <c r="H401" s="177">
        <f t="shared" si="41"/>
        <v>2829.1799999999894</v>
      </c>
      <c r="I401" s="177">
        <f t="shared" si="42"/>
        <v>7739.0500000000648</v>
      </c>
      <c r="K401" s="151">
        <f>K400+'Basic Data'!$AC$13</f>
        <v>4835.100000000034</v>
      </c>
      <c r="L401" s="151">
        <f>L400+'Basic Data'!$AD$13</f>
        <v>4835.100000000034</v>
      </c>
      <c r="M401" s="151">
        <f>M400+'Basic Data'!$AE$13</f>
        <v>3008.4799999999959</v>
      </c>
      <c r="N401" s="151">
        <f>N400+'Basic Data'!$AF$13</f>
        <v>7094.9300000000339</v>
      </c>
      <c r="O401" s="151">
        <f>O400+'Basic Data'!$AG$13</f>
        <v>2829.1799999999894</v>
      </c>
      <c r="P401" s="151">
        <f>P400+'Basic Data'!$AH$13</f>
        <v>7739.0500000000648</v>
      </c>
    </row>
    <row r="402" spans="2:16">
      <c r="B402" s="156">
        <v>400</v>
      </c>
      <c r="C402" s="176">
        <v>400</v>
      </c>
      <c r="D402" s="177">
        <f t="shared" si="37"/>
        <v>4846.9800000000341</v>
      </c>
      <c r="E402" s="177">
        <f t="shared" si="38"/>
        <v>4846.9800000000341</v>
      </c>
      <c r="F402" s="177">
        <f t="shared" si="39"/>
        <v>3015.8699999999958</v>
      </c>
      <c r="G402" s="177">
        <f t="shared" si="40"/>
        <v>7112.3600000000342</v>
      </c>
      <c r="H402" s="177">
        <f t="shared" si="41"/>
        <v>2836.1299999999892</v>
      </c>
      <c r="I402" s="177">
        <f t="shared" si="42"/>
        <v>7758.060000000065</v>
      </c>
      <c r="K402" s="151">
        <f>K401+'Basic Data'!$AC$13</f>
        <v>4846.9800000000341</v>
      </c>
      <c r="L402" s="151">
        <f>L401+'Basic Data'!$AD$13</f>
        <v>4846.9800000000341</v>
      </c>
      <c r="M402" s="151">
        <f>M401+'Basic Data'!$AE$13</f>
        <v>3015.8699999999958</v>
      </c>
      <c r="N402" s="151">
        <f>N401+'Basic Data'!$AF$13</f>
        <v>7112.3600000000342</v>
      </c>
      <c r="O402" s="151">
        <f>O401+'Basic Data'!$AG$13</f>
        <v>2836.1299999999892</v>
      </c>
      <c r="P402" s="151">
        <f>P401+'Basic Data'!$AH$13</f>
        <v>7758.060000000065</v>
      </c>
    </row>
    <row r="403" spans="2:16">
      <c r="B403" s="156">
        <v>401</v>
      </c>
      <c r="C403" s="176">
        <v>401</v>
      </c>
      <c r="D403" s="177">
        <f t="shared" si="37"/>
        <v>4858.8600000000342</v>
      </c>
      <c r="E403" s="177">
        <f t="shared" si="38"/>
        <v>4858.8600000000342</v>
      </c>
      <c r="F403" s="177">
        <f t="shared" si="39"/>
        <v>3023.2599999999957</v>
      </c>
      <c r="G403" s="177">
        <f t="shared" si="40"/>
        <v>7129.7900000000345</v>
      </c>
      <c r="H403" s="177">
        <f t="shared" si="41"/>
        <v>2843.079999999989</v>
      </c>
      <c r="I403" s="177">
        <f t="shared" si="42"/>
        <v>7777.0700000000652</v>
      </c>
      <c r="K403" s="151">
        <f>K402+'Basic Data'!$AC$13</f>
        <v>4858.8600000000342</v>
      </c>
      <c r="L403" s="151">
        <f>L402+'Basic Data'!$AD$13</f>
        <v>4858.8600000000342</v>
      </c>
      <c r="M403" s="151">
        <f>M402+'Basic Data'!$AE$13</f>
        <v>3023.2599999999957</v>
      </c>
      <c r="N403" s="151">
        <f>N402+'Basic Data'!$AF$13</f>
        <v>7129.7900000000345</v>
      </c>
      <c r="O403" s="151">
        <f>O402+'Basic Data'!$AG$13</f>
        <v>2843.079999999989</v>
      </c>
      <c r="P403" s="151">
        <f>P402+'Basic Data'!$AH$13</f>
        <v>7777.0700000000652</v>
      </c>
    </row>
    <row r="404" spans="2:16">
      <c r="B404" s="156">
        <v>402</v>
      </c>
      <c r="C404" s="176">
        <v>402</v>
      </c>
      <c r="D404" s="177">
        <f t="shared" si="37"/>
        <v>4870.7400000000343</v>
      </c>
      <c r="E404" s="177">
        <f t="shared" si="38"/>
        <v>4870.7400000000343</v>
      </c>
      <c r="F404" s="177">
        <f t="shared" si="39"/>
        <v>3030.6499999999955</v>
      </c>
      <c r="G404" s="177">
        <f t="shared" si="40"/>
        <v>7147.2200000000348</v>
      </c>
      <c r="H404" s="177">
        <f t="shared" si="41"/>
        <v>2850.0299999999888</v>
      </c>
      <c r="I404" s="177">
        <f t="shared" si="42"/>
        <v>7796.0800000000654</v>
      </c>
      <c r="K404" s="151">
        <f>K403+'Basic Data'!$AC$13</f>
        <v>4870.7400000000343</v>
      </c>
      <c r="L404" s="151">
        <f>L403+'Basic Data'!$AD$13</f>
        <v>4870.7400000000343</v>
      </c>
      <c r="M404" s="151">
        <f>M403+'Basic Data'!$AE$13</f>
        <v>3030.6499999999955</v>
      </c>
      <c r="N404" s="151">
        <f>N403+'Basic Data'!$AF$13</f>
        <v>7147.2200000000348</v>
      </c>
      <c r="O404" s="151">
        <f>O403+'Basic Data'!$AG$13</f>
        <v>2850.0299999999888</v>
      </c>
      <c r="P404" s="151">
        <f>P403+'Basic Data'!$AH$13</f>
        <v>7796.0800000000654</v>
      </c>
    </row>
    <row r="405" spans="2:16">
      <c r="B405" s="156">
        <v>403</v>
      </c>
      <c r="C405" s="176">
        <v>403</v>
      </c>
      <c r="D405" s="177">
        <f t="shared" si="37"/>
        <v>4882.6200000000345</v>
      </c>
      <c r="E405" s="177">
        <f t="shared" si="38"/>
        <v>4882.6200000000345</v>
      </c>
      <c r="F405" s="177">
        <f t="shared" si="39"/>
        <v>3038.0399999999954</v>
      </c>
      <c r="G405" s="177">
        <f t="shared" si="40"/>
        <v>7164.6500000000351</v>
      </c>
      <c r="H405" s="177">
        <f t="shared" si="41"/>
        <v>2856.9799999999886</v>
      </c>
      <c r="I405" s="177">
        <f t="shared" si="42"/>
        <v>7815.0900000000656</v>
      </c>
      <c r="K405" s="151">
        <f>K404+'Basic Data'!$AC$13</f>
        <v>4882.6200000000345</v>
      </c>
      <c r="L405" s="151">
        <f>L404+'Basic Data'!$AD$13</f>
        <v>4882.6200000000345</v>
      </c>
      <c r="M405" s="151">
        <f>M404+'Basic Data'!$AE$13</f>
        <v>3038.0399999999954</v>
      </c>
      <c r="N405" s="151">
        <f>N404+'Basic Data'!$AF$13</f>
        <v>7164.6500000000351</v>
      </c>
      <c r="O405" s="151">
        <f>O404+'Basic Data'!$AG$13</f>
        <v>2856.9799999999886</v>
      </c>
      <c r="P405" s="151">
        <f>P404+'Basic Data'!$AH$13</f>
        <v>7815.0900000000656</v>
      </c>
    </row>
    <row r="406" spans="2:16">
      <c r="B406" s="156">
        <v>404</v>
      </c>
      <c r="C406" s="176">
        <v>404</v>
      </c>
      <c r="D406" s="177">
        <f t="shared" si="37"/>
        <v>4894.5000000000346</v>
      </c>
      <c r="E406" s="177">
        <f t="shared" si="38"/>
        <v>4894.5000000000346</v>
      </c>
      <c r="F406" s="177">
        <f t="shared" si="39"/>
        <v>3045.4299999999953</v>
      </c>
      <c r="G406" s="177">
        <f t="shared" si="40"/>
        <v>7182.0800000000354</v>
      </c>
      <c r="H406" s="177">
        <f t="shared" si="41"/>
        <v>2863.9299999999885</v>
      </c>
      <c r="I406" s="177">
        <f t="shared" si="42"/>
        <v>7834.1000000000658</v>
      </c>
      <c r="K406" s="151">
        <f>K405+'Basic Data'!$AC$13</f>
        <v>4894.5000000000346</v>
      </c>
      <c r="L406" s="151">
        <f>L405+'Basic Data'!$AD$13</f>
        <v>4894.5000000000346</v>
      </c>
      <c r="M406" s="151">
        <f>M405+'Basic Data'!$AE$13</f>
        <v>3045.4299999999953</v>
      </c>
      <c r="N406" s="151">
        <f>N405+'Basic Data'!$AF$13</f>
        <v>7182.0800000000354</v>
      </c>
      <c r="O406" s="151">
        <f>O405+'Basic Data'!$AG$13</f>
        <v>2863.9299999999885</v>
      </c>
      <c r="P406" s="151">
        <f>P405+'Basic Data'!$AH$13</f>
        <v>7834.1000000000658</v>
      </c>
    </row>
    <row r="407" spans="2:16">
      <c r="B407" s="156">
        <v>405</v>
      </c>
      <c r="C407" s="176">
        <v>405</v>
      </c>
      <c r="D407" s="177">
        <f t="shared" si="37"/>
        <v>4906.3800000000347</v>
      </c>
      <c r="E407" s="177">
        <f t="shared" si="38"/>
        <v>4906.3800000000347</v>
      </c>
      <c r="F407" s="177">
        <f t="shared" si="39"/>
        <v>3052.8199999999952</v>
      </c>
      <c r="G407" s="177">
        <f t="shared" si="40"/>
        <v>7199.5100000000357</v>
      </c>
      <c r="H407" s="177">
        <f t="shared" si="41"/>
        <v>2870.8799999999883</v>
      </c>
      <c r="I407" s="177">
        <f t="shared" si="42"/>
        <v>7853.1100000000661</v>
      </c>
      <c r="K407" s="151">
        <f>K406+'Basic Data'!$AC$13</f>
        <v>4906.3800000000347</v>
      </c>
      <c r="L407" s="151">
        <f>L406+'Basic Data'!$AD$13</f>
        <v>4906.3800000000347</v>
      </c>
      <c r="M407" s="151">
        <f>M406+'Basic Data'!$AE$13</f>
        <v>3052.8199999999952</v>
      </c>
      <c r="N407" s="151">
        <f>N406+'Basic Data'!$AF$13</f>
        <v>7199.5100000000357</v>
      </c>
      <c r="O407" s="151">
        <f>O406+'Basic Data'!$AG$13</f>
        <v>2870.8799999999883</v>
      </c>
      <c r="P407" s="151">
        <f>P406+'Basic Data'!$AH$13</f>
        <v>7853.1100000000661</v>
      </c>
    </row>
    <row r="408" spans="2:16">
      <c r="B408" s="156">
        <v>406</v>
      </c>
      <c r="C408" s="176">
        <v>406</v>
      </c>
      <c r="D408" s="177">
        <f t="shared" si="37"/>
        <v>4918.2600000000348</v>
      </c>
      <c r="E408" s="177">
        <f t="shared" si="38"/>
        <v>4918.2600000000348</v>
      </c>
      <c r="F408" s="177">
        <f t="shared" si="39"/>
        <v>3060.209999999995</v>
      </c>
      <c r="G408" s="177">
        <f t="shared" si="40"/>
        <v>7216.940000000036</v>
      </c>
      <c r="H408" s="177">
        <f t="shared" si="41"/>
        <v>2877.8299999999881</v>
      </c>
      <c r="I408" s="177">
        <f t="shared" si="42"/>
        <v>7872.1200000000663</v>
      </c>
      <c r="K408" s="151">
        <f>K407+'Basic Data'!$AC$13</f>
        <v>4918.2600000000348</v>
      </c>
      <c r="L408" s="151">
        <f>L407+'Basic Data'!$AD$13</f>
        <v>4918.2600000000348</v>
      </c>
      <c r="M408" s="151">
        <f>M407+'Basic Data'!$AE$13</f>
        <v>3060.209999999995</v>
      </c>
      <c r="N408" s="151">
        <f>N407+'Basic Data'!$AF$13</f>
        <v>7216.940000000036</v>
      </c>
      <c r="O408" s="151">
        <f>O407+'Basic Data'!$AG$13</f>
        <v>2877.8299999999881</v>
      </c>
      <c r="P408" s="151">
        <f>P407+'Basic Data'!$AH$13</f>
        <v>7872.1200000000663</v>
      </c>
    </row>
    <row r="409" spans="2:16">
      <c r="B409" s="156">
        <v>407</v>
      </c>
      <c r="C409" s="176">
        <v>407</v>
      </c>
      <c r="D409" s="177">
        <f t="shared" si="37"/>
        <v>4930.1400000000349</v>
      </c>
      <c r="E409" s="177">
        <f t="shared" si="38"/>
        <v>4930.1400000000349</v>
      </c>
      <c r="F409" s="177">
        <f t="shared" si="39"/>
        <v>3067.5999999999949</v>
      </c>
      <c r="G409" s="177">
        <f t="shared" si="40"/>
        <v>7234.3700000000363</v>
      </c>
      <c r="H409" s="177">
        <f t="shared" si="41"/>
        <v>2884.7799999999879</v>
      </c>
      <c r="I409" s="177">
        <f t="shared" si="42"/>
        <v>7891.1300000000665</v>
      </c>
      <c r="K409" s="151">
        <f>K408+'Basic Data'!$AC$13</f>
        <v>4930.1400000000349</v>
      </c>
      <c r="L409" s="151">
        <f>L408+'Basic Data'!$AD$13</f>
        <v>4930.1400000000349</v>
      </c>
      <c r="M409" s="151">
        <f>M408+'Basic Data'!$AE$13</f>
        <v>3067.5999999999949</v>
      </c>
      <c r="N409" s="151">
        <f>N408+'Basic Data'!$AF$13</f>
        <v>7234.3700000000363</v>
      </c>
      <c r="O409" s="151">
        <f>O408+'Basic Data'!$AG$13</f>
        <v>2884.7799999999879</v>
      </c>
      <c r="P409" s="151">
        <f>P408+'Basic Data'!$AH$13</f>
        <v>7891.1300000000665</v>
      </c>
    </row>
    <row r="410" spans="2:16">
      <c r="B410" s="156">
        <v>408</v>
      </c>
      <c r="C410" s="176">
        <v>408</v>
      </c>
      <c r="D410" s="177">
        <f t="shared" si="37"/>
        <v>4942.020000000035</v>
      </c>
      <c r="E410" s="177">
        <f t="shared" si="38"/>
        <v>4942.020000000035</v>
      </c>
      <c r="F410" s="177">
        <f t="shared" si="39"/>
        <v>3074.9899999999948</v>
      </c>
      <c r="G410" s="177">
        <f t="shared" si="40"/>
        <v>7251.8000000000366</v>
      </c>
      <c r="H410" s="177">
        <f t="shared" si="41"/>
        <v>2891.7299999999877</v>
      </c>
      <c r="I410" s="177">
        <f t="shared" si="42"/>
        <v>7910.1400000000667</v>
      </c>
      <c r="K410" s="151">
        <f>K409+'Basic Data'!$AC$13</f>
        <v>4942.020000000035</v>
      </c>
      <c r="L410" s="151">
        <f>L409+'Basic Data'!$AD$13</f>
        <v>4942.020000000035</v>
      </c>
      <c r="M410" s="151">
        <f>M409+'Basic Data'!$AE$13</f>
        <v>3074.9899999999948</v>
      </c>
      <c r="N410" s="151">
        <f>N409+'Basic Data'!$AF$13</f>
        <v>7251.8000000000366</v>
      </c>
      <c r="O410" s="151">
        <f>O409+'Basic Data'!$AG$13</f>
        <v>2891.7299999999877</v>
      </c>
      <c r="P410" s="151">
        <f>P409+'Basic Data'!$AH$13</f>
        <v>7910.1400000000667</v>
      </c>
    </row>
    <row r="411" spans="2:16">
      <c r="B411" s="156">
        <v>409</v>
      </c>
      <c r="C411" s="176">
        <v>409</v>
      </c>
      <c r="D411" s="177">
        <f t="shared" si="37"/>
        <v>4953.9000000000351</v>
      </c>
      <c r="E411" s="177">
        <f t="shared" si="38"/>
        <v>4953.9000000000351</v>
      </c>
      <c r="F411" s="177">
        <f t="shared" si="39"/>
        <v>3082.3799999999947</v>
      </c>
      <c r="G411" s="177">
        <f t="shared" si="40"/>
        <v>7269.2300000000369</v>
      </c>
      <c r="H411" s="177">
        <f t="shared" si="41"/>
        <v>2898.6799999999876</v>
      </c>
      <c r="I411" s="177">
        <f t="shared" si="42"/>
        <v>7929.1500000000669</v>
      </c>
      <c r="K411" s="151">
        <f>K410+'Basic Data'!$AC$13</f>
        <v>4953.9000000000351</v>
      </c>
      <c r="L411" s="151">
        <f>L410+'Basic Data'!$AD$13</f>
        <v>4953.9000000000351</v>
      </c>
      <c r="M411" s="151">
        <f>M410+'Basic Data'!$AE$13</f>
        <v>3082.3799999999947</v>
      </c>
      <c r="N411" s="151">
        <f>N410+'Basic Data'!$AF$13</f>
        <v>7269.2300000000369</v>
      </c>
      <c r="O411" s="151">
        <f>O410+'Basic Data'!$AG$13</f>
        <v>2898.6799999999876</v>
      </c>
      <c r="P411" s="151">
        <f>P410+'Basic Data'!$AH$13</f>
        <v>7929.1500000000669</v>
      </c>
    </row>
    <row r="412" spans="2:16">
      <c r="B412" s="156">
        <v>410</v>
      </c>
      <c r="C412" s="176">
        <v>410</v>
      </c>
      <c r="D412" s="177">
        <f t="shared" si="37"/>
        <v>4965.7800000000352</v>
      </c>
      <c r="E412" s="177">
        <f t="shared" si="38"/>
        <v>4965.7800000000352</v>
      </c>
      <c r="F412" s="177">
        <f t="shared" si="39"/>
        <v>3089.7699999999945</v>
      </c>
      <c r="G412" s="177">
        <f t="shared" si="40"/>
        <v>7286.6600000000371</v>
      </c>
      <c r="H412" s="177">
        <f t="shared" si="41"/>
        <v>2905.6299999999874</v>
      </c>
      <c r="I412" s="177">
        <f t="shared" si="42"/>
        <v>7948.1600000000672</v>
      </c>
      <c r="K412" s="151">
        <f>K411+'Basic Data'!$AC$13</f>
        <v>4965.7800000000352</v>
      </c>
      <c r="L412" s="151">
        <f>L411+'Basic Data'!$AD$13</f>
        <v>4965.7800000000352</v>
      </c>
      <c r="M412" s="151">
        <f>M411+'Basic Data'!$AE$13</f>
        <v>3089.7699999999945</v>
      </c>
      <c r="N412" s="151">
        <f>N411+'Basic Data'!$AF$13</f>
        <v>7286.6600000000371</v>
      </c>
      <c r="O412" s="151">
        <f>O411+'Basic Data'!$AG$13</f>
        <v>2905.6299999999874</v>
      </c>
      <c r="P412" s="151">
        <f>P411+'Basic Data'!$AH$13</f>
        <v>7948.1600000000672</v>
      </c>
    </row>
    <row r="413" spans="2:16">
      <c r="B413" s="156">
        <v>411</v>
      </c>
      <c r="C413" s="176">
        <v>411</v>
      </c>
      <c r="D413" s="177">
        <f t="shared" si="37"/>
        <v>4977.6600000000353</v>
      </c>
      <c r="E413" s="177">
        <f t="shared" si="38"/>
        <v>4977.6600000000353</v>
      </c>
      <c r="F413" s="177">
        <f t="shared" si="39"/>
        <v>3097.1599999999944</v>
      </c>
      <c r="G413" s="177">
        <f t="shared" si="40"/>
        <v>7304.0900000000374</v>
      </c>
      <c r="H413" s="177">
        <f t="shared" si="41"/>
        <v>2912.5799999999872</v>
      </c>
      <c r="I413" s="177">
        <f t="shared" si="42"/>
        <v>7967.1700000000674</v>
      </c>
      <c r="K413" s="151">
        <f>K412+'Basic Data'!$AC$13</f>
        <v>4977.6600000000353</v>
      </c>
      <c r="L413" s="151">
        <f>L412+'Basic Data'!$AD$13</f>
        <v>4977.6600000000353</v>
      </c>
      <c r="M413" s="151">
        <f>M412+'Basic Data'!$AE$13</f>
        <v>3097.1599999999944</v>
      </c>
      <c r="N413" s="151">
        <f>N412+'Basic Data'!$AF$13</f>
        <v>7304.0900000000374</v>
      </c>
      <c r="O413" s="151">
        <f>O412+'Basic Data'!$AG$13</f>
        <v>2912.5799999999872</v>
      </c>
      <c r="P413" s="151">
        <f>P412+'Basic Data'!$AH$13</f>
        <v>7967.1700000000674</v>
      </c>
    </row>
    <row r="414" spans="2:16">
      <c r="B414" s="156">
        <v>412</v>
      </c>
      <c r="C414" s="176">
        <v>412</v>
      </c>
      <c r="D414" s="177">
        <f t="shared" si="37"/>
        <v>4989.5400000000354</v>
      </c>
      <c r="E414" s="177">
        <f t="shared" si="38"/>
        <v>4989.5400000000354</v>
      </c>
      <c r="F414" s="177">
        <f t="shared" si="39"/>
        <v>3104.5499999999943</v>
      </c>
      <c r="G414" s="177">
        <f t="shared" si="40"/>
        <v>7321.5200000000377</v>
      </c>
      <c r="H414" s="177">
        <f t="shared" si="41"/>
        <v>2919.529999999987</v>
      </c>
      <c r="I414" s="177">
        <f t="shared" si="42"/>
        <v>7986.1800000000676</v>
      </c>
      <c r="K414" s="151">
        <f>K413+'Basic Data'!$AC$13</f>
        <v>4989.5400000000354</v>
      </c>
      <c r="L414" s="151">
        <f>L413+'Basic Data'!$AD$13</f>
        <v>4989.5400000000354</v>
      </c>
      <c r="M414" s="151">
        <f>M413+'Basic Data'!$AE$13</f>
        <v>3104.5499999999943</v>
      </c>
      <c r="N414" s="151">
        <f>N413+'Basic Data'!$AF$13</f>
        <v>7321.5200000000377</v>
      </c>
      <c r="O414" s="151">
        <f>O413+'Basic Data'!$AG$13</f>
        <v>2919.529999999987</v>
      </c>
      <c r="P414" s="151">
        <f>P413+'Basic Data'!$AH$13</f>
        <v>7986.1800000000676</v>
      </c>
    </row>
    <row r="415" spans="2:16">
      <c r="B415" s="156">
        <v>413</v>
      </c>
      <c r="C415" s="176">
        <v>413</v>
      </c>
      <c r="D415" s="177">
        <f t="shared" si="37"/>
        <v>5001.4200000000355</v>
      </c>
      <c r="E415" s="177">
        <f t="shared" si="38"/>
        <v>5001.4200000000355</v>
      </c>
      <c r="F415" s="177">
        <f t="shared" si="39"/>
        <v>3111.9399999999941</v>
      </c>
      <c r="G415" s="177">
        <f t="shared" si="40"/>
        <v>7338.950000000038</v>
      </c>
      <c r="H415" s="177">
        <f t="shared" si="41"/>
        <v>2926.4799999999868</v>
      </c>
      <c r="I415" s="177">
        <f t="shared" si="42"/>
        <v>8005.1900000000678</v>
      </c>
      <c r="K415" s="151">
        <f>K414+'Basic Data'!$AC$13</f>
        <v>5001.4200000000355</v>
      </c>
      <c r="L415" s="151">
        <f>L414+'Basic Data'!$AD$13</f>
        <v>5001.4200000000355</v>
      </c>
      <c r="M415" s="151">
        <f>M414+'Basic Data'!$AE$13</f>
        <v>3111.9399999999941</v>
      </c>
      <c r="N415" s="151">
        <f>N414+'Basic Data'!$AF$13</f>
        <v>7338.950000000038</v>
      </c>
      <c r="O415" s="151">
        <f>O414+'Basic Data'!$AG$13</f>
        <v>2926.4799999999868</v>
      </c>
      <c r="P415" s="151">
        <f>P414+'Basic Data'!$AH$13</f>
        <v>8005.1900000000678</v>
      </c>
    </row>
    <row r="416" spans="2:16">
      <c r="B416" s="156">
        <v>414</v>
      </c>
      <c r="C416" s="176">
        <v>414</v>
      </c>
      <c r="D416" s="177">
        <f t="shared" si="37"/>
        <v>5013.3000000000357</v>
      </c>
      <c r="E416" s="177">
        <f t="shared" si="38"/>
        <v>5013.3000000000357</v>
      </c>
      <c r="F416" s="177">
        <f t="shared" si="39"/>
        <v>3119.329999999994</v>
      </c>
      <c r="G416" s="177">
        <f t="shared" si="40"/>
        <v>7356.3800000000383</v>
      </c>
      <c r="H416" s="177">
        <f t="shared" si="41"/>
        <v>2933.4299999999866</v>
      </c>
      <c r="I416" s="177">
        <f t="shared" si="42"/>
        <v>8024.200000000068</v>
      </c>
      <c r="K416" s="151">
        <f>K415+'Basic Data'!$AC$13</f>
        <v>5013.3000000000357</v>
      </c>
      <c r="L416" s="151">
        <f>L415+'Basic Data'!$AD$13</f>
        <v>5013.3000000000357</v>
      </c>
      <c r="M416" s="151">
        <f>M415+'Basic Data'!$AE$13</f>
        <v>3119.329999999994</v>
      </c>
      <c r="N416" s="151">
        <f>N415+'Basic Data'!$AF$13</f>
        <v>7356.3800000000383</v>
      </c>
      <c r="O416" s="151">
        <f>O415+'Basic Data'!$AG$13</f>
        <v>2933.4299999999866</v>
      </c>
      <c r="P416" s="151">
        <f>P415+'Basic Data'!$AH$13</f>
        <v>8024.200000000068</v>
      </c>
    </row>
    <row r="417" spans="2:16">
      <c r="B417" s="156">
        <v>415</v>
      </c>
      <c r="C417" s="176">
        <v>415</v>
      </c>
      <c r="D417" s="177">
        <f t="shared" si="37"/>
        <v>5025.1800000000358</v>
      </c>
      <c r="E417" s="177">
        <f t="shared" si="38"/>
        <v>5025.1800000000358</v>
      </c>
      <c r="F417" s="177">
        <f t="shared" si="39"/>
        <v>3126.7199999999939</v>
      </c>
      <c r="G417" s="177">
        <f t="shared" si="40"/>
        <v>7373.8100000000386</v>
      </c>
      <c r="H417" s="177">
        <f t="shared" si="41"/>
        <v>2940.3799999999865</v>
      </c>
      <c r="I417" s="177">
        <f t="shared" si="42"/>
        <v>8043.2100000000682</v>
      </c>
      <c r="K417" s="151">
        <f>K416+'Basic Data'!$AC$13</f>
        <v>5025.1800000000358</v>
      </c>
      <c r="L417" s="151">
        <f>L416+'Basic Data'!$AD$13</f>
        <v>5025.1800000000358</v>
      </c>
      <c r="M417" s="151">
        <f>M416+'Basic Data'!$AE$13</f>
        <v>3126.7199999999939</v>
      </c>
      <c r="N417" s="151">
        <f>N416+'Basic Data'!$AF$13</f>
        <v>7373.8100000000386</v>
      </c>
      <c r="O417" s="151">
        <f>O416+'Basic Data'!$AG$13</f>
        <v>2940.3799999999865</v>
      </c>
      <c r="P417" s="151">
        <f>P416+'Basic Data'!$AH$13</f>
        <v>8043.2100000000682</v>
      </c>
    </row>
    <row r="418" spans="2:16">
      <c r="B418" s="156">
        <v>416</v>
      </c>
      <c r="C418" s="176">
        <v>416</v>
      </c>
      <c r="D418" s="177">
        <f t="shared" si="37"/>
        <v>5037.0600000000359</v>
      </c>
      <c r="E418" s="177">
        <f t="shared" si="38"/>
        <v>5037.0600000000359</v>
      </c>
      <c r="F418" s="177">
        <f t="shared" si="39"/>
        <v>3134.1099999999938</v>
      </c>
      <c r="G418" s="177">
        <f t="shared" si="40"/>
        <v>7391.2400000000389</v>
      </c>
      <c r="H418" s="177">
        <f t="shared" si="41"/>
        <v>2947.3299999999863</v>
      </c>
      <c r="I418" s="177">
        <f t="shared" si="42"/>
        <v>8062.2200000000685</v>
      </c>
      <c r="K418" s="151">
        <f>K417+'Basic Data'!$AC$13</f>
        <v>5037.0600000000359</v>
      </c>
      <c r="L418" s="151">
        <f>L417+'Basic Data'!$AD$13</f>
        <v>5037.0600000000359</v>
      </c>
      <c r="M418" s="151">
        <f>M417+'Basic Data'!$AE$13</f>
        <v>3134.1099999999938</v>
      </c>
      <c r="N418" s="151">
        <f>N417+'Basic Data'!$AF$13</f>
        <v>7391.2400000000389</v>
      </c>
      <c r="O418" s="151">
        <f>O417+'Basic Data'!$AG$13</f>
        <v>2947.3299999999863</v>
      </c>
      <c r="P418" s="151">
        <f>P417+'Basic Data'!$AH$13</f>
        <v>8062.2200000000685</v>
      </c>
    </row>
    <row r="419" spans="2:16">
      <c r="B419" s="156">
        <v>417</v>
      </c>
      <c r="C419" s="176">
        <v>417</v>
      </c>
      <c r="D419" s="177">
        <f t="shared" si="37"/>
        <v>5048.940000000036</v>
      </c>
      <c r="E419" s="177">
        <f t="shared" si="38"/>
        <v>5048.940000000036</v>
      </c>
      <c r="F419" s="177">
        <f t="shared" si="39"/>
        <v>3141.4999999999936</v>
      </c>
      <c r="G419" s="177">
        <f t="shared" si="40"/>
        <v>7408.6700000000392</v>
      </c>
      <c r="H419" s="177">
        <f t="shared" si="41"/>
        <v>2954.2799999999861</v>
      </c>
      <c r="I419" s="177">
        <f t="shared" si="42"/>
        <v>8081.2300000000687</v>
      </c>
      <c r="K419" s="151">
        <f>K418+'Basic Data'!$AC$13</f>
        <v>5048.940000000036</v>
      </c>
      <c r="L419" s="151">
        <f>L418+'Basic Data'!$AD$13</f>
        <v>5048.940000000036</v>
      </c>
      <c r="M419" s="151">
        <f>M418+'Basic Data'!$AE$13</f>
        <v>3141.4999999999936</v>
      </c>
      <c r="N419" s="151">
        <f>N418+'Basic Data'!$AF$13</f>
        <v>7408.6700000000392</v>
      </c>
      <c r="O419" s="151">
        <f>O418+'Basic Data'!$AG$13</f>
        <v>2954.2799999999861</v>
      </c>
      <c r="P419" s="151">
        <f>P418+'Basic Data'!$AH$13</f>
        <v>8081.2300000000687</v>
      </c>
    </row>
    <row r="420" spans="2:16">
      <c r="B420" s="156">
        <v>418</v>
      </c>
      <c r="C420" s="176">
        <v>418</v>
      </c>
      <c r="D420" s="177">
        <f t="shared" si="37"/>
        <v>5060.8200000000361</v>
      </c>
      <c r="E420" s="177">
        <f t="shared" si="38"/>
        <v>5060.8200000000361</v>
      </c>
      <c r="F420" s="177">
        <f t="shared" si="39"/>
        <v>3148.8899999999935</v>
      </c>
      <c r="G420" s="177">
        <f t="shared" si="40"/>
        <v>7426.1000000000395</v>
      </c>
      <c r="H420" s="177">
        <f t="shared" si="41"/>
        <v>2961.2299999999859</v>
      </c>
      <c r="I420" s="177">
        <f t="shared" si="42"/>
        <v>8100.2400000000689</v>
      </c>
      <c r="K420" s="151">
        <f>K419+'Basic Data'!$AC$13</f>
        <v>5060.8200000000361</v>
      </c>
      <c r="L420" s="151">
        <f>L419+'Basic Data'!$AD$13</f>
        <v>5060.8200000000361</v>
      </c>
      <c r="M420" s="151">
        <f>M419+'Basic Data'!$AE$13</f>
        <v>3148.8899999999935</v>
      </c>
      <c r="N420" s="151">
        <f>N419+'Basic Data'!$AF$13</f>
        <v>7426.1000000000395</v>
      </c>
      <c r="O420" s="151">
        <f>O419+'Basic Data'!$AG$13</f>
        <v>2961.2299999999859</v>
      </c>
      <c r="P420" s="151">
        <f>P419+'Basic Data'!$AH$13</f>
        <v>8100.2400000000689</v>
      </c>
    </row>
    <row r="421" spans="2:16">
      <c r="B421" s="156">
        <v>419</v>
      </c>
      <c r="C421" s="176">
        <v>419</v>
      </c>
      <c r="D421" s="177">
        <f t="shared" si="37"/>
        <v>5072.7000000000362</v>
      </c>
      <c r="E421" s="177">
        <f t="shared" si="38"/>
        <v>5072.7000000000362</v>
      </c>
      <c r="F421" s="177">
        <f t="shared" si="39"/>
        <v>3156.2799999999934</v>
      </c>
      <c r="G421" s="177">
        <f t="shared" si="40"/>
        <v>7443.5300000000398</v>
      </c>
      <c r="H421" s="177">
        <f t="shared" si="41"/>
        <v>2968.1799999999857</v>
      </c>
      <c r="I421" s="177">
        <f t="shared" si="42"/>
        <v>8119.2500000000691</v>
      </c>
      <c r="K421" s="151">
        <f>K420+'Basic Data'!$AC$13</f>
        <v>5072.7000000000362</v>
      </c>
      <c r="L421" s="151">
        <f>L420+'Basic Data'!$AD$13</f>
        <v>5072.7000000000362</v>
      </c>
      <c r="M421" s="151">
        <f>M420+'Basic Data'!$AE$13</f>
        <v>3156.2799999999934</v>
      </c>
      <c r="N421" s="151">
        <f>N420+'Basic Data'!$AF$13</f>
        <v>7443.5300000000398</v>
      </c>
      <c r="O421" s="151">
        <f>O420+'Basic Data'!$AG$13</f>
        <v>2968.1799999999857</v>
      </c>
      <c r="P421" s="151">
        <f>P420+'Basic Data'!$AH$13</f>
        <v>8119.2500000000691</v>
      </c>
    </row>
    <row r="422" spans="2:16">
      <c r="B422" s="156">
        <v>420</v>
      </c>
      <c r="C422" s="176">
        <v>420</v>
      </c>
      <c r="D422" s="177">
        <f t="shared" si="37"/>
        <v>5084.5800000000363</v>
      </c>
      <c r="E422" s="177">
        <f t="shared" si="38"/>
        <v>5084.5800000000363</v>
      </c>
      <c r="F422" s="177">
        <f t="shared" si="39"/>
        <v>3163.6699999999933</v>
      </c>
      <c r="G422" s="177">
        <f t="shared" si="40"/>
        <v>7460.9600000000401</v>
      </c>
      <c r="H422" s="177">
        <f t="shared" si="41"/>
        <v>2975.1299999999856</v>
      </c>
      <c r="I422" s="177">
        <f t="shared" si="42"/>
        <v>8138.2600000000693</v>
      </c>
      <c r="K422" s="151">
        <f>K421+'Basic Data'!$AC$13</f>
        <v>5084.5800000000363</v>
      </c>
      <c r="L422" s="151">
        <f>L421+'Basic Data'!$AD$13</f>
        <v>5084.5800000000363</v>
      </c>
      <c r="M422" s="151">
        <f>M421+'Basic Data'!$AE$13</f>
        <v>3163.6699999999933</v>
      </c>
      <c r="N422" s="151">
        <f>N421+'Basic Data'!$AF$13</f>
        <v>7460.9600000000401</v>
      </c>
      <c r="O422" s="151">
        <f>O421+'Basic Data'!$AG$13</f>
        <v>2975.1299999999856</v>
      </c>
      <c r="P422" s="151">
        <f>P421+'Basic Data'!$AH$13</f>
        <v>8138.2600000000693</v>
      </c>
    </row>
    <row r="423" spans="2:16">
      <c r="B423" s="156">
        <v>421</v>
      </c>
      <c r="C423" s="176">
        <v>421</v>
      </c>
      <c r="D423" s="177">
        <f t="shared" si="37"/>
        <v>5096.4600000000364</v>
      </c>
      <c r="E423" s="177">
        <f t="shared" si="38"/>
        <v>5096.4600000000364</v>
      </c>
      <c r="F423" s="177">
        <f t="shared" si="39"/>
        <v>3171.0599999999931</v>
      </c>
      <c r="G423" s="177">
        <f t="shared" si="40"/>
        <v>7478.3900000000403</v>
      </c>
      <c r="H423" s="177">
        <f t="shared" si="41"/>
        <v>2982.0799999999854</v>
      </c>
      <c r="I423" s="177">
        <f t="shared" si="42"/>
        <v>8157.2700000000696</v>
      </c>
      <c r="K423" s="151">
        <f>K422+'Basic Data'!$AC$13</f>
        <v>5096.4600000000364</v>
      </c>
      <c r="L423" s="151">
        <f>L422+'Basic Data'!$AD$13</f>
        <v>5096.4600000000364</v>
      </c>
      <c r="M423" s="151">
        <f>M422+'Basic Data'!$AE$13</f>
        <v>3171.0599999999931</v>
      </c>
      <c r="N423" s="151">
        <f>N422+'Basic Data'!$AF$13</f>
        <v>7478.3900000000403</v>
      </c>
      <c r="O423" s="151">
        <f>O422+'Basic Data'!$AG$13</f>
        <v>2982.0799999999854</v>
      </c>
      <c r="P423" s="151">
        <f>P422+'Basic Data'!$AH$13</f>
        <v>8157.2700000000696</v>
      </c>
    </row>
    <row r="424" spans="2:16">
      <c r="B424" s="156">
        <v>422</v>
      </c>
      <c r="C424" s="176">
        <v>422</v>
      </c>
      <c r="D424" s="177">
        <f t="shared" si="37"/>
        <v>5108.3400000000365</v>
      </c>
      <c r="E424" s="177">
        <f t="shared" si="38"/>
        <v>5108.3400000000365</v>
      </c>
      <c r="F424" s="177">
        <f t="shared" si="39"/>
        <v>3178.449999999993</v>
      </c>
      <c r="G424" s="177">
        <f t="shared" si="40"/>
        <v>7495.8200000000406</v>
      </c>
      <c r="H424" s="177">
        <f t="shared" si="41"/>
        <v>2989.0299999999852</v>
      </c>
      <c r="I424" s="177">
        <f t="shared" si="42"/>
        <v>8176.2800000000698</v>
      </c>
      <c r="K424" s="151">
        <f>K423+'Basic Data'!$AC$13</f>
        <v>5108.3400000000365</v>
      </c>
      <c r="L424" s="151">
        <f>L423+'Basic Data'!$AD$13</f>
        <v>5108.3400000000365</v>
      </c>
      <c r="M424" s="151">
        <f>M423+'Basic Data'!$AE$13</f>
        <v>3178.449999999993</v>
      </c>
      <c r="N424" s="151">
        <f>N423+'Basic Data'!$AF$13</f>
        <v>7495.8200000000406</v>
      </c>
      <c r="O424" s="151">
        <f>O423+'Basic Data'!$AG$13</f>
        <v>2989.0299999999852</v>
      </c>
      <c r="P424" s="151">
        <f>P423+'Basic Data'!$AH$13</f>
        <v>8176.2800000000698</v>
      </c>
    </row>
    <row r="425" spans="2:16">
      <c r="B425" s="156">
        <v>423</v>
      </c>
      <c r="C425" s="176">
        <v>423</v>
      </c>
      <c r="D425" s="177">
        <f t="shared" si="37"/>
        <v>5120.2200000000366</v>
      </c>
      <c r="E425" s="177">
        <f t="shared" si="38"/>
        <v>5120.2200000000366</v>
      </c>
      <c r="F425" s="177">
        <f t="shared" si="39"/>
        <v>3185.8399999999929</v>
      </c>
      <c r="G425" s="177">
        <f t="shared" si="40"/>
        <v>7513.2500000000409</v>
      </c>
      <c r="H425" s="177">
        <f t="shared" si="41"/>
        <v>2995.979999999985</v>
      </c>
      <c r="I425" s="177">
        <f t="shared" si="42"/>
        <v>8195.29000000007</v>
      </c>
      <c r="K425" s="151">
        <f>K424+'Basic Data'!$AC$13</f>
        <v>5120.2200000000366</v>
      </c>
      <c r="L425" s="151">
        <f>L424+'Basic Data'!$AD$13</f>
        <v>5120.2200000000366</v>
      </c>
      <c r="M425" s="151">
        <f>M424+'Basic Data'!$AE$13</f>
        <v>3185.8399999999929</v>
      </c>
      <c r="N425" s="151">
        <f>N424+'Basic Data'!$AF$13</f>
        <v>7513.2500000000409</v>
      </c>
      <c r="O425" s="151">
        <f>O424+'Basic Data'!$AG$13</f>
        <v>2995.979999999985</v>
      </c>
      <c r="P425" s="151">
        <f>P424+'Basic Data'!$AH$13</f>
        <v>8195.29000000007</v>
      </c>
    </row>
    <row r="426" spans="2:16">
      <c r="B426" s="156">
        <v>424</v>
      </c>
      <c r="C426" s="176">
        <v>424</v>
      </c>
      <c r="D426" s="177">
        <f t="shared" si="37"/>
        <v>5132.1000000000367</v>
      </c>
      <c r="E426" s="177">
        <f t="shared" si="38"/>
        <v>5132.1000000000367</v>
      </c>
      <c r="F426" s="177">
        <f t="shared" si="39"/>
        <v>3193.2299999999927</v>
      </c>
      <c r="G426" s="177">
        <f t="shared" si="40"/>
        <v>7530.6800000000412</v>
      </c>
      <c r="H426" s="177">
        <f t="shared" si="41"/>
        <v>3002.9299999999848</v>
      </c>
      <c r="I426" s="177">
        <f t="shared" si="42"/>
        <v>8214.3000000000702</v>
      </c>
      <c r="K426" s="151">
        <f>K425+'Basic Data'!$AC$13</f>
        <v>5132.1000000000367</v>
      </c>
      <c r="L426" s="151">
        <f>L425+'Basic Data'!$AD$13</f>
        <v>5132.1000000000367</v>
      </c>
      <c r="M426" s="151">
        <f>M425+'Basic Data'!$AE$13</f>
        <v>3193.2299999999927</v>
      </c>
      <c r="N426" s="151">
        <f>N425+'Basic Data'!$AF$13</f>
        <v>7530.6800000000412</v>
      </c>
      <c r="O426" s="151">
        <f>O425+'Basic Data'!$AG$13</f>
        <v>3002.9299999999848</v>
      </c>
      <c r="P426" s="151">
        <f>P425+'Basic Data'!$AH$13</f>
        <v>8214.3000000000702</v>
      </c>
    </row>
    <row r="427" spans="2:16">
      <c r="B427" s="156">
        <v>425</v>
      </c>
      <c r="C427" s="176">
        <v>425</v>
      </c>
      <c r="D427" s="177">
        <f t="shared" si="37"/>
        <v>5143.9800000000369</v>
      </c>
      <c r="E427" s="177">
        <f t="shared" si="38"/>
        <v>5143.9800000000369</v>
      </c>
      <c r="F427" s="177">
        <f t="shared" si="39"/>
        <v>3200.6199999999926</v>
      </c>
      <c r="G427" s="177">
        <f t="shared" si="40"/>
        <v>7548.1100000000415</v>
      </c>
      <c r="H427" s="177">
        <f t="shared" si="41"/>
        <v>3009.8799999999846</v>
      </c>
      <c r="I427" s="177">
        <f t="shared" si="42"/>
        <v>8233.3100000000704</v>
      </c>
      <c r="K427" s="151">
        <f>K426+'Basic Data'!$AC$13</f>
        <v>5143.9800000000369</v>
      </c>
      <c r="L427" s="151">
        <f>L426+'Basic Data'!$AD$13</f>
        <v>5143.9800000000369</v>
      </c>
      <c r="M427" s="151">
        <f>M426+'Basic Data'!$AE$13</f>
        <v>3200.6199999999926</v>
      </c>
      <c r="N427" s="151">
        <f>N426+'Basic Data'!$AF$13</f>
        <v>7548.1100000000415</v>
      </c>
      <c r="O427" s="151">
        <f>O426+'Basic Data'!$AG$13</f>
        <v>3009.8799999999846</v>
      </c>
      <c r="P427" s="151">
        <f>P426+'Basic Data'!$AH$13</f>
        <v>8233.3100000000704</v>
      </c>
    </row>
    <row r="428" spans="2:16">
      <c r="B428" s="156">
        <v>426</v>
      </c>
      <c r="C428" s="176">
        <v>426</v>
      </c>
      <c r="D428" s="177">
        <f t="shared" si="37"/>
        <v>5155.860000000037</v>
      </c>
      <c r="E428" s="177">
        <f t="shared" si="38"/>
        <v>5155.860000000037</v>
      </c>
      <c r="F428" s="177">
        <f t="shared" si="39"/>
        <v>3208.0099999999925</v>
      </c>
      <c r="G428" s="177">
        <f t="shared" si="40"/>
        <v>7565.5400000000418</v>
      </c>
      <c r="H428" s="177">
        <f t="shared" si="41"/>
        <v>3016.8299999999845</v>
      </c>
      <c r="I428" s="177">
        <f t="shared" si="42"/>
        <v>8252.3200000000706</v>
      </c>
      <c r="K428" s="151">
        <f>K427+'Basic Data'!$AC$13</f>
        <v>5155.860000000037</v>
      </c>
      <c r="L428" s="151">
        <f>L427+'Basic Data'!$AD$13</f>
        <v>5155.860000000037</v>
      </c>
      <c r="M428" s="151">
        <f>M427+'Basic Data'!$AE$13</f>
        <v>3208.0099999999925</v>
      </c>
      <c r="N428" s="151">
        <f>N427+'Basic Data'!$AF$13</f>
        <v>7565.5400000000418</v>
      </c>
      <c r="O428" s="151">
        <f>O427+'Basic Data'!$AG$13</f>
        <v>3016.8299999999845</v>
      </c>
      <c r="P428" s="151">
        <f>P427+'Basic Data'!$AH$13</f>
        <v>8252.3200000000706</v>
      </c>
    </row>
    <row r="429" spans="2:16">
      <c r="B429" s="156">
        <v>427</v>
      </c>
      <c r="C429" s="176">
        <v>427</v>
      </c>
      <c r="D429" s="177">
        <f t="shared" si="37"/>
        <v>5167.7400000000371</v>
      </c>
      <c r="E429" s="177">
        <f t="shared" si="38"/>
        <v>5167.7400000000371</v>
      </c>
      <c r="F429" s="177">
        <f t="shared" si="39"/>
        <v>3215.3999999999924</v>
      </c>
      <c r="G429" s="177">
        <f t="shared" si="40"/>
        <v>7582.9700000000421</v>
      </c>
      <c r="H429" s="177">
        <f t="shared" si="41"/>
        <v>3023.7799999999843</v>
      </c>
      <c r="I429" s="177">
        <f t="shared" si="42"/>
        <v>8271.3300000000709</v>
      </c>
      <c r="K429" s="151">
        <f>K428+'Basic Data'!$AC$13</f>
        <v>5167.7400000000371</v>
      </c>
      <c r="L429" s="151">
        <f>L428+'Basic Data'!$AD$13</f>
        <v>5167.7400000000371</v>
      </c>
      <c r="M429" s="151">
        <f>M428+'Basic Data'!$AE$13</f>
        <v>3215.3999999999924</v>
      </c>
      <c r="N429" s="151">
        <f>N428+'Basic Data'!$AF$13</f>
        <v>7582.9700000000421</v>
      </c>
      <c r="O429" s="151">
        <f>O428+'Basic Data'!$AG$13</f>
        <v>3023.7799999999843</v>
      </c>
      <c r="P429" s="151">
        <f>P428+'Basic Data'!$AH$13</f>
        <v>8271.3300000000709</v>
      </c>
    </row>
    <row r="430" spans="2:16">
      <c r="B430" s="156">
        <v>428</v>
      </c>
      <c r="C430" s="176">
        <v>428</v>
      </c>
      <c r="D430" s="177">
        <f t="shared" si="37"/>
        <v>5179.6200000000372</v>
      </c>
      <c r="E430" s="177">
        <f t="shared" si="38"/>
        <v>5179.6200000000372</v>
      </c>
      <c r="F430" s="177">
        <f t="shared" si="39"/>
        <v>3222.7899999999922</v>
      </c>
      <c r="G430" s="177">
        <f t="shared" si="40"/>
        <v>7600.4000000000424</v>
      </c>
      <c r="H430" s="177">
        <f t="shared" si="41"/>
        <v>3030.7299999999841</v>
      </c>
      <c r="I430" s="177">
        <f t="shared" si="42"/>
        <v>8290.3400000000711</v>
      </c>
      <c r="K430" s="151">
        <f>K429+'Basic Data'!$AC$13</f>
        <v>5179.6200000000372</v>
      </c>
      <c r="L430" s="151">
        <f>L429+'Basic Data'!$AD$13</f>
        <v>5179.6200000000372</v>
      </c>
      <c r="M430" s="151">
        <f>M429+'Basic Data'!$AE$13</f>
        <v>3222.7899999999922</v>
      </c>
      <c r="N430" s="151">
        <f>N429+'Basic Data'!$AF$13</f>
        <v>7600.4000000000424</v>
      </c>
      <c r="O430" s="151">
        <f>O429+'Basic Data'!$AG$13</f>
        <v>3030.7299999999841</v>
      </c>
      <c r="P430" s="151">
        <f>P429+'Basic Data'!$AH$13</f>
        <v>8290.3400000000711</v>
      </c>
    </row>
    <row r="431" spans="2:16">
      <c r="B431" s="156">
        <v>429</v>
      </c>
      <c r="C431" s="176">
        <v>429</v>
      </c>
      <c r="D431" s="177">
        <f t="shared" si="37"/>
        <v>5191.5000000000373</v>
      </c>
      <c r="E431" s="177">
        <f t="shared" si="38"/>
        <v>5191.5000000000373</v>
      </c>
      <c r="F431" s="177">
        <f t="shared" si="39"/>
        <v>3230.1799999999921</v>
      </c>
      <c r="G431" s="177">
        <f t="shared" si="40"/>
        <v>7617.8300000000427</v>
      </c>
      <c r="H431" s="177">
        <f t="shared" si="41"/>
        <v>3037.6799999999839</v>
      </c>
      <c r="I431" s="177">
        <f t="shared" si="42"/>
        <v>8309.3500000000713</v>
      </c>
      <c r="K431" s="151">
        <f>K430+'Basic Data'!$AC$13</f>
        <v>5191.5000000000373</v>
      </c>
      <c r="L431" s="151">
        <f>L430+'Basic Data'!$AD$13</f>
        <v>5191.5000000000373</v>
      </c>
      <c r="M431" s="151">
        <f>M430+'Basic Data'!$AE$13</f>
        <v>3230.1799999999921</v>
      </c>
      <c r="N431" s="151">
        <f>N430+'Basic Data'!$AF$13</f>
        <v>7617.8300000000427</v>
      </c>
      <c r="O431" s="151">
        <f>O430+'Basic Data'!$AG$13</f>
        <v>3037.6799999999839</v>
      </c>
      <c r="P431" s="151">
        <f>P430+'Basic Data'!$AH$13</f>
        <v>8309.3500000000713</v>
      </c>
    </row>
    <row r="432" spans="2:16">
      <c r="B432" s="156">
        <v>430</v>
      </c>
      <c r="C432" s="176">
        <v>430</v>
      </c>
      <c r="D432" s="177">
        <f t="shared" si="37"/>
        <v>5203.3800000000374</v>
      </c>
      <c r="E432" s="177">
        <f t="shared" si="38"/>
        <v>5203.3800000000374</v>
      </c>
      <c r="F432" s="177">
        <f t="shared" si="39"/>
        <v>3237.569999999992</v>
      </c>
      <c r="G432" s="177">
        <f t="shared" si="40"/>
        <v>7635.260000000043</v>
      </c>
      <c r="H432" s="177">
        <f t="shared" si="41"/>
        <v>3044.6299999999837</v>
      </c>
      <c r="I432" s="177">
        <f t="shared" si="42"/>
        <v>8328.3600000000715</v>
      </c>
      <c r="K432" s="151">
        <f>K431+'Basic Data'!$AC$13</f>
        <v>5203.3800000000374</v>
      </c>
      <c r="L432" s="151">
        <f>L431+'Basic Data'!$AD$13</f>
        <v>5203.3800000000374</v>
      </c>
      <c r="M432" s="151">
        <f>M431+'Basic Data'!$AE$13</f>
        <v>3237.569999999992</v>
      </c>
      <c r="N432" s="151">
        <f>N431+'Basic Data'!$AF$13</f>
        <v>7635.260000000043</v>
      </c>
      <c r="O432" s="151">
        <f>O431+'Basic Data'!$AG$13</f>
        <v>3044.6299999999837</v>
      </c>
      <c r="P432" s="151">
        <f>P431+'Basic Data'!$AH$13</f>
        <v>8328.3600000000715</v>
      </c>
    </row>
    <row r="433" spans="2:16">
      <c r="B433" s="156">
        <v>431</v>
      </c>
      <c r="C433" s="176">
        <v>431</v>
      </c>
      <c r="D433" s="177">
        <f t="shared" si="37"/>
        <v>5215.2600000000375</v>
      </c>
      <c r="E433" s="177">
        <f t="shared" si="38"/>
        <v>5215.2600000000375</v>
      </c>
      <c r="F433" s="177">
        <f t="shared" si="39"/>
        <v>3244.9599999999919</v>
      </c>
      <c r="G433" s="177">
        <f t="shared" si="40"/>
        <v>7652.6900000000433</v>
      </c>
      <c r="H433" s="177">
        <f t="shared" si="41"/>
        <v>3051.5799999999836</v>
      </c>
      <c r="I433" s="177">
        <f t="shared" si="42"/>
        <v>8347.3700000000717</v>
      </c>
      <c r="K433" s="151">
        <f>K432+'Basic Data'!$AC$13</f>
        <v>5215.2600000000375</v>
      </c>
      <c r="L433" s="151">
        <f>L432+'Basic Data'!$AD$13</f>
        <v>5215.2600000000375</v>
      </c>
      <c r="M433" s="151">
        <f>M432+'Basic Data'!$AE$13</f>
        <v>3244.9599999999919</v>
      </c>
      <c r="N433" s="151">
        <f>N432+'Basic Data'!$AF$13</f>
        <v>7652.6900000000433</v>
      </c>
      <c r="O433" s="151">
        <f>O432+'Basic Data'!$AG$13</f>
        <v>3051.5799999999836</v>
      </c>
      <c r="P433" s="151">
        <f>P432+'Basic Data'!$AH$13</f>
        <v>8347.3700000000717</v>
      </c>
    </row>
    <row r="434" spans="2:16">
      <c r="B434" s="156">
        <v>432</v>
      </c>
      <c r="C434" s="176">
        <v>432</v>
      </c>
      <c r="D434" s="177">
        <f t="shared" si="37"/>
        <v>5227.1400000000376</v>
      </c>
      <c r="E434" s="177">
        <f t="shared" si="38"/>
        <v>5227.1400000000376</v>
      </c>
      <c r="F434" s="177">
        <f t="shared" si="39"/>
        <v>3252.3499999999917</v>
      </c>
      <c r="G434" s="177">
        <f t="shared" si="40"/>
        <v>7670.1200000000435</v>
      </c>
      <c r="H434" s="177">
        <f t="shared" si="41"/>
        <v>3058.5299999999834</v>
      </c>
      <c r="I434" s="177">
        <f t="shared" si="42"/>
        <v>8366.380000000072</v>
      </c>
      <c r="K434" s="151">
        <f>K433+'Basic Data'!$AC$13</f>
        <v>5227.1400000000376</v>
      </c>
      <c r="L434" s="151">
        <f>L433+'Basic Data'!$AD$13</f>
        <v>5227.1400000000376</v>
      </c>
      <c r="M434" s="151">
        <f>M433+'Basic Data'!$AE$13</f>
        <v>3252.3499999999917</v>
      </c>
      <c r="N434" s="151">
        <f>N433+'Basic Data'!$AF$13</f>
        <v>7670.1200000000435</v>
      </c>
      <c r="O434" s="151">
        <f>O433+'Basic Data'!$AG$13</f>
        <v>3058.5299999999834</v>
      </c>
      <c r="P434" s="151">
        <f>P433+'Basic Data'!$AH$13</f>
        <v>8366.380000000072</v>
      </c>
    </row>
    <row r="435" spans="2:16">
      <c r="B435" s="156">
        <v>433</v>
      </c>
      <c r="C435" s="176">
        <v>433</v>
      </c>
      <c r="D435" s="177">
        <f t="shared" si="37"/>
        <v>5239.0200000000377</v>
      </c>
      <c r="E435" s="177">
        <f t="shared" si="38"/>
        <v>5239.0200000000377</v>
      </c>
      <c r="F435" s="177">
        <f t="shared" si="39"/>
        <v>3259.7399999999916</v>
      </c>
      <c r="G435" s="177">
        <f t="shared" si="40"/>
        <v>7687.5500000000438</v>
      </c>
      <c r="H435" s="177">
        <f t="shared" si="41"/>
        <v>3065.4799999999832</v>
      </c>
      <c r="I435" s="177">
        <f t="shared" si="42"/>
        <v>8385.3900000000722</v>
      </c>
      <c r="K435" s="151">
        <f>K434+'Basic Data'!$AC$13</f>
        <v>5239.0200000000377</v>
      </c>
      <c r="L435" s="151">
        <f>L434+'Basic Data'!$AD$13</f>
        <v>5239.0200000000377</v>
      </c>
      <c r="M435" s="151">
        <f>M434+'Basic Data'!$AE$13</f>
        <v>3259.7399999999916</v>
      </c>
      <c r="N435" s="151">
        <f>N434+'Basic Data'!$AF$13</f>
        <v>7687.5500000000438</v>
      </c>
      <c r="O435" s="151">
        <f>O434+'Basic Data'!$AG$13</f>
        <v>3065.4799999999832</v>
      </c>
      <c r="P435" s="151">
        <f>P434+'Basic Data'!$AH$13</f>
        <v>8385.3900000000722</v>
      </c>
    </row>
    <row r="436" spans="2:16">
      <c r="B436" s="156">
        <v>434</v>
      </c>
      <c r="C436" s="176">
        <v>434</v>
      </c>
      <c r="D436" s="177">
        <f t="shared" si="37"/>
        <v>5250.9000000000378</v>
      </c>
      <c r="E436" s="177">
        <f t="shared" si="38"/>
        <v>5250.9000000000378</v>
      </c>
      <c r="F436" s="177">
        <f t="shared" si="39"/>
        <v>3267.1299999999915</v>
      </c>
      <c r="G436" s="177">
        <f t="shared" si="40"/>
        <v>7704.9800000000441</v>
      </c>
      <c r="H436" s="177">
        <f t="shared" si="41"/>
        <v>3072.429999999983</v>
      </c>
      <c r="I436" s="177">
        <f t="shared" si="42"/>
        <v>8404.4000000000724</v>
      </c>
      <c r="K436" s="151">
        <f>K435+'Basic Data'!$AC$13</f>
        <v>5250.9000000000378</v>
      </c>
      <c r="L436" s="151">
        <f>L435+'Basic Data'!$AD$13</f>
        <v>5250.9000000000378</v>
      </c>
      <c r="M436" s="151">
        <f>M435+'Basic Data'!$AE$13</f>
        <v>3267.1299999999915</v>
      </c>
      <c r="N436" s="151">
        <f>N435+'Basic Data'!$AF$13</f>
        <v>7704.9800000000441</v>
      </c>
      <c r="O436" s="151">
        <f>O435+'Basic Data'!$AG$13</f>
        <v>3072.429999999983</v>
      </c>
      <c r="P436" s="151">
        <f>P435+'Basic Data'!$AH$13</f>
        <v>8404.4000000000724</v>
      </c>
    </row>
    <row r="437" spans="2:16">
      <c r="B437" s="156">
        <v>435</v>
      </c>
      <c r="C437" s="176">
        <v>435</v>
      </c>
      <c r="D437" s="177">
        <f t="shared" si="37"/>
        <v>5262.7800000000379</v>
      </c>
      <c r="E437" s="177">
        <f t="shared" si="38"/>
        <v>5262.7800000000379</v>
      </c>
      <c r="F437" s="177">
        <f t="shared" si="39"/>
        <v>3274.5199999999913</v>
      </c>
      <c r="G437" s="177">
        <f t="shared" si="40"/>
        <v>7722.4100000000444</v>
      </c>
      <c r="H437" s="177">
        <f t="shared" si="41"/>
        <v>3079.3799999999828</v>
      </c>
      <c r="I437" s="177">
        <f t="shared" si="42"/>
        <v>8423.4100000000726</v>
      </c>
      <c r="K437" s="151">
        <f>K436+'Basic Data'!$AC$13</f>
        <v>5262.7800000000379</v>
      </c>
      <c r="L437" s="151">
        <f>L436+'Basic Data'!$AD$13</f>
        <v>5262.7800000000379</v>
      </c>
      <c r="M437" s="151">
        <f>M436+'Basic Data'!$AE$13</f>
        <v>3274.5199999999913</v>
      </c>
      <c r="N437" s="151">
        <f>N436+'Basic Data'!$AF$13</f>
        <v>7722.4100000000444</v>
      </c>
      <c r="O437" s="151">
        <f>O436+'Basic Data'!$AG$13</f>
        <v>3079.3799999999828</v>
      </c>
      <c r="P437" s="151">
        <f>P436+'Basic Data'!$AH$13</f>
        <v>8423.4100000000726</v>
      </c>
    </row>
    <row r="438" spans="2:16">
      <c r="B438" s="156">
        <v>436</v>
      </c>
      <c r="C438" s="176">
        <v>436</v>
      </c>
      <c r="D438" s="177">
        <f t="shared" si="37"/>
        <v>5274.6600000000381</v>
      </c>
      <c r="E438" s="177">
        <f t="shared" si="38"/>
        <v>5274.6600000000381</v>
      </c>
      <c r="F438" s="177">
        <f t="shared" si="39"/>
        <v>3281.9099999999912</v>
      </c>
      <c r="G438" s="177">
        <f t="shared" si="40"/>
        <v>7739.8400000000447</v>
      </c>
      <c r="H438" s="177">
        <f t="shared" si="41"/>
        <v>3086.3299999999826</v>
      </c>
      <c r="I438" s="177">
        <f t="shared" si="42"/>
        <v>8442.4200000000728</v>
      </c>
      <c r="K438" s="151">
        <f>K437+'Basic Data'!$AC$13</f>
        <v>5274.6600000000381</v>
      </c>
      <c r="L438" s="151">
        <f>L437+'Basic Data'!$AD$13</f>
        <v>5274.6600000000381</v>
      </c>
      <c r="M438" s="151">
        <f>M437+'Basic Data'!$AE$13</f>
        <v>3281.9099999999912</v>
      </c>
      <c r="N438" s="151">
        <f>N437+'Basic Data'!$AF$13</f>
        <v>7739.8400000000447</v>
      </c>
      <c r="O438" s="151">
        <f>O437+'Basic Data'!$AG$13</f>
        <v>3086.3299999999826</v>
      </c>
      <c r="P438" s="151">
        <f>P437+'Basic Data'!$AH$13</f>
        <v>8442.4200000000728</v>
      </c>
    </row>
    <row r="439" spans="2:16">
      <c r="B439" s="156">
        <v>437</v>
      </c>
      <c r="C439" s="176">
        <v>437</v>
      </c>
      <c r="D439" s="177">
        <f t="shared" si="37"/>
        <v>5286.5400000000382</v>
      </c>
      <c r="E439" s="177">
        <f t="shared" si="38"/>
        <v>5286.5400000000382</v>
      </c>
      <c r="F439" s="177">
        <f t="shared" si="39"/>
        <v>3289.2999999999911</v>
      </c>
      <c r="G439" s="177">
        <f t="shared" si="40"/>
        <v>7757.270000000045</v>
      </c>
      <c r="H439" s="177">
        <f t="shared" si="41"/>
        <v>3093.2799999999825</v>
      </c>
      <c r="I439" s="177">
        <f t="shared" si="42"/>
        <v>8461.4300000000731</v>
      </c>
      <c r="K439" s="151">
        <f>K438+'Basic Data'!$AC$13</f>
        <v>5286.5400000000382</v>
      </c>
      <c r="L439" s="151">
        <f>L438+'Basic Data'!$AD$13</f>
        <v>5286.5400000000382</v>
      </c>
      <c r="M439" s="151">
        <f>M438+'Basic Data'!$AE$13</f>
        <v>3289.2999999999911</v>
      </c>
      <c r="N439" s="151">
        <f>N438+'Basic Data'!$AF$13</f>
        <v>7757.270000000045</v>
      </c>
      <c r="O439" s="151">
        <f>O438+'Basic Data'!$AG$13</f>
        <v>3093.2799999999825</v>
      </c>
      <c r="P439" s="151">
        <f>P438+'Basic Data'!$AH$13</f>
        <v>8461.4300000000731</v>
      </c>
    </row>
    <row r="440" spans="2:16">
      <c r="B440" s="156">
        <v>438</v>
      </c>
      <c r="C440" s="176">
        <v>438</v>
      </c>
      <c r="D440" s="177">
        <f t="shared" si="37"/>
        <v>5298.4200000000383</v>
      </c>
      <c r="E440" s="177">
        <f t="shared" si="38"/>
        <v>5298.4200000000383</v>
      </c>
      <c r="F440" s="177">
        <f t="shared" si="39"/>
        <v>3296.689999999991</v>
      </c>
      <c r="G440" s="177">
        <f t="shared" si="40"/>
        <v>7774.7000000000453</v>
      </c>
      <c r="H440" s="177">
        <f t="shared" si="41"/>
        <v>3100.2299999999823</v>
      </c>
      <c r="I440" s="177">
        <f t="shared" si="42"/>
        <v>8480.4400000000733</v>
      </c>
      <c r="K440" s="151">
        <f>K439+'Basic Data'!$AC$13</f>
        <v>5298.4200000000383</v>
      </c>
      <c r="L440" s="151">
        <f>L439+'Basic Data'!$AD$13</f>
        <v>5298.4200000000383</v>
      </c>
      <c r="M440" s="151">
        <f>M439+'Basic Data'!$AE$13</f>
        <v>3296.689999999991</v>
      </c>
      <c r="N440" s="151">
        <f>N439+'Basic Data'!$AF$13</f>
        <v>7774.7000000000453</v>
      </c>
      <c r="O440" s="151">
        <f>O439+'Basic Data'!$AG$13</f>
        <v>3100.2299999999823</v>
      </c>
      <c r="P440" s="151">
        <f>P439+'Basic Data'!$AH$13</f>
        <v>8480.4400000000733</v>
      </c>
    </row>
    <row r="441" spans="2:16">
      <c r="B441" s="156">
        <v>439</v>
      </c>
      <c r="C441" s="176">
        <v>439</v>
      </c>
      <c r="D441" s="177">
        <f t="shared" si="37"/>
        <v>5310.3000000000384</v>
      </c>
      <c r="E441" s="177">
        <f t="shared" si="38"/>
        <v>5310.3000000000384</v>
      </c>
      <c r="F441" s="177">
        <f t="shared" si="39"/>
        <v>3304.0799999999908</v>
      </c>
      <c r="G441" s="177">
        <f t="shared" si="40"/>
        <v>7792.1300000000456</v>
      </c>
      <c r="H441" s="177">
        <f t="shared" si="41"/>
        <v>3107.1799999999821</v>
      </c>
      <c r="I441" s="177">
        <f t="shared" si="42"/>
        <v>8499.4500000000735</v>
      </c>
      <c r="K441" s="151">
        <f>K440+'Basic Data'!$AC$13</f>
        <v>5310.3000000000384</v>
      </c>
      <c r="L441" s="151">
        <f>L440+'Basic Data'!$AD$13</f>
        <v>5310.3000000000384</v>
      </c>
      <c r="M441" s="151">
        <f>M440+'Basic Data'!$AE$13</f>
        <v>3304.0799999999908</v>
      </c>
      <c r="N441" s="151">
        <f>N440+'Basic Data'!$AF$13</f>
        <v>7792.1300000000456</v>
      </c>
      <c r="O441" s="151">
        <f>O440+'Basic Data'!$AG$13</f>
        <v>3107.1799999999821</v>
      </c>
      <c r="P441" s="151">
        <f>P440+'Basic Data'!$AH$13</f>
        <v>8499.4500000000735</v>
      </c>
    </row>
    <row r="442" spans="2:16">
      <c r="B442" s="156">
        <v>440</v>
      </c>
      <c r="C442" s="176">
        <v>440</v>
      </c>
      <c r="D442" s="177">
        <f t="shared" si="37"/>
        <v>5322.1800000000385</v>
      </c>
      <c r="E442" s="177">
        <f t="shared" si="38"/>
        <v>5322.1800000000385</v>
      </c>
      <c r="F442" s="177">
        <f t="shared" si="39"/>
        <v>3311.4699999999907</v>
      </c>
      <c r="G442" s="177">
        <f t="shared" si="40"/>
        <v>7809.5600000000459</v>
      </c>
      <c r="H442" s="177">
        <f t="shared" si="41"/>
        <v>3114.1299999999819</v>
      </c>
      <c r="I442" s="177">
        <f t="shared" si="42"/>
        <v>8518.4600000000737</v>
      </c>
      <c r="K442" s="151">
        <f>K441+'Basic Data'!$AC$13</f>
        <v>5322.1800000000385</v>
      </c>
      <c r="L442" s="151">
        <f>L441+'Basic Data'!$AD$13</f>
        <v>5322.1800000000385</v>
      </c>
      <c r="M442" s="151">
        <f>M441+'Basic Data'!$AE$13</f>
        <v>3311.4699999999907</v>
      </c>
      <c r="N442" s="151">
        <f>N441+'Basic Data'!$AF$13</f>
        <v>7809.5600000000459</v>
      </c>
      <c r="O442" s="151">
        <f>O441+'Basic Data'!$AG$13</f>
        <v>3114.1299999999819</v>
      </c>
      <c r="P442" s="151">
        <f>P441+'Basic Data'!$AH$13</f>
        <v>8518.4600000000737</v>
      </c>
    </row>
    <row r="443" spans="2:16">
      <c r="B443" s="156">
        <v>441</v>
      </c>
      <c r="C443" s="176">
        <v>441</v>
      </c>
      <c r="D443" s="177">
        <f t="shared" si="37"/>
        <v>5334.0600000000386</v>
      </c>
      <c r="E443" s="177">
        <f t="shared" si="38"/>
        <v>5334.0600000000386</v>
      </c>
      <c r="F443" s="177">
        <f t="shared" si="39"/>
        <v>3318.8599999999906</v>
      </c>
      <c r="G443" s="177">
        <f t="shared" si="40"/>
        <v>7826.9900000000462</v>
      </c>
      <c r="H443" s="177">
        <f t="shared" si="41"/>
        <v>3121.0799999999817</v>
      </c>
      <c r="I443" s="177">
        <f t="shared" si="42"/>
        <v>8537.4700000000739</v>
      </c>
      <c r="K443" s="151">
        <f>K442+'Basic Data'!$AC$13</f>
        <v>5334.0600000000386</v>
      </c>
      <c r="L443" s="151">
        <f>L442+'Basic Data'!$AD$13</f>
        <v>5334.0600000000386</v>
      </c>
      <c r="M443" s="151">
        <f>M442+'Basic Data'!$AE$13</f>
        <v>3318.8599999999906</v>
      </c>
      <c r="N443" s="151">
        <f>N442+'Basic Data'!$AF$13</f>
        <v>7826.9900000000462</v>
      </c>
      <c r="O443" s="151">
        <f>O442+'Basic Data'!$AG$13</f>
        <v>3121.0799999999817</v>
      </c>
      <c r="P443" s="151">
        <f>P442+'Basic Data'!$AH$13</f>
        <v>8537.4700000000739</v>
      </c>
    </row>
    <row r="444" spans="2:16">
      <c r="B444" s="156">
        <v>442</v>
      </c>
      <c r="C444" s="176">
        <v>442</v>
      </c>
      <c r="D444" s="177">
        <f t="shared" si="37"/>
        <v>5345.9400000000387</v>
      </c>
      <c r="E444" s="177">
        <f t="shared" si="38"/>
        <v>5345.9400000000387</v>
      </c>
      <c r="F444" s="177">
        <f t="shared" si="39"/>
        <v>3326.2499999999905</v>
      </c>
      <c r="G444" s="177">
        <f t="shared" si="40"/>
        <v>7844.4200000000465</v>
      </c>
      <c r="H444" s="177">
        <f t="shared" si="41"/>
        <v>3128.0299999999816</v>
      </c>
      <c r="I444" s="177">
        <f t="shared" si="42"/>
        <v>8556.4800000000741</v>
      </c>
      <c r="K444" s="151">
        <f>K443+'Basic Data'!$AC$13</f>
        <v>5345.9400000000387</v>
      </c>
      <c r="L444" s="151">
        <f>L443+'Basic Data'!$AD$13</f>
        <v>5345.9400000000387</v>
      </c>
      <c r="M444" s="151">
        <f>M443+'Basic Data'!$AE$13</f>
        <v>3326.2499999999905</v>
      </c>
      <c r="N444" s="151">
        <f>N443+'Basic Data'!$AF$13</f>
        <v>7844.4200000000465</v>
      </c>
      <c r="O444" s="151">
        <f>O443+'Basic Data'!$AG$13</f>
        <v>3128.0299999999816</v>
      </c>
      <c r="P444" s="151">
        <f>P443+'Basic Data'!$AH$13</f>
        <v>8556.4800000000741</v>
      </c>
    </row>
    <row r="445" spans="2:16">
      <c r="B445" s="156">
        <v>443</v>
      </c>
      <c r="C445" s="176">
        <v>443</v>
      </c>
      <c r="D445" s="177">
        <f t="shared" si="37"/>
        <v>5357.8200000000388</v>
      </c>
      <c r="E445" s="177">
        <f t="shared" si="38"/>
        <v>5357.8200000000388</v>
      </c>
      <c r="F445" s="177">
        <f t="shared" si="39"/>
        <v>3333.6399999999903</v>
      </c>
      <c r="G445" s="177">
        <f t="shared" si="40"/>
        <v>7861.8500000000467</v>
      </c>
      <c r="H445" s="177">
        <f t="shared" si="41"/>
        <v>3134.9799999999814</v>
      </c>
      <c r="I445" s="177">
        <f t="shared" si="42"/>
        <v>8575.4900000000744</v>
      </c>
      <c r="K445" s="151">
        <f>K444+'Basic Data'!$AC$13</f>
        <v>5357.8200000000388</v>
      </c>
      <c r="L445" s="151">
        <f>L444+'Basic Data'!$AD$13</f>
        <v>5357.8200000000388</v>
      </c>
      <c r="M445" s="151">
        <f>M444+'Basic Data'!$AE$13</f>
        <v>3333.6399999999903</v>
      </c>
      <c r="N445" s="151">
        <f>N444+'Basic Data'!$AF$13</f>
        <v>7861.8500000000467</v>
      </c>
      <c r="O445" s="151">
        <f>O444+'Basic Data'!$AG$13</f>
        <v>3134.9799999999814</v>
      </c>
      <c r="P445" s="151">
        <f>P444+'Basic Data'!$AH$13</f>
        <v>8575.4900000000744</v>
      </c>
    </row>
    <row r="446" spans="2:16">
      <c r="B446" s="156">
        <v>444</v>
      </c>
      <c r="C446" s="176">
        <v>444</v>
      </c>
      <c r="D446" s="177">
        <f t="shared" si="37"/>
        <v>5369.7000000000389</v>
      </c>
      <c r="E446" s="177">
        <f t="shared" si="38"/>
        <v>5369.7000000000389</v>
      </c>
      <c r="F446" s="177">
        <f t="shared" si="39"/>
        <v>3341.0299999999902</v>
      </c>
      <c r="G446" s="177">
        <f t="shared" si="40"/>
        <v>7879.280000000047</v>
      </c>
      <c r="H446" s="177">
        <f t="shared" si="41"/>
        <v>3141.9299999999812</v>
      </c>
      <c r="I446" s="177">
        <f t="shared" si="42"/>
        <v>8594.5000000000746</v>
      </c>
      <c r="K446" s="151">
        <f>K445+'Basic Data'!$AC$13</f>
        <v>5369.7000000000389</v>
      </c>
      <c r="L446" s="151">
        <f>L445+'Basic Data'!$AD$13</f>
        <v>5369.7000000000389</v>
      </c>
      <c r="M446" s="151">
        <f>M445+'Basic Data'!$AE$13</f>
        <v>3341.0299999999902</v>
      </c>
      <c r="N446" s="151">
        <f>N445+'Basic Data'!$AF$13</f>
        <v>7879.280000000047</v>
      </c>
      <c r="O446" s="151">
        <f>O445+'Basic Data'!$AG$13</f>
        <v>3141.9299999999812</v>
      </c>
      <c r="P446" s="151">
        <f>P445+'Basic Data'!$AH$13</f>
        <v>8594.5000000000746</v>
      </c>
    </row>
    <row r="447" spans="2:16">
      <c r="B447" s="156">
        <v>445</v>
      </c>
      <c r="C447" s="176">
        <v>445</v>
      </c>
      <c r="D447" s="177">
        <f t="shared" si="37"/>
        <v>5381.580000000039</v>
      </c>
      <c r="E447" s="177">
        <f t="shared" si="38"/>
        <v>5381.580000000039</v>
      </c>
      <c r="F447" s="177">
        <f t="shared" si="39"/>
        <v>3348.4199999999901</v>
      </c>
      <c r="G447" s="177">
        <f t="shared" si="40"/>
        <v>7896.7100000000473</v>
      </c>
      <c r="H447" s="177">
        <f t="shared" si="41"/>
        <v>3148.879999999981</v>
      </c>
      <c r="I447" s="177">
        <f t="shared" si="42"/>
        <v>8613.5100000000748</v>
      </c>
      <c r="K447" s="151">
        <f>K446+'Basic Data'!$AC$13</f>
        <v>5381.580000000039</v>
      </c>
      <c r="L447" s="151">
        <f>L446+'Basic Data'!$AD$13</f>
        <v>5381.580000000039</v>
      </c>
      <c r="M447" s="151">
        <f>M446+'Basic Data'!$AE$13</f>
        <v>3348.4199999999901</v>
      </c>
      <c r="N447" s="151">
        <f>N446+'Basic Data'!$AF$13</f>
        <v>7896.7100000000473</v>
      </c>
      <c r="O447" s="151">
        <f>O446+'Basic Data'!$AG$13</f>
        <v>3148.879999999981</v>
      </c>
      <c r="P447" s="151">
        <f>P446+'Basic Data'!$AH$13</f>
        <v>8613.5100000000748</v>
      </c>
    </row>
    <row r="448" spans="2:16">
      <c r="B448" s="156">
        <v>446</v>
      </c>
      <c r="C448" s="176">
        <v>446</v>
      </c>
      <c r="D448" s="177">
        <f t="shared" si="37"/>
        <v>5393.4600000000391</v>
      </c>
      <c r="E448" s="177">
        <f t="shared" si="38"/>
        <v>5393.4600000000391</v>
      </c>
      <c r="F448" s="177">
        <f t="shared" si="39"/>
        <v>3355.8099999999899</v>
      </c>
      <c r="G448" s="177">
        <f t="shared" si="40"/>
        <v>7914.1400000000476</v>
      </c>
      <c r="H448" s="177">
        <f t="shared" si="41"/>
        <v>3155.8299999999808</v>
      </c>
      <c r="I448" s="177">
        <f t="shared" si="42"/>
        <v>8632.520000000075</v>
      </c>
      <c r="K448" s="151">
        <f>K447+'Basic Data'!$AC$13</f>
        <v>5393.4600000000391</v>
      </c>
      <c r="L448" s="151">
        <f>L447+'Basic Data'!$AD$13</f>
        <v>5393.4600000000391</v>
      </c>
      <c r="M448" s="151">
        <f>M447+'Basic Data'!$AE$13</f>
        <v>3355.8099999999899</v>
      </c>
      <c r="N448" s="151">
        <f>N447+'Basic Data'!$AF$13</f>
        <v>7914.1400000000476</v>
      </c>
      <c r="O448" s="151">
        <f>O447+'Basic Data'!$AG$13</f>
        <v>3155.8299999999808</v>
      </c>
      <c r="P448" s="151">
        <f>P447+'Basic Data'!$AH$13</f>
        <v>8632.520000000075</v>
      </c>
    </row>
    <row r="449" spans="2:16">
      <c r="B449" s="156">
        <v>447</v>
      </c>
      <c r="C449" s="176">
        <v>447</v>
      </c>
      <c r="D449" s="177">
        <f t="shared" si="37"/>
        <v>5405.3400000000393</v>
      </c>
      <c r="E449" s="177">
        <f t="shared" si="38"/>
        <v>5405.3400000000393</v>
      </c>
      <c r="F449" s="177">
        <f t="shared" si="39"/>
        <v>3363.1999999999898</v>
      </c>
      <c r="G449" s="177">
        <f t="shared" si="40"/>
        <v>7931.5700000000479</v>
      </c>
      <c r="H449" s="177">
        <f t="shared" si="41"/>
        <v>3162.7799999999806</v>
      </c>
      <c r="I449" s="177">
        <f t="shared" si="42"/>
        <v>8651.5300000000752</v>
      </c>
      <c r="K449" s="151">
        <f>K448+'Basic Data'!$AC$13</f>
        <v>5405.3400000000393</v>
      </c>
      <c r="L449" s="151">
        <f>L448+'Basic Data'!$AD$13</f>
        <v>5405.3400000000393</v>
      </c>
      <c r="M449" s="151">
        <f>M448+'Basic Data'!$AE$13</f>
        <v>3363.1999999999898</v>
      </c>
      <c r="N449" s="151">
        <f>N448+'Basic Data'!$AF$13</f>
        <v>7931.5700000000479</v>
      </c>
      <c r="O449" s="151">
        <f>O448+'Basic Data'!$AG$13</f>
        <v>3162.7799999999806</v>
      </c>
      <c r="P449" s="151">
        <f>P448+'Basic Data'!$AH$13</f>
        <v>8651.5300000000752</v>
      </c>
    </row>
    <row r="450" spans="2:16">
      <c r="B450" s="156">
        <v>448</v>
      </c>
      <c r="C450" s="176">
        <v>448</v>
      </c>
      <c r="D450" s="177">
        <f t="shared" si="37"/>
        <v>5417.2200000000394</v>
      </c>
      <c r="E450" s="177">
        <f t="shared" si="38"/>
        <v>5417.2200000000394</v>
      </c>
      <c r="F450" s="177">
        <f t="shared" si="39"/>
        <v>3370.5899999999897</v>
      </c>
      <c r="G450" s="177">
        <f t="shared" si="40"/>
        <v>7949.0000000000482</v>
      </c>
      <c r="H450" s="177">
        <f t="shared" si="41"/>
        <v>3169.7299999999805</v>
      </c>
      <c r="I450" s="177">
        <f t="shared" si="42"/>
        <v>8670.5400000000755</v>
      </c>
      <c r="K450" s="151">
        <f>K449+'Basic Data'!$AC$13</f>
        <v>5417.2200000000394</v>
      </c>
      <c r="L450" s="151">
        <f>L449+'Basic Data'!$AD$13</f>
        <v>5417.2200000000394</v>
      </c>
      <c r="M450" s="151">
        <f>M449+'Basic Data'!$AE$13</f>
        <v>3370.5899999999897</v>
      </c>
      <c r="N450" s="151">
        <f>N449+'Basic Data'!$AF$13</f>
        <v>7949.0000000000482</v>
      </c>
      <c r="O450" s="151">
        <f>O449+'Basic Data'!$AG$13</f>
        <v>3169.7299999999805</v>
      </c>
      <c r="P450" s="151">
        <f>P449+'Basic Data'!$AH$13</f>
        <v>8670.5400000000755</v>
      </c>
    </row>
    <row r="451" spans="2:16">
      <c r="B451" s="156">
        <v>449</v>
      </c>
      <c r="C451" s="176">
        <v>449</v>
      </c>
      <c r="D451" s="177">
        <f t="shared" si="37"/>
        <v>5429.1000000000395</v>
      </c>
      <c r="E451" s="177">
        <f t="shared" si="38"/>
        <v>5429.1000000000395</v>
      </c>
      <c r="F451" s="177">
        <f t="shared" si="39"/>
        <v>3377.9799999999896</v>
      </c>
      <c r="G451" s="177">
        <f t="shared" si="40"/>
        <v>7966.4300000000485</v>
      </c>
      <c r="H451" s="177">
        <f t="shared" si="41"/>
        <v>3176.6799999999803</v>
      </c>
      <c r="I451" s="177">
        <f t="shared" si="42"/>
        <v>8689.5500000000757</v>
      </c>
      <c r="K451" s="151">
        <f>K450+'Basic Data'!$AC$13</f>
        <v>5429.1000000000395</v>
      </c>
      <c r="L451" s="151">
        <f>L450+'Basic Data'!$AD$13</f>
        <v>5429.1000000000395</v>
      </c>
      <c r="M451" s="151">
        <f>M450+'Basic Data'!$AE$13</f>
        <v>3377.9799999999896</v>
      </c>
      <c r="N451" s="151">
        <f>N450+'Basic Data'!$AF$13</f>
        <v>7966.4300000000485</v>
      </c>
      <c r="O451" s="151">
        <f>O450+'Basic Data'!$AG$13</f>
        <v>3176.6799999999803</v>
      </c>
      <c r="P451" s="151">
        <f>P450+'Basic Data'!$AH$13</f>
        <v>8689.5500000000757</v>
      </c>
    </row>
    <row r="452" spans="2:16">
      <c r="B452" s="156">
        <v>450</v>
      </c>
      <c r="C452" s="176">
        <v>450</v>
      </c>
      <c r="D452" s="177">
        <f t="shared" ref="D452:D515" si="43">K452</f>
        <v>5440.9800000000396</v>
      </c>
      <c r="E452" s="177">
        <f t="shared" ref="E452:E515" si="44">L452</f>
        <v>5440.9800000000396</v>
      </c>
      <c r="F452" s="177">
        <f t="shared" ref="F452:F515" si="45">M452</f>
        <v>3385.3699999999894</v>
      </c>
      <c r="G452" s="177">
        <f t="shared" ref="G452:G515" si="46">N452</f>
        <v>7983.8600000000488</v>
      </c>
      <c r="H452" s="177">
        <f t="shared" ref="H452:H515" si="47">O452</f>
        <v>3183.6299999999801</v>
      </c>
      <c r="I452" s="177">
        <f t="shared" ref="I452:I515" si="48">P452</f>
        <v>8708.5600000000759</v>
      </c>
      <c r="K452" s="151">
        <f>K451+'Basic Data'!$AC$13</f>
        <v>5440.9800000000396</v>
      </c>
      <c r="L452" s="151">
        <f>L451+'Basic Data'!$AD$13</f>
        <v>5440.9800000000396</v>
      </c>
      <c r="M452" s="151">
        <f>M451+'Basic Data'!$AE$13</f>
        <v>3385.3699999999894</v>
      </c>
      <c r="N452" s="151">
        <f>N451+'Basic Data'!$AF$13</f>
        <v>7983.8600000000488</v>
      </c>
      <c r="O452" s="151">
        <f>O451+'Basic Data'!$AG$13</f>
        <v>3183.6299999999801</v>
      </c>
      <c r="P452" s="151">
        <f>P451+'Basic Data'!$AH$13</f>
        <v>8708.5600000000759</v>
      </c>
    </row>
    <row r="453" spans="2:16">
      <c r="B453" s="156">
        <v>451</v>
      </c>
      <c r="C453" s="176">
        <v>451</v>
      </c>
      <c r="D453" s="177">
        <f t="shared" si="43"/>
        <v>5452.8600000000397</v>
      </c>
      <c r="E453" s="177">
        <f t="shared" si="44"/>
        <v>5452.8600000000397</v>
      </c>
      <c r="F453" s="177">
        <f t="shared" si="45"/>
        <v>3392.7599999999893</v>
      </c>
      <c r="G453" s="177">
        <f t="shared" si="46"/>
        <v>8001.2900000000491</v>
      </c>
      <c r="H453" s="177">
        <f t="shared" si="47"/>
        <v>3190.5799999999799</v>
      </c>
      <c r="I453" s="177">
        <f t="shared" si="48"/>
        <v>8727.5700000000761</v>
      </c>
      <c r="K453" s="151">
        <f>K452+'Basic Data'!$AC$13</f>
        <v>5452.8600000000397</v>
      </c>
      <c r="L453" s="151">
        <f>L452+'Basic Data'!$AD$13</f>
        <v>5452.8600000000397</v>
      </c>
      <c r="M453" s="151">
        <f>M452+'Basic Data'!$AE$13</f>
        <v>3392.7599999999893</v>
      </c>
      <c r="N453" s="151">
        <f>N452+'Basic Data'!$AF$13</f>
        <v>8001.2900000000491</v>
      </c>
      <c r="O453" s="151">
        <f>O452+'Basic Data'!$AG$13</f>
        <v>3190.5799999999799</v>
      </c>
      <c r="P453" s="151">
        <f>P452+'Basic Data'!$AH$13</f>
        <v>8727.5700000000761</v>
      </c>
    </row>
    <row r="454" spans="2:16">
      <c r="B454" s="156">
        <v>452</v>
      </c>
      <c r="C454" s="176">
        <v>452</v>
      </c>
      <c r="D454" s="177">
        <f t="shared" si="43"/>
        <v>5464.7400000000398</v>
      </c>
      <c r="E454" s="177">
        <f t="shared" si="44"/>
        <v>5464.7400000000398</v>
      </c>
      <c r="F454" s="177">
        <f t="shared" si="45"/>
        <v>3400.1499999999892</v>
      </c>
      <c r="G454" s="177">
        <f t="shared" si="46"/>
        <v>8018.7200000000494</v>
      </c>
      <c r="H454" s="177">
        <f t="shared" si="47"/>
        <v>3197.5299999999797</v>
      </c>
      <c r="I454" s="177">
        <f t="shared" si="48"/>
        <v>8746.5800000000763</v>
      </c>
      <c r="K454" s="151">
        <f>K453+'Basic Data'!$AC$13</f>
        <v>5464.7400000000398</v>
      </c>
      <c r="L454" s="151">
        <f>L453+'Basic Data'!$AD$13</f>
        <v>5464.7400000000398</v>
      </c>
      <c r="M454" s="151">
        <f>M453+'Basic Data'!$AE$13</f>
        <v>3400.1499999999892</v>
      </c>
      <c r="N454" s="151">
        <f>N453+'Basic Data'!$AF$13</f>
        <v>8018.7200000000494</v>
      </c>
      <c r="O454" s="151">
        <f>O453+'Basic Data'!$AG$13</f>
        <v>3197.5299999999797</v>
      </c>
      <c r="P454" s="151">
        <f>P453+'Basic Data'!$AH$13</f>
        <v>8746.5800000000763</v>
      </c>
    </row>
    <row r="455" spans="2:16">
      <c r="B455" s="156">
        <v>453</v>
      </c>
      <c r="C455" s="176">
        <v>453</v>
      </c>
      <c r="D455" s="177">
        <f t="shared" si="43"/>
        <v>5476.6200000000399</v>
      </c>
      <c r="E455" s="177">
        <f t="shared" si="44"/>
        <v>5476.6200000000399</v>
      </c>
      <c r="F455" s="177">
        <f t="shared" si="45"/>
        <v>3407.539999999989</v>
      </c>
      <c r="G455" s="177">
        <f t="shared" si="46"/>
        <v>8036.1500000000497</v>
      </c>
      <c r="H455" s="177">
        <f t="shared" si="47"/>
        <v>3204.4799999999796</v>
      </c>
      <c r="I455" s="177">
        <f t="shared" si="48"/>
        <v>8765.5900000000765</v>
      </c>
      <c r="K455" s="151">
        <f>K454+'Basic Data'!$AC$13</f>
        <v>5476.6200000000399</v>
      </c>
      <c r="L455" s="151">
        <f>L454+'Basic Data'!$AD$13</f>
        <v>5476.6200000000399</v>
      </c>
      <c r="M455" s="151">
        <f>M454+'Basic Data'!$AE$13</f>
        <v>3407.539999999989</v>
      </c>
      <c r="N455" s="151">
        <f>N454+'Basic Data'!$AF$13</f>
        <v>8036.1500000000497</v>
      </c>
      <c r="O455" s="151">
        <f>O454+'Basic Data'!$AG$13</f>
        <v>3204.4799999999796</v>
      </c>
      <c r="P455" s="151">
        <f>P454+'Basic Data'!$AH$13</f>
        <v>8765.5900000000765</v>
      </c>
    </row>
    <row r="456" spans="2:16">
      <c r="B456" s="156">
        <v>454</v>
      </c>
      <c r="C456" s="176">
        <v>454</v>
      </c>
      <c r="D456" s="177">
        <f t="shared" si="43"/>
        <v>5488.50000000004</v>
      </c>
      <c r="E456" s="177">
        <f t="shared" si="44"/>
        <v>5488.50000000004</v>
      </c>
      <c r="F456" s="177">
        <f t="shared" si="45"/>
        <v>3414.9299999999889</v>
      </c>
      <c r="G456" s="177">
        <f t="shared" si="46"/>
        <v>8053.5800000000499</v>
      </c>
      <c r="H456" s="177">
        <f t="shared" si="47"/>
        <v>3211.4299999999794</v>
      </c>
      <c r="I456" s="177">
        <f t="shared" si="48"/>
        <v>8784.6000000000768</v>
      </c>
      <c r="K456" s="151">
        <f>K455+'Basic Data'!$AC$13</f>
        <v>5488.50000000004</v>
      </c>
      <c r="L456" s="151">
        <f>L455+'Basic Data'!$AD$13</f>
        <v>5488.50000000004</v>
      </c>
      <c r="M456" s="151">
        <f>M455+'Basic Data'!$AE$13</f>
        <v>3414.9299999999889</v>
      </c>
      <c r="N456" s="151">
        <f>N455+'Basic Data'!$AF$13</f>
        <v>8053.5800000000499</v>
      </c>
      <c r="O456" s="151">
        <f>O455+'Basic Data'!$AG$13</f>
        <v>3211.4299999999794</v>
      </c>
      <c r="P456" s="151">
        <f>P455+'Basic Data'!$AH$13</f>
        <v>8784.6000000000768</v>
      </c>
    </row>
    <row r="457" spans="2:16">
      <c r="B457" s="156">
        <v>455</v>
      </c>
      <c r="C457" s="176">
        <v>455</v>
      </c>
      <c r="D457" s="177">
        <f t="shared" si="43"/>
        <v>5500.3800000000401</v>
      </c>
      <c r="E457" s="177">
        <f t="shared" si="44"/>
        <v>5500.3800000000401</v>
      </c>
      <c r="F457" s="177">
        <f t="shared" si="45"/>
        <v>3422.3199999999888</v>
      </c>
      <c r="G457" s="177">
        <f t="shared" si="46"/>
        <v>8071.0100000000502</v>
      </c>
      <c r="H457" s="177">
        <f t="shared" si="47"/>
        <v>3218.3799999999792</v>
      </c>
      <c r="I457" s="177">
        <f t="shared" si="48"/>
        <v>8803.610000000077</v>
      </c>
      <c r="K457" s="151">
        <f>K456+'Basic Data'!$AC$13</f>
        <v>5500.3800000000401</v>
      </c>
      <c r="L457" s="151">
        <f>L456+'Basic Data'!$AD$13</f>
        <v>5500.3800000000401</v>
      </c>
      <c r="M457" s="151">
        <f>M456+'Basic Data'!$AE$13</f>
        <v>3422.3199999999888</v>
      </c>
      <c r="N457" s="151">
        <f>N456+'Basic Data'!$AF$13</f>
        <v>8071.0100000000502</v>
      </c>
      <c r="O457" s="151">
        <f>O456+'Basic Data'!$AG$13</f>
        <v>3218.3799999999792</v>
      </c>
      <c r="P457" s="151">
        <f>P456+'Basic Data'!$AH$13</f>
        <v>8803.610000000077</v>
      </c>
    </row>
    <row r="458" spans="2:16">
      <c r="B458" s="156">
        <v>456</v>
      </c>
      <c r="C458" s="176">
        <v>456</v>
      </c>
      <c r="D458" s="177">
        <f t="shared" si="43"/>
        <v>5512.2600000000402</v>
      </c>
      <c r="E458" s="177">
        <f t="shared" si="44"/>
        <v>5512.2600000000402</v>
      </c>
      <c r="F458" s="177">
        <f t="shared" si="45"/>
        <v>3429.7099999999887</v>
      </c>
      <c r="G458" s="177">
        <f t="shared" si="46"/>
        <v>8088.4400000000505</v>
      </c>
      <c r="H458" s="177">
        <f t="shared" si="47"/>
        <v>3225.329999999979</v>
      </c>
      <c r="I458" s="177">
        <f t="shared" si="48"/>
        <v>8822.6200000000772</v>
      </c>
      <c r="K458" s="151">
        <f>K457+'Basic Data'!$AC$13</f>
        <v>5512.2600000000402</v>
      </c>
      <c r="L458" s="151">
        <f>L457+'Basic Data'!$AD$13</f>
        <v>5512.2600000000402</v>
      </c>
      <c r="M458" s="151">
        <f>M457+'Basic Data'!$AE$13</f>
        <v>3429.7099999999887</v>
      </c>
      <c r="N458" s="151">
        <f>N457+'Basic Data'!$AF$13</f>
        <v>8088.4400000000505</v>
      </c>
      <c r="O458" s="151">
        <f>O457+'Basic Data'!$AG$13</f>
        <v>3225.329999999979</v>
      </c>
      <c r="P458" s="151">
        <f>P457+'Basic Data'!$AH$13</f>
        <v>8822.6200000000772</v>
      </c>
    </row>
    <row r="459" spans="2:16">
      <c r="B459" s="156">
        <v>457</v>
      </c>
      <c r="C459" s="176">
        <v>457</v>
      </c>
      <c r="D459" s="177">
        <f t="shared" si="43"/>
        <v>5524.1400000000403</v>
      </c>
      <c r="E459" s="177">
        <f t="shared" si="44"/>
        <v>5524.1400000000403</v>
      </c>
      <c r="F459" s="177">
        <f t="shared" si="45"/>
        <v>3437.0999999999885</v>
      </c>
      <c r="G459" s="177">
        <f t="shared" si="46"/>
        <v>8105.8700000000508</v>
      </c>
      <c r="H459" s="177">
        <f t="shared" si="47"/>
        <v>3232.2799999999788</v>
      </c>
      <c r="I459" s="177">
        <f t="shared" si="48"/>
        <v>8841.6300000000774</v>
      </c>
      <c r="K459" s="151">
        <f>K458+'Basic Data'!$AC$13</f>
        <v>5524.1400000000403</v>
      </c>
      <c r="L459" s="151">
        <f>L458+'Basic Data'!$AD$13</f>
        <v>5524.1400000000403</v>
      </c>
      <c r="M459" s="151">
        <f>M458+'Basic Data'!$AE$13</f>
        <v>3437.0999999999885</v>
      </c>
      <c r="N459" s="151">
        <f>N458+'Basic Data'!$AF$13</f>
        <v>8105.8700000000508</v>
      </c>
      <c r="O459" s="151">
        <f>O458+'Basic Data'!$AG$13</f>
        <v>3232.2799999999788</v>
      </c>
      <c r="P459" s="151">
        <f>P458+'Basic Data'!$AH$13</f>
        <v>8841.6300000000774</v>
      </c>
    </row>
    <row r="460" spans="2:16">
      <c r="B460" s="156">
        <v>458</v>
      </c>
      <c r="C460" s="176">
        <v>458</v>
      </c>
      <c r="D460" s="177">
        <f t="shared" si="43"/>
        <v>5536.0200000000405</v>
      </c>
      <c r="E460" s="177">
        <f t="shared" si="44"/>
        <v>5536.0200000000405</v>
      </c>
      <c r="F460" s="177">
        <f t="shared" si="45"/>
        <v>3444.4899999999884</v>
      </c>
      <c r="G460" s="177">
        <f t="shared" si="46"/>
        <v>8123.3000000000511</v>
      </c>
      <c r="H460" s="177">
        <f t="shared" si="47"/>
        <v>3239.2299999999786</v>
      </c>
      <c r="I460" s="177">
        <f t="shared" si="48"/>
        <v>8860.6400000000776</v>
      </c>
      <c r="K460" s="151">
        <f>K459+'Basic Data'!$AC$13</f>
        <v>5536.0200000000405</v>
      </c>
      <c r="L460" s="151">
        <f>L459+'Basic Data'!$AD$13</f>
        <v>5536.0200000000405</v>
      </c>
      <c r="M460" s="151">
        <f>M459+'Basic Data'!$AE$13</f>
        <v>3444.4899999999884</v>
      </c>
      <c r="N460" s="151">
        <f>N459+'Basic Data'!$AF$13</f>
        <v>8123.3000000000511</v>
      </c>
      <c r="O460" s="151">
        <f>O459+'Basic Data'!$AG$13</f>
        <v>3239.2299999999786</v>
      </c>
      <c r="P460" s="151">
        <f>P459+'Basic Data'!$AH$13</f>
        <v>8860.6400000000776</v>
      </c>
    </row>
    <row r="461" spans="2:16">
      <c r="B461" s="156">
        <v>459</v>
      </c>
      <c r="C461" s="176">
        <v>459</v>
      </c>
      <c r="D461" s="177">
        <f t="shared" si="43"/>
        <v>5547.9000000000406</v>
      </c>
      <c r="E461" s="177">
        <f t="shared" si="44"/>
        <v>5547.9000000000406</v>
      </c>
      <c r="F461" s="177">
        <f t="shared" si="45"/>
        <v>3451.8799999999883</v>
      </c>
      <c r="G461" s="177">
        <f t="shared" si="46"/>
        <v>8140.7300000000514</v>
      </c>
      <c r="H461" s="177">
        <f t="shared" si="47"/>
        <v>3246.1799999999785</v>
      </c>
      <c r="I461" s="177">
        <f t="shared" si="48"/>
        <v>8879.6500000000779</v>
      </c>
      <c r="K461" s="151">
        <f>K460+'Basic Data'!$AC$13</f>
        <v>5547.9000000000406</v>
      </c>
      <c r="L461" s="151">
        <f>L460+'Basic Data'!$AD$13</f>
        <v>5547.9000000000406</v>
      </c>
      <c r="M461" s="151">
        <f>M460+'Basic Data'!$AE$13</f>
        <v>3451.8799999999883</v>
      </c>
      <c r="N461" s="151">
        <f>N460+'Basic Data'!$AF$13</f>
        <v>8140.7300000000514</v>
      </c>
      <c r="O461" s="151">
        <f>O460+'Basic Data'!$AG$13</f>
        <v>3246.1799999999785</v>
      </c>
      <c r="P461" s="151">
        <f>P460+'Basic Data'!$AH$13</f>
        <v>8879.6500000000779</v>
      </c>
    </row>
    <row r="462" spans="2:16">
      <c r="B462" s="156">
        <v>460</v>
      </c>
      <c r="C462" s="176">
        <v>460</v>
      </c>
      <c r="D462" s="177">
        <f t="shared" si="43"/>
        <v>5559.7800000000407</v>
      </c>
      <c r="E462" s="177">
        <f t="shared" si="44"/>
        <v>5559.7800000000407</v>
      </c>
      <c r="F462" s="177">
        <f t="shared" si="45"/>
        <v>3459.2699999999882</v>
      </c>
      <c r="G462" s="177">
        <f t="shared" si="46"/>
        <v>8158.1600000000517</v>
      </c>
      <c r="H462" s="177">
        <f t="shared" si="47"/>
        <v>3253.1299999999783</v>
      </c>
      <c r="I462" s="177">
        <f t="shared" si="48"/>
        <v>8898.6600000000781</v>
      </c>
      <c r="K462" s="151">
        <f>K461+'Basic Data'!$AC$13</f>
        <v>5559.7800000000407</v>
      </c>
      <c r="L462" s="151">
        <f>L461+'Basic Data'!$AD$13</f>
        <v>5559.7800000000407</v>
      </c>
      <c r="M462" s="151">
        <f>M461+'Basic Data'!$AE$13</f>
        <v>3459.2699999999882</v>
      </c>
      <c r="N462" s="151">
        <f>N461+'Basic Data'!$AF$13</f>
        <v>8158.1600000000517</v>
      </c>
      <c r="O462" s="151">
        <f>O461+'Basic Data'!$AG$13</f>
        <v>3253.1299999999783</v>
      </c>
      <c r="P462" s="151">
        <f>P461+'Basic Data'!$AH$13</f>
        <v>8898.6600000000781</v>
      </c>
    </row>
    <row r="463" spans="2:16">
      <c r="B463" s="156">
        <v>461</v>
      </c>
      <c r="C463" s="176">
        <v>461</v>
      </c>
      <c r="D463" s="177">
        <f t="shared" si="43"/>
        <v>5571.6600000000408</v>
      </c>
      <c r="E463" s="177">
        <f t="shared" si="44"/>
        <v>5571.6600000000408</v>
      </c>
      <c r="F463" s="177">
        <f t="shared" si="45"/>
        <v>3466.659999999988</v>
      </c>
      <c r="G463" s="177">
        <f t="shared" si="46"/>
        <v>8175.590000000052</v>
      </c>
      <c r="H463" s="177">
        <f t="shared" si="47"/>
        <v>3260.0799999999781</v>
      </c>
      <c r="I463" s="177">
        <f t="shared" si="48"/>
        <v>8917.6700000000783</v>
      </c>
      <c r="K463" s="151">
        <f>K462+'Basic Data'!$AC$13</f>
        <v>5571.6600000000408</v>
      </c>
      <c r="L463" s="151">
        <f>L462+'Basic Data'!$AD$13</f>
        <v>5571.6600000000408</v>
      </c>
      <c r="M463" s="151">
        <f>M462+'Basic Data'!$AE$13</f>
        <v>3466.659999999988</v>
      </c>
      <c r="N463" s="151">
        <f>N462+'Basic Data'!$AF$13</f>
        <v>8175.590000000052</v>
      </c>
      <c r="O463" s="151">
        <f>O462+'Basic Data'!$AG$13</f>
        <v>3260.0799999999781</v>
      </c>
      <c r="P463" s="151">
        <f>P462+'Basic Data'!$AH$13</f>
        <v>8917.6700000000783</v>
      </c>
    </row>
    <row r="464" spans="2:16">
      <c r="B464" s="156">
        <v>462</v>
      </c>
      <c r="C464" s="176">
        <v>462</v>
      </c>
      <c r="D464" s="177">
        <f t="shared" si="43"/>
        <v>5583.5400000000409</v>
      </c>
      <c r="E464" s="177">
        <f t="shared" si="44"/>
        <v>5583.5400000000409</v>
      </c>
      <c r="F464" s="177">
        <f t="shared" si="45"/>
        <v>3474.0499999999879</v>
      </c>
      <c r="G464" s="177">
        <f t="shared" si="46"/>
        <v>8193.0200000000514</v>
      </c>
      <c r="H464" s="177">
        <f t="shared" si="47"/>
        <v>3267.0299999999779</v>
      </c>
      <c r="I464" s="177">
        <f t="shared" si="48"/>
        <v>8936.6800000000785</v>
      </c>
      <c r="K464" s="151">
        <f>K463+'Basic Data'!$AC$13</f>
        <v>5583.5400000000409</v>
      </c>
      <c r="L464" s="151">
        <f>L463+'Basic Data'!$AD$13</f>
        <v>5583.5400000000409</v>
      </c>
      <c r="M464" s="151">
        <f>M463+'Basic Data'!$AE$13</f>
        <v>3474.0499999999879</v>
      </c>
      <c r="N464" s="151">
        <f>N463+'Basic Data'!$AF$13</f>
        <v>8193.0200000000514</v>
      </c>
      <c r="O464" s="151">
        <f>O463+'Basic Data'!$AG$13</f>
        <v>3267.0299999999779</v>
      </c>
      <c r="P464" s="151">
        <f>P463+'Basic Data'!$AH$13</f>
        <v>8936.6800000000785</v>
      </c>
    </row>
    <row r="465" spans="2:16">
      <c r="B465" s="156">
        <v>463</v>
      </c>
      <c r="C465" s="176">
        <v>463</v>
      </c>
      <c r="D465" s="177">
        <f t="shared" si="43"/>
        <v>5595.420000000041</v>
      </c>
      <c r="E465" s="177">
        <f t="shared" si="44"/>
        <v>5595.420000000041</v>
      </c>
      <c r="F465" s="177">
        <f t="shared" si="45"/>
        <v>3481.4399999999878</v>
      </c>
      <c r="G465" s="177">
        <f t="shared" si="46"/>
        <v>8210.4500000000517</v>
      </c>
      <c r="H465" s="177">
        <f t="shared" si="47"/>
        <v>3273.9799999999777</v>
      </c>
      <c r="I465" s="177">
        <f t="shared" si="48"/>
        <v>8955.6900000000787</v>
      </c>
      <c r="K465" s="151">
        <f>K464+'Basic Data'!$AC$13</f>
        <v>5595.420000000041</v>
      </c>
      <c r="L465" s="151">
        <f>L464+'Basic Data'!$AD$13</f>
        <v>5595.420000000041</v>
      </c>
      <c r="M465" s="151">
        <f>M464+'Basic Data'!$AE$13</f>
        <v>3481.4399999999878</v>
      </c>
      <c r="N465" s="151">
        <f>N464+'Basic Data'!$AF$13</f>
        <v>8210.4500000000517</v>
      </c>
      <c r="O465" s="151">
        <f>O464+'Basic Data'!$AG$13</f>
        <v>3273.9799999999777</v>
      </c>
      <c r="P465" s="151">
        <f>P464+'Basic Data'!$AH$13</f>
        <v>8955.6900000000787</v>
      </c>
    </row>
    <row r="466" spans="2:16">
      <c r="B466" s="156">
        <v>464</v>
      </c>
      <c r="C466" s="176">
        <v>464</v>
      </c>
      <c r="D466" s="177">
        <f t="shared" si="43"/>
        <v>5607.3000000000411</v>
      </c>
      <c r="E466" s="177">
        <f t="shared" si="44"/>
        <v>5607.3000000000411</v>
      </c>
      <c r="F466" s="177">
        <f t="shared" si="45"/>
        <v>3488.8299999999876</v>
      </c>
      <c r="G466" s="177">
        <f t="shared" si="46"/>
        <v>8227.880000000052</v>
      </c>
      <c r="H466" s="177">
        <f t="shared" si="47"/>
        <v>3280.9299999999776</v>
      </c>
      <c r="I466" s="177">
        <f t="shared" si="48"/>
        <v>8974.7000000000789</v>
      </c>
      <c r="K466" s="151">
        <f>K465+'Basic Data'!$AC$13</f>
        <v>5607.3000000000411</v>
      </c>
      <c r="L466" s="151">
        <f>L465+'Basic Data'!$AD$13</f>
        <v>5607.3000000000411</v>
      </c>
      <c r="M466" s="151">
        <f>M465+'Basic Data'!$AE$13</f>
        <v>3488.8299999999876</v>
      </c>
      <c r="N466" s="151">
        <f>N465+'Basic Data'!$AF$13</f>
        <v>8227.880000000052</v>
      </c>
      <c r="O466" s="151">
        <f>O465+'Basic Data'!$AG$13</f>
        <v>3280.9299999999776</v>
      </c>
      <c r="P466" s="151">
        <f>P465+'Basic Data'!$AH$13</f>
        <v>8974.7000000000789</v>
      </c>
    </row>
    <row r="467" spans="2:16">
      <c r="B467" s="156">
        <v>465</v>
      </c>
      <c r="C467" s="176">
        <v>465</v>
      </c>
      <c r="D467" s="177">
        <f t="shared" si="43"/>
        <v>5619.1800000000412</v>
      </c>
      <c r="E467" s="177">
        <f t="shared" si="44"/>
        <v>5619.1800000000412</v>
      </c>
      <c r="F467" s="177">
        <f t="shared" si="45"/>
        <v>3496.2199999999875</v>
      </c>
      <c r="G467" s="177">
        <f t="shared" si="46"/>
        <v>8245.3100000000522</v>
      </c>
      <c r="H467" s="177">
        <f t="shared" si="47"/>
        <v>3287.8799999999774</v>
      </c>
      <c r="I467" s="177">
        <f t="shared" si="48"/>
        <v>8993.7100000000792</v>
      </c>
      <c r="K467" s="151">
        <f>K466+'Basic Data'!$AC$13</f>
        <v>5619.1800000000412</v>
      </c>
      <c r="L467" s="151">
        <f>L466+'Basic Data'!$AD$13</f>
        <v>5619.1800000000412</v>
      </c>
      <c r="M467" s="151">
        <f>M466+'Basic Data'!$AE$13</f>
        <v>3496.2199999999875</v>
      </c>
      <c r="N467" s="151">
        <f>N466+'Basic Data'!$AF$13</f>
        <v>8245.3100000000522</v>
      </c>
      <c r="O467" s="151">
        <f>O466+'Basic Data'!$AG$13</f>
        <v>3287.8799999999774</v>
      </c>
      <c r="P467" s="151">
        <f>P466+'Basic Data'!$AH$13</f>
        <v>8993.7100000000792</v>
      </c>
    </row>
    <row r="468" spans="2:16">
      <c r="B468" s="156">
        <v>466</v>
      </c>
      <c r="C468" s="176">
        <v>466</v>
      </c>
      <c r="D468" s="177">
        <f t="shared" si="43"/>
        <v>5631.0600000000413</v>
      </c>
      <c r="E468" s="177">
        <f t="shared" si="44"/>
        <v>5631.0600000000413</v>
      </c>
      <c r="F468" s="177">
        <f t="shared" si="45"/>
        <v>3503.6099999999874</v>
      </c>
      <c r="G468" s="177">
        <f t="shared" si="46"/>
        <v>8262.7400000000525</v>
      </c>
      <c r="H468" s="177">
        <f t="shared" si="47"/>
        <v>3294.8299999999772</v>
      </c>
      <c r="I468" s="177">
        <f t="shared" si="48"/>
        <v>9012.7200000000794</v>
      </c>
      <c r="K468" s="151">
        <f>K467+'Basic Data'!$AC$13</f>
        <v>5631.0600000000413</v>
      </c>
      <c r="L468" s="151">
        <f>L467+'Basic Data'!$AD$13</f>
        <v>5631.0600000000413</v>
      </c>
      <c r="M468" s="151">
        <f>M467+'Basic Data'!$AE$13</f>
        <v>3503.6099999999874</v>
      </c>
      <c r="N468" s="151">
        <f>N467+'Basic Data'!$AF$13</f>
        <v>8262.7400000000525</v>
      </c>
      <c r="O468" s="151">
        <f>O467+'Basic Data'!$AG$13</f>
        <v>3294.8299999999772</v>
      </c>
      <c r="P468" s="151">
        <f>P467+'Basic Data'!$AH$13</f>
        <v>9012.7200000000794</v>
      </c>
    </row>
    <row r="469" spans="2:16">
      <c r="B469" s="156">
        <v>467</v>
      </c>
      <c r="C469" s="176">
        <v>467</v>
      </c>
      <c r="D469" s="177">
        <f t="shared" si="43"/>
        <v>5642.9400000000414</v>
      </c>
      <c r="E469" s="177">
        <f t="shared" si="44"/>
        <v>5642.9400000000414</v>
      </c>
      <c r="F469" s="177">
        <f t="shared" si="45"/>
        <v>3510.9999999999873</v>
      </c>
      <c r="G469" s="177">
        <f t="shared" si="46"/>
        <v>8280.1700000000528</v>
      </c>
      <c r="H469" s="177">
        <f t="shared" si="47"/>
        <v>3301.779999999977</v>
      </c>
      <c r="I469" s="177">
        <f t="shared" si="48"/>
        <v>9031.7300000000796</v>
      </c>
      <c r="K469" s="151">
        <f>K468+'Basic Data'!$AC$13</f>
        <v>5642.9400000000414</v>
      </c>
      <c r="L469" s="151">
        <f>L468+'Basic Data'!$AD$13</f>
        <v>5642.9400000000414</v>
      </c>
      <c r="M469" s="151">
        <f>M468+'Basic Data'!$AE$13</f>
        <v>3510.9999999999873</v>
      </c>
      <c r="N469" s="151">
        <f>N468+'Basic Data'!$AF$13</f>
        <v>8280.1700000000528</v>
      </c>
      <c r="O469" s="151">
        <f>O468+'Basic Data'!$AG$13</f>
        <v>3301.779999999977</v>
      </c>
      <c r="P469" s="151">
        <f>P468+'Basic Data'!$AH$13</f>
        <v>9031.7300000000796</v>
      </c>
    </row>
    <row r="470" spans="2:16">
      <c r="B470" s="156">
        <v>468</v>
      </c>
      <c r="C470" s="176">
        <v>468</v>
      </c>
      <c r="D470" s="177">
        <f t="shared" si="43"/>
        <v>5654.8200000000415</v>
      </c>
      <c r="E470" s="177">
        <f t="shared" si="44"/>
        <v>5654.8200000000415</v>
      </c>
      <c r="F470" s="177">
        <f t="shared" si="45"/>
        <v>3518.3899999999871</v>
      </c>
      <c r="G470" s="177">
        <f t="shared" si="46"/>
        <v>8297.6000000000531</v>
      </c>
      <c r="H470" s="177">
        <f t="shared" si="47"/>
        <v>3308.7299999999768</v>
      </c>
      <c r="I470" s="177">
        <f t="shared" si="48"/>
        <v>9050.7400000000798</v>
      </c>
      <c r="K470" s="151">
        <f>K469+'Basic Data'!$AC$13</f>
        <v>5654.8200000000415</v>
      </c>
      <c r="L470" s="151">
        <f>L469+'Basic Data'!$AD$13</f>
        <v>5654.8200000000415</v>
      </c>
      <c r="M470" s="151">
        <f>M469+'Basic Data'!$AE$13</f>
        <v>3518.3899999999871</v>
      </c>
      <c r="N470" s="151">
        <f>N469+'Basic Data'!$AF$13</f>
        <v>8297.6000000000531</v>
      </c>
      <c r="O470" s="151">
        <f>O469+'Basic Data'!$AG$13</f>
        <v>3308.7299999999768</v>
      </c>
      <c r="P470" s="151">
        <f>P469+'Basic Data'!$AH$13</f>
        <v>9050.7400000000798</v>
      </c>
    </row>
    <row r="471" spans="2:16">
      <c r="B471" s="156">
        <v>469</v>
      </c>
      <c r="C471" s="176">
        <v>469</v>
      </c>
      <c r="D471" s="177">
        <f t="shared" si="43"/>
        <v>5666.7000000000417</v>
      </c>
      <c r="E471" s="177">
        <f t="shared" si="44"/>
        <v>5666.7000000000417</v>
      </c>
      <c r="F471" s="177">
        <f t="shared" si="45"/>
        <v>3525.779999999987</v>
      </c>
      <c r="G471" s="177">
        <f t="shared" si="46"/>
        <v>8315.0300000000534</v>
      </c>
      <c r="H471" s="177">
        <f t="shared" si="47"/>
        <v>3315.6799999999766</v>
      </c>
      <c r="I471" s="177">
        <f t="shared" si="48"/>
        <v>9069.75000000008</v>
      </c>
      <c r="K471" s="151">
        <f>K470+'Basic Data'!$AC$13</f>
        <v>5666.7000000000417</v>
      </c>
      <c r="L471" s="151">
        <f>L470+'Basic Data'!$AD$13</f>
        <v>5666.7000000000417</v>
      </c>
      <c r="M471" s="151">
        <f>M470+'Basic Data'!$AE$13</f>
        <v>3525.779999999987</v>
      </c>
      <c r="N471" s="151">
        <f>N470+'Basic Data'!$AF$13</f>
        <v>8315.0300000000534</v>
      </c>
      <c r="O471" s="151">
        <f>O470+'Basic Data'!$AG$13</f>
        <v>3315.6799999999766</v>
      </c>
      <c r="P471" s="151">
        <f>P470+'Basic Data'!$AH$13</f>
        <v>9069.75000000008</v>
      </c>
    </row>
    <row r="472" spans="2:16">
      <c r="B472" s="156">
        <v>470</v>
      </c>
      <c r="C472" s="176">
        <v>470</v>
      </c>
      <c r="D472" s="177">
        <f t="shared" si="43"/>
        <v>5678.5800000000418</v>
      </c>
      <c r="E472" s="177">
        <f t="shared" si="44"/>
        <v>5678.5800000000418</v>
      </c>
      <c r="F472" s="177">
        <f t="shared" si="45"/>
        <v>3533.1699999999869</v>
      </c>
      <c r="G472" s="177">
        <f t="shared" si="46"/>
        <v>8332.4600000000537</v>
      </c>
      <c r="H472" s="177">
        <f t="shared" si="47"/>
        <v>3322.6299999999765</v>
      </c>
      <c r="I472" s="177">
        <f t="shared" si="48"/>
        <v>9088.7600000000803</v>
      </c>
      <c r="K472" s="151">
        <f>K471+'Basic Data'!$AC$13</f>
        <v>5678.5800000000418</v>
      </c>
      <c r="L472" s="151">
        <f>L471+'Basic Data'!$AD$13</f>
        <v>5678.5800000000418</v>
      </c>
      <c r="M472" s="151">
        <f>M471+'Basic Data'!$AE$13</f>
        <v>3533.1699999999869</v>
      </c>
      <c r="N472" s="151">
        <f>N471+'Basic Data'!$AF$13</f>
        <v>8332.4600000000537</v>
      </c>
      <c r="O472" s="151">
        <f>O471+'Basic Data'!$AG$13</f>
        <v>3322.6299999999765</v>
      </c>
      <c r="P472" s="151">
        <f>P471+'Basic Data'!$AH$13</f>
        <v>9088.7600000000803</v>
      </c>
    </row>
    <row r="473" spans="2:16">
      <c r="B473" s="156">
        <v>471</v>
      </c>
      <c r="C473" s="176">
        <v>471</v>
      </c>
      <c r="D473" s="177">
        <f t="shared" si="43"/>
        <v>5690.4600000000419</v>
      </c>
      <c r="E473" s="177">
        <f t="shared" si="44"/>
        <v>5690.4600000000419</v>
      </c>
      <c r="F473" s="177">
        <f t="shared" si="45"/>
        <v>3540.5599999999868</v>
      </c>
      <c r="G473" s="177">
        <f t="shared" si="46"/>
        <v>8349.890000000054</v>
      </c>
      <c r="H473" s="177">
        <f t="shared" si="47"/>
        <v>3329.5799999999763</v>
      </c>
      <c r="I473" s="177">
        <f t="shared" si="48"/>
        <v>9107.7700000000805</v>
      </c>
      <c r="K473" s="151">
        <f>K472+'Basic Data'!$AC$13</f>
        <v>5690.4600000000419</v>
      </c>
      <c r="L473" s="151">
        <f>L472+'Basic Data'!$AD$13</f>
        <v>5690.4600000000419</v>
      </c>
      <c r="M473" s="151">
        <f>M472+'Basic Data'!$AE$13</f>
        <v>3540.5599999999868</v>
      </c>
      <c r="N473" s="151">
        <f>N472+'Basic Data'!$AF$13</f>
        <v>8349.890000000054</v>
      </c>
      <c r="O473" s="151">
        <f>O472+'Basic Data'!$AG$13</f>
        <v>3329.5799999999763</v>
      </c>
      <c r="P473" s="151">
        <f>P472+'Basic Data'!$AH$13</f>
        <v>9107.7700000000805</v>
      </c>
    </row>
    <row r="474" spans="2:16">
      <c r="B474" s="156">
        <v>472</v>
      </c>
      <c r="C474" s="176">
        <v>472</v>
      </c>
      <c r="D474" s="177">
        <f t="shared" si="43"/>
        <v>5702.340000000042</v>
      </c>
      <c r="E474" s="177">
        <f t="shared" si="44"/>
        <v>5702.340000000042</v>
      </c>
      <c r="F474" s="177">
        <f t="shared" si="45"/>
        <v>3547.9499999999866</v>
      </c>
      <c r="G474" s="177">
        <f t="shared" si="46"/>
        <v>8367.3200000000543</v>
      </c>
      <c r="H474" s="177">
        <f t="shared" si="47"/>
        <v>3336.5299999999761</v>
      </c>
      <c r="I474" s="177">
        <f t="shared" si="48"/>
        <v>9126.7800000000807</v>
      </c>
      <c r="K474" s="151">
        <f>K473+'Basic Data'!$AC$13</f>
        <v>5702.340000000042</v>
      </c>
      <c r="L474" s="151">
        <f>L473+'Basic Data'!$AD$13</f>
        <v>5702.340000000042</v>
      </c>
      <c r="M474" s="151">
        <f>M473+'Basic Data'!$AE$13</f>
        <v>3547.9499999999866</v>
      </c>
      <c r="N474" s="151">
        <f>N473+'Basic Data'!$AF$13</f>
        <v>8367.3200000000543</v>
      </c>
      <c r="O474" s="151">
        <f>O473+'Basic Data'!$AG$13</f>
        <v>3336.5299999999761</v>
      </c>
      <c r="P474" s="151">
        <f>P473+'Basic Data'!$AH$13</f>
        <v>9126.7800000000807</v>
      </c>
    </row>
    <row r="475" spans="2:16">
      <c r="B475" s="156">
        <v>473</v>
      </c>
      <c r="C475" s="176">
        <v>473</v>
      </c>
      <c r="D475" s="177">
        <f t="shared" si="43"/>
        <v>5714.2200000000421</v>
      </c>
      <c r="E475" s="177">
        <f t="shared" si="44"/>
        <v>5714.2200000000421</v>
      </c>
      <c r="F475" s="177">
        <f t="shared" si="45"/>
        <v>3555.3399999999865</v>
      </c>
      <c r="G475" s="177">
        <f t="shared" si="46"/>
        <v>8384.7500000000546</v>
      </c>
      <c r="H475" s="177">
        <f t="shared" si="47"/>
        <v>3343.4799999999759</v>
      </c>
      <c r="I475" s="177">
        <f t="shared" si="48"/>
        <v>9145.7900000000809</v>
      </c>
      <c r="K475" s="151">
        <f>K474+'Basic Data'!$AC$13</f>
        <v>5714.2200000000421</v>
      </c>
      <c r="L475" s="151">
        <f>L474+'Basic Data'!$AD$13</f>
        <v>5714.2200000000421</v>
      </c>
      <c r="M475" s="151">
        <f>M474+'Basic Data'!$AE$13</f>
        <v>3555.3399999999865</v>
      </c>
      <c r="N475" s="151">
        <f>N474+'Basic Data'!$AF$13</f>
        <v>8384.7500000000546</v>
      </c>
      <c r="O475" s="151">
        <f>O474+'Basic Data'!$AG$13</f>
        <v>3343.4799999999759</v>
      </c>
      <c r="P475" s="151">
        <f>P474+'Basic Data'!$AH$13</f>
        <v>9145.7900000000809</v>
      </c>
    </row>
    <row r="476" spans="2:16">
      <c r="B476" s="156">
        <v>474</v>
      </c>
      <c r="C476" s="176">
        <v>474</v>
      </c>
      <c r="D476" s="177">
        <f t="shared" si="43"/>
        <v>5726.1000000000422</v>
      </c>
      <c r="E476" s="177">
        <f t="shared" si="44"/>
        <v>5726.1000000000422</v>
      </c>
      <c r="F476" s="177">
        <f t="shared" si="45"/>
        <v>3562.7299999999864</v>
      </c>
      <c r="G476" s="177">
        <f t="shared" si="46"/>
        <v>8402.1800000000549</v>
      </c>
      <c r="H476" s="177">
        <f t="shared" si="47"/>
        <v>3350.4299999999757</v>
      </c>
      <c r="I476" s="177">
        <f t="shared" si="48"/>
        <v>9164.8000000000811</v>
      </c>
      <c r="K476" s="151">
        <f>K475+'Basic Data'!$AC$13</f>
        <v>5726.1000000000422</v>
      </c>
      <c r="L476" s="151">
        <f>L475+'Basic Data'!$AD$13</f>
        <v>5726.1000000000422</v>
      </c>
      <c r="M476" s="151">
        <f>M475+'Basic Data'!$AE$13</f>
        <v>3562.7299999999864</v>
      </c>
      <c r="N476" s="151">
        <f>N475+'Basic Data'!$AF$13</f>
        <v>8402.1800000000549</v>
      </c>
      <c r="O476" s="151">
        <f>O475+'Basic Data'!$AG$13</f>
        <v>3350.4299999999757</v>
      </c>
      <c r="P476" s="151">
        <f>P475+'Basic Data'!$AH$13</f>
        <v>9164.8000000000811</v>
      </c>
    </row>
    <row r="477" spans="2:16">
      <c r="B477" s="156">
        <v>475</v>
      </c>
      <c r="C477" s="176">
        <v>475</v>
      </c>
      <c r="D477" s="177">
        <f t="shared" si="43"/>
        <v>5737.9800000000423</v>
      </c>
      <c r="E477" s="177">
        <f t="shared" si="44"/>
        <v>5737.9800000000423</v>
      </c>
      <c r="F477" s="177">
        <f t="shared" si="45"/>
        <v>3570.1199999999862</v>
      </c>
      <c r="G477" s="177">
        <f t="shared" si="46"/>
        <v>8419.6100000000552</v>
      </c>
      <c r="H477" s="177">
        <f t="shared" si="47"/>
        <v>3357.3799999999756</v>
      </c>
      <c r="I477" s="177">
        <f t="shared" si="48"/>
        <v>9183.8100000000813</v>
      </c>
      <c r="K477" s="151">
        <f>K476+'Basic Data'!$AC$13</f>
        <v>5737.9800000000423</v>
      </c>
      <c r="L477" s="151">
        <f>L476+'Basic Data'!$AD$13</f>
        <v>5737.9800000000423</v>
      </c>
      <c r="M477" s="151">
        <f>M476+'Basic Data'!$AE$13</f>
        <v>3570.1199999999862</v>
      </c>
      <c r="N477" s="151">
        <f>N476+'Basic Data'!$AF$13</f>
        <v>8419.6100000000552</v>
      </c>
      <c r="O477" s="151">
        <f>O476+'Basic Data'!$AG$13</f>
        <v>3357.3799999999756</v>
      </c>
      <c r="P477" s="151">
        <f>P476+'Basic Data'!$AH$13</f>
        <v>9183.8100000000813</v>
      </c>
    </row>
    <row r="478" spans="2:16">
      <c r="B478" s="156">
        <v>476</v>
      </c>
      <c r="C478" s="176">
        <v>476</v>
      </c>
      <c r="D478" s="177">
        <f t="shared" si="43"/>
        <v>5749.8600000000424</v>
      </c>
      <c r="E478" s="177">
        <f t="shared" si="44"/>
        <v>5749.8600000000424</v>
      </c>
      <c r="F478" s="177">
        <f t="shared" si="45"/>
        <v>3577.5099999999861</v>
      </c>
      <c r="G478" s="177">
        <f t="shared" si="46"/>
        <v>8437.0400000000554</v>
      </c>
      <c r="H478" s="177">
        <f t="shared" si="47"/>
        <v>3364.3299999999754</v>
      </c>
      <c r="I478" s="177">
        <f t="shared" si="48"/>
        <v>9202.8200000000816</v>
      </c>
      <c r="K478" s="151">
        <f>K477+'Basic Data'!$AC$13</f>
        <v>5749.8600000000424</v>
      </c>
      <c r="L478" s="151">
        <f>L477+'Basic Data'!$AD$13</f>
        <v>5749.8600000000424</v>
      </c>
      <c r="M478" s="151">
        <f>M477+'Basic Data'!$AE$13</f>
        <v>3577.5099999999861</v>
      </c>
      <c r="N478" s="151">
        <f>N477+'Basic Data'!$AF$13</f>
        <v>8437.0400000000554</v>
      </c>
      <c r="O478" s="151">
        <f>O477+'Basic Data'!$AG$13</f>
        <v>3364.3299999999754</v>
      </c>
      <c r="P478" s="151">
        <f>P477+'Basic Data'!$AH$13</f>
        <v>9202.8200000000816</v>
      </c>
    </row>
    <row r="479" spans="2:16">
      <c r="B479" s="156">
        <v>477</v>
      </c>
      <c r="C479" s="176">
        <v>477</v>
      </c>
      <c r="D479" s="177">
        <f t="shared" si="43"/>
        <v>5761.7400000000425</v>
      </c>
      <c r="E479" s="177">
        <f t="shared" si="44"/>
        <v>5761.7400000000425</v>
      </c>
      <c r="F479" s="177">
        <f t="shared" si="45"/>
        <v>3584.899999999986</v>
      </c>
      <c r="G479" s="177">
        <f t="shared" si="46"/>
        <v>8454.4700000000557</v>
      </c>
      <c r="H479" s="177">
        <f t="shared" si="47"/>
        <v>3371.2799999999752</v>
      </c>
      <c r="I479" s="177">
        <f t="shared" si="48"/>
        <v>9221.8300000000818</v>
      </c>
      <c r="K479" s="151">
        <f>K478+'Basic Data'!$AC$13</f>
        <v>5761.7400000000425</v>
      </c>
      <c r="L479" s="151">
        <f>L478+'Basic Data'!$AD$13</f>
        <v>5761.7400000000425</v>
      </c>
      <c r="M479" s="151">
        <f>M478+'Basic Data'!$AE$13</f>
        <v>3584.899999999986</v>
      </c>
      <c r="N479" s="151">
        <f>N478+'Basic Data'!$AF$13</f>
        <v>8454.4700000000557</v>
      </c>
      <c r="O479" s="151">
        <f>O478+'Basic Data'!$AG$13</f>
        <v>3371.2799999999752</v>
      </c>
      <c r="P479" s="151">
        <f>P478+'Basic Data'!$AH$13</f>
        <v>9221.8300000000818</v>
      </c>
    </row>
    <row r="480" spans="2:16">
      <c r="B480" s="156">
        <v>478</v>
      </c>
      <c r="C480" s="176">
        <v>478</v>
      </c>
      <c r="D480" s="177">
        <f t="shared" si="43"/>
        <v>5773.6200000000426</v>
      </c>
      <c r="E480" s="177">
        <f t="shared" si="44"/>
        <v>5773.6200000000426</v>
      </c>
      <c r="F480" s="177">
        <f t="shared" si="45"/>
        <v>3592.2899999999859</v>
      </c>
      <c r="G480" s="177">
        <f t="shared" si="46"/>
        <v>8471.900000000056</v>
      </c>
      <c r="H480" s="177">
        <f t="shared" si="47"/>
        <v>3378.229999999975</v>
      </c>
      <c r="I480" s="177">
        <f t="shared" si="48"/>
        <v>9240.840000000082</v>
      </c>
      <c r="K480" s="151">
        <f>K479+'Basic Data'!$AC$13</f>
        <v>5773.6200000000426</v>
      </c>
      <c r="L480" s="151">
        <f>L479+'Basic Data'!$AD$13</f>
        <v>5773.6200000000426</v>
      </c>
      <c r="M480" s="151">
        <f>M479+'Basic Data'!$AE$13</f>
        <v>3592.2899999999859</v>
      </c>
      <c r="N480" s="151">
        <f>N479+'Basic Data'!$AF$13</f>
        <v>8471.900000000056</v>
      </c>
      <c r="O480" s="151">
        <f>O479+'Basic Data'!$AG$13</f>
        <v>3378.229999999975</v>
      </c>
      <c r="P480" s="151">
        <f>P479+'Basic Data'!$AH$13</f>
        <v>9240.840000000082</v>
      </c>
    </row>
    <row r="481" spans="2:16">
      <c r="B481" s="156">
        <v>479</v>
      </c>
      <c r="C481" s="176">
        <v>479</v>
      </c>
      <c r="D481" s="177">
        <f t="shared" si="43"/>
        <v>5785.5000000000427</v>
      </c>
      <c r="E481" s="177">
        <f t="shared" si="44"/>
        <v>5785.5000000000427</v>
      </c>
      <c r="F481" s="177">
        <f t="shared" si="45"/>
        <v>3599.6799999999857</v>
      </c>
      <c r="G481" s="177">
        <f t="shared" si="46"/>
        <v>8489.3300000000563</v>
      </c>
      <c r="H481" s="177">
        <f t="shared" si="47"/>
        <v>3385.1799999999748</v>
      </c>
      <c r="I481" s="177">
        <f t="shared" si="48"/>
        <v>9259.8500000000822</v>
      </c>
      <c r="K481" s="151">
        <f>K480+'Basic Data'!$AC$13</f>
        <v>5785.5000000000427</v>
      </c>
      <c r="L481" s="151">
        <f>L480+'Basic Data'!$AD$13</f>
        <v>5785.5000000000427</v>
      </c>
      <c r="M481" s="151">
        <f>M480+'Basic Data'!$AE$13</f>
        <v>3599.6799999999857</v>
      </c>
      <c r="N481" s="151">
        <f>N480+'Basic Data'!$AF$13</f>
        <v>8489.3300000000563</v>
      </c>
      <c r="O481" s="151">
        <f>O480+'Basic Data'!$AG$13</f>
        <v>3385.1799999999748</v>
      </c>
      <c r="P481" s="151">
        <f>P480+'Basic Data'!$AH$13</f>
        <v>9259.8500000000822</v>
      </c>
    </row>
    <row r="482" spans="2:16">
      <c r="B482" s="156">
        <v>480</v>
      </c>
      <c r="C482" s="176">
        <v>480</v>
      </c>
      <c r="D482" s="177">
        <f t="shared" si="43"/>
        <v>5797.3800000000429</v>
      </c>
      <c r="E482" s="177">
        <f t="shared" si="44"/>
        <v>5797.3800000000429</v>
      </c>
      <c r="F482" s="177">
        <f t="shared" si="45"/>
        <v>3607.0699999999856</v>
      </c>
      <c r="G482" s="177">
        <f t="shared" si="46"/>
        <v>8506.7600000000566</v>
      </c>
      <c r="H482" s="177">
        <f t="shared" si="47"/>
        <v>3392.1299999999746</v>
      </c>
      <c r="I482" s="177">
        <f t="shared" si="48"/>
        <v>9278.8600000000824</v>
      </c>
      <c r="K482" s="151">
        <f>K481+'Basic Data'!$AC$13</f>
        <v>5797.3800000000429</v>
      </c>
      <c r="L482" s="151">
        <f>L481+'Basic Data'!$AD$13</f>
        <v>5797.3800000000429</v>
      </c>
      <c r="M482" s="151">
        <f>M481+'Basic Data'!$AE$13</f>
        <v>3607.0699999999856</v>
      </c>
      <c r="N482" s="151">
        <f>N481+'Basic Data'!$AF$13</f>
        <v>8506.7600000000566</v>
      </c>
      <c r="O482" s="151">
        <f>O481+'Basic Data'!$AG$13</f>
        <v>3392.1299999999746</v>
      </c>
      <c r="P482" s="151">
        <f>P481+'Basic Data'!$AH$13</f>
        <v>9278.8600000000824</v>
      </c>
    </row>
    <row r="483" spans="2:16">
      <c r="B483" s="156">
        <v>481</v>
      </c>
      <c r="C483" s="176">
        <v>481</v>
      </c>
      <c r="D483" s="177">
        <f t="shared" si="43"/>
        <v>5809.260000000043</v>
      </c>
      <c r="E483" s="177">
        <f t="shared" si="44"/>
        <v>5809.260000000043</v>
      </c>
      <c r="F483" s="177">
        <f t="shared" si="45"/>
        <v>3614.4599999999855</v>
      </c>
      <c r="G483" s="177">
        <f t="shared" si="46"/>
        <v>8524.1900000000569</v>
      </c>
      <c r="H483" s="177">
        <f t="shared" si="47"/>
        <v>3399.0799999999745</v>
      </c>
      <c r="I483" s="177">
        <f t="shared" si="48"/>
        <v>9297.8700000000827</v>
      </c>
      <c r="K483" s="151">
        <f>K482+'Basic Data'!$AC$13</f>
        <v>5809.260000000043</v>
      </c>
      <c r="L483" s="151">
        <f>L482+'Basic Data'!$AD$13</f>
        <v>5809.260000000043</v>
      </c>
      <c r="M483" s="151">
        <f>M482+'Basic Data'!$AE$13</f>
        <v>3614.4599999999855</v>
      </c>
      <c r="N483" s="151">
        <f>N482+'Basic Data'!$AF$13</f>
        <v>8524.1900000000569</v>
      </c>
      <c r="O483" s="151">
        <f>O482+'Basic Data'!$AG$13</f>
        <v>3399.0799999999745</v>
      </c>
      <c r="P483" s="151">
        <f>P482+'Basic Data'!$AH$13</f>
        <v>9297.8700000000827</v>
      </c>
    </row>
    <row r="484" spans="2:16">
      <c r="B484" s="156">
        <v>482</v>
      </c>
      <c r="C484" s="176">
        <v>482</v>
      </c>
      <c r="D484" s="177">
        <f t="shared" si="43"/>
        <v>5821.1400000000431</v>
      </c>
      <c r="E484" s="177">
        <f t="shared" si="44"/>
        <v>5821.1400000000431</v>
      </c>
      <c r="F484" s="177">
        <f t="shared" si="45"/>
        <v>3621.8499999999854</v>
      </c>
      <c r="G484" s="177">
        <f t="shared" si="46"/>
        <v>8541.6200000000572</v>
      </c>
      <c r="H484" s="177">
        <f t="shared" si="47"/>
        <v>3406.0299999999743</v>
      </c>
      <c r="I484" s="177">
        <f t="shared" si="48"/>
        <v>9316.8800000000829</v>
      </c>
      <c r="K484" s="151">
        <f>K483+'Basic Data'!$AC$13</f>
        <v>5821.1400000000431</v>
      </c>
      <c r="L484" s="151">
        <f>L483+'Basic Data'!$AD$13</f>
        <v>5821.1400000000431</v>
      </c>
      <c r="M484" s="151">
        <f>M483+'Basic Data'!$AE$13</f>
        <v>3621.8499999999854</v>
      </c>
      <c r="N484" s="151">
        <f>N483+'Basic Data'!$AF$13</f>
        <v>8541.6200000000572</v>
      </c>
      <c r="O484" s="151">
        <f>O483+'Basic Data'!$AG$13</f>
        <v>3406.0299999999743</v>
      </c>
      <c r="P484" s="151">
        <f>P483+'Basic Data'!$AH$13</f>
        <v>9316.8800000000829</v>
      </c>
    </row>
    <row r="485" spans="2:16">
      <c r="B485" s="156">
        <v>483</v>
      </c>
      <c r="C485" s="176">
        <v>483</v>
      </c>
      <c r="D485" s="177">
        <f t="shared" si="43"/>
        <v>5833.0200000000432</v>
      </c>
      <c r="E485" s="177">
        <f t="shared" si="44"/>
        <v>5833.0200000000432</v>
      </c>
      <c r="F485" s="177">
        <f t="shared" si="45"/>
        <v>3629.2399999999852</v>
      </c>
      <c r="G485" s="177">
        <f t="shared" si="46"/>
        <v>8559.0500000000575</v>
      </c>
      <c r="H485" s="177">
        <f t="shared" si="47"/>
        <v>3412.9799999999741</v>
      </c>
      <c r="I485" s="177">
        <f t="shared" si="48"/>
        <v>9335.8900000000831</v>
      </c>
      <c r="K485" s="151">
        <f>K484+'Basic Data'!$AC$13</f>
        <v>5833.0200000000432</v>
      </c>
      <c r="L485" s="151">
        <f>L484+'Basic Data'!$AD$13</f>
        <v>5833.0200000000432</v>
      </c>
      <c r="M485" s="151">
        <f>M484+'Basic Data'!$AE$13</f>
        <v>3629.2399999999852</v>
      </c>
      <c r="N485" s="151">
        <f>N484+'Basic Data'!$AF$13</f>
        <v>8559.0500000000575</v>
      </c>
      <c r="O485" s="151">
        <f>O484+'Basic Data'!$AG$13</f>
        <v>3412.9799999999741</v>
      </c>
      <c r="P485" s="151">
        <f>P484+'Basic Data'!$AH$13</f>
        <v>9335.8900000000831</v>
      </c>
    </row>
    <row r="486" spans="2:16">
      <c r="B486" s="156">
        <v>484</v>
      </c>
      <c r="C486" s="176">
        <v>484</v>
      </c>
      <c r="D486" s="177">
        <f t="shared" si="43"/>
        <v>5844.9000000000433</v>
      </c>
      <c r="E486" s="177">
        <f t="shared" si="44"/>
        <v>5844.9000000000433</v>
      </c>
      <c r="F486" s="177">
        <f t="shared" si="45"/>
        <v>3636.6299999999851</v>
      </c>
      <c r="G486" s="177">
        <f t="shared" si="46"/>
        <v>8576.4800000000578</v>
      </c>
      <c r="H486" s="177">
        <f t="shared" si="47"/>
        <v>3419.9299999999739</v>
      </c>
      <c r="I486" s="177">
        <f t="shared" si="48"/>
        <v>9354.9000000000833</v>
      </c>
      <c r="K486" s="151">
        <f>K485+'Basic Data'!$AC$13</f>
        <v>5844.9000000000433</v>
      </c>
      <c r="L486" s="151">
        <f>L485+'Basic Data'!$AD$13</f>
        <v>5844.9000000000433</v>
      </c>
      <c r="M486" s="151">
        <f>M485+'Basic Data'!$AE$13</f>
        <v>3636.6299999999851</v>
      </c>
      <c r="N486" s="151">
        <f>N485+'Basic Data'!$AF$13</f>
        <v>8576.4800000000578</v>
      </c>
      <c r="O486" s="151">
        <f>O485+'Basic Data'!$AG$13</f>
        <v>3419.9299999999739</v>
      </c>
      <c r="P486" s="151">
        <f>P485+'Basic Data'!$AH$13</f>
        <v>9354.9000000000833</v>
      </c>
    </row>
    <row r="487" spans="2:16">
      <c r="B487" s="156">
        <v>485</v>
      </c>
      <c r="C487" s="176">
        <v>485</v>
      </c>
      <c r="D487" s="177">
        <f t="shared" si="43"/>
        <v>5856.7800000000434</v>
      </c>
      <c r="E487" s="177">
        <f t="shared" si="44"/>
        <v>5856.7800000000434</v>
      </c>
      <c r="F487" s="177">
        <f t="shared" si="45"/>
        <v>3644.019999999985</v>
      </c>
      <c r="G487" s="177">
        <f t="shared" si="46"/>
        <v>8593.9100000000581</v>
      </c>
      <c r="H487" s="177">
        <f t="shared" si="47"/>
        <v>3426.8799999999737</v>
      </c>
      <c r="I487" s="177">
        <f t="shared" si="48"/>
        <v>9373.9100000000835</v>
      </c>
      <c r="K487" s="151">
        <f>K486+'Basic Data'!$AC$13</f>
        <v>5856.7800000000434</v>
      </c>
      <c r="L487" s="151">
        <f>L486+'Basic Data'!$AD$13</f>
        <v>5856.7800000000434</v>
      </c>
      <c r="M487" s="151">
        <f>M486+'Basic Data'!$AE$13</f>
        <v>3644.019999999985</v>
      </c>
      <c r="N487" s="151">
        <f>N486+'Basic Data'!$AF$13</f>
        <v>8593.9100000000581</v>
      </c>
      <c r="O487" s="151">
        <f>O486+'Basic Data'!$AG$13</f>
        <v>3426.8799999999737</v>
      </c>
      <c r="P487" s="151">
        <f>P486+'Basic Data'!$AH$13</f>
        <v>9373.9100000000835</v>
      </c>
    </row>
    <row r="488" spans="2:16">
      <c r="B488" s="156">
        <v>486</v>
      </c>
      <c r="C488" s="176">
        <v>486</v>
      </c>
      <c r="D488" s="177">
        <f t="shared" si="43"/>
        <v>5868.6600000000435</v>
      </c>
      <c r="E488" s="177">
        <f t="shared" si="44"/>
        <v>5868.6600000000435</v>
      </c>
      <c r="F488" s="177">
        <f t="shared" si="45"/>
        <v>3651.4099999999848</v>
      </c>
      <c r="G488" s="177">
        <f t="shared" si="46"/>
        <v>8611.3400000000584</v>
      </c>
      <c r="H488" s="177">
        <f t="shared" si="47"/>
        <v>3433.8299999999736</v>
      </c>
      <c r="I488" s="177">
        <f t="shared" si="48"/>
        <v>9392.9200000000837</v>
      </c>
      <c r="K488" s="151">
        <f>K487+'Basic Data'!$AC$13</f>
        <v>5868.6600000000435</v>
      </c>
      <c r="L488" s="151">
        <f>L487+'Basic Data'!$AD$13</f>
        <v>5868.6600000000435</v>
      </c>
      <c r="M488" s="151">
        <f>M487+'Basic Data'!$AE$13</f>
        <v>3651.4099999999848</v>
      </c>
      <c r="N488" s="151">
        <f>N487+'Basic Data'!$AF$13</f>
        <v>8611.3400000000584</v>
      </c>
      <c r="O488" s="151">
        <f>O487+'Basic Data'!$AG$13</f>
        <v>3433.8299999999736</v>
      </c>
      <c r="P488" s="151">
        <f>P487+'Basic Data'!$AH$13</f>
        <v>9392.9200000000837</v>
      </c>
    </row>
    <row r="489" spans="2:16">
      <c r="B489" s="156">
        <v>487</v>
      </c>
      <c r="C489" s="176">
        <v>487</v>
      </c>
      <c r="D489" s="177">
        <f t="shared" si="43"/>
        <v>5880.5400000000436</v>
      </c>
      <c r="E489" s="177">
        <f t="shared" si="44"/>
        <v>5880.5400000000436</v>
      </c>
      <c r="F489" s="177">
        <f t="shared" si="45"/>
        <v>3658.7999999999847</v>
      </c>
      <c r="G489" s="177">
        <f t="shared" si="46"/>
        <v>8628.7700000000586</v>
      </c>
      <c r="H489" s="177">
        <f t="shared" si="47"/>
        <v>3440.7799999999734</v>
      </c>
      <c r="I489" s="177">
        <f t="shared" si="48"/>
        <v>9411.930000000084</v>
      </c>
      <c r="K489" s="151">
        <f>K488+'Basic Data'!$AC$13</f>
        <v>5880.5400000000436</v>
      </c>
      <c r="L489" s="151">
        <f>L488+'Basic Data'!$AD$13</f>
        <v>5880.5400000000436</v>
      </c>
      <c r="M489" s="151">
        <f>M488+'Basic Data'!$AE$13</f>
        <v>3658.7999999999847</v>
      </c>
      <c r="N489" s="151">
        <f>N488+'Basic Data'!$AF$13</f>
        <v>8628.7700000000586</v>
      </c>
      <c r="O489" s="151">
        <f>O488+'Basic Data'!$AG$13</f>
        <v>3440.7799999999734</v>
      </c>
      <c r="P489" s="151">
        <f>P488+'Basic Data'!$AH$13</f>
        <v>9411.930000000084</v>
      </c>
    </row>
    <row r="490" spans="2:16">
      <c r="B490" s="156">
        <v>488</v>
      </c>
      <c r="C490" s="176">
        <v>488</v>
      </c>
      <c r="D490" s="177">
        <f t="shared" si="43"/>
        <v>5892.4200000000437</v>
      </c>
      <c r="E490" s="177">
        <f t="shared" si="44"/>
        <v>5892.4200000000437</v>
      </c>
      <c r="F490" s="177">
        <f t="shared" si="45"/>
        <v>3666.1899999999846</v>
      </c>
      <c r="G490" s="177">
        <f t="shared" si="46"/>
        <v>8646.2000000000589</v>
      </c>
      <c r="H490" s="177">
        <f t="shared" si="47"/>
        <v>3447.7299999999732</v>
      </c>
      <c r="I490" s="177">
        <f t="shared" si="48"/>
        <v>9430.9400000000842</v>
      </c>
      <c r="K490" s="151">
        <f>K489+'Basic Data'!$AC$13</f>
        <v>5892.4200000000437</v>
      </c>
      <c r="L490" s="151">
        <f>L489+'Basic Data'!$AD$13</f>
        <v>5892.4200000000437</v>
      </c>
      <c r="M490" s="151">
        <f>M489+'Basic Data'!$AE$13</f>
        <v>3666.1899999999846</v>
      </c>
      <c r="N490" s="151">
        <f>N489+'Basic Data'!$AF$13</f>
        <v>8646.2000000000589</v>
      </c>
      <c r="O490" s="151">
        <f>O489+'Basic Data'!$AG$13</f>
        <v>3447.7299999999732</v>
      </c>
      <c r="P490" s="151">
        <f>P489+'Basic Data'!$AH$13</f>
        <v>9430.9400000000842</v>
      </c>
    </row>
    <row r="491" spans="2:16">
      <c r="B491" s="156">
        <v>489</v>
      </c>
      <c r="C491" s="176">
        <v>489</v>
      </c>
      <c r="D491" s="177">
        <f t="shared" si="43"/>
        <v>5904.3000000000438</v>
      </c>
      <c r="E491" s="177">
        <f t="shared" si="44"/>
        <v>5904.3000000000438</v>
      </c>
      <c r="F491" s="177">
        <f t="shared" si="45"/>
        <v>3673.5799999999845</v>
      </c>
      <c r="G491" s="177">
        <f t="shared" si="46"/>
        <v>8663.6300000000592</v>
      </c>
      <c r="H491" s="177">
        <f t="shared" si="47"/>
        <v>3454.679999999973</v>
      </c>
      <c r="I491" s="177">
        <f t="shared" si="48"/>
        <v>9449.9500000000844</v>
      </c>
      <c r="K491" s="151">
        <f>K490+'Basic Data'!$AC$13</f>
        <v>5904.3000000000438</v>
      </c>
      <c r="L491" s="151">
        <f>L490+'Basic Data'!$AD$13</f>
        <v>5904.3000000000438</v>
      </c>
      <c r="M491" s="151">
        <f>M490+'Basic Data'!$AE$13</f>
        <v>3673.5799999999845</v>
      </c>
      <c r="N491" s="151">
        <f>N490+'Basic Data'!$AF$13</f>
        <v>8663.6300000000592</v>
      </c>
      <c r="O491" s="151">
        <f>O490+'Basic Data'!$AG$13</f>
        <v>3454.679999999973</v>
      </c>
      <c r="P491" s="151">
        <f>P490+'Basic Data'!$AH$13</f>
        <v>9449.9500000000844</v>
      </c>
    </row>
    <row r="492" spans="2:16">
      <c r="B492" s="156">
        <v>490</v>
      </c>
      <c r="C492" s="176">
        <v>490</v>
      </c>
      <c r="D492" s="177">
        <f t="shared" si="43"/>
        <v>5916.1800000000439</v>
      </c>
      <c r="E492" s="177">
        <f t="shared" si="44"/>
        <v>5916.1800000000439</v>
      </c>
      <c r="F492" s="177">
        <f t="shared" si="45"/>
        <v>3680.9699999999843</v>
      </c>
      <c r="G492" s="177">
        <f t="shared" si="46"/>
        <v>8681.0600000000595</v>
      </c>
      <c r="H492" s="177">
        <f t="shared" si="47"/>
        <v>3461.6299999999728</v>
      </c>
      <c r="I492" s="177">
        <f t="shared" si="48"/>
        <v>9468.9600000000846</v>
      </c>
      <c r="K492" s="151">
        <f>K491+'Basic Data'!$AC$13</f>
        <v>5916.1800000000439</v>
      </c>
      <c r="L492" s="151">
        <f>L491+'Basic Data'!$AD$13</f>
        <v>5916.1800000000439</v>
      </c>
      <c r="M492" s="151">
        <f>M491+'Basic Data'!$AE$13</f>
        <v>3680.9699999999843</v>
      </c>
      <c r="N492" s="151">
        <f>N491+'Basic Data'!$AF$13</f>
        <v>8681.0600000000595</v>
      </c>
      <c r="O492" s="151">
        <f>O491+'Basic Data'!$AG$13</f>
        <v>3461.6299999999728</v>
      </c>
      <c r="P492" s="151">
        <f>P491+'Basic Data'!$AH$13</f>
        <v>9468.9600000000846</v>
      </c>
    </row>
    <row r="493" spans="2:16">
      <c r="B493" s="156">
        <v>491</v>
      </c>
      <c r="C493" s="176">
        <v>491</v>
      </c>
      <c r="D493" s="177">
        <f t="shared" si="43"/>
        <v>5928.0600000000441</v>
      </c>
      <c r="E493" s="177">
        <f t="shared" si="44"/>
        <v>5928.0600000000441</v>
      </c>
      <c r="F493" s="177">
        <f t="shared" si="45"/>
        <v>3688.3599999999842</v>
      </c>
      <c r="G493" s="177">
        <f t="shared" si="46"/>
        <v>8698.4900000000598</v>
      </c>
      <c r="H493" s="177">
        <f t="shared" si="47"/>
        <v>3468.5799999999726</v>
      </c>
      <c r="I493" s="177">
        <f t="shared" si="48"/>
        <v>9487.9700000000848</v>
      </c>
      <c r="K493" s="151">
        <f>K492+'Basic Data'!$AC$13</f>
        <v>5928.0600000000441</v>
      </c>
      <c r="L493" s="151">
        <f>L492+'Basic Data'!$AD$13</f>
        <v>5928.0600000000441</v>
      </c>
      <c r="M493" s="151">
        <f>M492+'Basic Data'!$AE$13</f>
        <v>3688.3599999999842</v>
      </c>
      <c r="N493" s="151">
        <f>N492+'Basic Data'!$AF$13</f>
        <v>8698.4900000000598</v>
      </c>
      <c r="O493" s="151">
        <f>O492+'Basic Data'!$AG$13</f>
        <v>3468.5799999999726</v>
      </c>
      <c r="P493" s="151">
        <f>P492+'Basic Data'!$AH$13</f>
        <v>9487.9700000000848</v>
      </c>
    </row>
    <row r="494" spans="2:16">
      <c r="B494" s="156">
        <v>492</v>
      </c>
      <c r="C494" s="176">
        <v>492</v>
      </c>
      <c r="D494" s="177">
        <f t="shared" si="43"/>
        <v>5939.9400000000442</v>
      </c>
      <c r="E494" s="177">
        <f t="shared" si="44"/>
        <v>5939.9400000000442</v>
      </c>
      <c r="F494" s="177">
        <f t="shared" si="45"/>
        <v>3695.7499999999841</v>
      </c>
      <c r="G494" s="177">
        <f t="shared" si="46"/>
        <v>8715.9200000000601</v>
      </c>
      <c r="H494" s="177">
        <f t="shared" si="47"/>
        <v>3475.5299999999725</v>
      </c>
      <c r="I494" s="177">
        <f t="shared" si="48"/>
        <v>9506.9800000000851</v>
      </c>
      <c r="K494" s="151">
        <f>K493+'Basic Data'!$AC$13</f>
        <v>5939.9400000000442</v>
      </c>
      <c r="L494" s="151">
        <f>L493+'Basic Data'!$AD$13</f>
        <v>5939.9400000000442</v>
      </c>
      <c r="M494" s="151">
        <f>M493+'Basic Data'!$AE$13</f>
        <v>3695.7499999999841</v>
      </c>
      <c r="N494" s="151">
        <f>N493+'Basic Data'!$AF$13</f>
        <v>8715.9200000000601</v>
      </c>
      <c r="O494" s="151">
        <f>O493+'Basic Data'!$AG$13</f>
        <v>3475.5299999999725</v>
      </c>
      <c r="P494" s="151">
        <f>P493+'Basic Data'!$AH$13</f>
        <v>9506.9800000000851</v>
      </c>
    </row>
    <row r="495" spans="2:16">
      <c r="B495" s="156">
        <v>493</v>
      </c>
      <c r="C495" s="176">
        <v>493</v>
      </c>
      <c r="D495" s="177">
        <f t="shared" si="43"/>
        <v>5951.8200000000443</v>
      </c>
      <c r="E495" s="177">
        <f t="shared" si="44"/>
        <v>5951.8200000000443</v>
      </c>
      <c r="F495" s="177">
        <f t="shared" si="45"/>
        <v>3703.139999999984</v>
      </c>
      <c r="G495" s="177">
        <f t="shared" si="46"/>
        <v>8733.3500000000604</v>
      </c>
      <c r="H495" s="177">
        <f t="shared" si="47"/>
        <v>3482.4799999999723</v>
      </c>
      <c r="I495" s="177">
        <f t="shared" si="48"/>
        <v>9525.9900000000853</v>
      </c>
      <c r="K495" s="151">
        <f>K494+'Basic Data'!$AC$13</f>
        <v>5951.8200000000443</v>
      </c>
      <c r="L495" s="151">
        <f>L494+'Basic Data'!$AD$13</f>
        <v>5951.8200000000443</v>
      </c>
      <c r="M495" s="151">
        <f>M494+'Basic Data'!$AE$13</f>
        <v>3703.139999999984</v>
      </c>
      <c r="N495" s="151">
        <f>N494+'Basic Data'!$AF$13</f>
        <v>8733.3500000000604</v>
      </c>
      <c r="O495" s="151">
        <f>O494+'Basic Data'!$AG$13</f>
        <v>3482.4799999999723</v>
      </c>
      <c r="P495" s="151">
        <f>P494+'Basic Data'!$AH$13</f>
        <v>9525.9900000000853</v>
      </c>
    </row>
    <row r="496" spans="2:16">
      <c r="B496" s="156">
        <v>494</v>
      </c>
      <c r="C496" s="176">
        <v>494</v>
      </c>
      <c r="D496" s="177">
        <f t="shared" si="43"/>
        <v>5963.7000000000444</v>
      </c>
      <c r="E496" s="177">
        <f t="shared" si="44"/>
        <v>5963.7000000000444</v>
      </c>
      <c r="F496" s="177">
        <f t="shared" si="45"/>
        <v>3710.5299999999838</v>
      </c>
      <c r="G496" s="177">
        <f t="shared" si="46"/>
        <v>8750.7800000000607</v>
      </c>
      <c r="H496" s="177">
        <f t="shared" si="47"/>
        <v>3489.4299999999721</v>
      </c>
      <c r="I496" s="177">
        <f t="shared" si="48"/>
        <v>9545.0000000000855</v>
      </c>
      <c r="K496" s="151">
        <f>K495+'Basic Data'!$AC$13</f>
        <v>5963.7000000000444</v>
      </c>
      <c r="L496" s="151">
        <f>L495+'Basic Data'!$AD$13</f>
        <v>5963.7000000000444</v>
      </c>
      <c r="M496" s="151">
        <f>M495+'Basic Data'!$AE$13</f>
        <v>3710.5299999999838</v>
      </c>
      <c r="N496" s="151">
        <f>N495+'Basic Data'!$AF$13</f>
        <v>8750.7800000000607</v>
      </c>
      <c r="O496" s="151">
        <f>O495+'Basic Data'!$AG$13</f>
        <v>3489.4299999999721</v>
      </c>
      <c r="P496" s="151">
        <f>P495+'Basic Data'!$AH$13</f>
        <v>9545.0000000000855</v>
      </c>
    </row>
    <row r="497" spans="2:18">
      <c r="B497" s="156">
        <v>495</v>
      </c>
      <c r="C497" s="176">
        <v>495</v>
      </c>
      <c r="D497" s="177">
        <f t="shared" si="43"/>
        <v>5975.5800000000445</v>
      </c>
      <c r="E497" s="177">
        <f t="shared" si="44"/>
        <v>5975.5800000000445</v>
      </c>
      <c r="F497" s="177">
        <f t="shared" si="45"/>
        <v>3717.9199999999837</v>
      </c>
      <c r="G497" s="177">
        <f t="shared" si="46"/>
        <v>8768.210000000061</v>
      </c>
      <c r="H497" s="177">
        <f t="shared" si="47"/>
        <v>3496.3799999999719</v>
      </c>
      <c r="I497" s="177">
        <f t="shared" si="48"/>
        <v>9564.0100000000857</v>
      </c>
      <c r="K497" s="151">
        <f>K496+'Basic Data'!$AC$13</f>
        <v>5975.5800000000445</v>
      </c>
      <c r="L497" s="151">
        <f>L496+'Basic Data'!$AD$13</f>
        <v>5975.5800000000445</v>
      </c>
      <c r="M497" s="151">
        <f>M496+'Basic Data'!$AE$13</f>
        <v>3717.9199999999837</v>
      </c>
      <c r="N497" s="151">
        <f>N496+'Basic Data'!$AF$13</f>
        <v>8768.210000000061</v>
      </c>
      <c r="O497" s="151">
        <f>O496+'Basic Data'!$AG$13</f>
        <v>3496.3799999999719</v>
      </c>
      <c r="P497" s="151">
        <f>P496+'Basic Data'!$AH$13</f>
        <v>9564.0100000000857</v>
      </c>
    </row>
    <row r="498" spans="2:18">
      <c r="B498" s="156">
        <v>496</v>
      </c>
      <c r="C498" s="176">
        <v>496</v>
      </c>
      <c r="D498" s="177">
        <f t="shared" si="43"/>
        <v>5987.4600000000446</v>
      </c>
      <c r="E498" s="177">
        <f t="shared" si="44"/>
        <v>5987.4600000000446</v>
      </c>
      <c r="F498" s="177">
        <f t="shared" si="45"/>
        <v>3725.3099999999836</v>
      </c>
      <c r="G498" s="177">
        <f t="shared" si="46"/>
        <v>8785.6400000000613</v>
      </c>
      <c r="H498" s="177">
        <f t="shared" si="47"/>
        <v>3503.3299999999717</v>
      </c>
      <c r="I498" s="177">
        <f t="shared" si="48"/>
        <v>9583.0200000000859</v>
      </c>
      <c r="K498" s="151">
        <f>K497+'Basic Data'!$AC$13</f>
        <v>5987.4600000000446</v>
      </c>
      <c r="L498" s="151">
        <f>L497+'Basic Data'!$AD$13</f>
        <v>5987.4600000000446</v>
      </c>
      <c r="M498" s="151">
        <f>M497+'Basic Data'!$AE$13</f>
        <v>3725.3099999999836</v>
      </c>
      <c r="N498" s="151">
        <f>N497+'Basic Data'!$AF$13</f>
        <v>8785.6400000000613</v>
      </c>
      <c r="O498" s="151">
        <f>O497+'Basic Data'!$AG$13</f>
        <v>3503.3299999999717</v>
      </c>
      <c r="P498" s="151">
        <f>P497+'Basic Data'!$AH$13</f>
        <v>9583.0200000000859</v>
      </c>
    </row>
    <row r="499" spans="2:18">
      <c r="B499" s="156">
        <v>497</v>
      </c>
      <c r="C499" s="176">
        <v>497</v>
      </c>
      <c r="D499" s="177">
        <f t="shared" si="43"/>
        <v>5999.3400000000447</v>
      </c>
      <c r="E499" s="177">
        <f t="shared" si="44"/>
        <v>5999.3400000000447</v>
      </c>
      <c r="F499" s="177">
        <f t="shared" si="45"/>
        <v>3732.6999999999834</v>
      </c>
      <c r="G499" s="177">
        <f t="shared" si="46"/>
        <v>8803.0700000000616</v>
      </c>
      <c r="H499" s="177">
        <f t="shared" si="47"/>
        <v>3510.2799999999716</v>
      </c>
      <c r="I499" s="177">
        <f t="shared" si="48"/>
        <v>9602.0300000000861</v>
      </c>
      <c r="K499" s="151">
        <f>K498+'Basic Data'!$AC$13</f>
        <v>5999.3400000000447</v>
      </c>
      <c r="L499" s="151">
        <f>L498+'Basic Data'!$AD$13</f>
        <v>5999.3400000000447</v>
      </c>
      <c r="M499" s="151">
        <f>M498+'Basic Data'!$AE$13</f>
        <v>3732.6999999999834</v>
      </c>
      <c r="N499" s="151">
        <f>N498+'Basic Data'!$AF$13</f>
        <v>8803.0700000000616</v>
      </c>
      <c r="O499" s="151">
        <f>O498+'Basic Data'!$AG$13</f>
        <v>3510.2799999999716</v>
      </c>
      <c r="P499" s="151">
        <f>P498+'Basic Data'!$AH$13</f>
        <v>9602.0300000000861</v>
      </c>
    </row>
    <row r="500" spans="2:18">
      <c r="B500" s="156">
        <v>498</v>
      </c>
      <c r="C500" s="176">
        <v>498</v>
      </c>
      <c r="D500" s="177">
        <f t="shared" si="43"/>
        <v>6011.2200000000448</v>
      </c>
      <c r="E500" s="177">
        <f t="shared" si="44"/>
        <v>6011.2200000000448</v>
      </c>
      <c r="F500" s="177">
        <f t="shared" si="45"/>
        <v>3740.0899999999833</v>
      </c>
      <c r="G500" s="177">
        <f t="shared" si="46"/>
        <v>8820.5000000000618</v>
      </c>
      <c r="H500" s="177">
        <f t="shared" si="47"/>
        <v>3517.2299999999714</v>
      </c>
      <c r="I500" s="177">
        <f t="shared" si="48"/>
        <v>9621.0400000000864</v>
      </c>
      <c r="K500" s="151">
        <f>K499+'Basic Data'!$AC$13</f>
        <v>6011.2200000000448</v>
      </c>
      <c r="L500" s="151">
        <f>L499+'Basic Data'!$AD$13</f>
        <v>6011.2200000000448</v>
      </c>
      <c r="M500" s="151">
        <f>M499+'Basic Data'!$AE$13</f>
        <v>3740.0899999999833</v>
      </c>
      <c r="N500" s="151">
        <f>N499+'Basic Data'!$AF$13</f>
        <v>8820.5000000000618</v>
      </c>
      <c r="O500" s="151">
        <f>O499+'Basic Data'!$AG$13</f>
        <v>3517.2299999999714</v>
      </c>
      <c r="P500" s="151">
        <f>P499+'Basic Data'!$AH$13</f>
        <v>9621.0400000000864</v>
      </c>
    </row>
    <row r="501" spans="2:18">
      <c r="B501" s="156">
        <v>499</v>
      </c>
      <c r="C501" s="176">
        <v>499</v>
      </c>
      <c r="D501" s="177">
        <f t="shared" si="43"/>
        <v>6023.1000000000449</v>
      </c>
      <c r="E501" s="177">
        <f t="shared" si="44"/>
        <v>6023.1000000000449</v>
      </c>
      <c r="F501" s="177">
        <f t="shared" si="45"/>
        <v>3747.4799999999832</v>
      </c>
      <c r="G501" s="177">
        <f t="shared" si="46"/>
        <v>8837.9300000000621</v>
      </c>
      <c r="H501" s="177">
        <f t="shared" si="47"/>
        <v>3524.1799999999712</v>
      </c>
      <c r="I501" s="177">
        <f t="shared" si="48"/>
        <v>9640.0500000000866</v>
      </c>
      <c r="K501" s="151">
        <f>K500+'Basic Data'!$AC$13</f>
        <v>6023.1000000000449</v>
      </c>
      <c r="L501" s="151">
        <f>L500+'Basic Data'!$AD$13</f>
        <v>6023.1000000000449</v>
      </c>
      <c r="M501" s="151">
        <f>M500+'Basic Data'!$AE$13</f>
        <v>3747.4799999999832</v>
      </c>
      <c r="N501" s="151">
        <f>N500+'Basic Data'!$AF$13</f>
        <v>8837.9300000000621</v>
      </c>
      <c r="O501" s="151">
        <f>O500+'Basic Data'!$AG$13</f>
        <v>3524.1799999999712</v>
      </c>
      <c r="P501" s="151">
        <f>P500+'Basic Data'!$AH$13</f>
        <v>9640.0500000000866</v>
      </c>
    </row>
    <row r="502" spans="2:18">
      <c r="B502" s="156">
        <v>500</v>
      </c>
      <c r="C502" s="176">
        <v>500</v>
      </c>
      <c r="D502" s="177">
        <f t="shared" si="43"/>
        <v>6034.980000000045</v>
      </c>
      <c r="E502" s="177">
        <f t="shared" si="44"/>
        <v>6034.980000000045</v>
      </c>
      <c r="F502" s="177">
        <f t="shared" si="45"/>
        <v>3754.8699999999831</v>
      </c>
      <c r="G502" s="177">
        <f t="shared" si="46"/>
        <v>8855.3600000000624</v>
      </c>
      <c r="H502" s="177">
        <f t="shared" si="47"/>
        <v>3531.129999999971</v>
      </c>
      <c r="I502" s="177">
        <f t="shared" si="48"/>
        <v>9659.0600000000868</v>
      </c>
      <c r="K502" s="151">
        <f>K501+'Basic Data'!$AC$13</f>
        <v>6034.980000000045</v>
      </c>
      <c r="L502" s="151">
        <f>L501+'Basic Data'!$AD$13</f>
        <v>6034.980000000045</v>
      </c>
      <c r="M502" s="151">
        <f>M501+'Basic Data'!$AE$13</f>
        <v>3754.8699999999831</v>
      </c>
      <c r="N502" s="151">
        <f>N501+'Basic Data'!$AF$13</f>
        <v>8855.3600000000624</v>
      </c>
      <c r="O502" s="151">
        <f>O501+'Basic Data'!$AG$13</f>
        <v>3531.129999999971</v>
      </c>
      <c r="P502" s="151">
        <f>P501+'Basic Data'!$AH$13</f>
        <v>9659.0600000000868</v>
      </c>
      <c r="R502" s="154"/>
    </row>
    <row r="503" spans="2:18">
      <c r="B503" s="156">
        <v>501</v>
      </c>
      <c r="C503" s="176">
        <v>501</v>
      </c>
      <c r="D503" s="177">
        <f t="shared" si="43"/>
        <v>6046.8600000000451</v>
      </c>
      <c r="E503" s="177">
        <f t="shared" si="44"/>
        <v>6046.8600000000451</v>
      </c>
      <c r="F503" s="177">
        <f t="shared" si="45"/>
        <v>3762.2599999999829</v>
      </c>
      <c r="G503" s="177">
        <f t="shared" si="46"/>
        <v>8872.7900000000627</v>
      </c>
      <c r="H503" s="177">
        <f t="shared" si="47"/>
        <v>3538.0799999999708</v>
      </c>
      <c r="I503" s="177">
        <f t="shared" si="48"/>
        <v>9678.070000000087</v>
      </c>
      <c r="K503" s="151">
        <f>K502+'Basic Data'!$AC$13</f>
        <v>6046.8600000000451</v>
      </c>
      <c r="L503" s="151">
        <f>L502+'Basic Data'!$AD$13</f>
        <v>6046.8600000000451</v>
      </c>
      <c r="M503" s="151">
        <f>M502+'Basic Data'!$AE$13</f>
        <v>3762.2599999999829</v>
      </c>
      <c r="N503" s="151">
        <f>N502+'Basic Data'!$AF$13</f>
        <v>8872.7900000000627</v>
      </c>
      <c r="O503" s="151">
        <f>O502+'Basic Data'!$AG$13</f>
        <v>3538.0799999999708</v>
      </c>
      <c r="P503" s="151">
        <f>P502+'Basic Data'!$AH$13</f>
        <v>9678.070000000087</v>
      </c>
      <c r="R503" s="154"/>
    </row>
    <row r="504" spans="2:18">
      <c r="B504" s="156">
        <v>502</v>
      </c>
      <c r="C504" s="176">
        <v>502</v>
      </c>
      <c r="D504" s="177">
        <f t="shared" si="43"/>
        <v>6058.7400000000453</v>
      </c>
      <c r="E504" s="177">
        <f t="shared" si="44"/>
        <v>6058.7400000000453</v>
      </c>
      <c r="F504" s="177">
        <f t="shared" si="45"/>
        <v>3769.6499999999828</v>
      </c>
      <c r="G504" s="177">
        <f t="shared" si="46"/>
        <v>8890.220000000063</v>
      </c>
      <c r="H504" s="177">
        <f t="shared" si="47"/>
        <v>3545.0299999999706</v>
      </c>
      <c r="I504" s="177">
        <f t="shared" si="48"/>
        <v>9697.0800000000872</v>
      </c>
      <c r="K504" s="151">
        <f>K503+'Basic Data'!$AC$13</f>
        <v>6058.7400000000453</v>
      </c>
      <c r="L504" s="151">
        <f>L503+'Basic Data'!$AD$13</f>
        <v>6058.7400000000453</v>
      </c>
      <c r="M504" s="151">
        <f>M503+'Basic Data'!$AE$13</f>
        <v>3769.6499999999828</v>
      </c>
      <c r="N504" s="151">
        <f>N503+'Basic Data'!$AF$13</f>
        <v>8890.220000000063</v>
      </c>
      <c r="O504" s="151">
        <f>O503+'Basic Data'!$AG$13</f>
        <v>3545.0299999999706</v>
      </c>
      <c r="P504" s="151">
        <f>P503+'Basic Data'!$AH$13</f>
        <v>9697.0800000000872</v>
      </c>
      <c r="R504" s="154"/>
    </row>
    <row r="505" spans="2:18">
      <c r="B505" s="156">
        <v>503</v>
      </c>
      <c r="C505" s="176">
        <v>503</v>
      </c>
      <c r="D505" s="177">
        <f t="shared" si="43"/>
        <v>6070.6200000000454</v>
      </c>
      <c r="E505" s="177">
        <f t="shared" si="44"/>
        <v>6070.6200000000454</v>
      </c>
      <c r="F505" s="177">
        <f t="shared" si="45"/>
        <v>3777.0399999999827</v>
      </c>
      <c r="G505" s="177">
        <f t="shared" si="46"/>
        <v>8907.6500000000633</v>
      </c>
      <c r="H505" s="177">
        <f t="shared" si="47"/>
        <v>3551.9799999999705</v>
      </c>
      <c r="I505" s="177">
        <f t="shared" si="48"/>
        <v>9716.0900000000875</v>
      </c>
      <c r="K505" s="151">
        <f>K504+'Basic Data'!$AC$13</f>
        <v>6070.6200000000454</v>
      </c>
      <c r="L505" s="151">
        <f>L504+'Basic Data'!$AD$13</f>
        <v>6070.6200000000454</v>
      </c>
      <c r="M505" s="151">
        <f>M504+'Basic Data'!$AE$13</f>
        <v>3777.0399999999827</v>
      </c>
      <c r="N505" s="151">
        <f>N504+'Basic Data'!$AF$13</f>
        <v>8907.6500000000633</v>
      </c>
      <c r="O505" s="151">
        <f>O504+'Basic Data'!$AG$13</f>
        <v>3551.9799999999705</v>
      </c>
      <c r="P505" s="151">
        <f>P504+'Basic Data'!$AH$13</f>
        <v>9716.0900000000875</v>
      </c>
    </row>
    <row r="506" spans="2:18">
      <c r="B506" s="156">
        <v>504</v>
      </c>
      <c r="C506" s="176">
        <v>504</v>
      </c>
      <c r="D506" s="177">
        <f t="shared" si="43"/>
        <v>6082.5000000000455</v>
      </c>
      <c r="E506" s="177">
        <f t="shared" si="44"/>
        <v>6082.5000000000455</v>
      </c>
      <c r="F506" s="177">
        <f t="shared" si="45"/>
        <v>3784.4299999999826</v>
      </c>
      <c r="G506" s="177">
        <f t="shared" si="46"/>
        <v>8925.0800000000636</v>
      </c>
      <c r="H506" s="177">
        <f t="shared" si="47"/>
        <v>3558.9299999999703</v>
      </c>
      <c r="I506" s="177">
        <f t="shared" si="48"/>
        <v>9735.1000000000877</v>
      </c>
      <c r="K506" s="151">
        <f>K505+'Basic Data'!$AC$13</f>
        <v>6082.5000000000455</v>
      </c>
      <c r="L506" s="151">
        <f>L505+'Basic Data'!$AD$13</f>
        <v>6082.5000000000455</v>
      </c>
      <c r="M506" s="151">
        <f>M505+'Basic Data'!$AE$13</f>
        <v>3784.4299999999826</v>
      </c>
      <c r="N506" s="151">
        <f>N505+'Basic Data'!$AF$13</f>
        <v>8925.0800000000636</v>
      </c>
      <c r="O506" s="151">
        <f>O505+'Basic Data'!$AG$13</f>
        <v>3558.9299999999703</v>
      </c>
      <c r="P506" s="151">
        <f>P505+'Basic Data'!$AH$13</f>
        <v>9735.1000000000877</v>
      </c>
    </row>
    <row r="507" spans="2:18">
      <c r="B507" s="156">
        <v>505</v>
      </c>
      <c r="C507" s="176">
        <v>505</v>
      </c>
      <c r="D507" s="177">
        <f t="shared" si="43"/>
        <v>6094.3800000000456</v>
      </c>
      <c r="E507" s="177">
        <f t="shared" si="44"/>
        <v>6094.3800000000456</v>
      </c>
      <c r="F507" s="177">
        <f t="shared" si="45"/>
        <v>3791.8199999999824</v>
      </c>
      <c r="G507" s="177">
        <f t="shared" si="46"/>
        <v>8942.5100000000639</v>
      </c>
      <c r="H507" s="177">
        <f t="shared" si="47"/>
        <v>3565.8799999999701</v>
      </c>
      <c r="I507" s="177">
        <f t="shared" si="48"/>
        <v>9754.1100000000879</v>
      </c>
      <c r="K507" s="151">
        <f>K506+'Basic Data'!$AC$13</f>
        <v>6094.3800000000456</v>
      </c>
      <c r="L507" s="151">
        <f>L506+'Basic Data'!$AD$13</f>
        <v>6094.3800000000456</v>
      </c>
      <c r="M507" s="151">
        <f>M506+'Basic Data'!$AE$13</f>
        <v>3791.8199999999824</v>
      </c>
      <c r="N507" s="151">
        <f>N506+'Basic Data'!$AF$13</f>
        <v>8942.5100000000639</v>
      </c>
      <c r="O507" s="151">
        <f>O506+'Basic Data'!$AG$13</f>
        <v>3565.8799999999701</v>
      </c>
      <c r="P507" s="151">
        <f>P506+'Basic Data'!$AH$13</f>
        <v>9754.1100000000879</v>
      </c>
    </row>
    <row r="508" spans="2:18">
      <c r="B508" s="156">
        <v>506</v>
      </c>
      <c r="C508" s="176">
        <v>506</v>
      </c>
      <c r="D508" s="177">
        <f t="shared" si="43"/>
        <v>6106.2600000000457</v>
      </c>
      <c r="E508" s="177">
        <f t="shared" si="44"/>
        <v>6106.2600000000457</v>
      </c>
      <c r="F508" s="177">
        <f t="shared" si="45"/>
        <v>3799.2099999999823</v>
      </c>
      <c r="G508" s="177">
        <f t="shared" si="46"/>
        <v>8959.9400000000642</v>
      </c>
      <c r="H508" s="177">
        <f t="shared" si="47"/>
        <v>3572.8299999999699</v>
      </c>
      <c r="I508" s="177">
        <f t="shared" si="48"/>
        <v>9773.1200000000881</v>
      </c>
      <c r="K508" s="151">
        <f>K507+'Basic Data'!$AC$13</f>
        <v>6106.2600000000457</v>
      </c>
      <c r="L508" s="151">
        <f>L507+'Basic Data'!$AD$13</f>
        <v>6106.2600000000457</v>
      </c>
      <c r="M508" s="151">
        <f>M507+'Basic Data'!$AE$13</f>
        <v>3799.2099999999823</v>
      </c>
      <c r="N508" s="151">
        <f>N507+'Basic Data'!$AF$13</f>
        <v>8959.9400000000642</v>
      </c>
      <c r="O508" s="151">
        <f>O507+'Basic Data'!$AG$13</f>
        <v>3572.8299999999699</v>
      </c>
      <c r="P508" s="151">
        <f>P507+'Basic Data'!$AH$13</f>
        <v>9773.1200000000881</v>
      </c>
    </row>
    <row r="509" spans="2:18">
      <c r="B509" s="156">
        <v>507</v>
      </c>
      <c r="C509" s="176">
        <v>507</v>
      </c>
      <c r="D509" s="177">
        <f t="shared" si="43"/>
        <v>6118.1400000000458</v>
      </c>
      <c r="E509" s="177">
        <f t="shared" si="44"/>
        <v>6118.1400000000458</v>
      </c>
      <c r="F509" s="177">
        <f t="shared" si="45"/>
        <v>3806.5999999999822</v>
      </c>
      <c r="G509" s="177">
        <f t="shared" si="46"/>
        <v>8977.3700000000645</v>
      </c>
      <c r="H509" s="177">
        <f t="shared" si="47"/>
        <v>3579.7799999999697</v>
      </c>
      <c r="I509" s="177">
        <f t="shared" si="48"/>
        <v>9792.1300000000883</v>
      </c>
      <c r="K509" s="151">
        <f>K508+'Basic Data'!$AC$13</f>
        <v>6118.1400000000458</v>
      </c>
      <c r="L509" s="151">
        <f>L508+'Basic Data'!$AD$13</f>
        <v>6118.1400000000458</v>
      </c>
      <c r="M509" s="151">
        <f>M508+'Basic Data'!$AE$13</f>
        <v>3806.5999999999822</v>
      </c>
      <c r="N509" s="151">
        <f>N508+'Basic Data'!$AF$13</f>
        <v>8977.3700000000645</v>
      </c>
      <c r="O509" s="151">
        <f>O508+'Basic Data'!$AG$13</f>
        <v>3579.7799999999697</v>
      </c>
      <c r="P509" s="151">
        <f>P508+'Basic Data'!$AH$13</f>
        <v>9792.1300000000883</v>
      </c>
    </row>
    <row r="510" spans="2:18">
      <c r="B510" s="156">
        <v>508</v>
      </c>
      <c r="C510" s="176">
        <v>508</v>
      </c>
      <c r="D510" s="177">
        <f t="shared" si="43"/>
        <v>6130.0200000000459</v>
      </c>
      <c r="E510" s="177">
        <f t="shared" si="44"/>
        <v>6130.0200000000459</v>
      </c>
      <c r="F510" s="177">
        <f t="shared" si="45"/>
        <v>3813.989999999982</v>
      </c>
      <c r="G510" s="177">
        <f t="shared" si="46"/>
        <v>8994.8000000000648</v>
      </c>
      <c r="H510" s="177">
        <f t="shared" si="47"/>
        <v>3586.7299999999696</v>
      </c>
      <c r="I510" s="177">
        <f t="shared" si="48"/>
        <v>9811.1400000000885</v>
      </c>
      <c r="K510" s="151">
        <f>K509+'Basic Data'!$AC$13</f>
        <v>6130.0200000000459</v>
      </c>
      <c r="L510" s="151">
        <f>L509+'Basic Data'!$AD$13</f>
        <v>6130.0200000000459</v>
      </c>
      <c r="M510" s="151">
        <f>M509+'Basic Data'!$AE$13</f>
        <v>3813.989999999982</v>
      </c>
      <c r="N510" s="151">
        <f>N509+'Basic Data'!$AF$13</f>
        <v>8994.8000000000648</v>
      </c>
      <c r="O510" s="151">
        <f>O509+'Basic Data'!$AG$13</f>
        <v>3586.7299999999696</v>
      </c>
      <c r="P510" s="151">
        <f>P509+'Basic Data'!$AH$13</f>
        <v>9811.1400000000885</v>
      </c>
    </row>
    <row r="511" spans="2:18">
      <c r="B511" s="156">
        <v>509</v>
      </c>
      <c r="C511" s="176">
        <v>509</v>
      </c>
      <c r="D511" s="177">
        <f t="shared" si="43"/>
        <v>6141.900000000046</v>
      </c>
      <c r="E511" s="177">
        <f t="shared" si="44"/>
        <v>6141.900000000046</v>
      </c>
      <c r="F511" s="177">
        <f t="shared" si="45"/>
        <v>3821.3799999999819</v>
      </c>
      <c r="G511" s="177">
        <f t="shared" si="46"/>
        <v>9012.230000000065</v>
      </c>
      <c r="H511" s="177">
        <f t="shared" si="47"/>
        <v>3593.6799999999694</v>
      </c>
      <c r="I511" s="177">
        <f t="shared" si="48"/>
        <v>9830.1500000000888</v>
      </c>
      <c r="K511" s="151">
        <f>K510+'Basic Data'!$AC$13</f>
        <v>6141.900000000046</v>
      </c>
      <c r="L511" s="151">
        <f>L510+'Basic Data'!$AD$13</f>
        <v>6141.900000000046</v>
      </c>
      <c r="M511" s="151">
        <f>M510+'Basic Data'!$AE$13</f>
        <v>3821.3799999999819</v>
      </c>
      <c r="N511" s="151">
        <f>N510+'Basic Data'!$AF$13</f>
        <v>9012.230000000065</v>
      </c>
      <c r="O511" s="151">
        <f>O510+'Basic Data'!$AG$13</f>
        <v>3593.6799999999694</v>
      </c>
      <c r="P511" s="151">
        <f>P510+'Basic Data'!$AH$13</f>
        <v>9830.1500000000888</v>
      </c>
    </row>
    <row r="512" spans="2:18">
      <c r="B512" s="156">
        <v>510</v>
      </c>
      <c r="C512" s="176">
        <v>510</v>
      </c>
      <c r="D512" s="177">
        <f t="shared" si="43"/>
        <v>6153.7800000000461</v>
      </c>
      <c r="E512" s="177">
        <f t="shared" si="44"/>
        <v>6153.7800000000461</v>
      </c>
      <c r="F512" s="177">
        <f t="shared" si="45"/>
        <v>3828.7699999999818</v>
      </c>
      <c r="G512" s="177">
        <f t="shared" si="46"/>
        <v>9029.6600000000653</v>
      </c>
      <c r="H512" s="177">
        <f t="shared" si="47"/>
        <v>3600.6299999999692</v>
      </c>
      <c r="I512" s="177">
        <f t="shared" si="48"/>
        <v>9849.160000000089</v>
      </c>
      <c r="K512" s="151">
        <f>K511+'Basic Data'!$AC$13</f>
        <v>6153.7800000000461</v>
      </c>
      <c r="L512" s="151">
        <f>L511+'Basic Data'!$AD$13</f>
        <v>6153.7800000000461</v>
      </c>
      <c r="M512" s="151">
        <f>M511+'Basic Data'!$AE$13</f>
        <v>3828.7699999999818</v>
      </c>
      <c r="N512" s="151">
        <f>N511+'Basic Data'!$AF$13</f>
        <v>9029.6600000000653</v>
      </c>
      <c r="O512" s="151">
        <f>O511+'Basic Data'!$AG$13</f>
        <v>3600.6299999999692</v>
      </c>
      <c r="P512" s="151">
        <f>P511+'Basic Data'!$AH$13</f>
        <v>9849.160000000089</v>
      </c>
    </row>
    <row r="513" spans="2:16">
      <c r="B513" s="156">
        <v>511</v>
      </c>
      <c r="C513" s="176">
        <v>511</v>
      </c>
      <c r="D513" s="177">
        <f t="shared" si="43"/>
        <v>6165.6600000000462</v>
      </c>
      <c r="E513" s="177">
        <f t="shared" si="44"/>
        <v>6165.6600000000462</v>
      </c>
      <c r="F513" s="177">
        <f t="shared" si="45"/>
        <v>3836.1599999999817</v>
      </c>
      <c r="G513" s="177">
        <f t="shared" si="46"/>
        <v>9047.0900000000656</v>
      </c>
      <c r="H513" s="177">
        <f t="shared" si="47"/>
        <v>3607.579999999969</v>
      </c>
      <c r="I513" s="177">
        <f t="shared" si="48"/>
        <v>9868.1700000000892</v>
      </c>
      <c r="K513" s="151">
        <f>K512+'Basic Data'!$AC$13</f>
        <v>6165.6600000000462</v>
      </c>
      <c r="L513" s="151">
        <f>L512+'Basic Data'!$AD$13</f>
        <v>6165.6600000000462</v>
      </c>
      <c r="M513" s="151">
        <f>M512+'Basic Data'!$AE$13</f>
        <v>3836.1599999999817</v>
      </c>
      <c r="N513" s="151">
        <f>N512+'Basic Data'!$AF$13</f>
        <v>9047.0900000000656</v>
      </c>
      <c r="O513" s="151">
        <f>O512+'Basic Data'!$AG$13</f>
        <v>3607.579999999969</v>
      </c>
      <c r="P513" s="151">
        <f>P512+'Basic Data'!$AH$13</f>
        <v>9868.1700000000892</v>
      </c>
    </row>
    <row r="514" spans="2:16">
      <c r="B514" s="156">
        <v>512</v>
      </c>
      <c r="C514" s="176">
        <v>512</v>
      </c>
      <c r="D514" s="177">
        <f t="shared" si="43"/>
        <v>6177.5400000000463</v>
      </c>
      <c r="E514" s="177">
        <f t="shared" si="44"/>
        <v>6177.5400000000463</v>
      </c>
      <c r="F514" s="177">
        <f t="shared" si="45"/>
        <v>3843.5499999999815</v>
      </c>
      <c r="G514" s="177">
        <f t="shared" si="46"/>
        <v>9064.5200000000659</v>
      </c>
      <c r="H514" s="177">
        <f t="shared" si="47"/>
        <v>3614.5299999999688</v>
      </c>
      <c r="I514" s="177">
        <f t="shared" si="48"/>
        <v>9887.1800000000894</v>
      </c>
      <c r="K514" s="151">
        <f>K513+'Basic Data'!$AC$13</f>
        <v>6177.5400000000463</v>
      </c>
      <c r="L514" s="151">
        <f>L513+'Basic Data'!$AD$13</f>
        <v>6177.5400000000463</v>
      </c>
      <c r="M514" s="151">
        <f>M513+'Basic Data'!$AE$13</f>
        <v>3843.5499999999815</v>
      </c>
      <c r="N514" s="151">
        <f>N513+'Basic Data'!$AF$13</f>
        <v>9064.5200000000659</v>
      </c>
      <c r="O514" s="151">
        <f>O513+'Basic Data'!$AG$13</f>
        <v>3614.5299999999688</v>
      </c>
      <c r="P514" s="151">
        <f>P513+'Basic Data'!$AH$13</f>
        <v>9887.1800000000894</v>
      </c>
    </row>
    <row r="515" spans="2:16">
      <c r="B515" s="156">
        <v>513</v>
      </c>
      <c r="C515" s="176">
        <v>513</v>
      </c>
      <c r="D515" s="177">
        <f t="shared" si="43"/>
        <v>6189.4200000000465</v>
      </c>
      <c r="E515" s="177">
        <f t="shared" si="44"/>
        <v>6189.4200000000465</v>
      </c>
      <c r="F515" s="177">
        <f t="shared" si="45"/>
        <v>3850.9399999999814</v>
      </c>
      <c r="G515" s="177">
        <f t="shared" si="46"/>
        <v>9081.9500000000662</v>
      </c>
      <c r="H515" s="177">
        <f t="shared" si="47"/>
        <v>3621.4799999999686</v>
      </c>
      <c r="I515" s="177">
        <f t="shared" si="48"/>
        <v>9906.1900000000896</v>
      </c>
      <c r="K515" s="151">
        <f>K514+'Basic Data'!$AC$13</f>
        <v>6189.4200000000465</v>
      </c>
      <c r="L515" s="151">
        <f>L514+'Basic Data'!$AD$13</f>
        <v>6189.4200000000465</v>
      </c>
      <c r="M515" s="151">
        <f>M514+'Basic Data'!$AE$13</f>
        <v>3850.9399999999814</v>
      </c>
      <c r="N515" s="151">
        <f>N514+'Basic Data'!$AF$13</f>
        <v>9081.9500000000662</v>
      </c>
      <c r="O515" s="151">
        <f>O514+'Basic Data'!$AG$13</f>
        <v>3621.4799999999686</v>
      </c>
      <c r="P515" s="151">
        <f>P514+'Basic Data'!$AH$13</f>
        <v>9906.1900000000896</v>
      </c>
    </row>
    <row r="516" spans="2:16">
      <c r="B516" s="156">
        <v>514</v>
      </c>
      <c r="C516" s="176">
        <v>514</v>
      </c>
      <c r="D516" s="177">
        <f t="shared" ref="D516:D517" si="49">K516</f>
        <v>6201.3000000000466</v>
      </c>
      <c r="E516" s="177">
        <f t="shared" ref="E516:E517" si="50">L516</f>
        <v>6201.3000000000466</v>
      </c>
      <c r="F516" s="177">
        <f t="shared" ref="F516:F517" si="51">M516</f>
        <v>3858.3299999999813</v>
      </c>
      <c r="G516" s="177">
        <f t="shared" ref="G516:G517" si="52">N516</f>
        <v>9099.3800000000665</v>
      </c>
      <c r="H516" s="177">
        <f t="shared" ref="H516:H517" si="53">O516</f>
        <v>3628.4299999999685</v>
      </c>
      <c r="I516" s="177">
        <f t="shared" ref="I516:I517" si="54">P516</f>
        <v>9925.2000000000899</v>
      </c>
      <c r="K516" s="151">
        <f>K515+'Basic Data'!$AC$13</f>
        <v>6201.3000000000466</v>
      </c>
      <c r="L516" s="151">
        <f>L515+'Basic Data'!$AD$13</f>
        <v>6201.3000000000466</v>
      </c>
      <c r="M516" s="151">
        <f>M515+'Basic Data'!$AE$13</f>
        <v>3858.3299999999813</v>
      </c>
      <c r="N516" s="151">
        <f>N515+'Basic Data'!$AF$13</f>
        <v>9099.3800000000665</v>
      </c>
      <c r="O516" s="151">
        <f>O515+'Basic Data'!$AG$13</f>
        <v>3628.4299999999685</v>
      </c>
      <c r="P516" s="151">
        <f>P515+'Basic Data'!$AH$13</f>
        <v>9925.2000000000899</v>
      </c>
    </row>
    <row r="517" spans="2:16">
      <c r="B517" s="156">
        <v>515</v>
      </c>
      <c r="C517" s="176">
        <v>515</v>
      </c>
      <c r="D517" s="177">
        <f t="shared" si="49"/>
        <v>6213.1800000000467</v>
      </c>
      <c r="E517" s="177">
        <f t="shared" si="50"/>
        <v>6213.1800000000467</v>
      </c>
      <c r="F517" s="177">
        <f t="shared" si="51"/>
        <v>3865.7199999999812</v>
      </c>
      <c r="G517" s="177">
        <f t="shared" si="52"/>
        <v>9116.8100000000668</v>
      </c>
      <c r="H517" s="177">
        <f t="shared" si="53"/>
        <v>3635.3799999999683</v>
      </c>
      <c r="I517" s="177">
        <f t="shared" si="54"/>
        <v>9944.2100000000901</v>
      </c>
      <c r="K517" s="151">
        <f>K516+'Basic Data'!$AC$13</f>
        <v>6213.1800000000467</v>
      </c>
      <c r="L517" s="151">
        <f>L516+'Basic Data'!$AD$13</f>
        <v>6213.1800000000467</v>
      </c>
      <c r="M517" s="151">
        <f>M516+'Basic Data'!$AE$13</f>
        <v>3865.7199999999812</v>
      </c>
      <c r="N517" s="151">
        <f>N516+'Basic Data'!$AF$13</f>
        <v>9116.8100000000668</v>
      </c>
      <c r="O517" s="151">
        <f>O516+'Basic Data'!$AG$13</f>
        <v>3635.3799999999683</v>
      </c>
      <c r="P517" s="151">
        <f>P516+'Basic Data'!$AH$13</f>
        <v>9944.2100000000901</v>
      </c>
    </row>
    <row r="518" spans="2:16">
      <c r="B518" s="156">
        <v>516</v>
      </c>
      <c r="C518" s="176">
        <v>516</v>
      </c>
      <c r="D518" s="177">
        <f t="shared" ref="D518:D566" si="55">K518-$K$3</f>
        <v>6189.5000000000464</v>
      </c>
      <c r="E518" s="177">
        <f t="shared" ref="E518:E566" si="56">L518-$L$3</f>
        <v>6190.820000000047</v>
      </c>
      <c r="F518" s="177">
        <f t="shared" ref="F518:F566" si="57">M518-$M$3</f>
        <v>3851.7199999999812</v>
      </c>
      <c r="G518" s="177">
        <f t="shared" ref="G518:G566" si="58">N518-$N$3</f>
        <v>9083.8100000000668</v>
      </c>
      <c r="H518" s="177">
        <f t="shared" ref="H518:H566" si="59">O518-$O$3</f>
        <v>3621.469999999968</v>
      </c>
      <c r="I518" s="177">
        <f t="shared" ref="I518:I566" si="60">P518-$P$3</f>
        <v>9906.1000000000895</v>
      </c>
      <c r="K518" s="151">
        <f>K517+'Basic Data'!$AC$13</f>
        <v>6225.0600000000468</v>
      </c>
      <c r="L518" s="151">
        <f>L517+'Basic Data'!$AD$13</f>
        <v>6225.0600000000468</v>
      </c>
      <c r="M518" s="151">
        <f>M517+'Basic Data'!$AE$13</f>
        <v>3873.109999999981</v>
      </c>
      <c r="N518" s="151">
        <f>N517+'Basic Data'!$AF$13</f>
        <v>9134.2400000000671</v>
      </c>
      <c r="O518" s="151">
        <f>O517+'Basic Data'!$AG$13</f>
        <v>3642.3299999999681</v>
      </c>
      <c r="P518" s="151">
        <f>P517+'Basic Data'!$AH$13</f>
        <v>9963.2200000000903</v>
      </c>
    </row>
    <row r="519" spans="2:16">
      <c r="B519" s="156">
        <v>517</v>
      </c>
      <c r="C519" s="176">
        <v>517</v>
      </c>
      <c r="D519" s="177">
        <f t="shared" si="55"/>
        <v>6201.3800000000465</v>
      </c>
      <c r="E519" s="177">
        <f t="shared" si="56"/>
        <v>6202.7000000000471</v>
      </c>
      <c r="F519" s="177">
        <f t="shared" si="57"/>
        <v>3859.109999999981</v>
      </c>
      <c r="G519" s="177">
        <f t="shared" si="58"/>
        <v>9101.2400000000671</v>
      </c>
      <c r="H519" s="177">
        <f t="shared" si="59"/>
        <v>3628.4199999999678</v>
      </c>
      <c r="I519" s="177">
        <f t="shared" si="60"/>
        <v>9925.1100000000897</v>
      </c>
      <c r="K519" s="151">
        <f>K518+'Basic Data'!$AC$13</f>
        <v>6236.9400000000469</v>
      </c>
      <c r="L519" s="151">
        <f>L518+'Basic Data'!$AD$13</f>
        <v>6236.9400000000469</v>
      </c>
      <c r="M519" s="151">
        <f>M518+'Basic Data'!$AE$13</f>
        <v>3880.4999999999809</v>
      </c>
      <c r="N519" s="151">
        <f>N518+'Basic Data'!$AF$13</f>
        <v>9151.6700000000674</v>
      </c>
      <c r="O519" s="151">
        <f>O518+'Basic Data'!$AG$13</f>
        <v>3649.2799999999679</v>
      </c>
      <c r="P519" s="151">
        <f>P518+'Basic Data'!$AH$13</f>
        <v>9982.2300000000905</v>
      </c>
    </row>
    <row r="520" spans="2:16">
      <c r="B520" s="156">
        <v>518</v>
      </c>
      <c r="C520" s="176">
        <v>518</v>
      </c>
      <c r="D520" s="177">
        <f t="shared" si="55"/>
        <v>6213.2600000000466</v>
      </c>
      <c r="E520" s="177">
        <f t="shared" si="56"/>
        <v>6214.5800000000472</v>
      </c>
      <c r="F520" s="177">
        <f t="shared" si="57"/>
        <v>3866.4999999999809</v>
      </c>
      <c r="G520" s="177">
        <f t="shared" si="58"/>
        <v>9118.6700000000674</v>
      </c>
      <c r="H520" s="177">
        <f t="shared" si="59"/>
        <v>3635.3699999999676</v>
      </c>
      <c r="I520" s="177">
        <f t="shared" si="60"/>
        <v>9944.1200000000899</v>
      </c>
      <c r="K520" s="151">
        <f>K519+'Basic Data'!$AC$13</f>
        <v>6248.820000000047</v>
      </c>
      <c r="L520" s="151">
        <f>L519+'Basic Data'!$AD$13</f>
        <v>6248.820000000047</v>
      </c>
      <c r="M520" s="151">
        <f>M519+'Basic Data'!$AE$13</f>
        <v>3887.8899999999808</v>
      </c>
      <c r="N520" s="151">
        <f>N519+'Basic Data'!$AF$13</f>
        <v>9169.1000000000677</v>
      </c>
      <c r="O520" s="151">
        <f>O519+'Basic Data'!$AG$13</f>
        <v>3656.2299999999677</v>
      </c>
      <c r="P520" s="151">
        <f>P519+'Basic Data'!$AH$13</f>
        <v>10001.240000000091</v>
      </c>
    </row>
    <row r="521" spans="2:16">
      <c r="B521" s="156">
        <v>519</v>
      </c>
      <c r="C521" s="176">
        <v>519</v>
      </c>
      <c r="D521" s="177">
        <f t="shared" si="55"/>
        <v>6225.1400000000467</v>
      </c>
      <c r="E521" s="177">
        <f t="shared" si="56"/>
        <v>6226.4600000000473</v>
      </c>
      <c r="F521" s="177">
        <f t="shared" si="57"/>
        <v>3873.8899999999808</v>
      </c>
      <c r="G521" s="177">
        <f t="shared" si="58"/>
        <v>9136.1000000000677</v>
      </c>
      <c r="H521" s="177">
        <f t="shared" si="59"/>
        <v>3642.3199999999674</v>
      </c>
      <c r="I521" s="177">
        <f t="shared" si="60"/>
        <v>9963.1300000000901</v>
      </c>
      <c r="K521" s="151">
        <f>K520+'Basic Data'!$AC$13</f>
        <v>6260.7000000000471</v>
      </c>
      <c r="L521" s="151">
        <f>L520+'Basic Data'!$AD$13</f>
        <v>6260.7000000000471</v>
      </c>
      <c r="M521" s="151">
        <f>M520+'Basic Data'!$AE$13</f>
        <v>3895.2799999999806</v>
      </c>
      <c r="N521" s="151">
        <f>N520+'Basic Data'!$AF$13</f>
        <v>9186.530000000068</v>
      </c>
      <c r="O521" s="151">
        <f>O520+'Basic Data'!$AG$13</f>
        <v>3663.1799999999675</v>
      </c>
      <c r="P521" s="151">
        <f>P520+'Basic Data'!$AH$13</f>
        <v>10020.250000000091</v>
      </c>
    </row>
    <row r="522" spans="2:16">
      <c r="B522" s="156">
        <v>520</v>
      </c>
      <c r="C522" s="176">
        <v>520</v>
      </c>
      <c r="D522" s="177">
        <f t="shared" si="55"/>
        <v>6237.0200000000468</v>
      </c>
      <c r="E522" s="177">
        <f t="shared" si="56"/>
        <v>6238.3400000000474</v>
      </c>
      <c r="F522" s="177">
        <f t="shared" si="57"/>
        <v>3881.2799999999806</v>
      </c>
      <c r="G522" s="177">
        <f t="shared" si="58"/>
        <v>9153.530000000068</v>
      </c>
      <c r="H522" s="177">
        <f t="shared" si="59"/>
        <v>3649.2699999999672</v>
      </c>
      <c r="I522" s="177">
        <f t="shared" si="60"/>
        <v>9982.1400000000904</v>
      </c>
      <c r="K522" s="151">
        <f>K521+'Basic Data'!$AC$13</f>
        <v>6272.5800000000472</v>
      </c>
      <c r="L522" s="151">
        <f>L521+'Basic Data'!$AD$13</f>
        <v>6272.5800000000472</v>
      </c>
      <c r="M522" s="151">
        <f>M521+'Basic Data'!$AE$13</f>
        <v>3902.6699999999805</v>
      </c>
      <c r="N522" s="151">
        <f>N521+'Basic Data'!$AF$13</f>
        <v>9203.9600000000682</v>
      </c>
      <c r="O522" s="151">
        <f>O521+'Basic Data'!$AG$13</f>
        <v>3670.1299999999674</v>
      </c>
      <c r="P522" s="151">
        <f>P521+'Basic Data'!$AH$13</f>
        <v>10039.260000000091</v>
      </c>
    </row>
    <row r="523" spans="2:16">
      <c r="B523" s="156">
        <v>521</v>
      </c>
      <c r="C523" s="176">
        <v>521</v>
      </c>
      <c r="D523" s="177">
        <f t="shared" si="55"/>
        <v>6248.9000000000469</v>
      </c>
      <c r="E523" s="177">
        <f t="shared" si="56"/>
        <v>6250.2200000000475</v>
      </c>
      <c r="F523" s="177">
        <f t="shared" si="57"/>
        <v>3888.6699999999805</v>
      </c>
      <c r="G523" s="177">
        <f t="shared" si="58"/>
        <v>9170.9600000000682</v>
      </c>
      <c r="H523" s="177">
        <f t="shared" si="59"/>
        <v>3656.2199999999671</v>
      </c>
      <c r="I523" s="177">
        <f t="shared" si="60"/>
        <v>10001.150000000091</v>
      </c>
      <c r="K523" s="151">
        <f>K522+'Basic Data'!$AC$13</f>
        <v>6284.4600000000473</v>
      </c>
      <c r="L523" s="151">
        <f>L522+'Basic Data'!$AD$13</f>
        <v>6284.4600000000473</v>
      </c>
      <c r="M523" s="151">
        <f>M522+'Basic Data'!$AE$13</f>
        <v>3910.0599999999804</v>
      </c>
      <c r="N523" s="151">
        <f>N522+'Basic Data'!$AF$13</f>
        <v>9221.3900000000685</v>
      </c>
      <c r="O523" s="151">
        <f>O522+'Basic Data'!$AG$13</f>
        <v>3677.0799999999672</v>
      </c>
      <c r="P523" s="151">
        <f>P522+'Basic Data'!$AH$13</f>
        <v>10058.270000000091</v>
      </c>
    </row>
    <row r="524" spans="2:16">
      <c r="B524" s="156">
        <v>522</v>
      </c>
      <c r="C524" s="176">
        <v>522</v>
      </c>
      <c r="D524" s="177">
        <f t="shared" si="55"/>
        <v>6260.780000000047</v>
      </c>
      <c r="E524" s="177">
        <f t="shared" si="56"/>
        <v>6262.1000000000477</v>
      </c>
      <c r="F524" s="177">
        <f t="shared" si="57"/>
        <v>3896.0599999999804</v>
      </c>
      <c r="G524" s="177">
        <f t="shared" si="58"/>
        <v>9188.3900000000685</v>
      </c>
      <c r="H524" s="177">
        <f t="shared" si="59"/>
        <v>3663.1699999999669</v>
      </c>
      <c r="I524" s="177">
        <f t="shared" si="60"/>
        <v>10020.160000000091</v>
      </c>
      <c r="K524" s="151">
        <f>K523+'Basic Data'!$AC$13</f>
        <v>6296.3400000000474</v>
      </c>
      <c r="L524" s="151">
        <f>L523+'Basic Data'!$AD$13</f>
        <v>6296.3400000000474</v>
      </c>
      <c r="M524" s="151">
        <f>M523+'Basic Data'!$AE$13</f>
        <v>3917.4499999999803</v>
      </c>
      <c r="N524" s="151">
        <f>N523+'Basic Data'!$AF$13</f>
        <v>9238.8200000000688</v>
      </c>
      <c r="O524" s="151">
        <f>O523+'Basic Data'!$AG$13</f>
        <v>3684.029999999967</v>
      </c>
      <c r="P524" s="151">
        <f>P523+'Basic Data'!$AH$13</f>
        <v>10077.280000000092</v>
      </c>
    </row>
    <row r="525" spans="2:16">
      <c r="B525" s="156">
        <v>523</v>
      </c>
      <c r="C525" s="176">
        <v>523</v>
      </c>
      <c r="D525" s="177">
        <f t="shared" si="55"/>
        <v>6272.6600000000471</v>
      </c>
      <c r="E525" s="177">
        <f t="shared" si="56"/>
        <v>6273.9800000000478</v>
      </c>
      <c r="F525" s="177">
        <f t="shared" si="57"/>
        <v>3903.4499999999803</v>
      </c>
      <c r="G525" s="177">
        <f t="shared" si="58"/>
        <v>9205.8200000000688</v>
      </c>
      <c r="H525" s="177">
        <f t="shared" si="59"/>
        <v>3670.1199999999667</v>
      </c>
      <c r="I525" s="177">
        <f t="shared" si="60"/>
        <v>10039.170000000091</v>
      </c>
      <c r="K525" s="151">
        <f>K524+'Basic Data'!$AC$13</f>
        <v>6308.2200000000475</v>
      </c>
      <c r="L525" s="151">
        <f>L524+'Basic Data'!$AD$13</f>
        <v>6308.2200000000475</v>
      </c>
      <c r="M525" s="151">
        <f>M524+'Basic Data'!$AE$13</f>
        <v>3924.8399999999801</v>
      </c>
      <c r="N525" s="151">
        <f>N524+'Basic Data'!$AF$13</f>
        <v>9256.2500000000691</v>
      </c>
      <c r="O525" s="151">
        <f>O524+'Basic Data'!$AG$13</f>
        <v>3690.9799999999668</v>
      </c>
      <c r="P525" s="151">
        <f>P524+'Basic Data'!$AH$13</f>
        <v>10096.290000000092</v>
      </c>
    </row>
    <row r="526" spans="2:16">
      <c r="B526" s="156">
        <v>524</v>
      </c>
      <c r="C526" s="176">
        <v>524</v>
      </c>
      <c r="D526" s="177">
        <f t="shared" si="55"/>
        <v>6284.5400000000473</v>
      </c>
      <c r="E526" s="177">
        <f t="shared" si="56"/>
        <v>6285.8600000000479</v>
      </c>
      <c r="F526" s="177">
        <f t="shared" si="57"/>
        <v>3910.8399999999801</v>
      </c>
      <c r="G526" s="177">
        <f t="shared" si="58"/>
        <v>9223.2500000000691</v>
      </c>
      <c r="H526" s="177">
        <f t="shared" si="59"/>
        <v>3677.0699999999665</v>
      </c>
      <c r="I526" s="177">
        <f t="shared" si="60"/>
        <v>10058.180000000091</v>
      </c>
      <c r="K526" s="151">
        <f>K525+'Basic Data'!$AC$13</f>
        <v>6320.1000000000477</v>
      </c>
      <c r="L526" s="151">
        <f>L525+'Basic Data'!$AD$13</f>
        <v>6320.1000000000477</v>
      </c>
      <c r="M526" s="151">
        <f>M525+'Basic Data'!$AE$13</f>
        <v>3932.22999999998</v>
      </c>
      <c r="N526" s="151">
        <f>N525+'Basic Data'!$AF$13</f>
        <v>9273.6800000000694</v>
      </c>
      <c r="O526" s="151">
        <f>O525+'Basic Data'!$AG$13</f>
        <v>3697.9299999999666</v>
      </c>
      <c r="P526" s="151">
        <f>P525+'Basic Data'!$AH$13</f>
        <v>10115.300000000092</v>
      </c>
    </row>
    <row r="527" spans="2:16">
      <c r="B527" s="156">
        <v>525</v>
      </c>
      <c r="C527" s="176">
        <v>525</v>
      </c>
      <c r="D527" s="177">
        <f t="shared" si="55"/>
        <v>6296.4200000000474</v>
      </c>
      <c r="E527" s="177">
        <f t="shared" si="56"/>
        <v>6297.740000000048</v>
      </c>
      <c r="F527" s="177">
        <f t="shared" si="57"/>
        <v>3918.22999999998</v>
      </c>
      <c r="G527" s="177">
        <f t="shared" si="58"/>
        <v>9240.6800000000694</v>
      </c>
      <c r="H527" s="177">
        <f t="shared" si="59"/>
        <v>3684.0199999999663</v>
      </c>
      <c r="I527" s="177">
        <f t="shared" si="60"/>
        <v>10077.190000000091</v>
      </c>
      <c r="K527" s="151">
        <f>K526+'Basic Data'!$AC$13</f>
        <v>6331.9800000000478</v>
      </c>
      <c r="L527" s="151">
        <f>L526+'Basic Data'!$AD$13</f>
        <v>6331.9800000000478</v>
      </c>
      <c r="M527" s="151">
        <f>M526+'Basic Data'!$AE$13</f>
        <v>3939.6199999999799</v>
      </c>
      <c r="N527" s="151">
        <f>N526+'Basic Data'!$AF$13</f>
        <v>9291.1100000000697</v>
      </c>
      <c r="O527" s="151">
        <f>O526+'Basic Data'!$AG$13</f>
        <v>3704.8799999999665</v>
      </c>
      <c r="P527" s="151">
        <f>P526+'Basic Data'!$AH$13</f>
        <v>10134.310000000092</v>
      </c>
    </row>
    <row r="528" spans="2:16">
      <c r="B528" s="156">
        <v>526</v>
      </c>
      <c r="C528" s="176">
        <v>526</v>
      </c>
      <c r="D528" s="177">
        <f t="shared" si="55"/>
        <v>6308.3000000000475</v>
      </c>
      <c r="E528" s="177">
        <f t="shared" si="56"/>
        <v>6309.6200000000481</v>
      </c>
      <c r="F528" s="177">
        <f t="shared" si="57"/>
        <v>3925.6199999999799</v>
      </c>
      <c r="G528" s="177">
        <f t="shared" si="58"/>
        <v>9258.1100000000697</v>
      </c>
      <c r="H528" s="177">
        <f t="shared" si="59"/>
        <v>3690.9699999999661</v>
      </c>
      <c r="I528" s="177">
        <f t="shared" si="60"/>
        <v>10096.200000000092</v>
      </c>
      <c r="K528" s="151">
        <f>K527+'Basic Data'!$AC$13</f>
        <v>6343.8600000000479</v>
      </c>
      <c r="L528" s="151">
        <f>L527+'Basic Data'!$AD$13</f>
        <v>6343.8600000000479</v>
      </c>
      <c r="M528" s="151">
        <f>M527+'Basic Data'!$AE$13</f>
        <v>3947.0099999999798</v>
      </c>
      <c r="N528" s="151">
        <f>N527+'Basic Data'!$AF$13</f>
        <v>9308.54000000007</v>
      </c>
      <c r="O528" s="151">
        <f>O527+'Basic Data'!$AG$13</f>
        <v>3711.8299999999663</v>
      </c>
      <c r="P528" s="151">
        <f>P527+'Basic Data'!$AH$13</f>
        <v>10153.320000000092</v>
      </c>
    </row>
    <row r="529" spans="2:16">
      <c r="B529" s="156">
        <v>527</v>
      </c>
      <c r="C529" s="176">
        <v>527</v>
      </c>
      <c r="D529" s="177">
        <f t="shared" si="55"/>
        <v>6320.1800000000476</v>
      </c>
      <c r="E529" s="177">
        <f t="shared" si="56"/>
        <v>6321.5000000000482</v>
      </c>
      <c r="F529" s="177">
        <f t="shared" si="57"/>
        <v>3933.0099999999798</v>
      </c>
      <c r="G529" s="177">
        <f t="shared" si="58"/>
        <v>9275.54000000007</v>
      </c>
      <c r="H529" s="177">
        <f t="shared" si="59"/>
        <v>3697.919999999966</v>
      </c>
      <c r="I529" s="177">
        <f t="shared" si="60"/>
        <v>10115.210000000092</v>
      </c>
      <c r="K529" s="151">
        <f>K528+'Basic Data'!$AC$13</f>
        <v>6355.740000000048</v>
      </c>
      <c r="L529" s="151">
        <f>L528+'Basic Data'!$AD$13</f>
        <v>6355.740000000048</v>
      </c>
      <c r="M529" s="151">
        <f>M528+'Basic Data'!$AE$13</f>
        <v>3954.3999999999796</v>
      </c>
      <c r="N529" s="151">
        <f>N528+'Basic Data'!$AF$13</f>
        <v>9325.9700000000703</v>
      </c>
      <c r="O529" s="151">
        <f>O528+'Basic Data'!$AG$13</f>
        <v>3718.7799999999661</v>
      </c>
      <c r="P529" s="151">
        <f>P528+'Basic Data'!$AH$13</f>
        <v>10172.330000000093</v>
      </c>
    </row>
    <row r="530" spans="2:16">
      <c r="B530" s="156">
        <v>528</v>
      </c>
      <c r="C530" s="176">
        <v>528</v>
      </c>
      <c r="D530" s="177">
        <f t="shared" si="55"/>
        <v>6332.0600000000477</v>
      </c>
      <c r="E530" s="177">
        <f t="shared" si="56"/>
        <v>6333.3800000000483</v>
      </c>
      <c r="F530" s="177">
        <f t="shared" si="57"/>
        <v>3940.3999999999796</v>
      </c>
      <c r="G530" s="177">
        <f t="shared" si="58"/>
        <v>9292.9700000000703</v>
      </c>
      <c r="H530" s="177">
        <f t="shared" si="59"/>
        <v>3704.8699999999658</v>
      </c>
      <c r="I530" s="177">
        <f t="shared" si="60"/>
        <v>10134.220000000092</v>
      </c>
      <c r="K530" s="151">
        <f>K529+'Basic Data'!$AC$13</f>
        <v>6367.6200000000481</v>
      </c>
      <c r="L530" s="151">
        <f>L529+'Basic Data'!$AD$13</f>
        <v>6367.6200000000481</v>
      </c>
      <c r="M530" s="151">
        <f>M529+'Basic Data'!$AE$13</f>
        <v>3961.7899999999795</v>
      </c>
      <c r="N530" s="151">
        <f>N529+'Basic Data'!$AF$13</f>
        <v>9343.4000000000706</v>
      </c>
      <c r="O530" s="151">
        <f>O529+'Basic Data'!$AG$13</f>
        <v>3725.7299999999659</v>
      </c>
      <c r="P530" s="151">
        <f>P529+'Basic Data'!$AH$13</f>
        <v>10191.340000000093</v>
      </c>
    </row>
    <row r="531" spans="2:16">
      <c r="B531" s="156">
        <v>529</v>
      </c>
      <c r="C531" s="176">
        <v>529</v>
      </c>
      <c r="D531" s="177">
        <f t="shared" si="55"/>
        <v>6343.9400000000478</v>
      </c>
      <c r="E531" s="177">
        <f t="shared" si="56"/>
        <v>6345.2600000000484</v>
      </c>
      <c r="F531" s="177">
        <f t="shared" si="57"/>
        <v>3947.7899999999795</v>
      </c>
      <c r="G531" s="177">
        <f t="shared" si="58"/>
        <v>9310.4000000000706</v>
      </c>
      <c r="H531" s="177">
        <f t="shared" si="59"/>
        <v>3711.8199999999656</v>
      </c>
      <c r="I531" s="177">
        <f t="shared" si="60"/>
        <v>10153.230000000092</v>
      </c>
      <c r="K531" s="151">
        <f>K530+'Basic Data'!$AC$13</f>
        <v>6379.5000000000482</v>
      </c>
      <c r="L531" s="151">
        <f>L530+'Basic Data'!$AD$13</f>
        <v>6379.5000000000482</v>
      </c>
      <c r="M531" s="151">
        <f>M530+'Basic Data'!$AE$13</f>
        <v>3969.1799999999794</v>
      </c>
      <c r="N531" s="151">
        <f>N530+'Basic Data'!$AF$13</f>
        <v>9360.8300000000709</v>
      </c>
      <c r="O531" s="151">
        <f>O530+'Basic Data'!$AG$13</f>
        <v>3732.6799999999657</v>
      </c>
      <c r="P531" s="151">
        <f>P530+'Basic Data'!$AH$13</f>
        <v>10210.350000000093</v>
      </c>
    </row>
    <row r="532" spans="2:16">
      <c r="B532" s="156">
        <v>530</v>
      </c>
      <c r="C532" s="176">
        <v>530</v>
      </c>
      <c r="D532" s="177">
        <f t="shared" si="55"/>
        <v>6355.8200000000479</v>
      </c>
      <c r="E532" s="177">
        <f t="shared" si="56"/>
        <v>6357.1400000000485</v>
      </c>
      <c r="F532" s="177">
        <f t="shared" si="57"/>
        <v>3955.1799999999794</v>
      </c>
      <c r="G532" s="177">
        <f t="shared" si="58"/>
        <v>9327.8300000000709</v>
      </c>
      <c r="H532" s="177">
        <f t="shared" si="59"/>
        <v>3718.7699999999654</v>
      </c>
      <c r="I532" s="177">
        <f t="shared" si="60"/>
        <v>10172.240000000093</v>
      </c>
      <c r="K532" s="151">
        <f>K531+'Basic Data'!$AC$13</f>
        <v>6391.3800000000483</v>
      </c>
      <c r="L532" s="151">
        <f>L531+'Basic Data'!$AD$13</f>
        <v>6391.3800000000483</v>
      </c>
      <c r="M532" s="151">
        <f>M531+'Basic Data'!$AE$13</f>
        <v>3976.5699999999792</v>
      </c>
      <c r="N532" s="151">
        <f>N531+'Basic Data'!$AF$13</f>
        <v>9378.2600000000712</v>
      </c>
      <c r="O532" s="151">
        <f>O531+'Basic Data'!$AG$13</f>
        <v>3739.6299999999655</v>
      </c>
      <c r="P532" s="151">
        <f>P531+'Basic Data'!$AH$13</f>
        <v>10229.360000000093</v>
      </c>
    </row>
    <row r="533" spans="2:16">
      <c r="B533" s="156">
        <v>531</v>
      </c>
      <c r="C533" s="176">
        <v>531</v>
      </c>
      <c r="D533" s="177">
        <f t="shared" si="55"/>
        <v>6367.700000000048</v>
      </c>
      <c r="E533" s="177">
        <f t="shared" si="56"/>
        <v>6369.0200000000486</v>
      </c>
      <c r="F533" s="177">
        <f t="shared" si="57"/>
        <v>3962.5699999999792</v>
      </c>
      <c r="G533" s="177">
        <f t="shared" si="58"/>
        <v>9345.2600000000712</v>
      </c>
      <c r="H533" s="177">
        <f t="shared" si="59"/>
        <v>3725.7199999999652</v>
      </c>
      <c r="I533" s="177">
        <f t="shared" si="60"/>
        <v>10191.250000000093</v>
      </c>
      <c r="K533" s="151">
        <f>K532+'Basic Data'!$AC$13</f>
        <v>6403.2600000000484</v>
      </c>
      <c r="L533" s="151">
        <f>L532+'Basic Data'!$AD$13</f>
        <v>6403.2600000000484</v>
      </c>
      <c r="M533" s="151">
        <f>M532+'Basic Data'!$AE$13</f>
        <v>3983.9599999999791</v>
      </c>
      <c r="N533" s="151">
        <f>N532+'Basic Data'!$AF$13</f>
        <v>9395.6900000000714</v>
      </c>
      <c r="O533" s="151">
        <f>O532+'Basic Data'!$AG$13</f>
        <v>3746.5799999999654</v>
      </c>
      <c r="P533" s="151">
        <f>P532+'Basic Data'!$AH$13</f>
        <v>10248.370000000094</v>
      </c>
    </row>
    <row r="534" spans="2:16">
      <c r="B534" s="156">
        <v>532</v>
      </c>
      <c r="C534" s="176">
        <v>532</v>
      </c>
      <c r="D534" s="177">
        <f t="shared" si="55"/>
        <v>6379.5800000000481</v>
      </c>
      <c r="E534" s="177">
        <f t="shared" si="56"/>
        <v>6380.9000000000487</v>
      </c>
      <c r="F534" s="177">
        <f t="shared" si="57"/>
        <v>3969.9599999999791</v>
      </c>
      <c r="G534" s="177">
        <f t="shared" si="58"/>
        <v>9362.6900000000714</v>
      </c>
      <c r="H534" s="177">
        <f t="shared" si="59"/>
        <v>3732.6699999999651</v>
      </c>
      <c r="I534" s="177">
        <f t="shared" si="60"/>
        <v>10210.260000000093</v>
      </c>
      <c r="K534" s="151">
        <f>K533+'Basic Data'!$AC$13</f>
        <v>6415.1400000000485</v>
      </c>
      <c r="L534" s="151">
        <f>L533+'Basic Data'!$AD$13</f>
        <v>6415.1400000000485</v>
      </c>
      <c r="M534" s="151">
        <f>M533+'Basic Data'!$AE$13</f>
        <v>3991.349999999979</v>
      </c>
      <c r="N534" s="151">
        <f>N533+'Basic Data'!$AF$13</f>
        <v>9413.1200000000717</v>
      </c>
      <c r="O534" s="151">
        <f>O533+'Basic Data'!$AG$13</f>
        <v>3753.5299999999652</v>
      </c>
      <c r="P534" s="151">
        <f>P533+'Basic Data'!$AH$13</f>
        <v>10267.380000000094</v>
      </c>
    </row>
    <row r="535" spans="2:16">
      <c r="B535" s="156">
        <v>533</v>
      </c>
      <c r="C535" s="176">
        <v>533</v>
      </c>
      <c r="D535" s="177">
        <f t="shared" si="55"/>
        <v>6391.4600000000482</v>
      </c>
      <c r="E535" s="177">
        <f t="shared" si="56"/>
        <v>6392.7800000000489</v>
      </c>
      <c r="F535" s="177">
        <f t="shared" si="57"/>
        <v>3977.349999999979</v>
      </c>
      <c r="G535" s="177">
        <f t="shared" si="58"/>
        <v>9380.1200000000717</v>
      </c>
      <c r="H535" s="177">
        <f t="shared" si="59"/>
        <v>3739.6199999999649</v>
      </c>
      <c r="I535" s="177">
        <f t="shared" si="60"/>
        <v>10229.270000000093</v>
      </c>
      <c r="K535" s="151">
        <f>K534+'Basic Data'!$AC$13</f>
        <v>6427.0200000000486</v>
      </c>
      <c r="L535" s="151">
        <f>L534+'Basic Data'!$AD$13</f>
        <v>6427.0200000000486</v>
      </c>
      <c r="M535" s="151">
        <f>M534+'Basic Data'!$AE$13</f>
        <v>3998.7399999999789</v>
      </c>
      <c r="N535" s="151">
        <f>N534+'Basic Data'!$AF$13</f>
        <v>9430.550000000072</v>
      </c>
      <c r="O535" s="151">
        <f>O534+'Basic Data'!$AG$13</f>
        <v>3760.479999999965</v>
      </c>
      <c r="P535" s="151">
        <f>P534+'Basic Data'!$AH$13</f>
        <v>10286.390000000094</v>
      </c>
    </row>
    <row r="536" spans="2:16">
      <c r="B536" s="156">
        <v>534</v>
      </c>
      <c r="C536" s="176">
        <v>534</v>
      </c>
      <c r="D536" s="177">
        <f t="shared" si="55"/>
        <v>6403.3400000000483</v>
      </c>
      <c r="E536" s="177">
        <f t="shared" si="56"/>
        <v>6404.660000000049</v>
      </c>
      <c r="F536" s="177">
        <f t="shared" si="57"/>
        <v>3984.7399999999789</v>
      </c>
      <c r="G536" s="177">
        <f t="shared" si="58"/>
        <v>9397.550000000072</v>
      </c>
      <c r="H536" s="177">
        <f t="shared" si="59"/>
        <v>3746.5699999999647</v>
      </c>
      <c r="I536" s="177">
        <f t="shared" si="60"/>
        <v>10248.280000000093</v>
      </c>
      <c r="K536" s="151">
        <f>K535+'Basic Data'!$AC$13</f>
        <v>6438.9000000000487</v>
      </c>
      <c r="L536" s="151">
        <f>L535+'Basic Data'!$AD$13</f>
        <v>6438.9000000000487</v>
      </c>
      <c r="M536" s="151">
        <f>M535+'Basic Data'!$AE$13</f>
        <v>4006.1299999999787</v>
      </c>
      <c r="N536" s="151">
        <f>N535+'Basic Data'!$AF$13</f>
        <v>9447.9800000000723</v>
      </c>
      <c r="O536" s="151">
        <f>O535+'Basic Data'!$AG$13</f>
        <v>3767.4299999999648</v>
      </c>
      <c r="P536" s="151">
        <f>P535+'Basic Data'!$AH$13</f>
        <v>10305.400000000094</v>
      </c>
    </row>
    <row r="537" spans="2:16">
      <c r="B537" s="156">
        <v>535</v>
      </c>
      <c r="C537" s="176">
        <v>535</v>
      </c>
      <c r="D537" s="177">
        <f t="shared" si="55"/>
        <v>6415.2200000000485</v>
      </c>
      <c r="E537" s="177">
        <f t="shared" si="56"/>
        <v>6416.5400000000491</v>
      </c>
      <c r="F537" s="177">
        <f t="shared" si="57"/>
        <v>3992.1299999999787</v>
      </c>
      <c r="G537" s="177">
        <f t="shared" si="58"/>
        <v>9414.9800000000723</v>
      </c>
      <c r="H537" s="177">
        <f t="shared" si="59"/>
        <v>3753.5199999999645</v>
      </c>
      <c r="I537" s="177">
        <f t="shared" si="60"/>
        <v>10267.290000000094</v>
      </c>
      <c r="K537" s="151">
        <f>K536+'Basic Data'!$AC$13</f>
        <v>6450.7800000000489</v>
      </c>
      <c r="L537" s="151">
        <f>L536+'Basic Data'!$AD$13</f>
        <v>6450.7800000000489</v>
      </c>
      <c r="M537" s="151">
        <f>M536+'Basic Data'!$AE$13</f>
        <v>4013.5199999999786</v>
      </c>
      <c r="N537" s="151">
        <f>N536+'Basic Data'!$AF$13</f>
        <v>9465.4100000000726</v>
      </c>
      <c r="O537" s="151">
        <f>O536+'Basic Data'!$AG$13</f>
        <v>3774.3799999999646</v>
      </c>
      <c r="P537" s="151">
        <f>P536+'Basic Data'!$AH$13</f>
        <v>10324.410000000094</v>
      </c>
    </row>
    <row r="538" spans="2:16">
      <c r="B538" s="156">
        <v>536</v>
      </c>
      <c r="C538" s="176">
        <v>536</v>
      </c>
      <c r="D538" s="177">
        <f t="shared" si="55"/>
        <v>6427.1000000000486</v>
      </c>
      <c r="E538" s="177">
        <f t="shared" si="56"/>
        <v>6428.4200000000492</v>
      </c>
      <c r="F538" s="177">
        <f t="shared" si="57"/>
        <v>3999.5199999999786</v>
      </c>
      <c r="G538" s="177">
        <f t="shared" si="58"/>
        <v>9432.4100000000726</v>
      </c>
      <c r="H538" s="177">
        <f t="shared" si="59"/>
        <v>3760.4699999999643</v>
      </c>
      <c r="I538" s="177">
        <f t="shared" si="60"/>
        <v>10286.300000000094</v>
      </c>
      <c r="K538" s="151">
        <f>K537+'Basic Data'!$AC$13</f>
        <v>6462.660000000049</v>
      </c>
      <c r="L538" s="151">
        <f>L537+'Basic Data'!$AD$13</f>
        <v>6462.660000000049</v>
      </c>
      <c r="M538" s="151">
        <f>M537+'Basic Data'!$AE$13</f>
        <v>4020.9099999999785</v>
      </c>
      <c r="N538" s="151">
        <f>N537+'Basic Data'!$AF$13</f>
        <v>9482.8400000000729</v>
      </c>
      <c r="O538" s="151">
        <f>O537+'Basic Data'!$AG$13</f>
        <v>3781.3299999999645</v>
      </c>
      <c r="P538" s="151">
        <f>P537+'Basic Data'!$AH$13</f>
        <v>10343.420000000095</v>
      </c>
    </row>
    <row r="539" spans="2:16">
      <c r="B539" s="156">
        <v>537</v>
      </c>
      <c r="C539" s="176">
        <v>537</v>
      </c>
      <c r="D539" s="177">
        <f t="shared" si="55"/>
        <v>6438.9800000000487</v>
      </c>
      <c r="E539" s="177">
        <f t="shared" si="56"/>
        <v>6440.3000000000493</v>
      </c>
      <c r="F539" s="177">
        <f t="shared" si="57"/>
        <v>4006.9099999999785</v>
      </c>
      <c r="G539" s="177">
        <f t="shared" si="58"/>
        <v>9449.8400000000729</v>
      </c>
      <c r="H539" s="177">
        <f t="shared" si="59"/>
        <v>3767.4199999999641</v>
      </c>
      <c r="I539" s="177">
        <f t="shared" si="60"/>
        <v>10305.310000000094</v>
      </c>
      <c r="K539" s="151">
        <f>K538+'Basic Data'!$AC$13</f>
        <v>6474.5400000000491</v>
      </c>
      <c r="L539" s="151">
        <f>L538+'Basic Data'!$AD$13</f>
        <v>6474.5400000000491</v>
      </c>
      <c r="M539" s="151">
        <f>M538+'Basic Data'!$AE$13</f>
        <v>4028.2999999999784</v>
      </c>
      <c r="N539" s="151">
        <f>N538+'Basic Data'!$AF$13</f>
        <v>9500.2700000000732</v>
      </c>
      <c r="O539" s="151">
        <f>O538+'Basic Data'!$AG$13</f>
        <v>3788.2799999999643</v>
      </c>
      <c r="P539" s="151">
        <f>P538+'Basic Data'!$AH$13</f>
        <v>10362.430000000095</v>
      </c>
    </row>
    <row r="540" spans="2:16">
      <c r="B540" s="156">
        <v>538</v>
      </c>
      <c r="C540" s="176">
        <v>538</v>
      </c>
      <c r="D540" s="177">
        <f t="shared" si="55"/>
        <v>6450.8600000000488</v>
      </c>
      <c r="E540" s="177">
        <f t="shared" si="56"/>
        <v>6452.1800000000494</v>
      </c>
      <c r="F540" s="177">
        <f t="shared" si="57"/>
        <v>4014.2999999999784</v>
      </c>
      <c r="G540" s="177">
        <f t="shared" si="58"/>
        <v>9467.2700000000732</v>
      </c>
      <c r="H540" s="177">
        <f t="shared" si="59"/>
        <v>3774.369999999964</v>
      </c>
      <c r="I540" s="177">
        <f t="shared" si="60"/>
        <v>10324.320000000094</v>
      </c>
      <c r="K540" s="151">
        <f>K539+'Basic Data'!$AC$13</f>
        <v>6486.4200000000492</v>
      </c>
      <c r="L540" s="151">
        <f>L539+'Basic Data'!$AD$13</f>
        <v>6486.4200000000492</v>
      </c>
      <c r="M540" s="151">
        <f>M539+'Basic Data'!$AE$13</f>
        <v>4035.6899999999782</v>
      </c>
      <c r="N540" s="151">
        <f>N539+'Basic Data'!$AF$13</f>
        <v>9517.7000000000735</v>
      </c>
      <c r="O540" s="151">
        <f>O539+'Basic Data'!$AG$13</f>
        <v>3795.2299999999641</v>
      </c>
      <c r="P540" s="151">
        <f>P539+'Basic Data'!$AH$13</f>
        <v>10381.440000000095</v>
      </c>
    </row>
    <row r="541" spans="2:16">
      <c r="B541" s="156">
        <v>539</v>
      </c>
      <c r="C541" s="176">
        <v>539</v>
      </c>
      <c r="D541" s="177">
        <f t="shared" si="55"/>
        <v>6462.7400000000489</v>
      </c>
      <c r="E541" s="177">
        <f t="shared" si="56"/>
        <v>6464.0600000000495</v>
      </c>
      <c r="F541" s="177">
        <f t="shared" si="57"/>
        <v>4021.6899999999782</v>
      </c>
      <c r="G541" s="177">
        <f t="shared" si="58"/>
        <v>9484.7000000000735</v>
      </c>
      <c r="H541" s="177">
        <f t="shared" si="59"/>
        <v>3781.3199999999638</v>
      </c>
      <c r="I541" s="177">
        <f t="shared" si="60"/>
        <v>10343.330000000095</v>
      </c>
      <c r="K541" s="151">
        <f>K540+'Basic Data'!$AC$13</f>
        <v>6498.3000000000493</v>
      </c>
      <c r="L541" s="151">
        <f>L540+'Basic Data'!$AD$13</f>
        <v>6498.3000000000493</v>
      </c>
      <c r="M541" s="151">
        <f>M540+'Basic Data'!$AE$13</f>
        <v>4043.0799999999781</v>
      </c>
      <c r="N541" s="151">
        <f>N540+'Basic Data'!$AF$13</f>
        <v>9535.1300000000738</v>
      </c>
      <c r="O541" s="151">
        <f>O540+'Basic Data'!$AG$13</f>
        <v>3802.1799999999639</v>
      </c>
      <c r="P541" s="151">
        <f>P540+'Basic Data'!$AH$13</f>
        <v>10400.450000000095</v>
      </c>
    </row>
    <row r="542" spans="2:16">
      <c r="B542" s="156">
        <v>540</v>
      </c>
      <c r="C542" s="176">
        <v>540</v>
      </c>
      <c r="D542" s="177">
        <f t="shared" si="55"/>
        <v>6474.620000000049</v>
      </c>
      <c r="E542" s="177">
        <f t="shared" si="56"/>
        <v>6475.9400000000496</v>
      </c>
      <c r="F542" s="177">
        <f t="shared" si="57"/>
        <v>4029.0799999999781</v>
      </c>
      <c r="G542" s="177">
        <f t="shared" si="58"/>
        <v>9502.1300000000738</v>
      </c>
      <c r="H542" s="177">
        <f t="shared" si="59"/>
        <v>3788.2699999999636</v>
      </c>
      <c r="I542" s="177">
        <f t="shared" si="60"/>
        <v>10362.340000000095</v>
      </c>
      <c r="K542" s="151">
        <f>K541+'Basic Data'!$AC$13</f>
        <v>6510.1800000000494</v>
      </c>
      <c r="L542" s="151">
        <f>L541+'Basic Data'!$AD$13</f>
        <v>6510.1800000000494</v>
      </c>
      <c r="M542" s="151">
        <f>M541+'Basic Data'!$AE$13</f>
        <v>4050.469999999978</v>
      </c>
      <c r="N542" s="151">
        <f>N541+'Basic Data'!$AF$13</f>
        <v>9552.5600000000741</v>
      </c>
      <c r="O542" s="151">
        <f>O541+'Basic Data'!$AG$13</f>
        <v>3809.1299999999637</v>
      </c>
      <c r="P542" s="151">
        <f>P541+'Basic Data'!$AH$13</f>
        <v>10419.460000000096</v>
      </c>
    </row>
    <row r="543" spans="2:16">
      <c r="B543" s="156">
        <v>541</v>
      </c>
      <c r="C543" s="176">
        <v>541</v>
      </c>
      <c r="D543" s="177">
        <f t="shared" si="55"/>
        <v>6486.5000000000491</v>
      </c>
      <c r="E543" s="177">
        <f t="shared" si="56"/>
        <v>6487.8200000000497</v>
      </c>
      <c r="F543" s="177">
        <f t="shared" si="57"/>
        <v>4036.469999999978</v>
      </c>
      <c r="G543" s="177">
        <f t="shared" si="58"/>
        <v>9519.5600000000741</v>
      </c>
      <c r="H543" s="177">
        <f t="shared" si="59"/>
        <v>3795.2199999999634</v>
      </c>
      <c r="I543" s="177">
        <f t="shared" si="60"/>
        <v>10381.350000000095</v>
      </c>
      <c r="K543" s="151">
        <f>K542+'Basic Data'!$AC$13</f>
        <v>6522.0600000000495</v>
      </c>
      <c r="L543" s="151">
        <f>L542+'Basic Data'!$AD$13</f>
        <v>6522.0600000000495</v>
      </c>
      <c r="M543" s="151">
        <f>M542+'Basic Data'!$AE$13</f>
        <v>4057.8599999999778</v>
      </c>
      <c r="N543" s="151">
        <f>N542+'Basic Data'!$AF$13</f>
        <v>9569.9900000000744</v>
      </c>
      <c r="O543" s="151">
        <f>O542+'Basic Data'!$AG$13</f>
        <v>3816.0799999999635</v>
      </c>
      <c r="P543" s="151">
        <f>P542+'Basic Data'!$AH$13</f>
        <v>10438.470000000096</v>
      </c>
    </row>
    <row r="544" spans="2:16">
      <c r="B544" s="156">
        <v>542</v>
      </c>
      <c r="C544" s="176">
        <v>542</v>
      </c>
      <c r="D544" s="177">
        <f t="shared" si="55"/>
        <v>6498.3800000000492</v>
      </c>
      <c r="E544" s="177">
        <f t="shared" si="56"/>
        <v>6499.7000000000498</v>
      </c>
      <c r="F544" s="177">
        <f t="shared" si="57"/>
        <v>4043.8599999999778</v>
      </c>
      <c r="G544" s="177">
        <f t="shared" si="58"/>
        <v>9536.9900000000744</v>
      </c>
      <c r="H544" s="177">
        <f t="shared" si="59"/>
        <v>3802.1699999999632</v>
      </c>
      <c r="I544" s="177">
        <f t="shared" si="60"/>
        <v>10400.360000000095</v>
      </c>
      <c r="K544" s="151">
        <f>K543+'Basic Data'!$AC$13</f>
        <v>6533.9400000000496</v>
      </c>
      <c r="L544" s="151">
        <f>L543+'Basic Data'!$AD$13</f>
        <v>6533.9400000000496</v>
      </c>
      <c r="M544" s="151">
        <f>M543+'Basic Data'!$AE$13</f>
        <v>4065.2499999999777</v>
      </c>
      <c r="N544" s="151">
        <f>N543+'Basic Data'!$AF$13</f>
        <v>9587.4200000000747</v>
      </c>
      <c r="O544" s="151">
        <f>O543+'Basic Data'!$AG$13</f>
        <v>3823.0299999999634</v>
      </c>
      <c r="P544" s="151">
        <f>P543+'Basic Data'!$AH$13</f>
        <v>10457.480000000096</v>
      </c>
    </row>
    <row r="545" spans="2:16">
      <c r="B545" s="156">
        <v>543</v>
      </c>
      <c r="C545" s="176">
        <v>543</v>
      </c>
      <c r="D545" s="177">
        <f t="shared" si="55"/>
        <v>6510.2600000000493</v>
      </c>
      <c r="E545" s="177">
        <f t="shared" si="56"/>
        <v>6511.5800000000499</v>
      </c>
      <c r="F545" s="177">
        <f t="shared" si="57"/>
        <v>4051.2499999999777</v>
      </c>
      <c r="G545" s="177">
        <f t="shared" si="58"/>
        <v>9554.4200000000747</v>
      </c>
      <c r="H545" s="177">
        <f t="shared" si="59"/>
        <v>3809.1199999999631</v>
      </c>
      <c r="I545" s="177">
        <f t="shared" si="60"/>
        <v>10419.370000000095</v>
      </c>
      <c r="K545" s="151">
        <f>K544+'Basic Data'!$AC$13</f>
        <v>6545.8200000000497</v>
      </c>
      <c r="L545" s="151">
        <f>L544+'Basic Data'!$AD$13</f>
        <v>6545.8200000000497</v>
      </c>
      <c r="M545" s="151">
        <f>M544+'Basic Data'!$AE$13</f>
        <v>4072.6399999999776</v>
      </c>
      <c r="N545" s="151">
        <f>N544+'Basic Data'!$AF$13</f>
        <v>9604.8500000000749</v>
      </c>
      <c r="O545" s="151">
        <f>O544+'Basic Data'!$AG$13</f>
        <v>3829.9799999999632</v>
      </c>
      <c r="P545" s="151">
        <f>P544+'Basic Data'!$AH$13</f>
        <v>10476.490000000096</v>
      </c>
    </row>
    <row r="546" spans="2:16">
      <c r="B546" s="156">
        <v>544</v>
      </c>
      <c r="C546" s="176">
        <v>544</v>
      </c>
      <c r="D546" s="177">
        <f t="shared" si="55"/>
        <v>6522.1400000000494</v>
      </c>
      <c r="E546" s="177">
        <f t="shared" si="56"/>
        <v>6523.4600000000501</v>
      </c>
      <c r="F546" s="177">
        <f t="shared" si="57"/>
        <v>4058.6399999999776</v>
      </c>
      <c r="G546" s="177">
        <f t="shared" si="58"/>
        <v>9571.8500000000749</v>
      </c>
      <c r="H546" s="177">
        <f t="shared" si="59"/>
        <v>3816.0699999999629</v>
      </c>
      <c r="I546" s="177">
        <f t="shared" si="60"/>
        <v>10438.380000000096</v>
      </c>
      <c r="K546" s="151">
        <f>K545+'Basic Data'!$AC$13</f>
        <v>6557.7000000000498</v>
      </c>
      <c r="L546" s="151">
        <f>L545+'Basic Data'!$AD$13</f>
        <v>6557.7000000000498</v>
      </c>
      <c r="M546" s="151">
        <f>M545+'Basic Data'!$AE$13</f>
        <v>4080.0299999999775</v>
      </c>
      <c r="N546" s="151">
        <f>N545+'Basic Data'!$AF$13</f>
        <v>9622.2800000000752</v>
      </c>
      <c r="O546" s="151">
        <f>O545+'Basic Data'!$AG$13</f>
        <v>3836.929999999963</v>
      </c>
      <c r="P546" s="151">
        <f>P545+'Basic Data'!$AH$13</f>
        <v>10495.500000000096</v>
      </c>
    </row>
    <row r="547" spans="2:16">
      <c r="B547" s="156">
        <v>545</v>
      </c>
      <c r="C547" s="176">
        <v>545</v>
      </c>
      <c r="D547" s="177">
        <f t="shared" si="55"/>
        <v>6534.0200000000495</v>
      </c>
      <c r="E547" s="177">
        <f t="shared" si="56"/>
        <v>6535.3400000000502</v>
      </c>
      <c r="F547" s="177">
        <f t="shared" si="57"/>
        <v>4066.0299999999775</v>
      </c>
      <c r="G547" s="177">
        <f t="shared" si="58"/>
        <v>9589.2800000000752</v>
      </c>
      <c r="H547" s="177">
        <f t="shared" si="59"/>
        <v>3823.0199999999627</v>
      </c>
      <c r="I547" s="177">
        <f t="shared" si="60"/>
        <v>10457.390000000096</v>
      </c>
      <c r="K547" s="151">
        <f>K546+'Basic Data'!$AC$13</f>
        <v>6569.5800000000499</v>
      </c>
      <c r="L547" s="151">
        <f>L546+'Basic Data'!$AD$13</f>
        <v>6569.5800000000499</v>
      </c>
      <c r="M547" s="151">
        <f>M546+'Basic Data'!$AE$13</f>
        <v>4087.4199999999773</v>
      </c>
      <c r="N547" s="151">
        <f>N546+'Basic Data'!$AF$13</f>
        <v>9639.7100000000755</v>
      </c>
      <c r="O547" s="151">
        <f>O546+'Basic Data'!$AG$13</f>
        <v>3843.8799999999628</v>
      </c>
      <c r="P547" s="151">
        <f>P546+'Basic Data'!$AH$13</f>
        <v>10514.510000000097</v>
      </c>
    </row>
    <row r="548" spans="2:16">
      <c r="B548" s="156">
        <v>546</v>
      </c>
      <c r="C548" s="176">
        <v>546</v>
      </c>
      <c r="D548" s="177">
        <f t="shared" si="55"/>
        <v>6545.9000000000497</v>
      </c>
      <c r="E548" s="177">
        <f t="shared" si="56"/>
        <v>6547.2200000000503</v>
      </c>
      <c r="F548" s="177">
        <f t="shared" si="57"/>
        <v>4073.4199999999773</v>
      </c>
      <c r="G548" s="177">
        <f t="shared" si="58"/>
        <v>9606.7100000000755</v>
      </c>
      <c r="H548" s="177">
        <f t="shared" si="59"/>
        <v>3829.9699999999625</v>
      </c>
      <c r="I548" s="177">
        <f t="shared" si="60"/>
        <v>10476.400000000096</v>
      </c>
      <c r="K548" s="151">
        <f>K547+'Basic Data'!$AC$13</f>
        <v>6581.4600000000501</v>
      </c>
      <c r="L548" s="151">
        <f>L547+'Basic Data'!$AD$13</f>
        <v>6581.4600000000501</v>
      </c>
      <c r="M548" s="151">
        <f>M547+'Basic Data'!$AE$13</f>
        <v>4094.8099999999772</v>
      </c>
      <c r="N548" s="151">
        <f>N547+'Basic Data'!$AF$13</f>
        <v>9657.1400000000758</v>
      </c>
      <c r="O548" s="151">
        <f>O547+'Basic Data'!$AG$13</f>
        <v>3850.8299999999626</v>
      </c>
      <c r="P548" s="151">
        <f>P547+'Basic Data'!$AH$13</f>
        <v>10533.520000000097</v>
      </c>
    </row>
    <row r="549" spans="2:16">
      <c r="B549" s="156">
        <v>547</v>
      </c>
      <c r="C549" s="176">
        <v>547</v>
      </c>
      <c r="D549" s="177">
        <f t="shared" si="55"/>
        <v>6557.7800000000498</v>
      </c>
      <c r="E549" s="177">
        <f t="shared" si="56"/>
        <v>6559.1000000000504</v>
      </c>
      <c r="F549" s="177">
        <f t="shared" si="57"/>
        <v>4080.8099999999772</v>
      </c>
      <c r="G549" s="177">
        <f t="shared" si="58"/>
        <v>9624.1400000000758</v>
      </c>
      <c r="H549" s="177">
        <f t="shared" si="59"/>
        <v>3836.9199999999623</v>
      </c>
      <c r="I549" s="177">
        <f t="shared" si="60"/>
        <v>10495.410000000096</v>
      </c>
      <c r="K549" s="151">
        <f>K548+'Basic Data'!$AC$13</f>
        <v>6593.3400000000502</v>
      </c>
      <c r="L549" s="151">
        <f>L548+'Basic Data'!$AD$13</f>
        <v>6593.3400000000502</v>
      </c>
      <c r="M549" s="151">
        <f>M548+'Basic Data'!$AE$13</f>
        <v>4102.1999999999771</v>
      </c>
      <c r="N549" s="151">
        <f>N548+'Basic Data'!$AF$13</f>
        <v>9674.5700000000761</v>
      </c>
      <c r="O549" s="151">
        <f>O548+'Basic Data'!$AG$13</f>
        <v>3857.7799999999625</v>
      </c>
      <c r="P549" s="151">
        <f>P548+'Basic Data'!$AH$13</f>
        <v>10552.530000000097</v>
      </c>
    </row>
    <row r="550" spans="2:16">
      <c r="B550" s="156">
        <v>548</v>
      </c>
      <c r="C550" s="176">
        <v>548</v>
      </c>
      <c r="D550" s="177">
        <f t="shared" si="55"/>
        <v>6569.6600000000499</v>
      </c>
      <c r="E550" s="177">
        <f t="shared" si="56"/>
        <v>6570.9800000000505</v>
      </c>
      <c r="F550" s="177">
        <f t="shared" si="57"/>
        <v>4088.1999999999775</v>
      </c>
      <c r="G550" s="177">
        <f t="shared" si="58"/>
        <v>9641.5700000000761</v>
      </c>
      <c r="H550" s="177">
        <f t="shared" si="59"/>
        <v>3843.8699999999621</v>
      </c>
      <c r="I550" s="177">
        <f t="shared" si="60"/>
        <v>10514.420000000096</v>
      </c>
      <c r="K550" s="151">
        <f>K549+'Basic Data'!$AC$13</f>
        <v>6605.2200000000503</v>
      </c>
      <c r="L550" s="151">
        <f>L549+'Basic Data'!$AD$13</f>
        <v>6605.2200000000503</v>
      </c>
      <c r="M550" s="151">
        <f>M549+'Basic Data'!$AE$13</f>
        <v>4109.5899999999774</v>
      </c>
      <c r="N550" s="151">
        <f>N549+'Basic Data'!$AF$13</f>
        <v>9692.0000000000764</v>
      </c>
      <c r="O550" s="151">
        <f>O549+'Basic Data'!$AG$13</f>
        <v>3864.7299999999623</v>
      </c>
      <c r="P550" s="151">
        <f>P549+'Basic Data'!$AH$13</f>
        <v>10571.540000000097</v>
      </c>
    </row>
    <row r="551" spans="2:16">
      <c r="B551" s="156">
        <v>549</v>
      </c>
      <c r="C551" s="176">
        <v>549</v>
      </c>
      <c r="D551" s="177">
        <f t="shared" si="55"/>
        <v>6581.54000000005</v>
      </c>
      <c r="E551" s="177">
        <f t="shared" si="56"/>
        <v>6582.8600000000506</v>
      </c>
      <c r="F551" s="177">
        <f t="shared" si="57"/>
        <v>4095.5899999999779</v>
      </c>
      <c r="G551" s="177">
        <f t="shared" si="58"/>
        <v>9659.0000000000764</v>
      </c>
      <c r="H551" s="177">
        <f t="shared" si="59"/>
        <v>3850.819999999962</v>
      </c>
      <c r="I551" s="177">
        <f t="shared" si="60"/>
        <v>10533.430000000097</v>
      </c>
      <c r="K551" s="151">
        <f>K550+'Basic Data'!$AC$13</f>
        <v>6617.1000000000504</v>
      </c>
      <c r="L551" s="151">
        <f>L550+'Basic Data'!$AD$13</f>
        <v>6617.1000000000504</v>
      </c>
      <c r="M551" s="151">
        <f>M550+'Basic Data'!$AE$13</f>
        <v>4116.9799999999777</v>
      </c>
      <c r="N551" s="151">
        <f>N550+'Basic Data'!$AF$13</f>
        <v>9709.4300000000767</v>
      </c>
      <c r="O551" s="151">
        <f>O550+'Basic Data'!$AG$13</f>
        <v>3871.6799999999621</v>
      </c>
      <c r="P551" s="151">
        <f>P550+'Basic Data'!$AH$13</f>
        <v>10590.550000000097</v>
      </c>
    </row>
    <row r="552" spans="2:16">
      <c r="B552" s="156">
        <v>550</v>
      </c>
      <c r="C552" s="176">
        <v>550</v>
      </c>
      <c r="D552" s="177">
        <f t="shared" si="55"/>
        <v>6593.4200000000501</v>
      </c>
      <c r="E552" s="177">
        <f t="shared" si="56"/>
        <v>6594.7400000000507</v>
      </c>
      <c r="F552" s="177">
        <f t="shared" si="57"/>
        <v>4102.9799999999777</v>
      </c>
      <c r="G552" s="177">
        <f t="shared" si="58"/>
        <v>9676.4300000000767</v>
      </c>
      <c r="H552" s="177">
        <f t="shared" si="59"/>
        <v>3857.7699999999618</v>
      </c>
      <c r="I552" s="177">
        <f t="shared" si="60"/>
        <v>10552.440000000097</v>
      </c>
      <c r="K552" s="151">
        <f>K551+'Basic Data'!$AC$13</f>
        <v>6628.9800000000505</v>
      </c>
      <c r="L552" s="151">
        <f>L551+'Basic Data'!$AD$13</f>
        <v>6628.9800000000505</v>
      </c>
      <c r="M552" s="151">
        <f>M551+'Basic Data'!$AE$13</f>
        <v>4124.3699999999781</v>
      </c>
      <c r="N552" s="151">
        <f>N551+'Basic Data'!$AF$13</f>
        <v>9726.860000000077</v>
      </c>
      <c r="O552" s="151">
        <f>O551+'Basic Data'!$AG$13</f>
        <v>3878.6299999999619</v>
      </c>
      <c r="P552" s="151">
        <f>P551+'Basic Data'!$AH$13</f>
        <v>10609.560000000098</v>
      </c>
    </row>
    <row r="553" spans="2:16">
      <c r="B553" s="156">
        <v>551</v>
      </c>
      <c r="C553" s="176">
        <v>551</v>
      </c>
      <c r="D553" s="177">
        <f t="shared" si="55"/>
        <v>6605.3000000000502</v>
      </c>
      <c r="E553" s="177">
        <f t="shared" si="56"/>
        <v>6606.6200000000508</v>
      </c>
      <c r="F553" s="177">
        <f t="shared" si="57"/>
        <v>4110.3699999999781</v>
      </c>
      <c r="G553" s="177">
        <f t="shared" si="58"/>
        <v>9693.860000000077</v>
      </c>
      <c r="H553" s="177">
        <f t="shared" si="59"/>
        <v>3864.7199999999616</v>
      </c>
      <c r="I553" s="177">
        <f t="shared" si="60"/>
        <v>10571.450000000097</v>
      </c>
      <c r="K553" s="151">
        <f>K552+'Basic Data'!$AC$13</f>
        <v>6640.8600000000506</v>
      </c>
      <c r="L553" s="151">
        <f>L552+'Basic Data'!$AD$13</f>
        <v>6640.8600000000506</v>
      </c>
      <c r="M553" s="151">
        <f>M552+'Basic Data'!$AE$13</f>
        <v>4131.7599999999784</v>
      </c>
      <c r="N553" s="151">
        <f>N552+'Basic Data'!$AF$13</f>
        <v>9744.2900000000773</v>
      </c>
      <c r="O553" s="151">
        <f>O552+'Basic Data'!$AG$13</f>
        <v>3885.5799999999617</v>
      </c>
      <c r="P553" s="151">
        <f>P552+'Basic Data'!$AH$13</f>
        <v>10628.570000000098</v>
      </c>
    </row>
    <row r="554" spans="2:16">
      <c r="B554" s="156">
        <v>552</v>
      </c>
      <c r="C554" s="176">
        <v>552</v>
      </c>
      <c r="D554" s="177">
        <f t="shared" si="55"/>
        <v>6617.1800000000503</v>
      </c>
      <c r="E554" s="177">
        <f t="shared" si="56"/>
        <v>6618.5000000000509</v>
      </c>
      <c r="F554" s="177">
        <f t="shared" si="57"/>
        <v>4117.7599999999784</v>
      </c>
      <c r="G554" s="177">
        <f t="shared" si="58"/>
        <v>9711.2900000000773</v>
      </c>
      <c r="H554" s="177">
        <f t="shared" si="59"/>
        <v>3871.6699999999614</v>
      </c>
      <c r="I554" s="177">
        <f t="shared" si="60"/>
        <v>10590.460000000097</v>
      </c>
      <c r="K554" s="151">
        <f>K553+'Basic Data'!$AC$13</f>
        <v>6652.7400000000507</v>
      </c>
      <c r="L554" s="151">
        <f>L553+'Basic Data'!$AD$13</f>
        <v>6652.7400000000507</v>
      </c>
      <c r="M554" s="151">
        <f>M553+'Basic Data'!$AE$13</f>
        <v>4139.1499999999787</v>
      </c>
      <c r="N554" s="151">
        <f>N553+'Basic Data'!$AF$13</f>
        <v>9761.7200000000776</v>
      </c>
      <c r="O554" s="151">
        <f>O553+'Basic Data'!$AG$13</f>
        <v>3892.5299999999615</v>
      </c>
      <c r="P554" s="151">
        <f>P553+'Basic Data'!$AH$13</f>
        <v>10647.580000000098</v>
      </c>
    </row>
    <row r="555" spans="2:16">
      <c r="B555" s="156">
        <v>553</v>
      </c>
      <c r="C555" s="176">
        <v>553</v>
      </c>
      <c r="D555" s="177">
        <f t="shared" si="55"/>
        <v>6629.0600000000504</v>
      </c>
      <c r="E555" s="177">
        <f t="shared" si="56"/>
        <v>6630.380000000051</v>
      </c>
      <c r="F555" s="177">
        <f t="shared" si="57"/>
        <v>4125.1499999999787</v>
      </c>
      <c r="G555" s="177">
        <f t="shared" si="58"/>
        <v>9728.7200000000776</v>
      </c>
      <c r="H555" s="177">
        <f t="shared" si="59"/>
        <v>3878.6199999999612</v>
      </c>
      <c r="I555" s="177">
        <f t="shared" si="60"/>
        <v>10609.470000000098</v>
      </c>
      <c r="K555" s="151">
        <f>K554+'Basic Data'!$AC$13</f>
        <v>6664.6200000000508</v>
      </c>
      <c r="L555" s="151">
        <f>L554+'Basic Data'!$AD$13</f>
        <v>6664.6200000000508</v>
      </c>
      <c r="M555" s="151">
        <f>M554+'Basic Data'!$AE$13</f>
        <v>4146.539999999979</v>
      </c>
      <c r="N555" s="151">
        <f>N554+'Basic Data'!$AF$13</f>
        <v>9779.1500000000779</v>
      </c>
      <c r="O555" s="151">
        <f>O554+'Basic Data'!$AG$13</f>
        <v>3899.4799999999614</v>
      </c>
      <c r="P555" s="151">
        <f>P554+'Basic Data'!$AH$13</f>
        <v>10666.590000000098</v>
      </c>
    </row>
    <row r="556" spans="2:16">
      <c r="B556" s="156">
        <v>554</v>
      </c>
      <c r="C556" s="176">
        <v>554</v>
      </c>
      <c r="D556" s="177">
        <f t="shared" si="55"/>
        <v>6640.9400000000505</v>
      </c>
      <c r="E556" s="177">
        <f t="shared" si="56"/>
        <v>6642.2600000000511</v>
      </c>
      <c r="F556" s="177">
        <f t="shared" si="57"/>
        <v>4132.539999999979</v>
      </c>
      <c r="G556" s="177">
        <f t="shared" si="58"/>
        <v>9746.1500000000779</v>
      </c>
      <c r="H556" s="177">
        <f t="shared" si="59"/>
        <v>3885.5699999999611</v>
      </c>
      <c r="I556" s="177">
        <f t="shared" si="60"/>
        <v>10628.480000000098</v>
      </c>
      <c r="K556" s="151">
        <f>K555+'Basic Data'!$AC$13</f>
        <v>6676.5000000000509</v>
      </c>
      <c r="L556" s="151">
        <f>L555+'Basic Data'!$AD$13</f>
        <v>6676.5000000000509</v>
      </c>
      <c r="M556" s="151">
        <f>M555+'Basic Data'!$AE$13</f>
        <v>4153.9299999999794</v>
      </c>
      <c r="N556" s="151">
        <f>N555+'Basic Data'!$AF$13</f>
        <v>9796.5800000000781</v>
      </c>
      <c r="O556" s="151">
        <f>O555+'Basic Data'!$AG$13</f>
        <v>3906.4299999999612</v>
      </c>
      <c r="P556" s="151">
        <f>P555+'Basic Data'!$AH$13</f>
        <v>10685.600000000099</v>
      </c>
    </row>
    <row r="557" spans="2:16">
      <c r="B557" s="156">
        <v>555</v>
      </c>
      <c r="C557" s="176">
        <v>555</v>
      </c>
      <c r="D557" s="177">
        <f t="shared" si="55"/>
        <v>6652.8200000000506</v>
      </c>
      <c r="E557" s="177">
        <f t="shared" si="56"/>
        <v>6654.1400000000513</v>
      </c>
      <c r="F557" s="177">
        <f t="shared" si="57"/>
        <v>4139.9299999999794</v>
      </c>
      <c r="G557" s="177">
        <f t="shared" si="58"/>
        <v>9763.5800000000781</v>
      </c>
      <c r="H557" s="177">
        <f t="shared" si="59"/>
        <v>3892.5199999999609</v>
      </c>
      <c r="I557" s="177">
        <f t="shared" si="60"/>
        <v>10647.490000000098</v>
      </c>
      <c r="K557" s="151">
        <f>K556+'Basic Data'!$AC$13</f>
        <v>6688.380000000051</v>
      </c>
      <c r="L557" s="151">
        <f>L556+'Basic Data'!$AD$13</f>
        <v>6688.380000000051</v>
      </c>
      <c r="M557" s="151">
        <f>M556+'Basic Data'!$AE$13</f>
        <v>4161.3199999999797</v>
      </c>
      <c r="N557" s="151">
        <f>N556+'Basic Data'!$AF$13</f>
        <v>9814.0100000000784</v>
      </c>
      <c r="O557" s="151">
        <f>O556+'Basic Data'!$AG$13</f>
        <v>3913.379999999961</v>
      </c>
      <c r="P557" s="151">
        <f>P556+'Basic Data'!$AH$13</f>
        <v>10704.610000000099</v>
      </c>
    </row>
    <row r="558" spans="2:16">
      <c r="B558" s="156">
        <v>556</v>
      </c>
      <c r="C558" s="176">
        <v>556</v>
      </c>
      <c r="D558" s="177">
        <f t="shared" si="55"/>
        <v>6664.7000000000507</v>
      </c>
      <c r="E558" s="177">
        <f t="shared" si="56"/>
        <v>6666.0200000000514</v>
      </c>
      <c r="F558" s="177">
        <f t="shared" si="57"/>
        <v>4147.3199999999797</v>
      </c>
      <c r="G558" s="177">
        <f t="shared" si="58"/>
        <v>9781.0100000000784</v>
      </c>
      <c r="H558" s="177">
        <f t="shared" si="59"/>
        <v>3899.4699999999607</v>
      </c>
      <c r="I558" s="177">
        <f t="shared" si="60"/>
        <v>10666.500000000098</v>
      </c>
      <c r="K558" s="151">
        <f>K557+'Basic Data'!$AC$13</f>
        <v>6700.2600000000511</v>
      </c>
      <c r="L558" s="151">
        <f>L557+'Basic Data'!$AD$13</f>
        <v>6700.2600000000511</v>
      </c>
      <c r="M558" s="151">
        <f>M557+'Basic Data'!$AE$13</f>
        <v>4168.70999999998</v>
      </c>
      <c r="N558" s="151">
        <f>N557+'Basic Data'!$AF$13</f>
        <v>9831.4400000000787</v>
      </c>
      <c r="O558" s="151">
        <f>O557+'Basic Data'!$AG$13</f>
        <v>3920.3299999999608</v>
      </c>
      <c r="P558" s="151">
        <f>P557+'Basic Data'!$AH$13</f>
        <v>10723.620000000099</v>
      </c>
    </row>
    <row r="559" spans="2:16">
      <c r="B559" s="156">
        <v>557</v>
      </c>
      <c r="C559" s="176">
        <v>557</v>
      </c>
      <c r="D559" s="177">
        <f t="shared" si="55"/>
        <v>6676.5800000000509</v>
      </c>
      <c r="E559" s="177">
        <f t="shared" si="56"/>
        <v>6677.9000000000515</v>
      </c>
      <c r="F559" s="177">
        <f t="shared" si="57"/>
        <v>4154.70999999998</v>
      </c>
      <c r="G559" s="177">
        <f t="shared" si="58"/>
        <v>9798.4400000000787</v>
      </c>
      <c r="H559" s="177">
        <f t="shared" si="59"/>
        <v>3906.4199999999605</v>
      </c>
      <c r="I559" s="177">
        <f t="shared" si="60"/>
        <v>10685.510000000098</v>
      </c>
      <c r="K559" s="151">
        <f>K558+'Basic Data'!$AC$13</f>
        <v>6712.1400000000513</v>
      </c>
      <c r="L559" s="151">
        <f>L558+'Basic Data'!$AD$13</f>
        <v>6712.1400000000513</v>
      </c>
      <c r="M559" s="151">
        <f>M558+'Basic Data'!$AE$13</f>
        <v>4176.0999999999804</v>
      </c>
      <c r="N559" s="151">
        <f>N558+'Basic Data'!$AF$13</f>
        <v>9848.870000000079</v>
      </c>
      <c r="O559" s="151">
        <f>O558+'Basic Data'!$AG$13</f>
        <v>3927.2799999999606</v>
      </c>
      <c r="P559" s="151">
        <f>P558+'Basic Data'!$AH$13</f>
        <v>10742.630000000099</v>
      </c>
    </row>
    <row r="560" spans="2:16">
      <c r="B560" s="156">
        <v>558</v>
      </c>
      <c r="C560" s="176">
        <v>558</v>
      </c>
      <c r="D560" s="177">
        <f t="shared" si="55"/>
        <v>6688.460000000051</v>
      </c>
      <c r="E560" s="177">
        <f t="shared" si="56"/>
        <v>6689.7800000000516</v>
      </c>
      <c r="F560" s="177">
        <f t="shared" si="57"/>
        <v>4162.0999999999804</v>
      </c>
      <c r="G560" s="177">
        <f t="shared" si="58"/>
        <v>9815.870000000079</v>
      </c>
      <c r="H560" s="177">
        <f t="shared" si="59"/>
        <v>3913.3699999999603</v>
      </c>
      <c r="I560" s="177">
        <f t="shared" si="60"/>
        <v>10704.520000000099</v>
      </c>
      <c r="K560" s="151">
        <f>K559+'Basic Data'!$AC$13</f>
        <v>6724.0200000000514</v>
      </c>
      <c r="L560" s="151">
        <f>L559+'Basic Data'!$AD$13</f>
        <v>6724.0200000000514</v>
      </c>
      <c r="M560" s="151">
        <f>M559+'Basic Data'!$AE$13</f>
        <v>4183.4899999999807</v>
      </c>
      <c r="N560" s="151">
        <f>N559+'Basic Data'!$AF$13</f>
        <v>9866.3000000000793</v>
      </c>
      <c r="O560" s="151">
        <f>O559+'Basic Data'!$AG$13</f>
        <v>3934.2299999999605</v>
      </c>
      <c r="P560" s="151">
        <f>P559+'Basic Data'!$AH$13</f>
        <v>10761.640000000099</v>
      </c>
    </row>
    <row r="561" spans="2:16">
      <c r="B561" s="156">
        <v>559</v>
      </c>
      <c r="C561" s="176">
        <v>559</v>
      </c>
      <c r="D561" s="177">
        <f t="shared" si="55"/>
        <v>6700.3400000000511</v>
      </c>
      <c r="E561" s="177">
        <f t="shared" si="56"/>
        <v>6701.6600000000517</v>
      </c>
      <c r="F561" s="177">
        <f t="shared" si="57"/>
        <v>4169.4899999999807</v>
      </c>
      <c r="G561" s="177">
        <f t="shared" si="58"/>
        <v>9833.3000000000793</v>
      </c>
      <c r="H561" s="177">
        <f t="shared" si="59"/>
        <v>3920.3199999999601</v>
      </c>
      <c r="I561" s="177">
        <f t="shared" si="60"/>
        <v>10723.530000000099</v>
      </c>
      <c r="K561" s="151">
        <f>K560+'Basic Data'!$AC$13</f>
        <v>6735.9000000000515</v>
      </c>
      <c r="L561" s="151">
        <f>L560+'Basic Data'!$AD$13</f>
        <v>6735.9000000000515</v>
      </c>
      <c r="M561" s="151">
        <f>M560+'Basic Data'!$AE$13</f>
        <v>4190.879999999981</v>
      </c>
      <c r="N561" s="151">
        <f>N560+'Basic Data'!$AF$13</f>
        <v>9883.7300000000796</v>
      </c>
      <c r="O561" s="151">
        <f>O560+'Basic Data'!$AG$13</f>
        <v>3941.1799999999603</v>
      </c>
      <c r="P561" s="151">
        <f>P560+'Basic Data'!$AH$13</f>
        <v>10780.6500000001</v>
      </c>
    </row>
    <row r="562" spans="2:16">
      <c r="B562" s="156">
        <v>560</v>
      </c>
      <c r="C562" s="176">
        <v>560</v>
      </c>
      <c r="D562" s="177">
        <f t="shared" si="55"/>
        <v>6712.2200000000512</v>
      </c>
      <c r="E562" s="177">
        <f t="shared" si="56"/>
        <v>6713.5400000000518</v>
      </c>
      <c r="F562" s="177">
        <f t="shared" si="57"/>
        <v>4176.879999999981</v>
      </c>
      <c r="G562" s="177">
        <f t="shared" si="58"/>
        <v>9850.7300000000796</v>
      </c>
      <c r="H562" s="177">
        <f t="shared" si="59"/>
        <v>3927.26999999996</v>
      </c>
      <c r="I562" s="177">
        <f t="shared" si="60"/>
        <v>10742.540000000099</v>
      </c>
      <c r="K562" s="151">
        <f>K561+'Basic Data'!$AC$13</f>
        <v>6747.7800000000516</v>
      </c>
      <c r="L562" s="151">
        <f>L561+'Basic Data'!$AD$13</f>
        <v>6747.7800000000516</v>
      </c>
      <c r="M562" s="151">
        <f>M561+'Basic Data'!$AE$13</f>
        <v>4198.2699999999813</v>
      </c>
      <c r="N562" s="151">
        <f>N561+'Basic Data'!$AF$13</f>
        <v>9901.1600000000799</v>
      </c>
      <c r="O562" s="151">
        <f>O561+'Basic Data'!$AG$13</f>
        <v>3948.1299999999601</v>
      </c>
      <c r="P562" s="151">
        <f>P561+'Basic Data'!$AH$13</f>
        <v>10799.6600000001</v>
      </c>
    </row>
    <row r="563" spans="2:16">
      <c r="B563" s="156">
        <v>561</v>
      </c>
      <c r="C563" s="176">
        <v>561</v>
      </c>
      <c r="D563" s="177">
        <f t="shared" si="55"/>
        <v>6724.1000000000513</v>
      </c>
      <c r="E563" s="177">
        <f t="shared" si="56"/>
        <v>6725.4200000000519</v>
      </c>
      <c r="F563" s="177">
        <f t="shared" si="57"/>
        <v>4184.2699999999813</v>
      </c>
      <c r="G563" s="177">
        <f t="shared" si="58"/>
        <v>9868.1600000000799</v>
      </c>
      <c r="H563" s="177">
        <f t="shared" si="59"/>
        <v>3934.2199999999598</v>
      </c>
      <c r="I563" s="177">
        <f t="shared" si="60"/>
        <v>10761.550000000099</v>
      </c>
      <c r="K563" s="151">
        <f>K562+'Basic Data'!$AC$13</f>
        <v>6759.6600000000517</v>
      </c>
      <c r="L563" s="151">
        <f>L562+'Basic Data'!$AD$13</f>
        <v>6759.6600000000517</v>
      </c>
      <c r="M563" s="151">
        <f>M562+'Basic Data'!$AE$13</f>
        <v>4205.6599999999817</v>
      </c>
      <c r="N563" s="151">
        <f>N562+'Basic Data'!$AF$13</f>
        <v>9918.5900000000802</v>
      </c>
      <c r="O563" s="151">
        <f>O562+'Basic Data'!$AG$13</f>
        <v>3955.0799999999599</v>
      </c>
      <c r="P563" s="151">
        <f>P562+'Basic Data'!$AH$13</f>
        <v>10818.6700000001</v>
      </c>
    </row>
    <row r="564" spans="2:16">
      <c r="B564" s="156">
        <v>562</v>
      </c>
      <c r="C564" s="176">
        <v>562</v>
      </c>
      <c r="D564" s="177">
        <f t="shared" si="55"/>
        <v>6735.9800000000514</v>
      </c>
      <c r="E564" s="177">
        <f t="shared" si="56"/>
        <v>6737.300000000052</v>
      </c>
      <c r="F564" s="177">
        <f t="shared" si="57"/>
        <v>4191.6599999999817</v>
      </c>
      <c r="G564" s="177">
        <f t="shared" si="58"/>
        <v>9885.5900000000802</v>
      </c>
      <c r="H564" s="177">
        <f t="shared" si="59"/>
        <v>3941.1699999999596</v>
      </c>
      <c r="I564" s="177">
        <f t="shared" si="60"/>
        <v>10780.5600000001</v>
      </c>
      <c r="K564" s="151">
        <f>K563+'Basic Data'!$AC$13</f>
        <v>6771.5400000000518</v>
      </c>
      <c r="L564" s="151">
        <f>L563+'Basic Data'!$AD$13</f>
        <v>6771.5400000000518</v>
      </c>
      <c r="M564" s="151">
        <f>M563+'Basic Data'!$AE$13</f>
        <v>4213.049999999982</v>
      </c>
      <c r="N564" s="151">
        <f>N563+'Basic Data'!$AF$13</f>
        <v>9936.0200000000805</v>
      </c>
      <c r="O564" s="151">
        <f>O563+'Basic Data'!$AG$13</f>
        <v>3962.0299999999597</v>
      </c>
      <c r="P564" s="151">
        <f>P563+'Basic Data'!$AH$13</f>
        <v>10837.6800000001</v>
      </c>
    </row>
    <row r="565" spans="2:16">
      <c r="B565" s="156">
        <v>563</v>
      </c>
      <c r="C565" s="176">
        <v>563</v>
      </c>
      <c r="D565" s="177">
        <f t="shared" si="55"/>
        <v>6747.8600000000515</v>
      </c>
      <c r="E565" s="177">
        <f t="shared" si="56"/>
        <v>6749.1800000000521</v>
      </c>
      <c r="F565" s="177">
        <f t="shared" si="57"/>
        <v>4199.049999999982</v>
      </c>
      <c r="G565" s="177">
        <f t="shared" si="58"/>
        <v>9903.0200000000805</v>
      </c>
      <c r="H565" s="177">
        <f t="shared" si="59"/>
        <v>3948.1199999999594</v>
      </c>
      <c r="I565" s="177">
        <f t="shared" si="60"/>
        <v>10799.5700000001</v>
      </c>
      <c r="K565" s="151">
        <f>K564+'Basic Data'!$AC$13</f>
        <v>6783.4200000000519</v>
      </c>
      <c r="L565" s="151">
        <f>L564+'Basic Data'!$AD$13</f>
        <v>6783.4200000000519</v>
      </c>
      <c r="M565" s="151">
        <f>M564+'Basic Data'!$AE$13</f>
        <v>4220.4399999999823</v>
      </c>
      <c r="N565" s="151">
        <f>N564+'Basic Data'!$AF$13</f>
        <v>9953.4500000000808</v>
      </c>
      <c r="O565" s="151">
        <f>O564+'Basic Data'!$AG$13</f>
        <v>3968.9799999999595</v>
      </c>
      <c r="P565" s="151">
        <f>P564+'Basic Data'!$AH$13</f>
        <v>10856.690000000101</v>
      </c>
    </row>
    <row r="566" spans="2:16">
      <c r="B566" s="156">
        <v>564</v>
      </c>
      <c r="C566" s="176">
        <v>564</v>
      </c>
      <c r="D566" s="177">
        <f t="shared" si="55"/>
        <v>6759.7400000000516</v>
      </c>
      <c r="E566" s="177">
        <f t="shared" si="56"/>
        <v>6761.0600000000522</v>
      </c>
      <c r="F566" s="177">
        <f t="shared" si="57"/>
        <v>4206.4399999999823</v>
      </c>
      <c r="G566" s="177">
        <f t="shared" si="58"/>
        <v>9920.4500000000808</v>
      </c>
      <c r="H566" s="177">
        <f t="shared" si="59"/>
        <v>3955.0699999999592</v>
      </c>
      <c r="I566" s="177">
        <f t="shared" si="60"/>
        <v>10818.5800000001</v>
      </c>
      <c r="K566" s="151">
        <f>K565+'Basic Data'!$AC$13</f>
        <v>6795.300000000052</v>
      </c>
      <c r="L566" s="151">
        <f>L565+'Basic Data'!$AD$13</f>
        <v>6795.300000000052</v>
      </c>
      <c r="M566" s="151">
        <f>M565+'Basic Data'!$AE$13</f>
        <v>4227.8299999999826</v>
      </c>
      <c r="N566" s="151">
        <f>N565+'Basic Data'!$AF$13</f>
        <v>9970.8800000000811</v>
      </c>
      <c r="O566" s="151">
        <f>O565+'Basic Data'!$AG$13</f>
        <v>3975.9299999999594</v>
      </c>
      <c r="P566" s="151">
        <f>P565+'Basic Data'!$AH$13</f>
        <v>10875.700000000101</v>
      </c>
    </row>
    <row r="567" spans="2:16">
      <c r="B567" s="156">
        <v>565</v>
      </c>
      <c r="C567" s="176">
        <v>565</v>
      </c>
      <c r="D567" s="177">
        <f t="shared" ref="D567:D630" si="61">K567-$K$3</f>
        <v>6771.6200000000517</v>
      </c>
      <c r="E567" s="177">
        <f t="shared" ref="E567:E630" si="62">L567-$L$3</f>
        <v>6772.9400000000524</v>
      </c>
      <c r="F567" s="177">
        <f t="shared" ref="F567:F630" si="63">M567-$M$3</f>
        <v>4213.8299999999826</v>
      </c>
      <c r="G567" s="177">
        <f t="shared" ref="G567:G630" si="64">N567-$N$3</f>
        <v>9937.8800000000811</v>
      </c>
      <c r="H567" s="177">
        <f t="shared" ref="H567:H630" si="65">O567-$O$3</f>
        <v>3962.0199999999591</v>
      </c>
      <c r="I567" s="177">
        <f t="shared" ref="I567:I630" si="66">P567-$P$3</f>
        <v>10837.5900000001</v>
      </c>
      <c r="K567" s="151">
        <f>K566+'Basic Data'!$AC$13</f>
        <v>6807.1800000000521</v>
      </c>
      <c r="L567" s="151">
        <f>L566+'Basic Data'!$AD$13</f>
        <v>6807.1800000000521</v>
      </c>
      <c r="M567" s="151">
        <f>M566+'Basic Data'!$AE$13</f>
        <v>4235.219999999983</v>
      </c>
      <c r="N567" s="151">
        <f>N566+'Basic Data'!$AF$13</f>
        <v>9988.3100000000813</v>
      </c>
      <c r="O567" s="151">
        <f>O566+'Basic Data'!$AG$13</f>
        <v>3982.8799999999592</v>
      </c>
      <c r="P567" s="151">
        <f>P566+'Basic Data'!$AH$13</f>
        <v>10894.710000000101</v>
      </c>
    </row>
    <row r="568" spans="2:16">
      <c r="B568" s="156">
        <v>566</v>
      </c>
      <c r="C568" s="176">
        <v>566</v>
      </c>
      <c r="D568" s="177">
        <f t="shared" si="61"/>
        <v>6783.5000000000518</v>
      </c>
      <c r="E568" s="177">
        <f t="shared" si="62"/>
        <v>6784.8200000000525</v>
      </c>
      <c r="F568" s="177">
        <f t="shared" si="63"/>
        <v>4221.219999999983</v>
      </c>
      <c r="G568" s="177">
        <f t="shared" si="64"/>
        <v>9955.3100000000813</v>
      </c>
      <c r="H568" s="177">
        <f t="shared" si="65"/>
        <v>3968.9699999999589</v>
      </c>
      <c r="I568" s="177">
        <f t="shared" si="66"/>
        <v>10856.6000000001</v>
      </c>
      <c r="K568" s="151">
        <f>K567+'Basic Data'!$AC$13</f>
        <v>6819.0600000000522</v>
      </c>
      <c r="L568" s="151">
        <f>L567+'Basic Data'!$AD$13</f>
        <v>6819.0600000000522</v>
      </c>
      <c r="M568" s="151">
        <f>M567+'Basic Data'!$AE$13</f>
        <v>4242.6099999999833</v>
      </c>
      <c r="N568" s="151">
        <f>N567+'Basic Data'!$AF$13</f>
        <v>10005.740000000082</v>
      </c>
      <c r="O568" s="151">
        <f>O567+'Basic Data'!$AG$13</f>
        <v>3989.829999999959</v>
      </c>
      <c r="P568" s="151">
        <f>P567+'Basic Data'!$AH$13</f>
        <v>10913.720000000101</v>
      </c>
    </row>
    <row r="569" spans="2:16">
      <c r="B569" s="156">
        <v>567</v>
      </c>
      <c r="C569" s="176">
        <v>567</v>
      </c>
      <c r="D569" s="177">
        <f t="shared" si="61"/>
        <v>6795.380000000052</v>
      </c>
      <c r="E569" s="177">
        <f t="shared" si="62"/>
        <v>6796.7000000000526</v>
      </c>
      <c r="F569" s="177">
        <f t="shared" si="63"/>
        <v>4228.6099999999833</v>
      </c>
      <c r="G569" s="177">
        <f t="shared" si="64"/>
        <v>9972.7400000000816</v>
      </c>
      <c r="H569" s="177">
        <f t="shared" si="65"/>
        <v>3975.9199999999587</v>
      </c>
      <c r="I569" s="177">
        <f t="shared" si="66"/>
        <v>10875.610000000101</v>
      </c>
      <c r="K569" s="151">
        <f>K568+'Basic Data'!$AC$13</f>
        <v>6830.9400000000524</v>
      </c>
      <c r="L569" s="151">
        <f>L568+'Basic Data'!$AD$13</f>
        <v>6830.9400000000524</v>
      </c>
      <c r="M569" s="151">
        <f>M568+'Basic Data'!$AE$13</f>
        <v>4249.9999999999836</v>
      </c>
      <c r="N569" s="151">
        <f>N568+'Basic Data'!$AF$13</f>
        <v>10023.170000000082</v>
      </c>
      <c r="O569" s="151">
        <f>O568+'Basic Data'!$AG$13</f>
        <v>3996.7799999999588</v>
      </c>
      <c r="P569" s="151">
        <f>P568+'Basic Data'!$AH$13</f>
        <v>10932.730000000101</v>
      </c>
    </row>
    <row r="570" spans="2:16">
      <c r="B570" s="156">
        <v>568</v>
      </c>
      <c r="C570" s="176">
        <v>568</v>
      </c>
      <c r="D570" s="177">
        <f t="shared" si="61"/>
        <v>6807.2600000000521</v>
      </c>
      <c r="E570" s="177">
        <f t="shared" si="62"/>
        <v>6808.5800000000527</v>
      </c>
      <c r="F570" s="177">
        <f t="shared" si="63"/>
        <v>4235.9999999999836</v>
      </c>
      <c r="G570" s="177">
        <f t="shared" si="64"/>
        <v>9990.1700000000819</v>
      </c>
      <c r="H570" s="177">
        <f t="shared" si="65"/>
        <v>3982.8699999999585</v>
      </c>
      <c r="I570" s="177">
        <f t="shared" si="66"/>
        <v>10894.620000000101</v>
      </c>
      <c r="K570" s="151">
        <f>K569+'Basic Data'!$AC$13</f>
        <v>6842.8200000000525</v>
      </c>
      <c r="L570" s="151">
        <f>L569+'Basic Data'!$AD$13</f>
        <v>6842.8200000000525</v>
      </c>
      <c r="M570" s="151">
        <f>M569+'Basic Data'!$AE$13</f>
        <v>4257.389999999984</v>
      </c>
      <c r="N570" s="151">
        <f>N569+'Basic Data'!$AF$13</f>
        <v>10040.600000000082</v>
      </c>
      <c r="O570" s="151">
        <f>O569+'Basic Data'!$AG$13</f>
        <v>4003.7299999999586</v>
      </c>
      <c r="P570" s="151">
        <f>P569+'Basic Data'!$AH$13</f>
        <v>10951.740000000102</v>
      </c>
    </row>
    <row r="571" spans="2:16">
      <c r="B571" s="156">
        <v>569</v>
      </c>
      <c r="C571" s="176">
        <v>569</v>
      </c>
      <c r="D571" s="177">
        <f t="shared" si="61"/>
        <v>6819.1400000000522</v>
      </c>
      <c r="E571" s="177">
        <f t="shared" si="62"/>
        <v>6820.4600000000528</v>
      </c>
      <c r="F571" s="177">
        <f t="shared" si="63"/>
        <v>4243.389999999984</v>
      </c>
      <c r="G571" s="177">
        <f t="shared" si="64"/>
        <v>10007.600000000082</v>
      </c>
      <c r="H571" s="177">
        <f t="shared" si="65"/>
        <v>3989.8199999999583</v>
      </c>
      <c r="I571" s="177">
        <f t="shared" si="66"/>
        <v>10913.630000000101</v>
      </c>
      <c r="K571" s="151">
        <f>K570+'Basic Data'!$AC$13</f>
        <v>6854.7000000000526</v>
      </c>
      <c r="L571" s="151">
        <f>L570+'Basic Data'!$AD$13</f>
        <v>6854.7000000000526</v>
      </c>
      <c r="M571" s="151">
        <f>M570+'Basic Data'!$AE$13</f>
        <v>4264.7799999999843</v>
      </c>
      <c r="N571" s="151">
        <f>N570+'Basic Data'!$AF$13</f>
        <v>10058.030000000083</v>
      </c>
      <c r="O571" s="151">
        <f>O570+'Basic Data'!$AG$13</f>
        <v>4010.6799999999585</v>
      </c>
      <c r="P571" s="151">
        <f>P570+'Basic Data'!$AH$13</f>
        <v>10970.750000000102</v>
      </c>
    </row>
    <row r="572" spans="2:16">
      <c r="B572" s="156">
        <v>570</v>
      </c>
      <c r="C572" s="176">
        <v>570</v>
      </c>
      <c r="D572" s="177">
        <f t="shared" si="61"/>
        <v>6831.0200000000523</v>
      </c>
      <c r="E572" s="177">
        <f t="shared" si="62"/>
        <v>6832.3400000000529</v>
      </c>
      <c r="F572" s="177">
        <f t="shared" si="63"/>
        <v>4250.7799999999843</v>
      </c>
      <c r="G572" s="177">
        <f t="shared" si="64"/>
        <v>10025.030000000083</v>
      </c>
      <c r="H572" s="177">
        <f t="shared" si="65"/>
        <v>3996.7699999999581</v>
      </c>
      <c r="I572" s="177">
        <f t="shared" si="66"/>
        <v>10932.640000000101</v>
      </c>
      <c r="K572" s="151">
        <f>K571+'Basic Data'!$AC$13</f>
        <v>6866.5800000000527</v>
      </c>
      <c r="L572" s="151">
        <f>L571+'Basic Data'!$AD$13</f>
        <v>6866.5800000000527</v>
      </c>
      <c r="M572" s="151">
        <f>M571+'Basic Data'!$AE$13</f>
        <v>4272.1699999999846</v>
      </c>
      <c r="N572" s="151">
        <f>N571+'Basic Data'!$AF$13</f>
        <v>10075.460000000083</v>
      </c>
      <c r="O572" s="151">
        <f>O571+'Basic Data'!$AG$13</f>
        <v>4017.6299999999583</v>
      </c>
      <c r="P572" s="151">
        <f>P571+'Basic Data'!$AH$13</f>
        <v>10989.760000000102</v>
      </c>
    </row>
    <row r="573" spans="2:16">
      <c r="B573" s="156">
        <v>571</v>
      </c>
      <c r="C573" s="176">
        <v>571</v>
      </c>
      <c r="D573" s="177">
        <f t="shared" si="61"/>
        <v>6842.9000000000524</v>
      </c>
      <c r="E573" s="177">
        <f t="shared" si="62"/>
        <v>6844.220000000053</v>
      </c>
      <c r="F573" s="177">
        <f t="shared" si="63"/>
        <v>4258.1699999999846</v>
      </c>
      <c r="G573" s="177">
        <f t="shared" si="64"/>
        <v>10042.460000000083</v>
      </c>
      <c r="H573" s="177">
        <f t="shared" si="65"/>
        <v>4003.719999999958</v>
      </c>
      <c r="I573" s="177">
        <f t="shared" si="66"/>
        <v>10951.650000000101</v>
      </c>
      <c r="K573" s="151">
        <f>K572+'Basic Data'!$AC$13</f>
        <v>6878.4600000000528</v>
      </c>
      <c r="L573" s="151">
        <f>L572+'Basic Data'!$AD$13</f>
        <v>6878.4600000000528</v>
      </c>
      <c r="M573" s="151">
        <f>M572+'Basic Data'!$AE$13</f>
        <v>4279.5599999999849</v>
      </c>
      <c r="N573" s="151">
        <f>N572+'Basic Data'!$AF$13</f>
        <v>10092.890000000083</v>
      </c>
      <c r="O573" s="151">
        <f>O572+'Basic Data'!$AG$13</f>
        <v>4024.5799999999581</v>
      </c>
      <c r="P573" s="151">
        <f>P572+'Basic Data'!$AH$13</f>
        <v>11008.770000000102</v>
      </c>
    </row>
    <row r="574" spans="2:16">
      <c r="B574" s="156">
        <v>572</v>
      </c>
      <c r="C574" s="176">
        <v>572</v>
      </c>
      <c r="D574" s="177">
        <f t="shared" si="61"/>
        <v>6854.7800000000525</v>
      </c>
      <c r="E574" s="177">
        <f t="shared" si="62"/>
        <v>6856.1000000000531</v>
      </c>
      <c r="F574" s="177">
        <f t="shared" si="63"/>
        <v>4265.5599999999849</v>
      </c>
      <c r="G574" s="177">
        <f t="shared" si="64"/>
        <v>10059.890000000083</v>
      </c>
      <c r="H574" s="177">
        <f t="shared" si="65"/>
        <v>4010.6699999999578</v>
      </c>
      <c r="I574" s="177">
        <f t="shared" si="66"/>
        <v>10970.660000000102</v>
      </c>
      <c r="K574" s="151">
        <f>K573+'Basic Data'!$AC$13</f>
        <v>6890.3400000000529</v>
      </c>
      <c r="L574" s="151">
        <f>L573+'Basic Data'!$AD$13</f>
        <v>6890.3400000000529</v>
      </c>
      <c r="M574" s="151">
        <f>M573+'Basic Data'!$AE$13</f>
        <v>4286.9499999999853</v>
      </c>
      <c r="N574" s="151">
        <f>N573+'Basic Data'!$AF$13</f>
        <v>10110.320000000083</v>
      </c>
      <c r="O574" s="151">
        <f>O573+'Basic Data'!$AG$13</f>
        <v>4031.5299999999579</v>
      </c>
      <c r="P574" s="151">
        <f>P573+'Basic Data'!$AH$13</f>
        <v>11027.780000000103</v>
      </c>
    </row>
    <row r="575" spans="2:16">
      <c r="B575" s="156">
        <v>573</v>
      </c>
      <c r="C575" s="176">
        <v>573</v>
      </c>
      <c r="D575" s="177">
        <f t="shared" si="61"/>
        <v>6866.6600000000526</v>
      </c>
      <c r="E575" s="177">
        <f t="shared" si="62"/>
        <v>6867.9800000000532</v>
      </c>
      <c r="F575" s="177">
        <f t="shared" si="63"/>
        <v>4272.9499999999853</v>
      </c>
      <c r="G575" s="177">
        <f t="shared" si="64"/>
        <v>10077.320000000083</v>
      </c>
      <c r="H575" s="177">
        <f t="shared" si="65"/>
        <v>4017.6199999999576</v>
      </c>
      <c r="I575" s="177">
        <f t="shared" si="66"/>
        <v>10989.670000000102</v>
      </c>
      <c r="K575" s="151">
        <f>K574+'Basic Data'!$AC$13</f>
        <v>6902.220000000053</v>
      </c>
      <c r="L575" s="151">
        <f>L574+'Basic Data'!$AD$13</f>
        <v>6902.220000000053</v>
      </c>
      <c r="M575" s="151">
        <f>M574+'Basic Data'!$AE$13</f>
        <v>4294.3399999999856</v>
      </c>
      <c r="N575" s="151">
        <f>N574+'Basic Data'!$AF$13</f>
        <v>10127.750000000084</v>
      </c>
      <c r="O575" s="151">
        <f>O574+'Basic Data'!$AG$13</f>
        <v>4038.4799999999577</v>
      </c>
      <c r="P575" s="151">
        <f>P574+'Basic Data'!$AH$13</f>
        <v>11046.790000000103</v>
      </c>
    </row>
    <row r="576" spans="2:16">
      <c r="B576" s="156">
        <v>574</v>
      </c>
      <c r="C576" s="176">
        <v>574</v>
      </c>
      <c r="D576" s="177">
        <f t="shared" si="61"/>
        <v>6878.5400000000527</v>
      </c>
      <c r="E576" s="177">
        <f t="shared" si="62"/>
        <v>6879.8600000000533</v>
      </c>
      <c r="F576" s="177">
        <f t="shared" si="63"/>
        <v>4280.3399999999856</v>
      </c>
      <c r="G576" s="177">
        <f t="shared" si="64"/>
        <v>10094.750000000084</v>
      </c>
      <c r="H576" s="177">
        <f t="shared" si="65"/>
        <v>4024.5699999999574</v>
      </c>
      <c r="I576" s="177">
        <f t="shared" si="66"/>
        <v>11008.680000000102</v>
      </c>
      <c r="K576" s="151">
        <f>K575+'Basic Data'!$AC$13</f>
        <v>6914.1000000000531</v>
      </c>
      <c r="L576" s="151">
        <f>L575+'Basic Data'!$AD$13</f>
        <v>6914.1000000000531</v>
      </c>
      <c r="M576" s="151">
        <f>M575+'Basic Data'!$AE$13</f>
        <v>4301.7299999999859</v>
      </c>
      <c r="N576" s="151">
        <f>N575+'Basic Data'!$AF$13</f>
        <v>10145.180000000084</v>
      </c>
      <c r="O576" s="151">
        <f>O575+'Basic Data'!$AG$13</f>
        <v>4045.4299999999575</v>
      </c>
      <c r="P576" s="151">
        <f>P575+'Basic Data'!$AH$13</f>
        <v>11065.800000000103</v>
      </c>
    </row>
    <row r="577" spans="2:16">
      <c r="B577" s="156">
        <v>575</v>
      </c>
      <c r="C577" s="176">
        <v>575</v>
      </c>
      <c r="D577" s="177">
        <f t="shared" si="61"/>
        <v>6890.4200000000528</v>
      </c>
      <c r="E577" s="177">
        <f t="shared" si="62"/>
        <v>6891.7400000000534</v>
      </c>
      <c r="F577" s="177">
        <f t="shared" si="63"/>
        <v>4287.7299999999859</v>
      </c>
      <c r="G577" s="177">
        <f t="shared" si="64"/>
        <v>10112.180000000084</v>
      </c>
      <c r="H577" s="177">
        <f t="shared" si="65"/>
        <v>4031.5199999999572</v>
      </c>
      <c r="I577" s="177">
        <f t="shared" si="66"/>
        <v>11027.690000000102</v>
      </c>
      <c r="K577" s="151">
        <f>K576+'Basic Data'!$AC$13</f>
        <v>6925.9800000000532</v>
      </c>
      <c r="L577" s="151">
        <f>L576+'Basic Data'!$AD$13</f>
        <v>6925.9800000000532</v>
      </c>
      <c r="M577" s="151">
        <f>M576+'Basic Data'!$AE$13</f>
        <v>4309.1199999999862</v>
      </c>
      <c r="N577" s="151">
        <f>N576+'Basic Data'!$AF$13</f>
        <v>10162.610000000084</v>
      </c>
      <c r="O577" s="151">
        <f>O576+'Basic Data'!$AG$13</f>
        <v>4052.3799999999574</v>
      </c>
      <c r="P577" s="151">
        <f>P576+'Basic Data'!$AH$13</f>
        <v>11084.810000000103</v>
      </c>
    </row>
    <row r="578" spans="2:16">
      <c r="B578" s="156">
        <v>576</v>
      </c>
      <c r="C578" s="176">
        <v>576</v>
      </c>
      <c r="D578" s="177">
        <f t="shared" si="61"/>
        <v>6902.3000000000529</v>
      </c>
      <c r="E578" s="177">
        <f t="shared" si="62"/>
        <v>6903.6200000000536</v>
      </c>
      <c r="F578" s="177">
        <f t="shared" si="63"/>
        <v>4295.1199999999862</v>
      </c>
      <c r="G578" s="177">
        <f t="shared" si="64"/>
        <v>10129.610000000084</v>
      </c>
      <c r="H578" s="177">
        <f t="shared" si="65"/>
        <v>4038.4699999999571</v>
      </c>
      <c r="I578" s="177">
        <f t="shared" si="66"/>
        <v>11046.700000000103</v>
      </c>
      <c r="K578" s="151">
        <f>K577+'Basic Data'!$AC$13</f>
        <v>6937.8600000000533</v>
      </c>
      <c r="L578" s="151">
        <f>L577+'Basic Data'!$AD$13</f>
        <v>6937.8600000000533</v>
      </c>
      <c r="M578" s="151">
        <f>M577+'Basic Data'!$AE$13</f>
        <v>4316.5099999999866</v>
      </c>
      <c r="N578" s="151">
        <f>N577+'Basic Data'!$AF$13</f>
        <v>10180.040000000085</v>
      </c>
      <c r="O578" s="151">
        <f>O577+'Basic Data'!$AG$13</f>
        <v>4059.3299999999572</v>
      </c>
      <c r="P578" s="151">
        <f>P577+'Basic Data'!$AH$13</f>
        <v>11103.820000000103</v>
      </c>
    </row>
    <row r="579" spans="2:16">
      <c r="B579" s="156">
        <v>577</v>
      </c>
      <c r="C579" s="176">
        <v>577</v>
      </c>
      <c r="D579" s="177">
        <f t="shared" si="61"/>
        <v>6914.180000000053</v>
      </c>
      <c r="E579" s="177">
        <f t="shared" si="62"/>
        <v>6915.5000000000537</v>
      </c>
      <c r="F579" s="177">
        <f t="shared" si="63"/>
        <v>4302.5099999999866</v>
      </c>
      <c r="G579" s="177">
        <f t="shared" si="64"/>
        <v>10147.040000000085</v>
      </c>
      <c r="H579" s="177">
        <f t="shared" si="65"/>
        <v>4045.4199999999569</v>
      </c>
      <c r="I579" s="177">
        <f t="shared" si="66"/>
        <v>11065.710000000103</v>
      </c>
      <c r="K579" s="151">
        <f>K578+'Basic Data'!$AC$13</f>
        <v>6949.7400000000534</v>
      </c>
      <c r="L579" s="151">
        <f>L578+'Basic Data'!$AD$13</f>
        <v>6949.7400000000534</v>
      </c>
      <c r="M579" s="151">
        <f>M578+'Basic Data'!$AE$13</f>
        <v>4323.8999999999869</v>
      </c>
      <c r="N579" s="151">
        <f>N578+'Basic Data'!$AF$13</f>
        <v>10197.470000000085</v>
      </c>
      <c r="O579" s="151">
        <f>O578+'Basic Data'!$AG$13</f>
        <v>4066.279999999957</v>
      </c>
      <c r="P579" s="151">
        <f>P578+'Basic Data'!$AH$13</f>
        <v>11122.830000000104</v>
      </c>
    </row>
    <row r="580" spans="2:16">
      <c r="B580" s="156">
        <v>578</v>
      </c>
      <c r="C580" s="176">
        <v>578</v>
      </c>
      <c r="D580" s="177">
        <f t="shared" si="61"/>
        <v>6926.0600000000532</v>
      </c>
      <c r="E580" s="177">
        <f t="shared" si="62"/>
        <v>6927.3800000000538</v>
      </c>
      <c r="F580" s="177">
        <f t="shared" si="63"/>
        <v>4309.8999999999869</v>
      </c>
      <c r="G580" s="177">
        <f t="shared" si="64"/>
        <v>10164.470000000085</v>
      </c>
      <c r="H580" s="177">
        <f t="shared" si="65"/>
        <v>4052.3699999999567</v>
      </c>
      <c r="I580" s="177">
        <f t="shared" si="66"/>
        <v>11084.720000000103</v>
      </c>
      <c r="K580" s="151">
        <f>K579+'Basic Data'!$AC$13</f>
        <v>6961.6200000000536</v>
      </c>
      <c r="L580" s="151">
        <f>L579+'Basic Data'!$AD$13</f>
        <v>6961.6200000000536</v>
      </c>
      <c r="M580" s="151">
        <f>M579+'Basic Data'!$AE$13</f>
        <v>4331.2899999999872</v>
      </c>
      <c r="N580" s="151">
        <f>N579+'Basic Data'!$AF$13</f>
        <v>10214.900000000085</v>
      </c>
      <c r="O580" s="151">
        <f>O579+'Basic Data'!$AG$13</f>
        <v>4073.2299999999568</v>
      </c>
      <c r="P580" s="151">
        <f>P579+'Basic Data'!$AH$13</f>
        <v>11141.840000000104</v>
      </c>
    </row>
    <row r="581" spans="2:16">
      <c r="B581" s="156">
        <v>579</v>
      </c>
      <c r="C581" s="176">
        <v>579</v>
      </c>
      <c r="D581" s="177">
        <f t="shared" si="61"/>
        <v>6937.9400000000533</v>
      </c>
      <c r="E581" s="177">
        <f t="shared" si="62"/>
        <v>6939.2600000000539</v>
      </c>
      <c r="F581" s="177">
        <f t="shared" si="63"/>
        <v>4317.2899999999872</v>
      </c>
      <c r="G581" s="177">
        <f t="shared" si="64"/>
        <v>10181.900000000085</v>
      </c>
      <c r="H581" s="177">
        <f t="shared" si="65"/>
        <v>4059.3199999999565</v>
      </c>
      <c r="I581" s="177">
        <f t="shared" si="66"/>
        <v>11103.730000000103</v>
      </c>
      <c r="K581" s="151">
        <f>K580+'Basic Data'!$AC$13</f>
        <v>6973.5000000000537</v>
      </c>
      <c r="L581" s="151">
        <f>L580+'Basic Data'!$AD$13</f>
        <v>6973.5000000000537</v>
      </c>
      <c r="M581" s="151">
        <f>M580+'Basic Data'!$AE$13</f>
        <v>4338.6799999999876</v>
      </c>
      <c r="N581" s="151">
        <f>N580+'Basic Data'!$AF$13</f>
        <v>10232.330000000085</v>
      </c>
      <c r="O581" s="151">
        <f>O580+'Basic Data'!$AG$13</f>
        <v>4080.1799999999566</v>
      </c>
      <c r="P581" s="151">
        <f>P580+'Basic Data'!$AH$13</f>
        <v>11160.850000000104</v>
      </c>
    </row>
    <row r="582" spans="2:16">
      <c r="B582" s="156">
        <v>580</v>
      </c>
      <c r="C582" s="176">
        <v>580</v>
      </c>
      <c r="D582" s="177">
        <f t="shared" si="61"/>
        <v>6949.8200000000534</v>
      </c>
      <c r="E582" s="177">
        <f t="shared" si="62"/>
        <v>6951.140000000054</v>
      </c>
      <c r="F582" s="177">
        <f t="shared" si="63"/>
        <v>4324.6799999999876</v>
      </c>
      <c r="G582" s="177">
        <f t="shared" si="64"/>
        <v>10199.330000000085</v>
      </c>
      <c r="H582" s="177">
        <f t="shared" si="65"/>
        <v>4066.2699999999563</v>
      </c>
      <c r="I582" s="177">
        <f t="shared" si="66"/>
        <v>11122.740000000103</v>
      </c>
      <c r="K582" s="151">
        <f>K581+'Basic Data'!$AC$13</f>
        <v>6985.3800000000538</v>
      </c>
      <c r="L582" s="151">
        <f>L581+'Basic Data'!$AD$13</f>
        <v>6985.3800000000538</v>
      </c>
      <c r="M582" s="151">
        <f>M581+'Basic Data'!$AE$13</f>
        <v>4346.0699999999879</v>
      </c>
      <c r="N582" s="151">
        <f>N581+'Basic Data'!$AF$13</f>
        <v>10249.760000000086</v>
      </c>
      <c r="O582" s="151">
        <f>O581+'Basic Data'!$AG$13</f>
        <v>4087.1299999999565</v>
      </c>
      <c r="P582" s="151">
        <f>P581+'Basic Data'!$AH$13</f>
        <v>11179.860000000104</v>
      </c>
    </row>
    <row r="583" spans="2:16">
      <c r="B583" s="156">
        <v>581</v>
      </c>
      <c r="C583" s="176">
        <v>581</v>
      </c>
      <c r="D583" s="177">
        <f t="shared" si="61"/>
        <v>6961.7000000000535</v>
      </c>
      <c r="E583" s="177">
        <f t="shared" si="62"/>
        <v>6963.0200000000541</v>
      </c>
      <c r="F583" s="177">
        <f t="shared" si="63"/>
        <v>4332.0699999999879</v>
      </c>
      <c r="G583" s="177">
        <f t="shared" si="64"/>
        <v>10216.760000000086</v>
      </c>
      <c r="H583" s="177">
        <f t="shared" si="65"/>
        <v>4073.2199999999561</v>
      </c>
      <c r="I583" s="177">
        <f t="shared" si="66"/>
        <v>11141.750000000104</v>
      </c>
      <c r="K583" s="151">
        <f>K582+'Basic Data'!$AC$13</f>
        <v>6997.2600000000539</v>
      </c>
      <c r="L583" s="151">
        <f>L582+'Basic Data'!$AD$13</f>
        <v>6997.2600000000539</v>
      </c>
      <c r="M583" s="151">
        <f>M582+'Basic Data'!$AE$13</f>
        <v>4353.4599999999882</v>
      </c>
      <c r="N583" s="151">
        <f>N582+'Basic Data'!$AF$13</f>
        <v>10267.190000000086</v>
      </c>
      <c r="O583" s="151">
        <f>O582+'Basic Data'!$AG$13</f>
        <v>4094.0799999999563</v>
      </c>
      <c r="P583" s="151">
        <f>P582+'Basic Data'!$AH$13</f>
        <v>11198.870000000104</v>
      </c>
    </row>
    <row r="584" spans="2:16">
      <c r="B584" s="156">
        <v>582</v>
      </c>
      <c r="C584" s="176">
        <v>582</v>
      </c>
      <c r="D584" s="177">
        <f t="shared" si="61"/>
        <v>6973.5800000000536</v>
      </c>
      <c r="E584" s="177">
        <f t="shared" si="62"/>
        <v>6974.9000000000542</v>
      </c>
      <c r="F584" s="177">
        <f t="shared" si="63"/>
        <v>4339.4599999999882</v>
      </c>
      <c r="G584" s="177">
        <f t="shared" si="64"/>
        <v>10234.190000000086</v>
      </c>
      <c r="H584" s="177">
        <f t="shared" si="65"/>
        <v>4080.169999999956</v>
      </c>
      <c r="I584" s="177">
        <f t="shared" si="66"/>
        <v>11160.760000000104</v>
      </c>
      <c r="K584" s="151">
        <f>K583+'Basic Data'!$AC$13</f>
        <v>7009.140000000054</v>
      </c>
      <c r="L584" s="151">
        <f>L583+'Basic Data'!$AD$13</f>
        <v>7009.140000000054</v>
      </c>
      <c r="M584" s="151">
        <f>M583+'Basic Data'!$AE$13</f>
        <v>4360.8499999999885</v>
      </c>
      <c r="N584" s="151">
        <f>N583+'Basic Data'!$AF$13</f>
        <v>10284.620000000086</v>
      </c>
      <c r="O584" s="151">
        <f>O583+'Basic Data'!$AG$13</f>
        <v>4101.0299999999561</v>
      </c>
      <c r="P584" s="151">
        <f>P583+'Basic Data'!$AH$13</f>
        <v>11217.880000000105</v>
      </c>
    </row>
    <row r="585" spans="2:16">
      <c r="B585" s="156">
        <v>583</v>
      </c>
      <c r="C585" s="176">
        <v>583</v>
      </c>
      <c r="D585" s="177">
        <f t="shared" si="61"/>
        <v>6985.4600000000537</v>
      </c>
      <c r="E585" s="177">
        <f t="shared" si="62"/>
        <v>6986.7800000000543</v>
      </c>
      <c r="F585" s="177">
        <f t="shared" si="63"/>
        <v>4346.8499999999885</v>
      </c>
      <c r="G585" s="177">
        <f t="shared" si="64"/>
        <v>10251.620000000086</v>
      </c>
      <c r="H585" s="177">
        <f t="shared" si="65"/>
        <v>4087.1199999999558</v>
      </c>
      <c r="I585" s="177">
        <f t="shared" si="66"/>
        <v>11179.770000000104</v>
      </c>
      <c r="K585" s="151">
        <f>K584+'Basic Data'!$AC$13</f>
        <v>7021.0200000000541</v>
      </c>
      <c r="L585" s="151">
        <f>L584+'Basic Data'!$AD$13</f>
        <v>7021.0200000000541</v>
      </c>
      <c r="M585" s="151">
        <f>M584+'Basic Data'!$AE$13</f>
        <v>4368.2399999999889</v>
      </c>
      <c r="N585" s="151">
        <f>N584+'Basic Data'!$AF$13</f>
        <v>10302.050000000087</v>
      </c>
      <c r="O585" s="151">
        <f>O584+'Basic Data'!$AG$13</f>
        <v>4107.9799999999559</v>
      </c>
      <c r="P585" s="151">
        <f>P584+'Basic Data'!$AH$13</f>
        <v>11236.890000000105</v>
      </c>
    </row>
    <row r="586" spans="2:16">
      <c r="B586" s="156">
        <v>584</v>
      </c>
      <c r="C586" s="176">
        <v>584</v>
      </c>
      <c r="D586" s="177">
        <f t="shared" si="61"/>
        <v>6997.3400000000538</v>
      </c>
      <c r="E586" s="177">
        <f t="shared" si="62"/>
        <v>6998.6600000000544</v>
      </c>
      <c r="F586" s="177">
        <f t="shared" si="63"/>
        <v>4354.2399999999889</v>
      </c>
      <c r="G586" s="177">
        <f t="shared" si="64"/>
        <v>10269.050000000087</v>
      </c>
      <c r="H586" s="177">
        <f t="shared" si="65"/>
        <v>4094.0699999999556</v>
      </c>
      <c r="I586" s="177">
        <f t="shared" si="66"/>
        <v>11198.780000000104</v>
      </c>
      <c r="K586" s="151">
        <f>K585+'Basic Data'!$AC$13</f>
        <v>7032.9000000000542</v>
      </c>
      <c r="L586" s="151">
        <f>L585+'Basic Data'!$AD$13</f>
        <v>7032.9000000000542</v>
      </c>
      <c r="M586" s="151">
        <f>M585+'Basic Data'!$AE$13</f>
        <v>4375.6299999999892</v>
      </c>
      <c r="N586" s="151">
        <f>N585+'Basic Data'!$AF$13</f>
        <v>10319.480000000087</v>
      </c>
      <c r="O586" s="151">
        <f>O585+'Basic Data'!$AG$13</f>
        <v>4114.9299999999557</v>
      </c>
      <c r="P586" s="151">
        <f>P585+'Basic Data'!$AH$13</f>
        <v>11255.900000000105</v>
      </c>
    </row>
    <row r="587" spans="2:16">
      <c r="B587" s="156">
        <v>585</v>
      </c>
      <c r="C587" s="176">
        <v>585</v>
      </c>
      <c r="D587" s="177">
        <f t="shared" si="61"/>
        <v>7009.2200000000539</v>
      </c>
      <c r="E587" s="177">
        <f t="shared" si="62"/>
        <v>7010.5400000000545</v>
      </c>
      <c r="F587" s="177">
        <f t="shared" si="63"/>
        <v>4361.6299999999892</v>
      </c>
      <c r="G587" s="177">
        <f t="shared" si="64"/>
        <v>10286.480000000087</v>
      </c>
      <c r="H587" s="177">
        <f t="shared" si="65"/>
        <v>4101.0199999999559</v>
      </c>
      <c r="I587" s="177">
        <f t="shared" si="66"/>
        <v>11217.790000000105</v>
      </c>
      <c r="K587" s="151">
        <f>K586+'Basic Data'!$AC$13</f>
        <v>7044.7800000000543</v>
      </c>
      <c r="L587" s="151">
        <f>L586+'Basic Data'!$AD$13</f>
        <v>7044.7800000000543</v>
      </c>
      <c r="M587" s="151">
        <f>M586+'Basic Data'!$AE$13</f>
        <v>4383.0199999999895</v>
      </c>
      <c r="N587" s="151">
        <f>N586+'Basic Data'!$AF$13</f>
        <v>10336.910000000087</v>
      </c>
      <c r="O587" s="151">
        <f>O586+'Basic Data'!$AG$13</f>
        <v>4121.8799999999555</v>
      </c>
      <c r="P587" s="151">
        <f>P586+'Basic Data'!$AH$13</f>
        <v>11274.910000000105</v>
      </c>
    </row>
    <row r="588" spans="2:16">
      <c r="B588" s="156">
        <v>586</v>
      </c>
      <c r="C588" s="176">
        <v>586</v>
      </c>
      <c r="D588" s="177">
        <f t="shared" si="61"/>
        <v>7021.100000000054</v>
      </c>
      <c r="E588" s="177">
        <f t="shared" si="62"/>
        <v>7022.4200000000546</v>
      </c>
      <c r="F588" s="177">
        <f t="shared" si="63"/>
        <v>4369.0199999999895</v>
      </c>
      <c r="G588" s="177">
        <f t="shared" si="64"/>
        <v>10303.910000000087</v>
      </c>
      <c r="H588" s="177">
        <f t="shared" si="65"/>
        <v>4107.9699999999557</v>
      </c>
      <c r="I588" s="177">
        <f t="shared" si="66"/>
        <v>11236.800000000105</v>
      </c>
      <c r="K588" s="151">
        <f>K587+'Basic Data'!$AC$13</f>
        <v>7056.6600000000544</v>
      </c>
      <c r="L588" s="151">
        <f>L587+'Basic Data'!$AD$13</f>
        <v>7056.6600000000544</v>
      </c>
      <c r="M588" s="151">
        <f>M587+'Basic Data'!$AE$13</f>
        <v>4390.4099999999899</v>
      </c>
      <c r="N588" s="151">
        <f>N587+'Basic Data'!$AF$13</f>
        <v>10354.340000000087</v>
      </c>
      <c r="O588" s="151">
        <f>O587+'Basic Data'!$AG$13</f>
        <v>4128.8299999999554</v>
      </c>
      <c r="P588" s="151">
        <f>P587+'Basic Data'!$AH$13</f>
        <v>11293.920000000106</v>
      </c>
    </row>
    <row r="589" spans="2:16">
      <c r="B589" s="156">
        <v>587</v>
      </c>
      <c r="C589" s="176">
        <v>587</v>
      </c>
      <c r="D589" s="177">
        <f t="shared" si="61"/>
        <v>7032.9800000000541</v>
      </c>
      <c r="E589" s="177">
        <f t="shared" si="62"/>
        <v>7034.3000000000548</v>
      </c>
      <c r="F589" s="177">
        <f t="shared" si="63"/>
        <v>4376.4099999999899</v>
      </c>
      <c r="G589" s="177">
        <f t="shared" si="64"/>
        <v>10321.340000000087</v>
      </c>
      <c r="H589" s="177">
        <f t="shared" si="65"/>
        <v>4114.9199999999555</v>
      </c>
      <c r="I589" s="177">
        <f t="shared" si="66"/>
        <v>11255.810000000105</v>
      </c>
      <c r="K589" s="151">
        <f>K588+'Basic Data'!$AC$13</f>
        <v>7068.5400000000545</v>
      </c>
      <c r="L589" s="151">
        <f>L588+'Basic Data'!$AD$13</f>
        <v>7068.5400000000545</v>
      </c>
      <c r="M589" s="151">
        <f>M588+'Basic Data'!$AE$13</f>
        <v>4397.7999999999902</v>
      </c>
      <c r="N589" s="151">
        <f>N588+'Basic Data'!$AF$13</f>
        <v>10371.770000000088</v>
      </c>
      <c r="O589" s="151">
        <f>O588+'Basic Data'!$AG$13</f>
        <v>4135.7799999999552</v>
      </c>
      <c r="P589" s="151">
        <f>P588+'Basic Data'!$AH$13</f>
        <v>11312.930000000106</v>
      </c>
    </row>
    <row r="590" spans="2:16">
      <c r="B590" s="156">
        <v>588</v>
      </c>
      <c r="C590" s="176">
        <v>588</v>
      </c>
      <c r="D590" s="177">
        <f t="shared" si="61"/>
        <v>7044.8600000000542</v>
      </c>
      <c r="E590" s="177">
        <f t="shared" si="62"/>
        <v>7046.1800000000549</v>
      </c>
      <c r="F590" s="177">
        <f t="shared" si="63"/>
        <v>4383.7999999999902</v>
      </c>
      <c r="G590" s="177">
        <f t="shared" si="64"/>
        <v>10338.770000000088</v>
      </c>
      <c r="H590" s="177">
        <f t="shared" si="65"/>
        <v>4121.8699999999553</v>
      </c>
      <c r="I590" s="177">
        <f t="shared" si="66"/>
        <v>11274.820000000105</v>
      </c>
      <c r="K590" s="151">
        <f>K589+'Basic Data'!$AC$13</f>
        <v>7080.4200000000546</v>
      </c>
      <c r="L590" s="151">
        <f>L589+'Basic Data'!$AD$13</f>
        <v>7080.4200000000546</v>
      </c>
      <c r="M590" s="151">
        <f>M589+'Basic Data'!$AE$13</f>
        <v>4405.1899999999905</v>
      </c>
      <c r="N590" s="151">
        <f>N589+'Basic Data'!$AF$13</f>
        <v>10389.200000000088</v>
      </c>
      <c r="O590" s="151">
        <f>O589+'Basic Data'!$AG$13</f>
        <v>4142.729999999955</v>
      </c>
      <c r="P590" s="151">
        <f>P589+'Basic Data'!$AH$13</f>
        <v>11331.940000000106</v>
      </c>
    </row>
    <row r="591" spans="2:16">
      <c r="B591" s="156">
        <v>589</v>
      </c>
      <c r="C591" s="176">
        <v>589</v>
      </c>
      <c r="D591" s="177">
        <f t="shared" si="61"/>
        <v>7056.7400000000544</v>
      </c>
      <c r="E591" s="177">
        <f t="shared" si="62"/>
        <v>7058.060000000055</v>
      </c>
      <c r="F591" s="177">
        <f t="shared" si="63"/>
        <v>4391.1899999999905</v>
      </c>
      <c r="G591" s="177">
        <f t="shared" si="64"/>
        <v>10356.200000000088</v>
      </c>
      <c r="H591" s="177">
        <f t="shared" si="65"/>
        <v>4128.8199999999551</v>
      </c>
      <c r="I591" s="177">
        <f t="shared" si="66"/>
        <v>11293.830000000105</v>
      </c>
      <c r="K591" s="151">
        <f>K590+'Basic Data'!$AC$13</f>
        <v>7092.3000000000548</v>
      </c>
      <c r="L591" s="151">
        <f>L590+'Basic Data'!$AD$13</f>
        <v>7092.3000000000548</v>
      </c>
      <c r="M591" s="151">
        <f>M590+'Basic Data'!$AE$13</f>
        <v>4412.5799999999908</v>
      </c>
      <c r="N591" s="151">
        <f>N590+'Basic Data'!$AF$13</f>
        <v>10406.630000000088</v>
      </c>
      <c r="O591" s="151">
        <f>O590+'Basic Data'!$AG$13</f>
        <v>4149.6799999999548</v>
      </c>
      <c r="P591" s="151">
        <f>P590+'Basic Data'!$AH$13</f>
        <v>11350.950000000106</v>
      </c>
    </row>
    <row r="592" spans="2:16">
      <c r="B592" s="156">
        <v>590</v>
      </c>
      <c r="C592" s="176">
        <v>590</v>
      </c>
      <c r="D592" s="177">
        <f t="shared" si="61"/>
        <v>7068.6200000000545</v>
      </c>
      <c r="E592" s="177">
        <f t="shared" si="62"/>
        <v>7069.9400000000551</v>
      </c>
      <c r="F592" s="177">
        <f t="shared" si="63"/>
        <v>4398.5799999999908</v>
      </c>
      <c r="G592" s="177">
        <f t="shared" si="64"/>
        <v>10373.630000000088</v>
      </c>
      <c r="H592" s="177">
        <f t="shared" si="65"/>
        <v>4135.769999999955</v>
      </c>
      <c r="I592" s="177">
        <f t="shared" si="66"/>
        <v>11312.840000000106</v>
      </c>
      <c r="K592" s="151">
        <f>K591+'Basic Data'!$AC$13</f>
        <v>7104.1800000000549</v>
      </c>
      <c r="L592" s="151">
        <f>L591+'Basic Data'!$AD$13</f>
        <v>7104.1800000000549</v>
      </c>
      <c r="M592" s="151">
        <f>M591+'Basic Data'!$AE$13</f>
        <v>4419.9699999999912</v>
      </c>
      <c r="N592" s="151">
        <f>N591+'Basic Data'!$AF$13</f>
        <v>10424.060000000089</v>
      </c>
      <c r="O592" s="151">
        <f>O591+'Basic Data'!$AG$13</f>
        <v>4156.6299999999546</v>
      </c>
      <c r="P592" s="151">
        <f>P591+'Basic Data'!$AH$13</f>
        <v>11369.960000000106</v>
      </c>
    </row>
    <row r="593" spans="2:16">
      <c r="B593" s="156">
        <v>591</v>
      </c>
      <c r="C593" s="176">
        <v>591</v>
      </c>
      <c r="D593" s="177">
        <f t="shared" si="61"/>
        <v>7080.5000000000546</v>
      </c>
      <c r="E593" s="177">
        <f t="shared" si="62"/>
        <v>7081.8200000000552</v>
      </c>
      <c r="F593" s="177">
        <f t="shared" si="63"/>
        <v>4405.9699999999912</v>
      </c>
      <c r="G593" s="177">
        <f t="shared" si="64"/>
        <v>10391.060000000089</v>
      </c>
      <c r="H593" s="177">
        <f t="shared" si="65"/>
        <v>4142.7199999999548</v>
      </c>
      <c r="I593" s="177">
        <f t="shared" si="66"/>
        <v>11331.850000000106</v>
      </c>
      <c r="K593" s="151">
        <f>K592+'Basic Data'!$AC$13</f>
        <v>7116.060000000055</v>
      </c>
      <c r="L593" s="151">
        <f>L592+'Basic Data'!$AD$13</f>
        <v>7116.060000000055</v>
      </c>
      <c r="M593" s="151">
        <f>M592+'Basic Data'!$AE$13</f>
        <v>4427.3599999999915</v>
      </c>
      <c r="N593" s="151">
        <f>N592+'Basic Data'!$AF$13</f>
        <v>10441.490000000089</v>
      </c>
      <c r="O593" s="151">
        <f>O592+'Basic Data'!$AG$13</f>
        <v>4163.5799999999545</v>
      </c>
      <c r="P593" s="151">
        <f>P592+'Basic Data'!$AH$13</f>
        <v>11388.970000000107</v>
      </c>
    </row>
    <row r="594" spans="2:16">
      <c r="B594" s="156">
        <v>592</v>
      </c>
      <c r="C594" s="176">
        <v>592</v>
      </c>
      <c r="D594" s="177">
        <f t="shared" si="61"/>
        <v>7092.3800000000547</v>
      </c>
      <c r="E594" s="177">
        <f t="shared" si="62"/>
        <v>7093.7000000000553</v>
      </c>
      <c r="F594" s="177">
        <f t="shared" si="63"/>
        <v>4413.3599999999915</v>
      </c>
      <c r="G594" s="177">
        <f t="shared" si="64"/>
        <v>10408.490000000089</v>
      </c>
      <c r="H594" s="177">
        <f t="shared" si="65"/>
        <v>4149.6699999999546</v>
      </c>
      <c r="I594" s="177">
        <f t="shared" si="66"/>
        <v>11350.860000000106</v>
      </c>
      <c r="K594" s="151">
        <f>K593+'Basic Data'!$AC$13</f>
        <v>7127.9400000000551</v>
      </c>
      <c r="L594" s="151">
        <f>L593+'Basic Data'!$AD$13</f>
        <v>7127.9400000000551</v>
      </c>
      <c r="M594" s="151">
        <f>M593+'Basic Data'!$AE$13</f>
        <v>4434.7499999999918</v>
      </c>
      <c r="N594" s="151">
        <f>N593+'Basic Data'!$AF$13</f>
        <v>10458.920000000089</v>
      </c>
      <c r="O594" s="151">
        <f>O593+'Basic Data'!$AG$13</f>
        <v>4170.5299999999543</v>
      </c>
      <c r="P594" s="151">
        <f>P593+'Basic Data'!$AH$13</f>
        <v>11407.980000000107</v>
      </c>
    </row>
    <row r="595" spans="2:16">
      <c r="B595" s="156">
        <v>593</v>
      </c>
      <c r="C595" s="176">
        <v>593</v>
      </c>
      <c r="D595" s="177">
        <f t="shared" si="61"/>
        <v>7104.2600000000548</v>
      </c>
      <c r="E595" s="177">
        <f t="shared" si="62"/>
        <v>7105.5800000000554</v>
      </c>
      <c r="F595" s="177">
        <f t="shared" si="63"/>
        <v>4420.7499999999918</v>
      </c>
      <c r="G595" s="177">
        <f t="shared" si="64"/>
        <v>10425.920000000089</v>
      </c>
      <c r="H595" s="177">
        <f t="shared" si="65"/>
        <v>4156.6199999999544</v>
      </c>
      <c r="I595" s="177">
        <f t="shared" si="66"/>
        <v>11369.870000000106</v>
      </c>
      <c r="K595" s="151">
        <f>K594+'Basic Data'!$AC$13</f>
        <v>7139.8200000000552</v>
      </c>
      <c r="L595" s="151">
        <f>L594+'Basic Data'!$AD$13</f>
        <v>7139.8200000000552</v>
      </c>
      <c r="M595" s="151">
        <f>M594+'Basic Data'!$AE$13</f>
        <v>4442.1399999999921</v>
      </c>
      <c r="N595" s="151">
        <f>N594+'Basic Data'!$AF$13</f>
        <v>10476.350000000089</v>
      </c>
      <c r="O595" s="151">
        <f>O594+'Basic Data'!$AG$13</f>
        <v>4177.4799999999541</v>
      </c>
      <c r="P595" s="151">
        <f>P594+'Basic Data'!$AH$13</f>
        <v>11426.990000000107</v>
      </c>
    </row>
    <row r="596" spans="2:16">
      <c r="B596" s="156">
        <v>594</v>
      </c>
      <c r="C596" s="176">
        <v>594</v>
      </c>
      <c r="D596" s="177">
        <f t="shared" si="61"/>
        <v>7116.1400000000549</v>
      </c>
      <c r="E596" s="177">
        <f t="shared" si="62"/>
        <v>7117.4600000000555</v>
      </c>
      <c r="F596" s="177">
        <f t="shared" si="63"/>
        <v>4428.1399999999921</v>
      </c>
      <c r="G596" s="177">
        <f t="shared" si="64"/>
        <v>10443.350000000089</v>
      </c>
      <c r="H596" s="177">
        <f t="shared" si="65"/>
        <v>4163.5699999999542</v>
      </c>
      <c r="I596" s="177">
        <f t="shared" si="66"/>
        <v>11388.880000000107</v>
      </c>
      <c r="K596" s="151">
        <f>K595+'Basic Data'!$AC$13</f>
        <v>7151.7000000000553</v>
      </c>
      <c r="L596" s="151">
        <f>L595+'Basic Data'!$AD$13</f>
        <v>7151.7000000000553</v>
      </c>
      <c r="M596" s="151">
        <f>M595+'Basic Data'!$AE$13</f>
        <v>4449.5299999999925</v>
      </c>
      <c r="N596" s="151">
        <f>N595+'Basic Data'!$AF$13</f>
        <v>10493.78000000009</v>
      </c>
      <c r="O596" s="151">
        <f>O595+'Basic Data'!$AG$13</f>
        <v>4184.4299999999539</v>
      </c>
      <c r="P596" s="151">
        <f>P595+'Basic Data'!$AH$13</f>
        <v>11446.000000000107</v>
      </c>
    </row>
    <row r="597" spans="2:16">
      <c r="B597" s="156">
        <v>595</v>
      </c>
      <c r="C597" s="176">
        <v>595</v>
      </c>
      <c r="D597" s="177">
        <f t="shared" si="61"/>
        <v>7128.020000000055</v>
      </c>
      <c r="E597" s="177">
        <f t="shared" si="62"/>
        <v>7129.3400000000556</v>
      </c>
      <c r="F597" s="177">
        <f t="shared" si="63"/>
        <v>4435.5299999999925</v>
      </c>
      <c r="G597" s="177">
        <f t="shared" si="64"/>
        <v>10460.78000000009</v>
      </c>
      <c r="H597" s="177">
        <f t="shared" si="65"/>
        <v>4170.5199999999541</v>
      </c>
      <c r="I597" s="177">
        <f t="shared" si="66"/>
        <v>11407.890000000107</v>
      </c>
      <c r="K597" s="151">
        <f>K596+'Basic Data'!$AC$13</f>
        <v>7163.5800000000554</v>
      </c>
      <c r="L597" s="151">
        <f>L596+'Basic Data'!$AD$13</f>
        <v>7163.5800000000554</v>
      </c>
      <c r="M597" s="151">
        <f>M596+'Basic Data'!$AE$13</f>
        <v>4456.9199999999928</v>
      </c>
      <c r="N597" s="151">
        <f>N596+'Basic Data'!$AF$13</f>
        <v>10511.21000000009</v>
      </c>
      <c r="O597" s="151">
        <f>O596+'Basic Data'!$AG$13</f>
        <v>4191.3799999999537</v>
      </c>
      <c r="P597" s="151">
        <f>P596+'Basic Data'!$AH$13</f>
        <v>11465.010000000108</v>
      </c>
    </row>
    <row r="598" spans="2:16">
      <c r="B598" s="156">
        <v>596</v>
      </c>
      <c r="C598" s="176">
        <v>596</v>
      </c>
      <c r="D598" s="177">
        <f t="shared" si="61"/>
        <v>7139.9000000000551</v>
      </c>
      <c r="E598" s="177">
        <f t="shared" si="62"/>
        <v>7141.2200000000557</v>
      </c>
      <c r="F598" s="177">
        <f t="shared" si="63"/>
        <v>4442.9199999999928</v>
      </c>
      <c r="G598" s="177">
        <f t="shared" si="64"/>
        <v>10478.21000000009</v>
      </c>
      <c r="H598" s="177">
        <f t="shared" si="65"/>
        <v>4177.4699999999539</v>
      </c>
      <c r="I598" s="177">
        <f t="shared" si="66"/>
        <v>11426.900000000107</v>
      </c>
      <c r="K598" s="151">
        <f>K597+'Basic Data'!$AC$13</f>
        <v>7175.4600000000555</v>
      </c>
      <c r="L598" s="151">
        <f>L597+'Basic Data'!$AD$13</f>
        <v>7175.4600000000555</v>
      </c>
      <c r="M598" s="151">
        <f>M597+'Basic Data'!$AE$13</f>
        <v>4464.3099999999931</v>
      </c>
      <c r="N598" s="151">
        <f>N597+'Basic Data'!$AF$13</f>
        <v>10528.64000000009</v>
      </c>
      <c r="O598" s="151">
        <f>O597+'Basic Data'!$AG$13</f>
        <v>4198.3299999999535</v>
      </c>
      <c r="P598" s="151">
        <f>P597+'Basic Data'!$AH$13</f>
        <v>11484.020000000108</v>
      </c>
    </row>
    <row r="599" spans="2:16">
      <c r="B599" s="156">
        <v>597</v>
      </c>
      <c r="C599" s="176">
        <v>597</v>
      </c>
      <c r="D599" s="177">
        <f t="shared" si="61"/>
        <v>7151.7800000000552</v>
      </c>
      <c r="E599" s="177">
        <f t="shared" si="62"/>
        <v>7153.1000000000558</v>
      </c>
      <c r="F599" s="177">
        <f t="shared" si="63"/>
        <v>4450.3099999999931</v>
      </c>
      <c r="G599" s="177">
        <f t="shared" si="64"/>
        <v>10495.64000000009</v>
      </c>
      <c r="H599" s="177">
        <f t="shared" si="65"/>
        <v>4184.4199999999537</v>
      </c>
      <c r="I599" s="177">
        <f t="shared" si="66"/>
        <v>11445.910000000107</v>
      </c>
      <c r="K599" s="151">
        <f>K598+'Basic Data'!$AC$13</f>
        <v>7187.3400000000556</v>
      </c>
      <c r="L599" s="151">
        <f>L598+'Basic Data'!$AD$13</f>
        <v>7187.3400000000556</v>
      </c>
      <c r="M599" s="151">
        <f>M598+'Basic Data'!$AE$13</f>
        <v>4471.6999999999935</v>
      </c>
      <c r="N599" s="151">
        <f>N598+'Basic Data'!$AF$13</f>
        <v>10546.070000000091</v>
      </c>
      <c r="O599" s="151">
        <f>O598+'Basic Data'!$AG$13</f>
        <v>4205.2799999999534</v>
      </c>
      <c r="P599" s="151">
        <f>P598+'Basic Data'!$AH$13</f>
        <v>11503.030000000108</v>
      </c>
    </row>
    <row r="600" spans="2:16">
      <c r="B600" s="156">
        <v>598</v>
      </c>
      <c r="C600" s="176">
        <v>598</v>
      </c>
      <c r="D600" s="177">
        <f t="shared" si="61"/>
        <v>7163.6600000000553</v>
      </c>
      <c r="E600" s="177">
        <f t="shared" si="62"/>
        <v>7164.980000000056</v>
      </c>
      <c r="F600" s="177">
        <f t="shared" si="63"/>
        <v>4457.6999999999935</v>
      </c>
      <c r="G600" s="177">
        <f t="shared" si="64"/>
        <v>10513.070000000091</v>
      </c>
      <c r="H600" s="177">
        <f t="shared" si="65"/>
        <v>4191.3699999999535</v>
      </c>
      <c r="I600" s="177">
        <f t="shared" si="66"/>
        <v>11464.920000000107</v>
      </c>
      <c r="K600" s="151">
        <f>K599+'Basic Data'!$AC$13</f>
        <v>7199.2200000000557</v>
      </c>
      <c r="L600" s="151">
        <f>L599+'Basic Data'!$AD$13</f>
        <v>7199.2200000000557</v>
      </c>
      <c r="M600" s="151">
        <f>M599+'Basic Data'!$AE$13</f>
        <v>4479.0899999999938</v>
      </c>
      <c r="N600" s="151">
        <f>N599+'Basic Data'!$AF$13</f>
        <v>10563.500000000091</v>
      </c>
      <c r="O600" s="151">
        <f>O599+'Basic Data'!$AG$13</f>
        <v>4212.2299999999532</v>
      </c>
      <c r="P600" s="151">
        <f>P599+'Basic Data'!$AH$13</f>
        <v>11522.040000000108</v>
      </c>
    </row>
    <row r="601" spans="2:16">
      <c r="B601" s="156">
        <v>599</v>
      </c>
      <c r="C601" s="176">
        <v>599</v>
      </c>
      <c r="D601" s="177">
        <f t="shared" si="61"/>
        <v>7175.5400000000554</v>
      </c>
      <c r="E601" s="177">
        <f t="shared" si="62"/>
        <v>7176.8600000000561</v>
      </c>
      <c r="F601" s="177">
        <f t="shared" si="63"/>
        <v>4465.0899999999938</v>
      </c>
      <c r="G601" s="177">
        <f t="shared" si="64"/>
        <v>10530.500000000091</v>
      </c>
      <c r="H601" s="177">
        <f t="shared" si="65"/>
        <v>4198.3199999999533</v>
      </c>
      <c r="I601" s="177">
        <f t="shared" si="66"/>
        <v>11483.930000000108</v>
      </c>
      <c r="K601" s="151">
        <f>K600+'Basic Data'!$AC$13</f>
        <v>7211.1000000000558</v>
      </c>
      <c r="L601" s="151">
        <f>L600+'Basic Data'!$AD$13</f>
        <v>7211.1000000000558</v>
      </c>
      <c r="M601" s="151">
        <f>M600+'Basic Data'!$AE$13</f>
        <v>4486.4799999999941</v>
      </c>
      <c r="N601" s="151">
        <f>N600+'Basic Data'!$AF$13</f>
        <v>10580.930000000091</v>
      </c>
      <c r="O601" s="151">
        <f>O600+'Basic Data'!$AG$13</f>
        <v>4219.179999999953</v>
      </c>
      <c r="P601" s="151">
        <f>P600+'Basic Data'!$AH$13</f>
        <v>11541.050000000108</v>
      </c>
    </row>
    <row r="602" spans="2:16">
      <c r="B602" s="156">
        <v>600</v>
      </c>
      <c r="C602" s="176">
        <v>600</v>
      </c>
      <c r="D602" s="177">
        <f t="shared" si="61"/>
        <v>7187.4200000000556</v>
      </c>
      <c r="E602" s="177">
        <f t="shared" si="62"/>
        <v>7188.7400000000562</v>
      </c>
      <c r="F602" s="177">
        <f t="shared" si="63"/>
        <v>4472.4799999999941</v>
      </c>
      <c r="G602" s="177">
        <f t="shared" si="64"/>
        <v>10547.930000000091</v>
      </c>
      <c r="H602" s="177">
        <f t="shared" si="65"/>
        <v>4205.2699999999531</v>
      </c>
      <c r="I602" s="177">
        <f t="shared" si="66"/>
        <v>11502.940000000108</v>
      </c>
      <c r="K602" s="151">
        <f>K601+'Basic Data'!$AC$13</f>
        <v>7222.980000000056</v>
      </c>
      <c r="L602" s="151">
        <f>L601+'Basic Data'!$AD$13</f>
        <v>7222.980000000056</v>
      </c>
      <c r="M602" s="151">
        <f>M601+'Basic Data'!$AE$13</f>
        <v>4493.8699999999944</v>
      </c>
      <c r="N602" s="151">
        <f>N601+'Basic Data'!$AF$13</f>
        <v>10598.360000000092</v>
      </c>
      <c r="O602" s="151">
        <f>O601+'Basic Data'!$AG$13</f>
        <v>4226.1299999999528</v>
      </c>
      <c r="P602" s="151">
        <f>P601+'Basic Data'!$AH$13</f>
        <v>11560.060000000109</v>
      </c>
    </row>
    <row r="603" spans="2:16">
      <c r="B603" s="156">
        <v>601</v>
      </c>
      <c r="C603" s="176">
        <v>601</v>
      </c>
      <c r="D603" s="177">
        <f t="shared" si="61"/>
        <v>7199.3000000000557</v>
      </c>
      <c r="E603" s="177">
        <f t="shared" si="62"/>
        <v>7200.6200000000563</v>
      </c>
      <c r="F603" s="177">
        <f t="shared" si="63"/>
        <v>4479.8699999999944</v>
      </c>
      <c r="G603" s="177">
        <f t="shared" si="64"/>
        <v>10565.360000000092</v>
      </c>
      <c r="H603" s="177">
        <f t="shared" si="65"/>
        <v>4212.219999999953</v>
      </c>
      <c r="I603" s="177">
        <f t="shared" si="66"/>
        <v>11521.950000000108</v>
      </c>
      <c r="K603" s="151">
        <f>K602+'Basic Data'!$AC$13</f>
        <v>7234.8600000000561</v>
      </c>
      <c r="L603" s="151">
        <f>L602+'Basic Data'!$AD$13</f>
        <v>7234.8600000000561</v>
      </c>
      <c r="M603" s="151">
        <f>M602+'Basic Data'!$AE$13</f>
        <v>4501.2599999999948</v>
      </c>
      <c r="N603" s="151">
        <f>N602+'Basic Data'!$AF$13</f>
        <v>10615.790000000092</v>
      </c>
      <c r="O603" s="151">
        <f>O602+'Basic Data'!$AG$13</f>
        <v>4233.0799999999526</v>
      </c>
      <c r="P603" s="151">
        <f>P602+'Basic Data'!$AH$13</f>
        <v>11579.070000000109</v>
      </c>
    </row>
    <row r="604" spans="2:16">
      <c r="B604" s="156">
        <v>602</v>
      </c>
      <c r="C604" s="176">
        <v>602</v>
      </c>
      <c r="D604" s="177">
        <f t="shared" si="61"/>
        <v>7211.1800000000558</v>
      </c>
      <c r="E604" s="177">
        <f t="shared" si="62"/>
        <v>7212.5000000000564</v>
      </c>
      <c r="F604" s="177">
        <f t="shared" si="63"/>
        <v>4487.2599999999948</v>
      </c>
      <c r="G604" s="177">
        <f t="shared" si="64"/>
        <v>10582.790000000092</v>
      </c>
      <c r="H604" s="177">
        <f t="shared" si="65"/>
        <v>4219.1699999999528</v>
      </c>
      <c r="I604" s="177">
        <f t="shared" si="66"/>
        <v>11540.960000000108</v>
      </c>
      <c r="K604" s="151">
        <f>K603+'Basic Data'!$AC$13</f>
        <v>7246.7400000000562</v>
      </c>
      <c r="L604" s="151">
        <f>L603+'Basic Data'!$AD$13</f>
        <v>7246.7400000000562</v>
      </c>
      <c r="M604" s="151">
        <f>M603+'Basic Data'!$AE$13</f>
        <v>4508.6499999999951</v>
      </c>
      <c r="N604" s="151">
        <f>N603+'Basic Data'!$AF$13</f>
        <v>10633.220000000092</v>
      </c>
      <c r="O604" s="151">
        <f>O603+'Basic Data'!$AG$13</f>
        <v>4240.0299999999525</v>
      </c>
      <c r="P604" s="151">
        <f>P603+'Basic Data'!$AH$13</f>
        <v>11598.080000000109</v>
      </c>
    </row>
    <row r="605" spans="2:16">
      <c r="B605" s="156">
        <v>603</v>
      </c>
      <c r="C605" s="176">
        <v>603</v>
      </c>
      <c r="D605" s="177">
        <f t="shared" si="61"/>
        <v>7223.0600000000559</v>
      </c>
      <c r="E605" s="177">
        <f t="shared" si="62"/>
        <v>7224.3800000000565</v>
      </c>
      <c r="F605" s="177">
        <f t="shared" si="63"/>
        <v>4494.6499999999951</v>
      </c>
      <c r="G605" s="177">
        <f t="shared" si="64"/>
        <v>10600.220000000092</v>
      </c>
      <c r="H605" s="177">
        <f t="shared" si="65"/>
        <v>4226.1199999999526</v>
      </c>
      <c r="I605" s="177">
        <f t="shared" si="66"/>
        <v>11559.970000000108</v>
      </c>
      <c r="K605" s="151">
        <f>K604+'Basic Data'!$AC$13</f>
        <v>7258.6200000000563</v>
      </c>
      <c r="L605" s="151">
        <f>L604+'Basic Data'!$AD$13</f>
        <v>7258.6200000000563</v>
      </c>
      <c r="M605" s="151">
        <f>M604+'Basic Data'!$AE$13</f>
        <v>4516.0399999999954</v>
      </c>
      <c r="N605" s="151">
        <f>N604+'Basic Data'!$AF$13</f>
        <v>10650.650000000092</v>
      </c>
      <c r="O605" s="151">
        <f>O604+'Basic Data'!$AG$13</f>
        <v>4246.9799999999523</v>
      </c>
      <c r="P605" s="151">
        <f>P604+'Basic Data'!$AH$13</f>
        <v>11617.090000000109</v>
      </c>
    </row>
    <row r="606" spans="2:16">
      <c r="B606" s="156">
        <v>604</v>
      </c>
      <c r="C606" s="176">
        <v>604</v>
      </c>
      <c r="D606" s="177">
        <f t="shared" si="61"/>
        <v>7234.940000000056</v>
      </c>
      <c r="E606" s="177">
        <f t="shared" si="62"/>
        <v>7236.2600000000566</v>
      </c>
      <c r="F606" s="177">
        <f t="shared" si="63"/>
        <v>4502.0399999999954</v>
      </c>
      <c r="G606" s="177">
        <f t="shared" si="64"/>
        <v>10617.650000000092</v>
      </c>
      <c r="H606" s="177">
        <f t="shared" si="65"/>
        <v>4233.0699999999524</v>
      </c>
      <c r="I606" s="177">
        <f t="shared" si="66"/>
        <v>11578.980000000109</v>
      </c>
      <c r="K606" s="151">
        <f>K605+'Basic Data'!$AC$13</f>
        <v>7270.5000000000564</v>
      </c>
      <c r="L606" s="151">
        <f>L605+'Basic Data'!$AD$13</f>
        <v>7270.5000000000564</v>
      </c>
      <c r="M606" s="151">
        <f>M605+'Basic Data'!$AE$13</f>
        <v>4523.4299999999957</v>
      </c>
      <c r="N606" s="151">
        <f>N605+'Basic Data'!$AF$13</f>
        <v>10668.080000000093</v>
      </c>
      <c r="O606" s="151">
        <f>O605+'Basic Data'!$AG$13</f>
        <v>4253.9299999999521</v>
      </c>
      <c r="P606" s="151">
        <f>P605+'Basic Data'!$AH$13</f>
        <v>11636.10000000011</v>
      </c>
    </row>
    <row r="607" spans="2:16">
      <c r="B607" s="156">
        <v>605</v>
      </c>
      <c r="C607" s="176">
        <v>605</v>
      </c>
      <c r="D607" s="177">
        <f t="shared" si="61"/>
        <v>7246.8200000000561</v>
      </c>
      <c r="E607" s="177">
        <f t="shared" si="62"/>
        <v>7248.1400000000567</v>
      </c>
      <c r="F607" s="177">
        <f t="shared" si="63"/>
        <v>4509.4299999999957</v>
      </c>
      <c r="G607" s="177">
        <f t="shared" si="64"/>
        <v>10635.080000000093</v>
      </c>
      <c r="H607" s="177">
        <f t="shared" si="65"/>
        <v>4240.0199999999522</v>
      </c>
      <c r="I607" s="177">
        <f t="shared" si="66"/>
        <v>11597.990000000109</v>
      </c>
      <c r="K607" s="151">
        <f>K606+'Basic Data'!$AC$13</f>
        <v>7282.3800000000565</v>
      </c>
      <c r="L607" s="151">
        <f>L606+'Basic Data'!$AD$13</f>
        <v>7282.3800000000565</v>
      </c>
      <c r="M607" s="151">
        <f>M606+'Basic Data'!$AE$13</f>
        <v>4530.8199999999961</v>
      </c>
      <c r="N607" s="151">
        <f>N606+'Basic Data'!$AF$13</f>
        <v>10685.510000000093</v>
      </c>
      <c r="O607" s="151">
        <f>O606+'Basic Data'!$AG$13</f>
        <v>4260.8799999999519</v>
      </c>
      <c r="P607" s="151">
        <f>P606+'Basic Data'!$AH$13</f>
        <v>11655.11000000011</v>
      </c>
    </row>
    <row r="608" spans="2:16">
      <c r="B608" s="156">
        <v>606</v>
      </c>
      <c r="C608" s="176">
        <v>606</v>
      </c>
      <c r="D608" s="177">
        <f t="shared" si="61"/>
        <v>7258.7000000000562</v>
      </c>
      <c r="E608" s="177">
        <f t="shared" si="62"/>
        <v>7260.0200000000568</v>
      </c>
      <c r="F608" s="177">
        <f t="shared" si="63"/>
        <v>4516.8199999999961</v>
      </c>
      <c r="G608" s="177">
        <f t="shared" si="64"/>
        <v>10652.510000000093</v>
      </c>
      <c r="H608" s="177">
        <f t="shared" si="65"/>
        <v>4246.9699999999521</v>
      </c>
      <c r="I608" s="177">
        <f t="shared" si="66"/>
        <v>11617.000000000109</v>
      </c>
      <c r="K608" s="151">
        <f>K607+'Basic Data'!$AC$13</f>
        <v>7294.2600000000566</v>
      </c>
      <c r="L608" s="151">
        <f>L607+'Basic Data'!$AD$13</f>
        <v>7294.2600000000566</v>
      </c>
      <c r="M608" s="151">
        <f>M607+'Basic Data'!$AE$13</f>
        <v>4538.2099999999964</v>
      </c>
      <c r="N608" s="151">
        <f>N607+'Basic Data'!$AF$13</f>
        <v>10702.940000000093</v>
      </c>
      <c r="O608" s="151">
        <f>O607+'Basic Data'!$AG$13</f>
        <v>4267.8299999999517</v>
      </c>
      <c r="P608" s="151">
        <f>P607+'Basic Data'!$AH$13</f>
        <v>11674.12000000011</v>
      </c>
    </row>
    <row r="609" spans="2:16">
      <c r="B609" s="156">
        <v>607</v>
      </c>
      <c r="C609" s="176">
        <v>607</v>
      </c>
      <c r="D609" s="177">
        <f t="shared" si="61"/>
        <v>7270.5800000000563</v>
      </c>
      <c r="E609" s="177">
        <f t="shared" si="62"/>
        <v>7271.9000000000569</v>
      </c>
      <c r="F609" s="177">
        <f t="shared" si="63"/>
        <v>4524.2099999999964</v>
      </c>
      <c r="G609" s="177">
        <f t="shared" si="64"/>
        <v>10669.940000000093</v>
      </c>
      <c r="H609" s="177">
        <f t="shared" si="65"/>
        <v>4253.9199999999519</v>
      </c>
      <c r="I609" s="177">
        <f t="shared" si="66"/>
        <v>11636.010000000109</v>
      </c>
      <c r="K609" s="151">
        <f>K608+'Basic Data'!$AC$13</f>
        <v>7306.1400000000567</v>
      </c>
      <c r="L609" s="151">
        <f>L608+'Basic Data'!$AD$13</f>
        <v>7306.1400000000567</v>
      </c>
      <c r="M609" s="151">
        <f>M608+'Basic Data'!$AE$13</f>
        <v>4545.5999999999967</v>
      </c>
      <c r="N609" s="151">
        <f>N608+'Basic Data'!$AF$13</f>
        <v>10720.370000000094</v>
      </c>
      <c r="O609" s="151">
        <f>O608+'Basic Data'!$AG$13</f>
        <v>4274.7799999999515</v>
      </c>
      <c r="P609" s="151">
        <f>P608+'Basic Data'!$AH$13</f>
        <v>11693.13000000011</v>
      </c>
    </row>
    <row r="610" spans="2:16">
      <c r="B610" s="156">
        <v>608</v>
      </c>
      <c r="C610" s="176">
        <v>608</v>
      </c>
      <c r="D610" s="177">
        <f t="shared" si="61"/>
        <v>7282.4600000000564</v>
      </c>
      <c r="E610" s="177">
        <f t="shared" si="62"/>
        <v>7283.780000000057</v>
      </c>
      <c r="F610" s="177">
        <f t="shared" si="63"/>
        <v>4531.5999999999967</v>
      </c>
      <c r="G610" s="177">
        <f t="shared" si="64"/>
        <v>10687.370000000094</v>
      </c>
      <c r="H610" s="177">
        <f t="shared" si="65"/>
        <v>4260.8699999999517</v>
      </c>
      <c r="I610" s="177">
        <f t="shared" si="66"/>
        <v>11655.02000000011</v>
      </c>
      <c r="K610" s="151">
        <f>K609+'Basic Data'!$AC$13</f>
        <v>7318.0200000000568</v>
      </c>
      <c r="L610" s="151">
        <f>L609+'Basic Data'!$AD$13</f>
        <v>7318.0200000000568</v>
      </c>
      <c r="M610" s="151">
        <f>M609+'Basic Data'!$AE$13</f>
        <v>4552.9899999999971</v>
      </c>
      <c r="N610" s="151">
        <f>N609+'Basic Data'!$AF$13</f>
        <v>10737.800000000094</v>
      </c>
      <c r="O610" s="151">
        <f>O609+'Basic Data'!$AG$13</f>
        <v>4281.7299999999514</v>
      </c>
      <c r="P610" s="151">
        <f>P609+'Basic Data'!$AH$13</f>
        <v>11712.14000000011</v>
      </c>
    </row>
    <row r="611" spans="2:16">
      <c r="B611" s="156">
        <v>609</v>
      </c>
      <c r="C611" s="176">
        <v>609</v>
      </c>
      <c r="D611" s="177">
        <f t="shared" si="61"/>
        <v>7294.3400000000565</v>
      </c>
      <c r="E611" s="177">
        <f t="shared" si="62"/>
        <v>7295.6600000000572</v>
      </c>
      <c r="F611" s="177">
        <f t="shared" si="63"/>
        <v>4538.9899999999971</v>
      </c>
      <c r="G611" s="177">
        <f t="shared" si="64"/>
        <v>10704.800000000094</v>
      </c>
      <c r="H611" s="177">
        <f t="shared" si="65"/>
        <v>4267.8199999999515</v>
      </c>
      <c r="I611" s="177">
        <f t="shared" si="66"/>
        <v>11674.03000000011</v>
      </c>
      <c r="K611" s="151">
        <f>K610+'Basic Data'!$AC$13</f>
        <v>7329.9000000000569</v>
      </c>
      <c r="L611" s="151">
        <f>L610+'Basic Data'!$AD$13</f>
        <v>7329.9000000000569</v>
      </c>
      <c r="M611" s="151">
        <f>M610+'Basic Data'!$AE$13</f>
        <v>4560.3799999999974</v>
      </c>
      <c r="N611" s="151">
        <f>N610+'Basic Data'!$AF$13</f>
        <v>10755.230000000094</v>
      </c>
      <c r="O611" s="151">
        <f>O610+'Basic Data'!$AG$13</f>
        <v>4288.6799999999512</v>
      </c>
      <c r="P611" s="151">
        <f>P610+'Basic Data'!$AH$13</f>
        <v>11731.150000000111</v>
      </c>
    </row>
    <row r="612" spans="2:16">
      <c r="B612" s="156">
        <v>610</v>
      </c>
      <c r="C612" s="176">
        <v>610</v>
      </c>
      <c r="D612" s="177">
        <f t="shared" si="61"/>
        <v>7306.2200000000566</v>
      </c>
      <c r="E612" s="177">
        <f t="shared" si="62"/>
        <v>7307.5400000000573</v>
      </c>
      <c r="F612" s="177">
        <f t="shared" si="63"/>
        <v>4546.3799999999974</v>
      </c>
      <c r="G612" s="177">
        <f t="shared" si="64"/>
        <v>10722.230000000094</v>
      </c>
      <c r="H612" s="177">
        <f t="shared" si="65"/>
        <v>4274.7699999999513</v>
      </c>
      <c r="I612" s="177">
        <f t="shared" si="66"/>
        <v>11693.04000000011</v>
      </c>
      <c r="K612" s="151">
        <f>K611+'Basic Data'!$AC$13</f>
        <v>7341.780000000057</v>
      </c>
      <c r="L612" s="151">
        <f>L611+'Basic Data'!$AD$13</f>
        <v>7341.780000000057</v>
      </c>
      <c r="M612" s="151">
        <f>M611+'Basic Data'!$AE$13</f>
        <v>4567.7699999999977</v>
      </c>
      <c r="N612" s="151">
        <f>N611+'Basic Data'!$AF$13</f>
        <v>10772.660000000094</v>
      </c>
      <c r="O612" s="151">
        <f>O611+'Basic Data'!$AG$13</f>
        <v>4295.629999999951</v>
      </c>
      <c r="P612" s="151">
        <f>P611+'Basic Data'!$AH$13</f>
        <v>11750.160000000111</v>
      </c>
    </row>
    <row r="613" spans="2:16">
      <c r="B613" s="156">
        <v>611</v>
      </c>
      <c r="C613" s="176">
        <v>611</v>
      </c>
      <c r="D613" s="177">
        <f t="shared" si="61"/>
        <v>7318.1000000000568</v>
      </c>
      <c r="E613" s="177">
        <f t="shared" si="62"/>
        <v>7319.4200000000574</v>
      </c>
      <c r="F613" s="177">
        <f t="shared" si="63"/>
        <v>4553.7699999999977</v>
      </c>
      <c r="G613" s="177">
        <f t="shared" si="64"/>
        <v>10739.660000000094</v>
      </c>
      <c r="H613" s="177">
        <f t="shared" si="65"/>
        <v>4281.7199999999511</v>
      </c>
      <c r="I613" s="177">
        <f t="shared" si="66"/>
        <v>11712.05000000011</v>
      </c>
      <c r="K613" s="151">
        <f>K612+'Basic Data'!$AC$13</f>
        <v>7353.6600000000572</v>
      </c>
      <c r="L613" s="151">
        <f>L612+'Basic Data'!$AD$13</f>
        <v>7353.6600000000572</v>
      </c>
      <c r="M613" s="151">
        <f>M612+'Basic Data'!$AE$13</f>
        <v>4575.159999999998</v>
      </c>
      <c r="N613" s="151">
        <f>N612+'Basic Data'!$AF$13</f>
        <v>10790.090000000095</v>
      </c>
      <c r="O613" s="151">
        <f>O612+'Basic Data'!$AG$13</f>
        <v>4302.5799999999508</v>
      </c>
      <c r="P613" s="151">
        <f>P612+'Basic Data'!$AH$13</f>
        <v>11769.170000000111</v>
      </c>
    </row>
    <row r="614" spans="2:16">
      <c r="B614" s="156">
        <v>612</v>
      </c>
      <c r="C614" s="176">
        <v>612</v>
      </c>
      <c r="D614" s="177">
        <f t="shared" si="61"/>
        <v>7329.9800000000569</v>
      </c>
      <c r="E614" s="177">
        <f t="shared" si="62"/>
        <v>7331.3000000000575</v>
      </c>
      <c r="F614" s="177">
        <f t="shared" si="63"/>
        <v>4561.159999999998</v>
      </c>
      <c r="G614" s="177">
        <f t="shared" si="64"/>
        <v>10757.090000000095</v>
      </c>
      <c r="H614" s="177">
        <f t="shared" si="65"/>
        <v>4288.669999999951</v>
      </c>
      <c r="I614" s="177">
        <f t="shared" si="66"/>
        <v>11731.06000000011</v>
      </c>
      <c r="K614" s="151">
        <f>K613+'Basic Data'!$AC$13</f>
        <v>7365.5400000000573</v>
      </c>
      <c r="L614" s="151">
        <f>L613+'Basic Data'!$AD$13</f>
        <v>7365.5400000000573</v>
      </c>
      <c r="M614" s="151">
        <f>M613+'Basic Data'!$AE$13</f>
        <v>4582.5499999999984</v>
      </c>
      <c r="N614" s="151">
        <f>N613+'Basic Data'!$AF$13</f>
        <v>10807.520000000095</v>
      </c>
      <c r="O614" s="151">
        <f>O613+'Basic Data'!$AG$13</f>
        <v>4309.5299999999506</v>
      </c>
      <c r="P614" s="151">
        <f>P613+'Basic Data'!$AH$13</f>
        <v>11788.180000000111</v>
      </c>
    </row>
    <row r="615" spans="2:16">
      <c r="B615" s="156">
        <v>613</v>
      </c>
      <c r="C615" s="176">
        <v>613</v>
      </c>
      <c r="D615" s="177">
        <f t="shared" si="61"/>
        <v>7341.860000000057</v>
      </c>
      <c r="E615" s="177">
        <f t="shared" si="62"/>
        <v>7343.1800000000576</v>
      </c>
      <c r="F615" s="177">
        <f t="shared" si="63"/>
        <v>4568.5499999999984</v>
      </c>
      <c r="G615" s="177">
        <f t="shared" si="64"/>
        <v>10774.520000000095</v>
      </c>
      <c r="H615" s="177">
        <f t="shared" si="65"/>
        <v>4295.6199999999508</v>
      </c>
      <c r="I615" s="177">
        <f t="shared" si="66"/>
        <v>11750.070000000111</v>
      </c>
      <c r="K615" s="151">
        <f>K614+'Basic Data'!$AC$13</f>
        <v>7377.4200000000574</v>
      </c>
      <c r="L615" s="151">
        <f>L614+'Basic Data'!$AD$13</f>
        <v>7377.4200000000574</v>
      </c>
      <c r="M615" s="151">
        <f>M614+'Basic Data'!$AE$13</f>
        <v>4589.9399999999987</v>
      </c>
      <c r="N615" s="151">
        <f>N614+'Basic Data'!$AF$13</f>
        <v>10824.950000000095</v>
      </c>
      <c r="O615" s="151">
        <f>O614+'Basic Data'!$AG$13</f>
        <v>4316.4799999999505</v>
      </c>
      <c r="P615" s="151">
        <f>P614+'Basic Data'!$AH$13</f>
        <v>11807.190000000111</v>
      </c>
    </row>
    <row r="616" spans="2:16">
      <c r="B616" s="156">
        <v>614</v>
      </c>
      <c r="C616" s="176">
        <v>614</v>
      </c>
      <c r="D616" s="177">
        <f t="shared" si="61"/>
        <v>7353.7400000000571</v>
      </c>
      <c r="E616" s="177">
        <f t="shared" si="62"/>
        <v>7355.0600000000577</v>
      </c>
      <c r="F616" s="177">
        <f t="shared" si="63"/>
        <v>4575.9399999999987</v>
      </c>
      <c r="G616" s="177">
        <f t="shared" si="64"/>
        <v>10791.950000000095</v>
      </c>
      <c r="H616" s="177">
        <f t="shared" si="65"/>
        <v>4302.5699999999506</v>
      </c>
      <c r="I616" s="177">
        <f t="shared" si="66"/>
        <v>11769.080000000111</v>
      </c>
      <c r="K616" s="151">
        <f>K615+'Basic Data'!$AC$13</f>
        <v>7389.3000000000575</v>
      </c>
      <c r="L616" s="151">
        <f>L615+'Basic Data'!$AD$13</f>
        <v>7389.3000000000575</v>
      </c>
      <c r="M616" s="151">
        <f>M615+'Basic Data'!$AE$13</f>
        <v>4597.329999999999</v>
      </c>
      <c r="N616" s="151">
        <f>N615+'Basic Data'!$AF$13</f>
        <v>10842.380000000096</v>
      </c>
      <c r="O616" s="151">
        <f>O615+'Basic Data'!$AG$13</f>
        <v>4323.4299999999503</v>
      </c>
      <c r="P616" s="151">
        <f>P615+'Basic Data'!$AH$13</f>
        <v>11826.200000000112</v>
      </c>
    </row>
    <row r="617" spans="2:16">
      <c r="B617" s="156">
        <v>615</v>
      </c>
      <c r="C617" s="176">
        <v>615</v>
      </c>
      <c r="D617" s="177">
        <f t="shared" si="61"/>
        <v>7365.6200000000572</v>
      </c>
      <c r="E617" s="177">
        <f t="shared" si="62"/>
        <v>7366.9400000000578</v>
      </c>
      <c r="F617" s="177">
        <f t="shared" si="63"/>
        <v>4583.329999999999</v>
      </c>
      <c r="G617" s="177">
        <f t="shared" si="64"/>
        <v>10809.380000000096</v>
      </c>
      <c r="H617" s="177">
        <f t="shared" si="65"/>
        <v>4309.5199999999504</v>
      </c>
      <c r="I617" s="177">
        <f t="shared" si="66"/>
        <v>11788.090000000111</v>
      </c>
      <c r="K617" s="151">
        <f>K616+'Basic Data'!$AC$13</f>
        <v>7401.1800000000576</v>
      </c>
      <c r="L617" s="151">
        <f>L616+'Basic Data'!$AD$13</f>
        <v>7401.1800000000576</v>
      </c>
      <c r="M617" s="151">
        <f>M616+'Basic Data'!$AE$13</f>
        <v>4604.7199999999993</v>
      </c>
      <c r="N617" s="151">
        <f>N616+'Basic Data'!$AF$13</f>
        <v>10859.810000000096</v>
      </c>
      <c r="O617" s="151">
        <f>O616+'Basic Data'!$AG$13</f>
        <v>4330.3799999999501</v>
      </c>
      <c r="P617" s="151">
        <f>P616+'Basic Data'!$AH$13</f>
        <v>11845.210000000112</v>
      </c>
    </row>
    <row r="618" spans="2:16">
      <c r="B618" s="156">
        <v>616</v>
      </c>
      <c r="C618" s="176">
        <v>616</v>
      </c>
      <c r="D618" s="177">
        <f t="shared" si="61"/>
        <v>7377.5000000000573</v>
      </c>
      <c r="E618" s="177">
        <f t="shared" si="62"/>
        <v>7378.8200000000579</v>
      </c>
      <c r="F618" s="177">
        <f t="shared" si="63"/>
        <v>4590.7199999999993</v>
      </c>
      <c r="G618" s="177">
        <f t="shared" si="64"/>
        <v>10826.810000000096</v>
      </c>
      <c r="H618" s="177">
        <f t="shared" si="65"/>
        <v>4316.4699999999502</v>
      </c>
      <c r="I618" s="177">
        <f t="shared" si="66"/>
        <v>11807.100000000111</v>
      </c>
      <c r="K618" s="151">
        <f>K617+'Basic Data'!$AC$13</f>
        <v>7413.0600000000577</v>
      </c>
      <c r="L618" s="151">
        <f>L617+'Basic Data'!$AD$13</f>
        <v>7413.0600000000577</v>
      </c>
      <c r="M618" s="151">
        <f>M617+'Basic Data'!$AE$13</f>
        <v>4612.1099999999997</v>
      </c>
      <c r="N618" s="151">
        <f>N617+'Basic Data'!$AF$13</f>
        <v>10877.240000000096</v>
      </c>
      <c r="O618" s="151">
        <f>O617+'Basic Data'!$AG$13</f>
        <v>4337.3299999999499</v>
      </c>
      <c r="P618" s="151">
        <f>P617+'Basic Data'!$AH$13</f>
        <v>11864.220000000112</v>
      </c>
    </row>
    <row r="619" spans="2:16">
      <c r="B619" s="156">
        <v>617</v>
      </c>
      <c r="C619" s="176">
        <v>617</v>
      </c>
      <c r="D619" s="177">
        <f t="shared" si="61"/>
        <v>7389.3800000000574</v>
      </c>
      <c r="E619" s="177">
        <f t="shared" si="62"/>
        <v>7390.700000000058</v>
      </c>
      <c r="F619" s="177">
        <f t="shared" si="63"/>
        <v>4598.1099999999997</v>
      </c>
      <c r="G619" s="177">
        <f t="shared" si="64"/>
        <v>10844.240000000096</v>
      </c>
      <c r="H619" s="177">
        <f t="shared" si="65"/>
        <v>4323.4199999999501</v>
      </c>
      <c r="I619" s="177">
        <f t="shared" si="66"/>
        <v>11826.110000000112</v>
      </c>
      <c r="K619" s="151">
        <f>K618+'Basic Data'!$AC$13</f>
        <v>7424.9400000000578</v>
      </c>
      <c r="L619" s="151">
        <f>L618+'Basic Data'!$AD$13</f>
        <v>7424.9400000000578</v>
      </c>
      <c r="M619" s="151">
        <f>M618+'Basic Data'!$AE$13</f>
        <v>4619.5</v>
      </c>
      <c r="N619" s="151">
        <f>N618+'Basic Data'!$AF$13</f>
        <v>10894.670000000096</v>
      </c>
      <c r="O619" s="151">
        <f>O618+'Basic Data'!$AG$13</f>
        <v>4344.2799999999497</v>
      </c>
      <c r="P619" s="151">
        <f>P618+'Basic Data'!$AH$13</f>
        <v>11883.230000000112</v>
      </c>
    </row>
    <row r="620" spans="2:16">
      <c r="B620" s="156">
        <v>618</v>
      </c>
      <c r="C620" s="176">
        <v>618</v>
      </c>
      <c r="D620" s="177">
        <f t="shared" si="61"/>
        <v>7401.2600000000575</v>
      </c>
      <c r="E620" s="177">
        <f t="shared" si="62"/>
        <v>7402.5800000000581</v>
      </c>
      <c r="F620" s="177">
        <f t="shared" si="63"/>
        <v>4605.5</v>
      </c>
      <c r="G620" s="177">
        <f t="shared" si="64"/>
        <v>10861.670000000096</v>
      </c>
      <c r="H620" s="177">
        <f t="shared" si="65"/>
        <v>4330.3699999999499</v>
      </c>
      <c r="I620" s="177">
        <f t="shared" si="66"/>
        <v>11845.120000000112</v>
      </c>
      <c r="K620" s="151">
        <f>K619+'Basic Data'!$AC$13</f>
        <v>7436.8200000000579</v>
      </c>
      <c r="L620" s="151">
        <f>L619+'Basic Data'!$AD$13</f>
        <v>7436.8200000000579</v>
      </c>
      <c r="M620" s="151">
        <f>M619+'Basic Data'!$AE$13</f>
        <v>4626.8900000000003</v>
      </c>
      <c r="N620" s="151">
        <f>N619+'Basic Data'!$AF$13</f>
        <v>10912.100000000097</v>
      </c>
      <c r="O620" s="151">
        <f>O619+'Basic Data'!$AG$13</f>
        <v>4351.2299999999495</v>
      </c>
      <c r="P620" s="151">
        <f>P619+'Basic Data'!$AH$13</f>
        <v>11902.240000000113</v>
      </c>
    </row>
    <row r="621" spans="2:16">
      <c r="B621" s="156">
        <v>619</v>
      </c>
      <c r="C621" s="176">
        <v>619</v>
      </c>
      <c r="D621" s="177">
        <f t="shared" si="61"/>
        <v>7413.1400000000576</v>
      </c>
      <c r="E621" s="177">
        <f t="shared" si="62"/>
        <v>7414.4600000000582</v>
      </c>
      <c r="F621" s="177">
        <f t="shared" si="63"/>
        <v>4612.8900000000003</v>
      </c>
      <c r="G621" s="177">
        <f t="shared" si="64"/>
        <v>10879.100000000097</v>
      </c>
      <c r="H621" s="177">
        <f t="shared" si="65"/>
        <v>4337.3199999999497</v>
      </c>
      <c r="I621" s="177">
        <f t="shared" si="66"/>
        <v>11864.130000000112</v>
      </c>
      <c r="K621" s="151">
        <f>K620+'Basic Data'!$AC$13</f>
        <v>7448.700000000058</v>
      </c>
      <c r="L621" s="151">
        <f>L620+'Basic Data'!$AD$13</f>
        <v>7448.700000000058</v>
      </c>
      <c r="M621" s="151">
        <f>M620+'Basic Data'!$AE$13</f>
        <v>4634.2800000000007</v>
      </c>
      <c r="N621" s="151">
        <f>N620+'Basic Data'!$AF$13</f>
        <v>10929.530000000097</v>
      </c>
      <c r="O621" s="151">
        <f>O620+'Basic Data'!$AG$13</f>
        <v>4358.1799999999494</v>
      </c>
      <c r="P621" s="151">
        <f>P620+'Basic Data'!$AH$13</f>
        <v>11921.250000000113</v>
      </c>
    </row>
    <row r="622" spans="2:16">
      <c r="B622" s="156">
        <v>620</v>
      </c>
      <c r="C622" s="176">
        <v>620</v>
      </c>
      <c r="D622" s="177">
        <f t="shared" si="61"/>
        <v>7425.0200000000577</v>
      </c>
      <c r="E622" s="177">
        <f t="shared" si="62"/>
        <v>7426.3400000000584</v>
      </c>
      <c r="F622" s="177">
        <f t="shared" si="63"/>
        <v>4620.2800000000007</v>
      </c>
      <c r="G622" s="177">
        <f t="shared" si="64"/>
        <v>10896.530000000097</v>
      </c>
      <c r="H622" s="177">
        <f t="shared" si="65"/>
        <v>4344.2699999999495</v>
      </c>
      <c r="I622" s="177">
        <f t="shared" si="66"/>
        <v>11883.140000000112</v>
      </c>
      <c r="K622" s="151">
        <f>K621+'Basic Data'!$AC$13</f>
        <v>7460.5800000000581</v>
      </c>
      <c r="L622" s="151">
        <f>L621+'Basic Data'!$AD$13</f>
        <v>7460.5800000000581</v>
      </c>
      <c r="M622" s="151">
        <f>M621+'Basic Data'!$AE$13</f>
        <v>4641.670000000001</v>
      </c>
      <c r="N622" s="151">
        <f>N621+'Basic Data'!$AF$13</f>
        <v>10946.960000000097</v>
      </c>
      <c r="O622" s="151">
        <f>O621+'Basic Data'!$AG$13</f>
        <v>4365.1299999999492</v>
      </c>
      <c r="P622" s="151">
        <f>P621+'Basic Data'!$AH$13</f>
        <v>11940.260000000113</v>
      </c>
    </row>
    <row r="623" spans="2:16">
      <c r="B623" s="156">
        <v>621</v>
      </c>
      <c r="C623" s="176">
        <v>621</v>
      </c>
      <c r="D623" s="177">
        <f t="shared" si="61"/>
        <v>7436.9000000000578</v>
      </c>
      <c r="E623" s="177">
        <f t="shared" si="62"/>
        <v>7438.2200000000585</v>
      </c>
      <c r="F623" s="177">
        <f t="shared" si="63"/>
        <v>4627.670000000001</v>
      </c>
      <c r="G623" s="177">
        <f t="shared" si="64"/>
        <v>10913.960000000097</v>
      </c>
      <c r="H623" s="177">
        <f t="shared" si="65"/>
        <v>4351.2199999999493</v>
      </c>
      <c r="I623" s="177">
        <f t="shared" si="66"/>
        <v>11902.150000000112</v>
      </c>
      <c r="K623" s="151">
        <f>K622+'Basic Data'!$AC$13</f>
        <v>7472.4600000000582</v>
      </c>
      <c r="L623" s="151">
        <f>L622+'Basic Data'!$AD$13</f>
        <v>7472.4600000000582</v>
      </c>
      <c r="M623" s="151">
        <f>M622+'Basic Data'!$AE$13</f>
        <v>4649.0600000000013</v>
      </c>
      <c r="N623" s="151">
        <f>N622+'Basic Data'!$AF$13</f>
        <v>10964.390000000098</v>
      </c>
      <c r="O623" s="151">
        <f>O622+'Basic Data'!$AG$13</f>
        <v>4372.079999999949</v>
      </c>
      <c r="P623" s="151">
        <f>P622+'Basic Data'!$AH$13</f>
        <v>11959.270000000113</v>
      </c>
    </row>
    <row r="624" spans="2:16">
      <c r="B624" s="156">
        <v>622</v>
      </c>
      <c r="C624" s="176">
        <v>622</v>
      </c>
      <c r="D624" s="177">
        <f t="shared" si="61"/>
        <v>7448.780000000058</v>
      </c>
      <c r="E624" s="177">
        <f t="shared" si="62"/>
        <v>7450.1000000000586</v>
      </c>
      <c r="F624" s="177">
        <f t="shared" si="63"/>
        <v>4635.0600000000013</v>
      </c>
      <c r="G624" s="177">
        <f t="shared" si="64"/>
        <v>10931.390000000098</v>
      </c>
      <c r="H624" s="177">
        <f t="shared" si="65"/>
        <v>4358.1699999999491</v>
      </c>
      <c r="I624" s="177">
        <f t="shared" si="66"/>
        <v>11921.160000000113</v>
      </c>
      <c r="K624" s="151">
        <f>K623+'Basic Data'!$AC$13</f>
        <v>7484.3400000000584</v>
      </c>
      <c r="L624" s="151">
        <f>L623+'Basic Data'!$AD$13</f>
        <v>7484.3400000000584</v>
      </c>
      <c r="M624" s="151">
        <f>M623+'Basic Data'!$AE$13</f>
        <v>4656.4500000000016</v>
      </c>
      <c r="N624" s="151">
        <f>N623+'Basic Data'!$AF$13</f>
        <v>10981.820000000098</v>
      </c>
      <c r="O624" s="151">
        <f>O623+'Basic Data'!$AG$13</f>
        <v>4379.0299999999488</v>
      </c>
      <c r="P624" s="151">
        <f>P623+'Basic Data'!$AH$13</f>
        <v>11978.280000000113</v>
      </c>
    </row>
    <row r="625" spans="2:16">
      <c r="B625" s="156">
        <v>623</v>
      </c>
      <c r="C625" s="176">
        <v>623</v>
      </c>
      <c r="D625" s="177">
        <f t="shared" si="61"/>
        <v>7460.6600000000581</v>
      </c>
      <c r="E625" s="177">
        <f t="shared" si="62"/>
        <v>7461.9800000000587</v>
      </c>
      <c r="F625" s="177">
        <f t="shared" si="63"/>
        <v>4642.4500000000016</v>
      </c>
      <c r="G625" s="177">
        <f t="shared" si="64"/>
        <v>10948.820000000098</v>
      </c>
      <c r="H625" s="177">
        <f t="shared" si="65"/>
        <v>4365.119999999949</v>
      </c>
      <c r="I625" s="177">
        <f t="shared" si="66"/>
        <v>11940.170000000113</v>
      </c>
      <c r="K625" s="151">
        <f>K624+'Basic Data'!$AC$13</f>
        <v>7496.2200000000585</v>
      </c>
      <c r="L625" s="151">
        <f>L624+'Basic Data'!$AD$13</f>
        <v>7496.2200000000585</v>
      </c>
      <c r="M625" s="151">
        <f>M624+'Basic Data'!$AE$13</f>
        <v>4663.840000000002</v>
      </c>
      <c r="N625" s="151">
        <f>N624+'Basic Data'!$AF$13</f>
        <v>10999.250000000098</v>
      </c>
      <c r="O625" s="151">
        <f>O624+'Basic Data'!$AG$13</f>
        <v>4385.9799999999486</v>
      </c>
      <c r="P625" s="151">
        <f>P624+'Basic Data'!$AH$13</f>
        <v>11997.290000000114</v>
      </c>
    </row>
    <row r="626" spans="2:16">
      <c r="B626" s="156">
        <v>624</v>
      </c>
      <c r="C626" s="176">
        <v>624</v>
      </c>
      <c r="D626" s="177">
        <f t="shared" si="61"/>
        <v>7472.5400000000582</v>
      </c>
      <c r="E626" s="177">
        <f t="shared" si="62"/>
        <v>7473.8600000000588</v>
      </c>
      <c r="F626" s="177">
        <f t="shared" si="63"/>
        <v>4649.840000000002</v>
      </c>
      <c r="G626" s="177">
        <f t="shared" si="64"/>
        <v>10966.250000000098</v>
      </c>
      <c r="H626" s="177">
        <f t="shared" si="65"/>
        <v>4372.0699999999488</v>
      </c>
      <c r="I626" s="177">
        <f t="shared" si="66"/>
        <v>11959.180000000113</v>
      </c>
      <c r="K626" s="151">
        <f>K625+'Basic Data'!$AC$13</f>
        <v>7508.1000000000586</v>
      </c>
      <c r="L626" s="151">
        <f>L625+'Basic Data'!$AD$13</f>
        <v>7508.1000000000586</v>
      </c>
      <c r="M626" s="151">
        <f>M625+'Basic Data'!$AE$13</f>
        <v>4671.2300000000023</v>
      </c>
      <c r="N626" s="151">
        <f>N625+'Basic Data'!$AF$13</f>
        <v>11016.680000000099</v>
      </c>
      <c r="O626" s="151">
        <f>O625+'Basic Data'!$AG$13</f>
        <v>4392.9299999999484</v>
      </c>
      <c r="P626" s="151">
        <f>P625+'Basic Data'!$AH$13</f>
        <v>12016.300000000114</v>
      </c>
    </row>
    <row r="627" spans="2:16">
      <c r="B627" s="156">
        <v>625</v>
      </c>
      <c r="C627" s="176">
        <v>625</v>
      </c>
      <c r="D627" s="177">
        <f t="shared" si="61"/>
        <v>7484.4200000000583</v>
      </c>
      <c r="E627" s="177">
        <f t="shared" si="62"/>
        <v>7485.7400000000589</v>
      </c>
      <c r="F627" s="177">
        <f t="shared" si="63"/>
        <v>4657.2300000000023</v>
      </c>
      <c r="G627" s="177">
        <f t="shared" si="64"/>
        <v>10983.680000000099</v>
      </c>
      <c r="H627" s="177">
        <f t="shared" si="65"/>
        <v>4379.0199999999486</v>
      </c>
      <c r="I627" s="177">
        <f t="shared" si="66"/>
        <v>11978.190000000113</v>
      </c>
      <c r="K627" s="151">
        <f>K626+'Basic Data'!$AC$13</f>
        <v>7519.9800000000587</v>
      </c>
      <c r="L627" s="151">
        <f>L626+'Basic Data'!$AD$13</f>
        <v>7519.9800000000587</v>
      </c>
      <c r="M627" s="151">
        <f>M626+'Basic Data'!$AE$13</f>
        <v>4678.6200000000026</v>
      </c>
      <c r="N627" s="151">
        <f>N626+'Basic Data'!$AF$13</f>
        <v>11034.110000000099</v>
      </c>
      <c r="O627" s="151">
        <f>O626+'Basic Data'!$AG$13</f>
        <v>4399.8799999999483</v>
      </c>
      <c r="P627" s="151">
        <f>P626+'Basic Data'!$AH$13</f>
        <v>12035.310000000114</v>
      </c>
    </row>
    <row r="628" spans="2:16">
      <c r="B628" s="156">
        <v>626</v>
      </c>
      <c r="C628" s="176">
        <v>626</v>
      </c>
      <c r="D628" s="177">
        <f t="shared" si="61"/>
        <v>7496.3000000000584</v>
      </c>
      <c r="E628" s="177">
        <f t="shared" si="62"/>
        <v>7497.620000000059</v>
      </c>
      <c r="F628" s="177">
        <f t="shared" si="63"/>
        <v>4664.6200000000026</v>
      </c>
      <c r="G628" s="177">
        <f t="shared" si="64"/>
        <v>11001.110000000099</v>
      </c>
      <c r="H628" s="177">
        <f t="shared" si="65"/>
        <v>4385.9699999999484</v>
      </c>
      <c r="I628" s="177">
        <f t="shared" si="66"/>
        <v>11997.200000000114</v>
      </c>
      <c r="K628" s="151">
        <f>K627+'Basic Data'!$AC$13</f>
        <v>7531.8600000000588</v>
      </c>
      <c r="L628" s="151">
        <f>L627+'Basic Data'!$AD$13</f>
        <v>7531.8600000000588</v>
      </c>
      <c r="M628" s="151">
        <f>M627+'Basic Data'!$AE$13</f>
        <v>4686.0100000000029</v>
      </c>
      <c r="N628" s="151">
        <f>N627+'Basic Data'!$AF$13</f>
        <v>11051.540000000099</v>
      </c>
      <c r="O628" s="151">
        <f>O627+'Basic Data'!$AG$13</f>
        <v>4406.8299999999481</v>
      </c>
      <c r="P628" s="151">
        <f>P627+'Basic Data'!$AH$13</f>
        <v>12054.320000000114</v>
      </c>
    </row>
    <row r="629" spans="2:16">
      <c r="B629" s="156">
        <v>627</v>
      </c>
      <c r="C629" s="176">
        <v>627</v>
      </c>
      <c r="D629" s="177">
        <f t="shared" si="61"/>
        <v>7508.1800000000585</v>
      </c>
      <c r="E629" s="177">
        <f t="shared" si="62"/>
        <v>7509.5000000000591</v>
      </c>
      <c r="F629" s="177">
        <f t="shared" si="63"/>
        <v>4672.0100000000029</v>
      </c>
      <c r="G629" s="177">
        <f t="shared" si="64"/>
        <v>11018.540000000099</v>
      </c>
      <c r="H629" s="177">
        <f t="shared" si="65"/>
        <v>4392.9199999999482</v>
      </c>
      <c r="I629" s="177">
        <f t="shared" si="66"/>
        <v>12016.210000000114</v>
      </c>
      <c r="K629" s="151">
        <f>K628+'Basic Data'!$AC$13</f>
        <v>7543.7400000000589</v>
      </c>
      <c r="L629" s="151">
        <f>L628+'Basic Data'!$AD$13</f>
        <v>7543.7400000000589</v>
      </c>
      <c r="M629" s="151">
        <f>M628+'Basic Data'!$AE$13</f>
        <v>4693.4000000000033</v>
      </c>
      <c r="N629" s="151">
        <f>N628+'Basic Data'!$AF$13</f>
        <v>11068.970000000099</v>
      </c>
      <c r="O629" s="151">
        <f>O628+'Basic Data'!$AG$13</f>
        <v>4413.7799999999479</v>
      </c>
      <c r="P629" s="151">
        <f>P628+'Basic Data'!$AH$13</f>
        <v>12073.330000000115</v>
      </c>
    </row>
    <row r="630" spans="2:16">
      <c r="B630" s="156">
        <v>628</v>
      </c>
      <c r="C630" s="176">
        <v>628</v>
      </c>
      <c r="D630" s="177">
        <f t="shared" si="61"/>
        <v>7520.0600000000586</v>
      </c>
      <c r="E630" s="177">
        <f t="shared" si="62"/>
        <v>7521.3800000000592</v>
      </c>
      <c r="F630" s="177">
        <f t="shared" si="63"/>
        <v>4679.4000000000033</v>
      </c>
      <c r="G630" s="177">
        <f t="shared" si="64"/>
        <v>11035.970000000099</v>
      </c>
      <c r="H630" s="177">
        <f t="shared" si="65"/>
        <v>4399.869999999948</v>
      </c>
      <c r="I630" s="177">
        <f t="shared" si="66"/>
        <v>12035.220000000114</v>
      </c>
      <c r="K630" s="151">
        <f>K629+'Basic Data'!$AC$13</f>
        <v>7555.620000000059</v>
      </c>
      <c r="L630" s="151">
        <f>L629+'Basic Data'!$AD$13</f>
        <v>7555.620000000059</v>
      </c>
      <c r="M630" s="151">
        <f>M629+'Basic Data'!$AE$13</f>
        <v>4700.7900000000036</v>
      </c>
      <c r="N630" s="151">
        <f>N629+'Basic Data'!$AF$13</f>
        <v>11086.4000000001</v>
      </c>
      <c r="O630" s="151">
        <f>O629+'Basic Data'!$AG$13</f>
        <v>4420.7299999999477</v>
      </c>
      <c r="P630" s="151">
        <f>P629+'Basic Data'!$AH$13</f>
        <v>12092.340000000115</v>
      </c>
    </row>
    <row r="631" spans="2:16">
      <c r="B631" s="156">
        <v>629</v>
      </c>
      <c r="C631" s="176">
        <v>629</v>
      </c>
      <c r="D631" s="177">
        <f t="shared" ref="D631:D694" si="67">K631-$K$3</f>
        <v>7531.9400000000587</v>
      </c>
      <c r="E631" s="177">
        <f t="shared" ref="E631:E694" si="68">L631-$L$3</f>
        <v>7533.2600000000593</v>
      </c>
      <c r="F631" s="177">
        <f t="shared" ref="F631:F694" si="69">M631-$M$3</f>
        <v>4686.7900000000036</v>
      </c>
      <c r="G631" s="177">
        <f t="shared" ref="G631:G694" si="70">N631-$N$3</f>
        <v>11053.4000000001</v>
      </c>
      <c r="H631" s="177">
        <f t="shared" ref="H631:H694" si="71">O631-$O$3</f>
        <v>4406.8199999999479</v>
      </c>
      <c r="I631" s="177">
        <f t="shared" ref="I631:I694" si="72">P631-$P$3</f>
        <v>12054.230000000114</v>
      </c>
      <c r="K631" s="151">
        <f>K630+'Basic Data'!$AC$13</f>
        <v>7567.5000000000591</v>
      </c>
      <c r="L631" s="151">
        <f>L630+'Basic Data'!$AD$13</f>
        <v>7567.5000000000591</v>
      </c>
      <c r="M631" s="151">
        <f>M630+'Basic Data'!$AE$13</f>
        <v>4708.1800000000039</v>
      </c>
      <c r="N631" s="151">
        <f>N630+'Basic Data'!$AF$13</f>
        <v>11103.8300000001</v>
      </c>
      <c r="O631" s="151">
        <f>O630+'Basic Data'!$AG$13</f>
        <v>4427.6799999999475</v>
      </c>
      <c r="P631" s="151">
        <f>P630+'Basic Data'!$AH$13</f>
        <v>12111.350000000115</v>
      </c>
    </row>
    <row r="632" spans="2:16">
      <c r="B632" s="156">
        <v>630</v>
      </c>
      <c r="C632" s="176">
        <v>630</v>
      </c>
      <c r="D632" s="177">
        <f t="shared" si="67"/>
        <v>7543.8200000000588</v>
      </c>
      <c r="E632" s="177">
        <f t="shared" si="68"/>
        <v>7545.1400000000594</v>
      </c>
      <c r="F632" s="177">
        <f t="shared" si="69"/>
        <v>4694.1800000000039</v>
      </c>
      <c r="G632" s="177">
        <f t="shared" si="70"/>
        <v>11070.8300000001</v>
      </c>
      <c r="H632" s="177">
        <f t="shared" si="71"/>
        <v>4413.7699999999477</v>
      </c>
      <c r="I632" s="177">
        <f t="shared" si="72"/>
        <v>12073.240000000114</v>
      </c>
      <c r="K632" s="151">
        <f>K631+'Basic Data'!$AC$13</f>
        <v>7579.3800000000592</v>
      </c>
      <c r="L632" s="151">
        <f>L631+'Basic Data'!$AD$13</f>
        <v>7579.3800000000592</v>
      </c>
      <c r="M632" s="151">
        <f>M631+'Basic Data'!$AE$13</f>
        <v>4715.5700000000043</v>
      </c>
      <c r="N632" s="151">
        <f>N631+'Basic Data'!$AF$13</f>
        <v>11121.2600000001</v>
      </c>
      <c r="O632" s="151">
        <f>O631+'Basic Data'!$AG$13</f>
        <v>4434.6299999999474</v>
      </c>
      <c r="P632" s="151">
        <f>P631+'Basic Data'!$AH$13</f>
        <v>12130.360000000115</v>
      </c>
    </row>
    <row r="633" spans="2:16">
      <c r="B633" s="156">
        <v>631</v>
      </c>
      <c r="C633" s="176">
        <v>631</v>
      </c>
      <c r="D633" s="177">
        <f t="shared" si="67"/>
        <v>7555.7000000000589</v>
      </c>
      <c r="E633" s="177">
        <f t="shared" si="68"/>
        <v>7557.0200000000596</v>
      </c>
      <c r="F633" s="177">
        <f t="shared" si="69"/>
        <v>4701.5700000000043</v>
      </c>
      <c r="G633" s="177">
        <f t="shared" si="70"/>
        <v>11088.2600000001</v>
      </c>
      <c r="H633" s="177">
        <f t="shared" si="71"/>
        <v>4420.7199999999475</v>
      </c>
      <c r="I633" s="177">
        <f t="shared" si="72"/>
        <v>12092.250000000115</v>
      </c>
      <c r="K633" s="151">
        <f>K632+'Basic Data'!$AC$13</f>
        <v>7591.2600000000593</v>
      </c>
      <c r="L633" s="151">
        <f>L632+'Basic Data'!$AD$13</f>
        <v>7591.2600000000593</v>
      </c>
      <c r="M633" s="151">
        <f>M632+'Basic Data'!$AE$13</f>
        <v>4722.9600000000046</v>
      </c>
      <c r="N633" s="151">
        <f>N632+'Basic Data'!$AF$13</f>
        <v>11138.690000000101</v>
      </c>
      <c r="O633" s="151">
        <f>O632+'Basic Data'!$AG$13</f>
        <v>4441.5799999999472</v>
      </c>
      <c r="P633" s="151">
        <f>P632+'Basic Data'!$AH$13</f>
        <v>12149.370000000115</v>
      </c>
    </row>
    <row r="634" spans="2:16">
      <c r="B634" s="156">
        <v>632</v>
      </c>
      <c r="C634" s="176">
        <v>632</v>
      </c>
      <c r="D634" s="177">
        <f t="shared" si="67"/>
        <v>7567.580000000059</v>
      </c>
      <c r="E634" s="177">
        <f t="shared" si="68"/>
        <v>7568.9000000000597</v>
      </c>
      <c r="F634" s="177">
        <f t="shared" si="69"/>
        <v>4708.9600000000046</v>
      </c>
      <c r="G634" s="177">
        <f t="shared" si="70"/>
        <v>11105.690000000101</v>
      </c>
      <c r="H634" s="177">
        <f t="shared" si="71"/>
        <v>4427.6699999999473</v>
      </c>
      <c r="I634" s="177">
        <f t="shared" si="72"/>
        <v>12111.260000000115</v>
      </c>
      <c r="K634" s="151">
        <f>K633+'Basic Data'!$AC$13</f>
        <v>7603.1400000000594</v>
      </c>
      <c r="L634" s="151">
        <f>L633+'Basic Data'!$AD$13</f>
        <v>7603.1400000000594</v>
      </c>
      <c r="M634" s="151">
        <f>M633+'Basic Data'!$AE$13</f>
        <v>4730.3500000000049</v>
      </c>
      <c r="N634" s="151">
        <f>N633+'Basic Data'!$AF$13</f>
        <v>11156.120000000101</v>
      </c>
      <c r="O634" s="151">
        <f>O633+'Basic Data'!$AG$13</f>
        <v>4448.529999999947</v>
      </c>
      <c r="P634" s="151">
        <f>P633+'Basic Data'!$AH$13</f>
        <v>12168.380000000116</v>
      </c>
    </row>
    <row r="635" spans="2:16">
      <c r="B635" s="156">
        <v>633</v>
      </c>
      <c r="C635" s="176">
        <v>633</v>
      </c>
      <c r="D635" s="177">
        <f t="shared" si="67"/>
        <v>7579.4600000000592</v>
      </c>
      <c r="E635" s="177">
        <f t="shared" si="68"/>
        <v>7580.7800000000598</v>
      </c>
      <c r="F635" s="177">
        <f t="shared" si="69"/>
        <v>4716.3500000000049</v>
      </c>
      <c r="G635" s="177">
        <f t="shared" si="70"/>
        <v>11123.120000000101</v>
      </c>
      <c r="H635" s="177">
        <f t="shared" si="71"/>
        <v>4434.6199999999471</v>
      </c>
      <c r="I635" s="177">
        <f t="shared" si="72"/>
        <v>12130.270000000115</v>
      </c>
      <c r="K635" s="151">
        <f>K634+'Basic Data'!$AC$13</f>
        <v>7615.0200000000596</v>
      </c>
      <c r="L635" s="151">
        <f>L634+'Basic Data'!$AD$13</f>
        <v>7615.0200000000596</v>
      </c>
      <c r="M635" s="151">
        <f>M634+'Basic Data'!$AE$13</f>
        <v>4737.7400000000052</v>
      </c>
      <c r="N635" s="151">
        <f>N634+'Basic Data'!$AF$13</f>
        <v>11173.550000000101</v>
      </c>
      <c r="O635" s="151">
        <f>O634+'Basic Data'!$AG$13</f>
        <v>4455.4799999999468</v>
      </c>
      <c r="P635" s="151">
        <f>P634+'Basic Data'!$AH$13</f>
        <v>12187.390000000116</v>
      </c>
    </row>
    <row r="636" spans="2:16">
      <c r="B636" s="156">
        <v>634</v>
      </c>
      <c r="C636" s="176">
        <v>634</v>
      </c>
      <c r="D636" s="177">
        <f t="shared" si="67"/>
        <v>7591.3400000000593</v>
      </c>
      <c r="E636" s="177">
        <f t="shared" si="68"/>
        <v>7592.6600000000599</v>
      </c>
      <c r="F636" s="177">
        <f t="shared" si="69"/>
        <v>4723.7400000000052</v>
      </c>
      <c r="G636" s="177">
        <f t="shared" si="70"/>
        <v>11140.550000000101</v>
      </c>
      <c r="H636" s="177">
        <f t="shared" si="71"/>
        <v>4441.569999999947</v>
      </c>
      <c r="I636" s="177">
        <f t="shared" si="72"/>
        <v>12149.280000000115</v>
      </c>
      <c r="K636" s="151">
        <f>K635+'Basic Data'!$AC$13</f>
        <v>7626.9000000000597</v>
      </c>
      <c r="L636" s="151">
        <f>L635+'Basic Data'!$AD$13</f>
        <v>7626.9000000000597</v>
      </c>
      <c r="M636" s="151">
        <f>M635+'Basic Data'!$AE$13</f>
        <v>4745.1300000000056</v>
      </c>
      <c r="N636" s="151">
        <f>N635+'Basic Data'!$AF$13</f>
        <v>11190.980000000101</v>
      </c>
      <c r="O636" s="151">
        <f>O635+'Basic Data'!$AG$13</f>
        <v>4462.4299999999466</v>
      </c>
      <c r="P636" s="151">
        <f>P635+'Basic Data'!$AH$13</f>
        <v>12206.400000000116</v>
      </c>
    </row>
    <row r="637" spans="2:16">
      <c r="B637" s="156">
        <v>635</v>
      </c>
      <c r="C637" s="176">
        <v>635</v>
      </c>
      <c r="D637" s="177">
        <f t="shared" si="67"/>
        <v>7603.2200000000594</v>
      </c>
      <c r="E637" s="177">
        <f t="shared" si="68"/>
        <v>7604.54000000006</v>
      </c>
      <c r="F637" s="177">
        <f t="shared" si="69"/>
        <v>4731.1300000000056</v>
      </c>
      <c r="G637" s="177">
        <f t="shared" si="70"/>
        <v>11157.980000000101</v>
      </c>
      <c r="H637" s="177">
        <f t="shared" si="71"/>
        <v>4448.5199999999468</v>
      </c>
      <c r="I637" s="177">
        <f t="shared" si="72"/>
        <v>12168.290000000115</v>
      </c>
      <c r="K637" s="151">
        <f>K636+'Basic Data'!$AC$13</f>
        <v>7638.7800000000598</v>
      </c>
      <c r="L637" s="151">
        <f>L636+'Basic Data'!$AD$13</f>
        <v>7638.7800000000598</v>
      </c>
      <c r="M637" s="151">
        <f>M636+'Basic Data'!$AE$13</f>
        <v>4752.5200000000059</v>
      </c>
      <c r="N637" s="151">
        <f>N636+'Basic Data'!$AF$13</f>
        <v>11208.410000000102</v>
      </c>
      <c r="O637" s="151">
        <f>O636+'Basic Data'!$AG$13</f>
        <v>4469.3799999999464</v>
      </c>
      <c r="P637" s="151">
        <f>P636+'Basic Data'!$AH$13</f>
        <v>12225.410000000116</v>
      </c>
    </row>
    <row r="638" spans="2:16">
      <c r="B638" s="156">
        <v>636</v>
      </c>
      <c r="C638" s="176">
        <v>636</v>
      </c>
      <c r="D638" s="177">
        <f t="shared" si="67"/>
        <v>7615.1000000000595</v>
      </c>
      <c r="E638" s="177">
        <f t="shared" si="68"/>
        <v>7616.4200000000601</v>
      </c>
      <c r="F638" s="177">
        <f t="shared" si="69"/>
        <v>4738.5200000000059</v>
      </c>
      <c r="G638" s="177">
        <f t="shared" si="70"/>
        <v>11175.410000000102</v>
      </c>
      <c r="H638" s="177">
        <f t="shared" si="71"/>
        <v>4455.4699999999466</v>
      </c>
      <c r="I638" s="177">
        <f t="shared" si="72"/>
        <v>12187.300000000116</v>
      </c>
      <c r="K638" s="151">
        <f>K637+'Basic Data'!$AC$13</f>
        <v>7650.6600000000599</v>
      </c>
      <c r="L638" s="151">
        <f>L637+'Basic Data'!$AD$13</f>
        <v>7650.6600000000599</v>
      </c>
      <c r="M638" s="151">
        <f>M637+'Basic Data'!$AE$13</f>
        <v>4759.9100000000062</v>
      </c>
      <c r="N638" s="151">
        <f>N637+'Basic Data'!$AF$13</f>
        <v>11225.840000000102</v>
      </c>
      <c r="O638" s="151">
        <f>O637+'Basic Data'!$AG$13</f>
        <v>4476.3299999999463</v>
      </c>
      <c r="P638" s="151">
        <f>P637+'Basic Data'!$AH$13</f>
        <v>12244.420000000116</v>
      </c>
    </row>
    <row r="639" spans="2:16">
      <c r="B639" s="156">
        <v>637</v>
      </c>
      <c r="C639" s="176">
        <v>637</v>
      </c>
      <c r="D639" s="177">
        <f t="shared" si="67"/>
        <v>7626.9800000000596</v>
      </c>
      <c r="E639" s="177">
        <f t="shared" si="68"/>
        <v>7628.3000000000602</v>
      </c>
      <c r="F639" s="177">
        <f t="shared" si="69"/>
        <v>4745.9100000000062</v>
      </c>
      <c r="G639" s="177">
        <f t="shared" si="70"/>
        <v>11192.840000000102</v>
      </c>
      <c r="H639" s="177">
        <f t="shared" si="71"/>
        <v>4462.4199999999464</v>
      </c>
      <c r="I639" s="177">
        <f t="shared" si="72"/>
        <v>12206.310000000116</v>
      </c>
      <c r="K639" s="151">
        <f>K638+'Basic Data'!$AC$13</f>
        <v>7662.54000000006</v>
      </c>
      <c r="L639" s="151">
        <f>L638+'Basic Data'!$AD$13</f>
        <v>7662.54000000006</v>
      </c>
      <c r="M639" s="151">
        <f>M638+'Basic Data'!$AE$13</f>
        <v>4767.3000000000065</v>
      </c>
      <c r="N639" s="151">
        <f>N638+'Basic Data'!$AF$13</f>
        <v>11243.270000000102</v>
      </c>
      <c r="O639" s="151">
        <f>O638+'Basic Data'!$AG$13</f>
        <v>4483.2799999999461</v>
      </c>
      <c r="P639" s="151">
        <f>P638+'Basic Data'!$AH$13</f>
        <v>12263.430000000117</v>
      </c>
    </row>
    <row r="640" spans="2:16">
      <c r="B640" s="156">
        <v>638</v>
      </c>
      <c r="C640" s="176">
        <v>638</v>
      </c>
      <c r="D640" s="177">
        <f t="shared" si="67"/>
        <v>7638.8600000000597</v>
      </c>
      <c r="E640" s="177">
        <f t="shared" si="68"/>
        <v>7640.1800000000603</v>
      </c>
      <c r="F640" s="177">
        <f t="shared" si="69"/>
        <v>4753.3000000000065</v>
      </c>
      <c r="G640" s="177">
        <f t="shared" si="70"/>
        <v>11210.270000000102</v>
      </c>
      <c r="H640" s="177">
        <f t="shared" si="71"/>
        <v>4469.3699999999462</v>
      </c>
      <c r="I640" s="177">
        <f t="shared" si="72"/>
        <v>12225.320000000116</v>
      </c>
      <c r="K640" s="151">
        <f>K639+'Basic Data'!$AC$13</f>
        <v>7674.4200000000601</v>
      </c>
      <c r="L640" s="151">
        <f>L639+'Basic Data'!$AD$13</f>
        <v>7674.4200000000601</v>
      </c>
      <c r="M640" s="151">
        <f>M639+'Basic Data'!$AE$13</f>
        <v>4774.6900000000069</v>
      </c>
      <c r="N640" s="151">
        <f>N639+'Basic Data'!$AF$13</f>
        <v>11260.700000000103</v>
      </c>
      <c r="O640" s="151">
        <f>O639+'Basic Data'!$AG$13</f>
        <v>4490.2299999999459</v>
      </c>
      <c r="P640" s="151">
        <f>P639+'Basic Data'!$AH$13</f>
        <v>12282.440000000117</v>
      </c>
    </row>
    <row r="641" spans="2:16">
      <c r="B641" s="156">
        <v>639</v>
      </c>
      <c r="C641" s="176">
        <v>639</v>
      </c>
      <c r="D641" s="177">
        <f t="shared" si="67"/>
        <v>7650.7400000000598</v>
      </c>
      <c r="E641" s="177">
        <f t="shared" si="68"/>
        <v>7652.0600000000604</v>
      </c>
      <c r="F641" s="177">
        <f t="shared" si="69"/>
        <v>4760.6900000000069</v>
      </c>
      <c r="G641" s="177">
        <f t="shared" si="70"/>
        <v>11227.700000000103</v>
      </c>
      <c r="H641" s="177">
        <f t="shared" si="71"/>
        <v>4476.319999999946</v>
      </c>
      <c r="I641" s="177">
        <f t="shared" si="72"/>
        <v>12244.330000000116</v>
      </c>
      <c r="K641" s="151">
        <f>K640+'Basic Data'!$AC$13</f>
        <v>7686.3000000000602</v>
      </c>
      <c r="L641" s="151">
        <f>L640+'Basic Data'!$AD$13</f>
        <v>7686.3000000000602</v>
      </c>
      <c r="M641" s="151">
        <f>M640+'Basic Data'!$AE$13</f>
        <v>4782.0800000000072</v>
      </c>
      <c r="N641" s="151">
        <f>N640+'Basic Data'!$AF$13</f>
        <v>11278.130000000103</v>
      </c>
      <c r="O641" s="151">
        <f>O640+'Basic Data'!$AG$13</f>
        <v>4497.1799999999457</v>
      </c>
      <c r="P641" s="151">
        <f>P640+'Basic Data'!$AH$13</f>
        <v>12301.450000000117</v>
      </c>
    </row>
    <row r="642" spans="2:16">
      <c r="B642" s="156">
        <v>640</v>
      </c>
      <c r="C642" s="176">
        <v>640</v>
      </c>
      <c r="D642" s="177">
        <f t="shared" si="67"/>
        <v>7662.6200000000599</v>
      </c>
      <c r="E642" s="177">
        <f t="shared" si="68"/>
        <v>7663.9400000000605</v>
      </c>
      <c r="F642" s="177">
        <f t="shared" si="69"/>
        <v>4768.0800000000072</v>
      </c>
      <c r="G642" s="177">
        <f t="shared" si="70"/>
        <v>11245.130000000103</v>
      </c>
      <c r="H642" s="177">
        <f t="shared" si="71"/>
        <v>4483.2699999999459</v>
      </c>
      <c r="I642" s="177">
        <f t="shared" si="72"/>
        <v>12263.340000000117</v>
      </c>
      <c r="K642" s="151">
        <f>K641+'Basic Data'!$AC$13</f>
        <v>7698.1800000000603</v>
      </c>
      <c r="L642" s="151">
        <f>L641+'Basic Data'!$AD$13</f>
        <v>7698.1800000000603</v>
      </c>
      <c r="M642" s="151">
        <f>M641+'Basic Data'!$AE$13</f>
        <v>4789.4700000000075</v>
      </c>
      <c r="N642" s="151">
        <f>N641+'Basic Data'!$AF$13</f>
        <v>11295.560000000103</v>
      </c>
      <c r="O642" s="151">
        <f>O641+'Basic Data'!$AG$13</f>
        <v>4504.1299999999455</v>
      </c>
      <c r="P642" s="151">
        <f>P641+'Basic Data'!$AH$13</f>
        <v>12320.460000000117</v>
      </c>
    </row>
    <row r="643" spans="2:16">
      <c r="B643" s="156">
        <v>641</v>
      </c>
      <c r="C643" s="176">
        <v>641</v>
      </c>
      <c r="D643" s="177">
        <f t="shared" si="67"/>
        <v>7674.50000000006</v>
      </c>
      <c r="E643" s="177">
        <f t="shared" si="68"/>
        <v>7675.8200000000606</v>
      </c>
      <c r="F643" s="177">
        <f t="shared" si="69"/>
        <v>4775.4700000000075</v>
      </c>
      <c r="G643" s="177">
        <f t="shared" si="70"/>
        <v>11262.560000000103</v>
      </c>
      <c r="H643" s="177">
        <f t="shared" si="71"/>
        <v>4490.2199999999457</v>
      </c>
      <c r="I643" s="177">
        <f t="shared" si="72"/>
        <v>12282.350000000117</v>
      </c>
      <c r="K643" s="151">
        <f>K642+'Basic Data'!$AC$13</f>
        <v>7710.0600000000604</v>
      </c>
      <c r="L643" s="151">
        <f>L642+'Basic Data'!$AD$13</f>
        <v>7710.0600000000604</v>
      </c>
      <c r="M643" s="151">
        <f>M642+'Basic Data'!$AE$13</f>
        <v>4796.8600000000079</v>
      </c>
      <c r="N643" s="151">
        <f>N642+'Basic Data'!$AF$13</f>
        <v>11312.990000000103</v>
      </c>
      <c r="O643" s="151">
        <f>O642+'Basic Data'!$AG$13</f>
        <v>4511.0799999999454</v>
      </c>
      <c r="P643" s="151">
        <f>P642+'Basic Data'!$AH$13</f>
        <v>12339.470000000118</v>
      </c>
    </row>
    <row r="644" spans="2:16">
      <c r="B644" s="156">
        <v>642</v>
      </c>
      <c r="C644" s="176">
        <v>642</v>
      </c>
      <c r="D644" s="177">
        <f t="shared" si="67"/>
        <v>7686.3800000000601</v>
      </c>
      <c r="E644" s="177">
        <f t="shared" si="68"/>
        <v>7687.7000000000608</v>
      </c>
      <c r="F644" s="177">
        <f t="shared" si="69"/>
        <v>4782.8600000000079</v>
      </c>
      <c r="G644" s="177">
        <f t="shared" si="70"/>
        <v>11279.990000000103</v>
      </c>
      <c r="H644" s="177">
        <f t="shared" si="71"/>
        <v>4497.1699999999455</v>
      </c>
      <c r="I644" s="177">
        <f t="shared" si="72"/>
        <v>12301.360000000117</v>
      </c>
      <c r="K644" s="151">
        <f>K643+'Basic Data'!$AC$13</f>
        <v>7721.9400000000605</v>
      </c>
      <c r="L644" s="151">
        <f>L643+'Basic Data'!$AD$13</f>
        <v>7721.9400000000605</v>
      </c>
      <c r="M644" s="151">
        <f>M643+'Basic Data'!$AE$13</f>
        <v>4804.2500000000082</v>
      </c>
      <c r="N644" s="151">
        <f>N643+'Basic Data'!$AF$13</f>
        <v>11330.420000000104</v>
      </c>
      <c r="O644" s="151">
        <f>O643+'Basic Data'!$AG$13</f>
        <v>4518.0299999999452</v>
      </c>
      <c r="P644" s="151">
        <f>P643+'Basic Data'!$AH$13</f>
        <v>12358.480000000118</v>
      </c>
    </row>
    <row r="645" spans="2:16">
      <c r="B645" s="156">
        <v>643</v>
      </c>
      <c r="C645" s="176">
        <v>643</v>
      </c>
      <c r="D645" s="177">
        <f t="shared" si="67"/>
        <v>7698.2600000000602</v>
      </c>
      <c r="E645" s="177">
        <f t="shared" si="68"/>
        <v>7699.5800000000609</v>
      </c>
      <c r="F645" s="177">
        <f t="shared" si="69"/>
        <v>4790.2500000000082</v>
      </c>
      <c r="G645" s="177">
        <f t="shared" si="70"/>
        <v>11297.420000000104</v>
      </c>
      <c r="H645" s="177">
        <f t="shared" si="71"/>
        <v>4504.1199999999453</v>
      </c>
      <c r="I645" s="177">
        <f t="shared" si="72"/>
        <v>12320.370000000117</v>
      </c>
      <c r="K645" s="151">
        <f>K644+'Basic Data'!$AC$13</f>
        <v>7733.8200000000606</v>
      </c>
      <c r="L645" s="151">
        <f>L644+'Basic Data'!$AD$13</f>
        <v>7733.8200000000606</v>
      </c>
      <c r="M645" s="151">
        <f>M644+'Basic Data'!$AE$13</f>
        <v>4811.6400000000085</v>
      </c>
      <c r="N645" s="151">
        <f>N644+'Basic Data'!$AF$13</f>
        <v>11347.850000000104</v>
      </c>
      <c r="O645" s="151">
        <f>O644+'Basic Data'!$AG$13</f>
        <v>4524.979999999945</v>
      </c>
      <c r="P645" s="151">
        <f>P644+'Basic Data'!$AH$13</f>
        <v>12377.490000000118</v>
      </c>
    </row>
    <row r="646" spans="2:16">
      <c r="B646" s="156">
        <v>644</v>
      </c>
      <c r="C646" s="176">
        <v>644</v>
      </c>
      <c r="D646" s="177">
        <f t="shared" si="67"/>
        <v>7710.1400000000604</v>
      </c>
      <c r="E646" s="177">
        <f t="shared" si="68"/>
        <v>7711.460000000061</v>
      </c>
      <c r="F646" s="177">
        <f t="shared" si="69"/>
        <v>4797.6400000000085</v>
      </c>
      <c r="G646" s="177">
        <f t="shared" si="70"/>
        <v>11314.850000000104</v>
      </c>
      <c r="H646" s="177">
        <f t="shared" si="71"/>
        <v>4511.0699999999451</v>
      </c>
      <c r="I646" s="177">
        <f t="shared" si="72"/>
        <v>12339.380000000117</v>
      </c>
      <c r="K646" s="151">
        <f>K645+'Basic Data'!$AC$13</f>
        <v>7745.7000000000608</v>
      </c>
      <c r="L646" s="151">
        <f>L645+'Basic Data'!$AD$13</f>
        <v>7745.7000000000608</v>
      </c>
      <c r="M646" s="151">
        <f>M645+'Basic Data'!$AE$13</f>
        <v>4819.0300000000088</v>
      </c>
      <c r="N646" s="151">
        <f>N645+'Basic Data'!$AF$13</f>
        <v>11365.280000000104</v>
      </c>
      <c r="O646" s="151">
        <f>O645+'Basic Data'!$AG$13</f>
        <v>4531.9299999999448</v>
      </c>
      <c r="P646" s="151">
        <f>P645+'Basic Data'!$AH$13</f>
        <v>12396.500000000118</v>
      </c>
    </row>
    <row r="647" spans="2:16">
      <c r="B647" s="156">
        <v>645</v>
      </c>
      <c r="C647" s="176">
        <v>645</v>
      </c>
      <c r="D647" s="177">
        <f t="shared" si="67"/>
        <v>7722.0200000000605</v>
      </c>
      <c r="E647" s="177">
        <f t="shared" si="68"/>
        <v>7723.3400000000611</v>
      </c>
      <c r="F647" s="177">
        <f t="shared" si="69"/>
        <v>4805.0300000000088</v>
      </c>
      <c r="G647" s="177">
        <f t="shared" si="70"/>
        <v>11332.280000000104</v>
      </c>
      <c r="H647" s="177">
        <f t="shared" si="71"/>
        <v>4518.019999999945</v>
      </c>
      <c r="I647" s="177">
        <f t="shared" si="72"/>
        <v>12358.390000000118</v>
      </c>
      <c r="K647" s="151">
        <f>K646+'Basic Data'!$AC$13</f>
        <v>7757.5800000000609</v>
      </c>
      <c r="L647" s="151">
        <f>L646+'Basic Data'!$AD$13</f>
        <v>7757.5800000000609</v>
      </c>
      <c r="M647" s="151">
        <f>M646+'Basic Data'!$AE$13</f>
        <v>4826.4200000000092</v>
      </c>
      <c r="N647" s="151">
        <f>N646+'Basic Data'!$AF$13</f>
        <v>11382.710000000105</v>
      </c>
      <c r="O647" s="151">
        <f>O646+'Basic Data'!$AG$13</f>
        <v>4538.8799999999446</v>
      </c>
      <c r="P647" s="151">
        <f>P646+'Basic Data'!$AH$13</f>
        <v>12415.510000000118</v>
      </c>
    </row>
    <row r="648" spans="2:16">
      <c r="B648" s="156">
        <v>646</v>
      </c>
      <c r="C648" s="176">
        <v>646</v>
      </c>
      <c r="D648" s="177">
        <f t="shared" si="67"/>
        <v>7733.9000000000606</v>
      </c>
      <c r="E648" s="177">
        <f t="shared" si="68"/>
        <v>7735.2200000000612</v>
      </c>
      <c r="F648" s="177">
        <f t="shared" si="69"/>
        <v>4812.4200000000092</v>
      </c>
      <c r="G648" s="177">
        <f t="shared" si="70"/>
        <v>11349.710000000105</v>
      </c>
      <c r="H648" s="177">
        <f t="shared" si="71"/>
        <v>4524.9699999999448</v>
      </c>
      <c r="I648" s="177">
        <f t="shared" si="72"/>
        <v>12377.400000000118</v>
      </c>
      <c r="K648" s="151">
        <f>K647+'Basic Data'!$AC$13</f>
        <v>7769.460000000061</v>
      </c>
      <c r="L648" s="151">
        <f>L647+'Basic Data'!$AD$13</f>
        <v>7769.460000000061</v>
      </c>
      <c r="M648" s="151">
        <f>M647+'Basic Data'!$AE$13</f>
        <v>4833.8100000000095</v>
      </c>
      <c r="N648" s="151">
        <f>N647+'Basic Data'!$AF$13</f>
        <v>11400.140000000105</v>
      </c>
      <c r="O648" s="151">
        <f>O647+'Basic Data'!$AG$13</f>
        <v>4545.8299999999444</v>
      </c>
      <c r="P648" s="151">
        <f>P647+'Basic Data'!$AH$13</f>
        <v>12434.520000000119</v>
      </c>
    </row>
    <row r="649" spans="2:16">
      <c r="B649" s="156">
        <v>647</v>
      </c>
      <c r="C649" s="176">
        <v>647</v>
      </c>
      <c r="D649" s="177">
        <f t="shared" si="67"/>
        <v>7745.7800000000607</v>
      </c>
      <c r="E649" s="177">
        <f t="shared" si="68"/>
        <v>7747.1000000000613</v>
      </c>
      <c r="F649" s="177">
        <f t="shared" si="69"/>
        <v>4819.8100000000095</v>
      </c>
      <c r="G649" s="177">
        <f t="shared" si="70"/>
        <v>11367.140000000105</v>
      </c>
      <c r="H649" s="177">
        <f t="shared" si="71"/>
        <v>4531.9199999999446</v>
      </c>
      <c r="I649" s="177">
        <f t="shared" si="72"/>
        <v>12396.410000000118</v>
      </c>
      <c r="K649" s="151">
        <f>K648+'Basic Data'!$AC$13</f>
        <v>7781.3400000000611</v>
      </c>
      <c r="L649" s="151">
        <f>L648+'Basic Data'!$AD$13</f>
        <v>7781.3400000000611</v>
      </c>
      <c r="M649" s="151">
        <f>M648+'Basic Data'!$AE$13</f>
        <v>4841.2000000000098</v>
      </c>
      <c r="N649" s="151">
        <f>N648+'Basic Data'!$AF$13</f>
        <v>11417.570000000105</v>
      </c>
      <c r="O649" s="151">
        <f>O648+'Basic Data'!$AG$13</f>
        <v>4552.7799999999443</v>
      </c>
      <c r="P649" s="151">
        <f>P648+'Basic Data'!$AH$13</f>
        <v>12453.530000000119</v>
      </c>
    </row>
    <row r="650" spans="2:16">
      <c r="B650" s="156">
        <v>648</v>
      </c>
      <c r="C650" s="176">
        <v>648</v>
      </c>
      <c r="D650" s="177">
        <f t="shared" si="67"/>
        <v>7757.6600000000608</v>
      </c>
      <c r="E650" s="177">
        <f t="shared" si="68"/>
        <v>7758.9800000000614</v>
      </c>
      <c r="F650" s="177">
        <f t="shared" si="69"/>
        <v>4827.2000000000098</v>
      </c>
      <c r="G650" s="177">
        <f t="shared" si="70"/>
        <v>11384.570000000105</v>
      </c>
      <c r="H650" s="177">
        <f t="shared" si="71"/>
        <v>4538.8699999999444</v>
      </c>
      <c r="I650" s="177">
        <f t="shared" si="72"/>
        <v>12415.420000000118</v>
      </c>
      <c r="K650" s="151">
        <f>K649+'Basic Data'!$AC$13</f>
        <v>7793.2200000000612</v>
      </c>
      <c r="L650" s="151">
        <f>L649+'Basic Data'!$AD$13</f>
        <v>7793.2200000000612</v>
      </c>
      <c r="M650" s="151">
        <f>M649+'Basic Data'!$AE$13</f>
        <v>4848.5900000000101</v>
      </c>
      <c r="N650" s="151">
        <f>N649+'Basic Data'!$AF$13</f>
        <v>11435.000000000106</v>
      </c>
      <c r="O650" s="151">
        <f>O649+'Basic Data'!$AG$13</f>
        <v>4559.7299999999441</v>
      </c>
      <c r="P650" s="151">
        <f>P649+'Basic Data'!$AH$13</f>
        <v>12472.540000000119</v>
      </c>
    </row>
    <row r="651" spans="2:16">
      <c r="B651" s="156">
        <v>649</v>
      </c>
      <c r="C651" s="176">
        <v>649</v>
      </c>
      <c r="D651" s="177">
        <f t="shared" si="67"/>
        <v>7769.5400000000609</v>
      </c>
      <c r="E651" s="177">
        <f t="shared" si="68"/>
        <v>7770.8600000000615</v>
      </c>
      <c r="F651" s="177">
        <f t="shared" si="69"/>
        <v>4834.5900000000101</v>
      </c>
      <c r="G651" s="177">
        <f t="shared" si="70"/>
        <v>11402.000000000106</v>
      </c>
      <c r="H651" s="177">
        <f t="shared" si="71"/>
        <v>4545.8199999999442</v>
      </c>
      <c r="I651" s="177">
        <f t="shared" si="72"/>
        <v>12434.430000000119</v>
      </c>
      <c r="K651" s="151">
        <f>K650+'Basic Data'!$AC$13</f>
        <v>7805.1000000000613</v>
      </c>
      <c r="L651" s="151">
        <f>L650+'Basic Data'!$AD$13</f>
        <v>7805.1000000000613</v>
      </c>
      <c r="M651" s="151">
        <f>M650+'Basic Data'!$AE$13</f>
        <v>4855.9800000000105</v>
      </c>
      <c r="N651" s="151">
        <f>N650+'Basic Data'!$AF$13</f>
        <v>11452.430000000106</v>
      </c>
      <c r="O651" s="151">
        <f>O650+'Basic Data'!$AG$13</f>
        <v>4566.6799999999439</v>
      </c>
      <c r="P651" s="151">
        <f>P650+'Basic Data'!$AH$13</f>
        <v>12491.550000000119</v>
      </c>
    </row>
    <row r="652" spans="2:16">
      <c r="B652" s="156">
        <v>650</v>
      </c>
      <c r="C652" s="176">
        <v>650</v>
      </c>
      <c r="D652" s="177">
        <f t="shared" si="67"/>
        <v>7781.420000000061</v>
      </c>
      <c r="E652" s="177">
        <f t="shared" si="68"/>
        <v>7782.7400000000616</v>
      </c>
      <c r="F652" s="177">
        <f t="shared" si="69"/>
        <v>4841.9800000000105</v>
      </c>
      <c r="G652" s="177">
        <f t="shared" si="70"/>
        <v>11419.430000000106</v>
      </c>
      <c r="H652" s="177">
        <f t="shared" si="71"/>
        <v>4552.769999999944</v>
      </c>
      <c r="I652" s="177">
        <f t="shared" si="72"/>
        <v>12453.440000000119</v>
      </c>
      <c r="K652" s="151">
        <f>K651+'Basic Data'!$AC$13</f>
        <v>7816.9800000000614</v>
      </c>
      <c r="L652" s="151">
        <f>L651+'Basic Data'!$AD$13</f>
        <v>7816.9800000000614</v>
      </c>
      <c r="M652" s="151">
        <f>M651+'Basic Data'!$AE$13</f>
        <v>4863.3700000000108</v>
      </c>
      <c r="N652" s="151">
        <f>N651+'Basic Data'!$AF$13</f>
        <v>11469.860000000106</v>
      </c>
      <c r="O652" s="151">
        <f>O651+'Basic Data'!$AG$13</f>
        <v>4573.6299999999437</v>
      </c>
      <c r="P652" s="151">
        <f>P651+'Basic Data'!$AH$13</f>
        <v>12510.56000000012</v>
      </c>
    </row>
    <row r="653" spans="2:16">
      <c r="B653" s="156">
        <v>651</v>
      </c>
      <c r="C653" s="176">
        <v>651</v>
      </c>
      <c r="D653" s="177">
        <f t="shared" si="67"/>
        <v>7793.3000000000611</v>
      </c>
      <c r="E653" s="177">
        <f t="shared" si="68"/>
        <v>7794.6200000000617</v>
      </c>
      <c r="F653" s="177">
        <f t="shared" si="69"/>
        <v>4849.3700000000108</v>
      </c>
      <c r="G653" s="177">
        <f t="shared" si="70"/>
        <v>11436.860000000106</v>
      </c>
      <c r="H653" s="177">
        <f t="shared" si="71"/>
        <v>4559.7199999999439</v>
      </c>
      <c r="I653" s="177">
        <f t="shared" si="72"/>
        <v>12472.450000000119</v>
      </c>
      <c r="K653" s="151">
        <f>K652+'Basic Data'!$AC$13</f>
        <v>7828.8600000000615</v>
      </c>
      <c r="L653" s="151">
        <f>L652+'Basic Data'!$AD$13</f>
        <v>7828.8600000000615</v>
      </c>
      <c r="M653" s="151">
        <f>M652+'Basic Data'!$AE$13</f>
        <v>4870.7600000000111</v>
      </c>
      <c r="N653" s="151">
        <f>N652+'Basic Data'!$AF$13</f>
        <v>11487.290000000106</v>
      </c>
      <c r="O653" s="151">
        <f>O652+'Basic Data'!$AG$13</f>
        <v>4580.5799999999435</v>
      </c>
      <c r="P653" s="151">
        <f>P652+'Basic Data'!$AH$13</f>
        <v>12529.57000000012</v>
      </c>
    </row>
    <row r="654" spans="2:16">
      <c r="B654" s="156">
        <v>652</v>
      </c>
      <c r="C654" s="176">
        <v>652</v>
      </c>
      <c r="D654" s="177">
        <f t="shared" si="67"/>
        <v>7805.1800000000612</v>
      </c>
      <c r="E654" s="177">
        <f t="shared" si="68"/>
        <v>7806.5000000000618</v>
      </c>
      <c r="F654" s="177">
        <f t="shared" si="69"/>
        <v>4856.7600000000111</v>
      </c>
      <c r="G654" s="177">
        <f t="shared" si="70"/>
        <v>11454.290000000106</v>
      </c>
      <c r="H654" s="177">
        <f t="shared" si="71"/>
        <v>4566.6699999999437</v>
      </c>
      <c r="I654" s="177">
        <f t="shared" si="72"/>
        <v>12491.460000000119</v>
      </c>
      <c r="K654" s="151">
        <f>K653+'Basic Data'!$AC$13</f>
        <v>7840.7400000000616</v>
      </c>
      <c r="L654" s="151">
        <f>L653+'Basic Data'!$AD$13</f>
        <v>7840.7400000000616</v>
      </c>
      <c r="M654" s="151">
        <f>M653+'Basic Data'!$AE$13</f>
        <v>4878.1500000000115</v>
      </c>
      <c r="N654" s="151">
        <f>N653+'Basic Data'!$AF$13</f>
        <v>11504.720000000107</v>
      </c>
      <c r="O654" s="151">
        <f>O653+'Basic Data'!$AG$13</f>
        <v>4587.5299999999434</v>
      </c>
      <c r="P654" s="151">
        <f>P653+'Basic Data'!$AH$13</f>
        <v>12548.58000000012</v>
      </c>
    </row>
    <row r="655" spans="2:16">
      <c r="B655" s="156">
        <v>653</v>
      </c>
      <c r="C655" s="176">
        <v>653</v>
      </c>
      <c r="D655" s="177">
        <f t="shared" si="67"/>
        <v>7817.0600000000613</v>
      </c>
      <c r="E655" s="177">
        <f t="shared" si="68"/>
        <v>7818.380000000062</v>
      </c>
      <c r="F655" s="177">
        <f t="shared" si="69"/>
        <v>4864.1500000000115</v>
      </c>
      <c r="G655" s="177">
        <f t="shared" si="70"/>
        <v>11471.720000000107</v>
      </c>
      <c r="H655" s="177">
        <f t="shared" si="71"/>
        <v>4573.6199999999435</v>
      </c>
      <c r="I655" s="177">
        <f t="shared" si="72"/>
        <v>12510.470000000119</v>
      </c>
      <c r="K655" s="151">
        <f>K654+'Basic Data'!$AC$13</f>
        <v>7852.6200000000617</v>
      </c>
      <c r="L655" s="151">
        <f>L654+'Basic Data'!$AD$13</f>
        <v>7852.6200000000617</v>
      </c>
      <c r="M655" s="151">
        <f>M654+'Basic Data'!$AE$13</f>
        <v>4885.5400000000118</v>
      </c>
      <c r="N655" s="151">
        <f>N654+'Basic Data'!$AF$13</f>
        <v>11522.150000000107</v>
      </c>
      <c r="O655" s="151">
        <f>O654+'Basic Data'!$AG$13</f>
        <v>4594.4799999999432</v>
      </c>
      <c r="P655" s="151">
        <f>P654+'Basic Data'!$AH$13</f>
        <v>12567.59000000012</v>
      </c>
    </row>
    <row r="656" spans="2:16">
      <c r="B656" s="156">
        <v>654</v>
      </c>
      <c r="C656" s="176">
        <v>654</v>
      </c>
      <c r="D656" s="177">
        <f t="shared" si="67"/>
        <v>7828.9400000000614</v>
      </c>
      <c r="E656" s="177">
        <f t="shared" si="68"/>
        <v>7830.2600000000621</v>
      </c>
      <c r="F656" s="177">
        <f t="shared" si="69"/>
        <v>4871.5400000000118</v>
      </c>
      <c r="G656" s="177">
        <f t="shared" si="70"/>
        <v>11489.150000000107</v>
      </c>
      <c r="H656" s="177">
        <f t="shared" si="71"/>
        <v>4580.5699999999433</v>
      </c>
      <c r="I656" s="177">
        <f t="shared" si="72"/>
        <v>12529.48000000012</v>
      </c>
      <c r="K656" s="151">
        <f>K655+'Basic Data'!$AC$13</f>
        <v>7864.5000000000618</v>
      </c>
      <c r="L656" s="151">
        <f>L655+'Basic Data'!$AD$13</f>
        <v>7864.5000000000618</v>
      </c>
      <c r="M656" s="151">
        <f>M655+'Basic Data'!$AE$13</f>
        <v>4892.9300000000121</v>
      </c>
      <c r="N656" s="151">
        <f>N655+'Basic Data'!$AF$13</f>
        <v>11539.580000000107</v>
      </c>
      <c r="O656" s="151">
        <f>O655+'Basic Data'!$AG$13</f>
        <v>4601.429999999943</v>
      </c>
      <c r="P656" s="151">
        <f>P655+'Basic Data'!$AH$13</f>
        <v>12586.60000000012</v>
      </c>
    </row>
    <row r="657" spans="2:16">
      <c r="B657" s="156">
        <v>655</v>
      </c>
      <c r="C657" s="176">
        <v>655</v>
      </c>
      <c r="D657" s="177">
        <f t="shared" si="67"/>
        <v>7840.8200000000616</v>
      </c>
      <c r="E657" s="177">
        <f t="shared" si="68"/>
        <v>7842.1400000000622</v>
      </c>
      <c r="F657" s="177">
        <f t="shared" si="69"/>
        <v>4878.9300000000121</v>
      </c>
      <c r="G657" s="177">
        <f t="shared" si="70"/>
        <v>11506.580000000107</v>
      </c>
      <c r="H657" s="177">
        <f t="shared" si="71"/>
        <v>4587.5199999999431</v>
      </c>
      <c r="I657" s="177">
        <f t="shared" si="72"/>
        <v>12548.49000000012</v>
      </c>
      <c r="K657" s="151">
        <f>K656+'Basic Data'!$AC$13</f>
        <v>7876.380000000062</v>
      </c>
      <c r="L657" s="151">
        <f>L656+'Basic Data'!$AD$13</f>
        <v>7876.380000000062</v>
      </c>
      <c r="M657" s="151">
        <f>M656+'Basic Data'!$AE$13</f>
        <v>4900.3200000000124</v>
      </c>
      <c r="N657" s="151">
        <f>N656+'Basic Data'!$AF$13</f>
        <v>11557.010000000108</v>
      </c>
      <c r="O657" s="151">
        <f>O656+'Basic Data'!$AG$13</f>
        <v>4608.3799999999428</v>
      </c>
      <c r="P657" s="151">
        <f>P656+'Basic Data'!$AH$13</f>
        <v>12605.610000000121</v>
      </c>
    </row>
    <row r="658" spans="2:16">
      <c r="B658" s="156">
        <v>656</v>
      </c>
      <c r="C658" s="176">
        <v>656</v>
      </c>
      <c r="D658" s="177">
        <f t="shared" si="67"/>
        <v>7852.7000000000617</v>
      </c>
      <c r="E658" s="177">
        <f t="shared" si="68"/>
        <v>7854.0200000000623</v>
      </c>
      <c r="F658" s="177">
        <f t="shared" si="69"/>
        <v>4886.3200000000124</v>
      </c>
      <c r="G658" s="177">
        <f t="shared" si="70"/>
        <v>11524.010000000108</v>
      </c>
      <c r="H658" s="177">
        <f t="shared" si="71"/>
        <v>4594.469999999943</v>
      </c>
      <c r="I658" s="177">
        <f t="shared" si="72"/>
        <v>12567.50000000012</v>
      </c>
      <c r="K658" s="151">
        <f>K657+'Basic Data'!$AC$13</f>
        <v>7888.2600000000621</v>
      </c>
      <c r="L658" s="151">
        <f>L657+'Basic Data'!$AD$13</f>
        <v>7888.2600000000621</v>
      </c>
      <c r="M658" s="151">
        <f>M657+'Basic Data'!$AE$13</f>
        <v>4907.7100000000128</v>
      </c>
      <c r="N658" s="151">
        <f>N657+'Basic Data'!$AF$13</f>
        <v>11574.440000000108</v>
      </c>
      <c r="O658" s="151">
        <f>O657+'Basic Data'!$AG$13</f>
        <v>4615.3299999999426</v>
      </c>
      <c r="P658" s="151">
        <f>P657+'Basic Data'!$AH$13</f>
        <v>12624.620000000121</v>
      </c>
    </row>
    <row r="659" spans="2:16">
      <c r="B659" s="156">
        <v>657</v>
      </c>
      <c r="C659" s="176">
        <v>657</v>
      </c>
      <c r="D659" s="177">
        <f t="shared" si="67"/>
        <v>7864.5800000000618</v>
      </c>
      <c r="E659" s="177">
        <f t="shared" si="68"/>
        <v>7865.9000000000624</v>
      </c>
      <c r="F659" s="177">
        <f t="shared" si="69"/>
        <v>4893.7100000000128</v>
      </c>
      <c r="G659" s="177">
        <f t="shared" si="70"/>
        <v>11541.440000000108</v>
      </c>
      <c r="H659" s="177">
        <f t="shared" si="71"/>
        <v>4601.4199999999428</v>
      </c>
      <c r="I659" s="177">
        <f t="shared" si="72"/>
        <v>12586.51000000012</v>
      </c>
      <c r="K659" s="151">
        <f>K658+'Basic Data'!$AC$13</f>
        <v>7900.1400000000622</v>
      </c>
      <c r="L659" s="151">
        <f>L658+'Basic Data'!$AD$13</f>
        <v>7900.1400000000622</v>
      </c>
      <c r="M659" s="151">
        <f>M658+'Basic Data'!$AE$13</f>
        <v>4915.1000000000131</v>
      </c>
      <c r="N659" s="151">
        <f>N658+'Basic Data'!$AF$13</f>
        <v>11591.870000000108</v>
      </c>
      <c r="O659" s="151">
        <f>O658+'Basic Data'!$AG$13</f>
        <v>4622.2799999999424</v>
      </c>
      <c r="P659" s="151">
        <f>P658+'Basic Data'!$AH$13</f>
        <v>12643.630000000121</v>
      </c>
    </row>
    <row r="660" spans="2:16">
      <c r="B660" s="156">
        <v>658</v>
      </c>
      <c r="C660" s="176">
        <v>658</v>
      </c>
      <c r="D660" s="177">
        <f t="shared" si="67"/>
        <v>7876.4600000000619</v>
      </c>
      <c r="E660" s="177">
        <f t="shared" si="68"/>
        <v>7877.7800000000625</v>
      </c>
      <c r="F660" s="177">
        <f t="shared" si="69"/>
        <v>4901.1000000000131</v>
      </c>
      <c r="G660" s="177">
        <f t="shared" si="70"/>
        <v>11558.870000000108</v>
      </c>
      <c r="H660" s="177">
        <f t="shared" si="71"/>
        <v>4608.3699999999426</v>
      </c>
      <c r="I660" s="177">
        <f t="shared" si="72"/>
        <v>12605.52000000012</v>
      </c>
      <c r="K660" s="151">
        <f>K659+'Basic Data'!$AC$13</f>
        <v>7912.0200000000623</v>
      </c>
      <c r="L660" s="151">
        <f>L659+'Basic Data'!$AD$13</f>
        <v>7912.0200000000623</v>
      </c>
      <c r="M660" s="151">
        <f>M659+'Basic Data'!$AE$13</f>
        <v>4922.4900000000134</v>
      </c>
      <c r="N660" s="151">
        <f>N659+'Basic Data'!$AF$13</f>
        <v>11609.300000000108</v>
      </c>
      <c r="O660" s="151">
        <f>O659+'Basic Data'!$AG$13</f>
        <v>4629.2299999999423</v>
      </c>
      <c r="P660" s="151">
        <f>P659+'Basic Data'!$AH$13</f>
        <v>12662.640000000121</v>
      </c>
    </row>
    <row r="661" spans="2:16">
      <c r="B661" s="156">
        <v>659</v>
      </c>
      <c r="C661" s="176">
        <v>659</v>
      </c>
      <c r="D661" s="177">
        <f t="shared" si="67"/>
        <v>7888.340000000062</v>
      </c>
      <c r="E661" s="177">
        <f t="shared" si="68"/>
        <v>7889.6600000000626</v>
      </c>
      <c r="F661" s="177">
        <f t="shared" si="69"/>
        <v>4908.4900000000134</v>
      </c>
      <c r="G661" s="177">
        <f t="shared" si="70"/>
        <v>11576.300000000108</v>
      </c>
      <c r="H661" s="177">
        <f t="shared" si="71"/>
        <v>4615.3199999999424</v>
      </c>
      <c r="I661" s="177">
        <f t="shared" si="72"/>
        <v>12624.530000000121</v>
      </c>
      <c r="K661" s="151">
        <f>K660+'Basic Data'!$AC$13</f>
        <v>7923.9000000000624</v>
      </c>
      <c r="L661" s="151">
        <f>L660+'Basic Data'!$AD$13</f>
        <v>7923.9000000000624</v>
      </c>
      <c r="M661" s="151">
        <f>M660+'Basic Data'!$AE$13</f>
        <v>4929.8800000000138</v>
      </c>
      <c r="N661" s="151">
        <f>N660+'Basic Data'!$AF$13</f>
        <v>11626.730000000109</v>
      </c>
      <c r="O661" s="151">
        <f>O660+'Basic Data'!$AG$13</f>
        <v>4636.1799999999421</v>
      </c>
      <c r="P661" s="151">
        <f>P660+'Basic Data'!$AH$13</f>
        <v>12681.650000000122</v>
      </c>
    </row>
    <row r="662" spans="2:16">
      <c r="B662" s="156">
        <v>660</v>
      </c>
      <c r="C662" s="176">
        <v>660</v>
      </c>
      <c r="D662" s="177">
        <f t="shared" si="67"/>
        <v>7900.2200000000621</v>
      </c>
      <c r="E662" s="177">
        <f t="shared" si="68"/>
        <v>7901.5400000000627</v>
      </c>
      <c r="F662" s="177">
        <f t="shared" si="69"/>
        <v>4915.8800000000138</v>
      </c>
      <c r="G662" s="177">
        <f t="shared" si="70"/>
        <v>11593.730000000109</v>
      </c>
      <c r="H662" s="177">
        <f t="shared" si="71"/>
        <v>4622.2699999999422</v>
      </c>
      <c r="I662" s="177">
        <f t="shared" si="72"/>
        <v>12643.540000000121</v>
      </c>
      <c r="K662" s="151">
        <f>K661+'Basic Data'!$AC$13</f>
        <v>7935.7800000000625</v>
      </c>
      <c r="L662" s="151">
        <f>L661+'Basic Data'!$AD$13</f>
        <v>7935.7800000000625</v>
      </c>
      <c r="M662" s="151">
        <f>M661+'Basic Data'!$AE$13</f>
        <v>4937.2700000000141</v>
      </c>
      <c r="N662" s="151">
        <f>N661+'Basic Data'!$AF$13</f>
        <v>11644.160000000109</v>
      </c>
      <c r="O662" s="151">
        <f>O661+'Basic Data'!$AG$13</f>
        <v>4643.1299999999419</v>
      </c>
      <c r="P662" s="151">
        <f>P661+'Basic Data'!$AH$13</f>
        <v>12700.660000000122</v>
      </c>
    </row>
    <row r="663" spans="2:16">
      <c r="B663" s="156">
        <v>661</v>
      </c>
      <c r="C663" s="176">
        <v>661</v>
      </c>
      <c r="D663" s="177">
        <f t="shared" si="67"/>
        <v>7912.1000000000622</v>
      </c>
      <c r="E663" s="177">
        <f t="shared" si="68"/>
        <v>7913.4200000000628</v>
      </c>
      <c r="F663" s="177">
        <f t="shared" si="69"/>
        <v>4923.2700000000141</v>
      </c>
      <c r="G663" s="177">
        <f t="shared" si="70"/>
        <v>11611.160000000109</v>
      </c>
      <c r="H663" s="177">
        <f t="shared" si="71"/>
        <v>4629.219999999942</v>
      </c>
      <c r="I663" s="177">
        <f t="shared" si="72"/>
        <v>12662.550000000121</v>
      </c>
      <c r="K663" s="151">
        <f>K662+'Basic Data'!$AC$13</f>
        <v>7947.6600000000626</v>
      </c>
      <c r="L663" s="151">
        <f>L662+'Basic Data'!$AD$13</f>
        <v>7947.6600000000626</v>
      </c>
      <c r="M663" s="151">
        <f>M662+'Basic Data'!$AE$13</f>
        <v>4944.6600000000144</v>
      </c>
      <c r="N663" s="151">
        <f>N662+'Basic Data'!$AF$13</f>
        <v>11661.590000000109</v>
      </c>
      <c r="O663" s="151">
        <f>O662+'Basic Data'!$AG$13</f>
        <v>4650.0799999999417</v>
      </c>
      <c r="P663" s="151">
        <f>P662+'Basic Data'!$AH$13</f>
        <v>12719.670000000122</v>
      </c>
    </row>
    <row r="664" spans="2:16">
      <c r="B664" s="156">
        <v>662</v>
      </c>
      <c r="C664" s="176">
        <v>662</v>
      </c>
      <c r="D664" s="177">
        <f t="shared" si="67"/>
        <v>7923.9800000000623</v>
      </c>
      <c r="E664" s="177">
        <f t="shared" si="68"/>
        <v>7925.3000000000629</v>
      </c>
      <c r="F664" s="177">
        <f t="shared" si="69"/>
        <v>4930.6600000000144</v>
      </c>
      <c r="G664" s="177">
        <f t="shared" si="70"/>
        <v>11628.590000000109</v>
      </c>
      <c r="H664" s="177">
        <f t="shared" si="71"/>
        <v>4636.1699999999419</v>
      </c>
      <c r="I664" s="177">
        <f t="shared" si="72"/>
        <v>12681.560000000121</v>
      </c>
      <c r="K664" s="151">
        <f>K663+'Basic Data'!$AC$13</f>
        <v>7959.5400000000627</v>
      </c>
      <c r="L664" s="151">
        <f>L663+'Basic Data'!$AD$13</f>
        <v>7959.5400000000627</v>
      </c>
      <c r="M664" s="151">
        <f>M663+'Basic Data'!$AE$13</f>
        <v>4952.0500000000147</v>
      </c>
      <c r="N664" s="151">
        <f>N663+'Basic Data'!$AF$13</f>
        <v>11679.02000000011</v>
      </c>
      <c r="O664" s="151">
        <f>O663+'Basic Data'!$AG$13</f>
        <v>4657.0299999999415</v>
      </c>
      <c r="P664" s="151">
        <f>P663+'Basic Data'!$AH$13</f>
        <v>12738.680000000122</v>
      </c>
    </row>
    <row r="665" spans="2:16">
      <c r="B665" s="156">
        <v>663</v>
      </c>
      <c r="C665" s="176">
        <v>663</v>
      </c>
      <c r="D665" s="177">
        <f t="shared" si="67"/>
        <v>7935.8600000000624</v>
      </c>
      <c r="E665" s="177">
        <f t="shared" si="68"/>
        <v>7937.180000000063</v>
      </c>
      <c r="F665" s="177">
        <f t="shared" si="69"/>
        <v>4938.0500000000147</v>
      </c>
      <c r="G665" s="177">
        <f t="shared" si="70"/>
        <v>11646.02000000011</v>
      </c>
      <c r="H665" s="177">
        <f t="shared" si="71"/>
        <v>4643.1199999999417</v>
      </c>
      <c r="I665" s="177">
        <f t="shared" si="72"/>
        <v>12700.570000000122</v>
      </c>
      <c r="K665" s="151">
        <f>K664+'Basic Data'!$AC$13</f>
        <v>7971.4200000000628</v>
      </c>
      <c r="L665" s="151">
        <f>L664+'Basic Data'!$AD$13</f>
        <v>7971.4200000000628</v>
      </c>
      <c r="M665" s="151">
        <f>M664+'Basic Data'!$AE$13</f>
        <v>4959.4400000000151</v>
      </c>
      <c r="N665" s="151">
        <f>N664+'Basic Data'!$AF$13</f>
        <v>11696.45000000011</v>
      </c>
      <c r="O665" s="151">
        <f>O664+'Basic Data'!$AG$13</f>
        <v>4663.9799999999414</v>
      </c>
      <c r="P665" s="151">
        <f>P664+'Basic Data'!$AH$13</f>
        <v>12757.690000000122</v>
      </c>
    </row>
    <row r="666" spans="2:16">
      <c r="B666" s="156">
        <v>664</v>
      </c>
      <c r="C666" s="176">
        <v>664</v>
      </c>
      <c r="D666" s="177">
        <f t="shared" si="67"/>
        <v>7947.7400000000625</v>
      </c>
      <c r="E666" s="177">
        <f t="shared" si="68"/>
        <v>7949.0600000000632</v>
      </c>
      <c r="F666" s="177">
        <f t="shared" si="69"/>
        <v>4945.4400000000151</v>
      </c>
      <c r="G666" s="177">
        <f t="shared" si="70"/>
        <v>11663.45000000011</v>
      </c>
      <c r="H666" s="177">
        <f t="shared" si="71"/>
        <v>4650.0699999999415</v>
      </c>
      <c r="I666" s="177">
        <f t="shared" si="72"/>
        <v>12719.580000000122</v>
      </c>
      <c r="K666" s="151">
        <f>K665+'Basic Data'!$AC$13</f>
        <v>7983.3000000000629</v>
      </c>
      <c r="L666" s="151">
        <f>L665+'Basic Data'!$AD$13</f>
        <v>7983.3000000000629</v>
      </c>
      <c r="M666" s="151">
        <f>M665+'Basic Data'!$AE$13</f>
        <v>4966.8300000000154</v>
      </c>
      <c r="N666" s="151">
        <f>N665+'Basic Data'!$AF$13</f>
        <v>11713.88000000011</v>
      </c>
      <c r="O666" s="151">
        <f>O665+'Basic Data'!$AG$13</f>
        <v>4670.9299999999412</v>
      </c>
      <c r="P666" s="151">
        <f>P665+'Basic Data'!$AH$13</f>
        <v>12776.700000000123</v>
      </c>
    </row>
    <row r="667" spans="2:16">
      <c r="B667" s="156">
        <v>665</v>
      </c>
      <c r="C667" s="176">
        <v>665</v>
      </c>
      <c r="D667" s="177">
        <f t="shared" si="67"/>
        <v>7959.6200000000626</v>
      </c>
      <c r="E667" s="177">
        <f t="shared" si="68"/>
        <v>7960.9400000000633</v>
      </c>
      <c r="F667" s="177">
        <f t="shared" si="69"/>
        <v>4952.8300000000154</v>
      </c>
      <c r="G667" s="177">
        <f t="shared" si="70"/>
        <v>11680.88000000011</v>
      </c>
      <c r="H667" s="177">
        <f t="shared" si="71"/>
        <v>4657.0199999999413</v>
      </c>
      <c r="I667" s="177">
        <f t="shared" si="72"/>
        <v>12738.590000000122</v>
      </c>
      <c r="K667" s="151">
        <f>K666+'Basic Data'!$AC$13</f>
        <v>7995.180000000063</v>
      </c>
      <c r="L667" s="151">
        <f>L666+'Basic Data'!$AD$13</f>
        <v>7995.180000000063</v>
      </c>
      <c r="M667" s="151">
        <f>M666+'Basic Data'!$AE$13</f>
        <v>4974.2200000000157</v>
      </c>
      <c r="N667" s="151">
        <f>N666+'Basic Data'!$AF$13</f>
        <v>11731.31000000011</v>
      </c>
      <c r="O667" s="151">
        <f>O666+'Basic Data'!$AG$13</f>
        <v>4677.879999999941</v>
      </c>
      <c r="P667" s="151">
        <f>P666+'Basic Data'!$AH$13</f>
        <v>12795.710000000123</v>
      </c>
    </row>
    <row r="668" spans="2:16">
      <c r="B668" s="156">
        <v>666</v>
      </c>
      <c r="C668" s="176">
        <v>666</v>
      </c>
      <c r="D668" s="177">
        <f t="shared" si="67"/>
        <v>7971.5000000000628</v>
      </c>
      <c r="E668" s="177">
        <f t="shared" si="68"/>
        <v>7972.8200000000634</v>
      </c>
      <c r="F668" s="177">
        <f t="shared" si="69"/>
        <v>4960.2200000000157</v>
      </c>
      <c r="G668" s="177">
        <f t="shared" si="70"/>
        <v>11698.31000000011</v>
      </c>
      <c r="H668" s="177">
        <f t="shared" si="71"/>
        <v>4663.9699999999411</v>
      </c>
      <c r="I668" s="177">
        <f t="shared" si="72"/>
        <v>12757.600000000122</v>
      </c>
      <c r="K668" s="151">
        <f>K667+'Basic Data'!$AC$13</f>
        <v>8007.0600000000632</v>
      </c>
      <c r="L668" s="151">
        <f>L667+'Basic Data'!$AD$13</f>
        <v>8007.0600000000632</v>
      </c>
      <c r="M668" s="151">
        <f>M667+'Basic Data'!$AE$13</f>
        <v>4981.610000000016</v>
      </c>
      <c r="N668" s="151">
        <f>N667+'Basic Data'!$AF$13</f>
        <v>11748.740000000111</v>
      </c>
      <c r="O668" s="151">
        <f>O667+'Basic Data'!$AG$13</f>
        <v>4684.8299999999408</v>
      </c>
      <c r="P668" s="151">
        <f>P667+'Basic Data'!$AH$13</f>
        <v>12814.720000000123</v>
      </c>
    </row>
    <row r="669" spans="2:16">
      <c r="B669" s="156">
        <v>667</v>
      </c>
      <c r="C669" s="176">
        <v>667</v>
      </c>
      <c r="D669" s="177">
        <f t="shared" si="67"/>
        <v>7983.3800000000629</v>
      </c>
      <c r="E669" s="177">
        <f t="shared" si="68"/>
        <v>7984.7000000000635</v>
      </c>
      <c r="F669" s="177">
        <f t="shared" si="69"/>
        <v>4967.610000000016</v>
      </c>
      <c r="G669" s="177">
        <f t="shared" si="70"/>
        <v>11715.740000000111</v>
      </c>
      <c r="H669" s="177">
        <f t="shared" si="71"/>
        <v>4670.919999999941</v>
      </c>
      <c r="I669" s="177">
        <f t="shared" si="72"/>
        <v>12776.610000000122</v>
      </c>
      <c r="K669" s="151">
        <f>K668+'Basic Data'!$AC$13</f>
        <v>8018.9400000000633</v>
      </c>
      <c r="L669" s="151">
        <f>L668+'Basic Data'!$AD$13</f>
        <v>8018.9400000000633</v>
      </c>
      <c r="M669" s="151">
        <f>M668+'Basic Data'!$AE$13</f>
        <v>4989.0000000000164</v>
      </c>
      <c r="N669" s="151">
        <f>N668+'Basic Data'!$AF$13</f>
        <v>11766.170000000111</v>
      </c>
      <c r="O669" s="151">
        <f>O668+'Basic Data'!$AG$13</f>
        <v>4691.7799999999406</v>
      </c>
      <c r="P669" s="151">
        <f>P668+'Basic Data'!$AH$13</f>
        <v>12833.730000000123</v>
      </c>
    </row>
    <row r="670" spans="2:16">
      <c r="B670" s="156">
        <v>668</v>
      </c>
      <c r="C670" s="176">
        <v>668</v>
      </c>
      <c r="D670" s="177">
        <f t="shared" si="67"/>
        <v>7995.260000000063</v>
      </c>
      <c r="E670" s="177">
        <f t="shared" si="68"/>
        <v>7996.5800000000636</v>
      </c>
      <c r="F670" s="177">
        <f t="shared" si="69"/>
        <v>4975.0000000000164</v>
      </c>
      <c r="G670" s="177">
        <f t="shared" si="70"/>
        <v>11733.170000000111</v>
      </c>
      <c r="H670" s="177">
        <f t="shared" si="71"/>
        <v>4677.8699999999408</v>
      </c>
      <c r="I670" s="177">
        <f t="shared" si="72"/>
        <v>12795.620000000123</v>
      </c>
      <c r="K670" s="151">
        <f>K669+'Basic Data'!$AC$13</f>
        <v>8030.8200000000634</v>
      </c>
      <c r="L670" s="151">
        <f>L669+'Basic Data'!$AD$13</f>
        <v>8030.8200000000634</v>
      </c>
      <c r="M670" s="151">
        <f>M669+'Basic Data'!$AE$13</f>
        <v>4996.3900000000167</v>
      </c>
      <c r="N670" s="151">
        <f>N669+'Basic Data'!$AF$13</f>
        <v>11783.600000000111</v>
      </c>
      <c r="O670" s="151">
        <f>O669+'Basic Data'!$AG$13</f>
        <v>4698.7299999999404</v>
      </c>
      <c r="P670" s="151">
        <f>P669+'Basic Data'!$AH$13</f>
        <v>12852.740000000123</v>
      </c>
    </row>
    <row r="671" spans="2:16">
      <c r="B671" s="156">
        <v>669</v>
      </c>
      <c r="C671" s="176">
        <v>669</v>
      </c>
      <c r="D671" s="177">
        <f t="shared" si="67"/>
        <v>8007.1400000000631</v>
      </c>
      <c r="E671" s="177">
        <f t="shared" si="68"/>
        <v>8008.4600000000637</v>
      </c>
      <c r="F671" s="177">
        <f t="shared" si="69"/>
        <v>4982.3900000000167</v>
      </c>
      <c r="G671" s="177">
        <f t="shared" si="70"/>
        <v>11750.600000000111</v>
      </c>
      <c r="H671" s="177">
        <f t="shared" si="71"/>
        <v>4684.8199999999406</v>
      </c>
      <c r="I671" s="177">
        <f t="shared" si="72"/>
        <v>12814.630000000123</v>
      </c>
      <c r="K671" s="151">
        <f>K670+'Basic Data'!$AC$13</f>
        <v>8042.7000000000635</v>
      </c>
      <c r="L671" s="151">
        <f>L670+'Basic Data'!$AD$13</f>
        <v>8042.7000000000635</v>
      </c>
      <c r="M671" s="151">
        <f>M670+'Basic Data'!$AE$13</f>
        <v>5003.780000000017</v>
      </c>
      <c r="N671" s="151">
        <f>N670+'Basic Data'!$AF$13</f>
        <v>11801.030000000112</v>
      </c>
      <c r="O671" s="151">
        <f>O670+'Basic Data'!$AG$13</f>
        <v>4705.6799999999403</v>
      </c>
      <c r="P671" s="151">
        <f>P670+'Basic Data'!$AH$13</f>
        <v>12871.750000000124</v>
      </c>
    </row>
    <row r="672" spans="2:16">
      <c r="B672" s="156">
        <v>670</v>
      </c>
      <c r="C672" s="176">
        <v>670</v>
      </c>
      <c r="D672" s="177">
        <f t="shared" si="67"/>
        <v>8019.0200000000632</v>
      </c>
      <c r="E672" s="177">
        <f t="shared" si="68"/>
        <v>8020.3400000000638</v>
      </c>
      <c r="F672" s="177">
        <f t="shared" si="69"/>
        <v>4989.780000000017</v>
      </c>
      <c r="G672" s="177">
        <f t="shared" si="70"/>
        <v>11768.030000000112</v>
      </c>
      <c r="H672" s="177">
        <f t="shared" si="71"/>
        <v>4691.7699999999404</v>
      </c>
      <c r="I672" s="177">
        <f t="shared" si="72"/>
        <v>12833.640000000123</v>
      </c>
      <c r="K672" s="151">
        <f>K671+'Basic Data'!$AC$13</f>
        <v>8054.5800000000636</v>
      </c>
      <c r="L672" s="151">
        <f>L671+'Basic Data'!$AD$13</f>
        <v>8054.5800000000636</v>
      </c>
      <c r="M672" s="151">
        <f>M671+'Basic Data'!$AE$13</f>
        <v>5011.1700000000174</v>
      </c>
      <c r="N672" s="151">
        <f>N671+'Basic Data'!$AF$13</f>
        <v>11818.460000000112</v>
      </c>
      <c r="O672" s="151">
        <f>O671+'Basic Data'!$AG$13</f>
        <v>4712.6299999999401</v>
      </c>
      <c r="P672" s="151">
        <f>P671+'Basic Data'!$AH$13</f>
        <v>12890.760000000124</v>
      </c>
    </row>
    <row r="673" spans="2:16">
      <c r="B673" s="156">
        <v>671</v>
      </c>
      <c r="C673" s="176">
        <v>671</v>
      </c>
      <c r="D673" s="177">
        <f t="shared" si="67"/>
        <v>8030.9000000000633</v>
      </c>
      <c r="E673" s="177">
        <f t="shared" si="68"/>
        <v>8032.2200000000639</v>
      </c>
      <c r="F673" s="177">
        <f t="shared" si="69"/>
        <v>4997.1700000000174</v>
      </c>
      <c r="G673" s="177">
        <f t="shared" si="70"/>
        <v>11785.460000000112</v>
      </c>
      <c r="H673" s="177">
        <f t="shared" si="71"/>
        <v>4698.7199999999402</v>
      </c>
      <c r="I673" s="177">
        <f t="shared" si="72"/>
        <v>12852.650000000123</v>
      </c>
      <c r="K673" s="151">
        <f>K672+'Basic Data'!$AC$13</f>
        <v>8066.4600000000637</v>
      </c>
      <c r="L673" s="151">
        <f>L672+'Basic Data'!$AD$13</f>
        <v>8066.4600000000637</v>
      </c>
      <c r="M673" s="151">
        <f>M672+'Basic Data'!$AE$13</f>
        <v>5018.5600000000177</v>
      </c>
      <c r="N673" s="151">
        <f>N672+'Basic Data'!$AF$13</f>
        <v>11835.890000000112</v>
      </c>
      <c r="O673" s="151">
        <f>O672+'Basic Data'!$AG$13</f>
        <v>4719.5799999999399</v>
      </c>
      <c r="P673" s="151">
        <f>P672+'Basic Data'!$AH$13</f>
        <v>12909.770000000124</v>
      </c>
    </row>
    <row r="674" spans="2:16">
      <c r="B674" s="156">
        <v>672</v>
      </c>
      <c r="C674" s="176">
        <v>672</v>
      </c>
      <c r="D674" s="177">
        <f t="shared" si="67"/>
        <v>8042.7800000000634</v>
      </c>
      <c r="E674" s="177">
        <f t="shared" si="68"/>
        <v>8044.100000000064</v>
      </c>
      <c r="F674" s="177">
        <f t="shared" si="69"/>
        <v>5004.5600000000177</v>
      </c>
      <c r="G674" s="177">
        <f t="shared" si="70"/>
        <v>11802.890000000112</v>
      </c>
      <c r="H674" s="177">
        <f t="shared" si="71"/>
        <v>4705.66999999994</v>
      </c>
      <c r="I674" s="177">
        <f t="shared" si="72"/>
        <v>12871.660000000124</v>
      </c>
      <c r="K674" s="151">
        <f>K673+'Basic Data'!$AC$13</f>
        <v>8078.3400000000638</v>
      </c>
      <c r="L674" s="151">
        <f>L673+'Basic Data'!$AD$13</f>
        <v>8078.3400000000638</v>
      </c>
      <c r="M674" s="151">
        <f>M673+'Basic Data'!$AE$13</f>
        <v>5025.950000000018</v>
      </c>
      <c r="N674" s="151">
        <f>N673+'Basic Data'!$AF$13</f>
        <v>11853.320000000112</v>
      </c>
      <c r="O674" s="151">
        <f>O673+'Basic Data'!$AG$13</f>
        <v>4726.5299999999397</v>
      </c>
      <c r="P674" s="151">
        <f>P673+'Basic Data'!$AH$13</f>
        <v>12928.780000000124</v>
      </c>
    </row>
    <row r="675" spans="2:16">
      <c r="B675" s="156">
        <v>673</v>
      </c>
      <c r="C675" s="176">
        <v>673</v>
      </c>
      <c r="D675" s="177">
        <f t="shared" si="67"/>
        <v>8054.6600000000635</v>
      </c>
      <c r="E675" s="177">
        <f t="shared" si="68"/>
        <v>8055.9800000000641</v>
      </c>
      <c r="F675" s="177">
        <f t="shared" si="69"/>
        <v>5011.950000000018</v>
      </c>
      <c r="G675" s="177">
        <f t="shared" si="70"/>
        <v>11820.320000000112</v>
      </c>
      <c r="H675" s="177">
        <f t="shared" si="71"/>
        <v>4712.6199999999399</v>
      </c>
      <c r="I675" s="177">
        <f t="shared" si="72"/>
        <v>12890.670000000124</v>
      </c>
      <c r="K675" s="151">
        <f>K674+'Basic Data'!$AC$13</f>
        <v>8090.2200000000639</v>
      </c>
      <c r="L675" s="151">
        <f>L674+'Basic Data'!$AD$13</f>
        <v>8090.2200000000639</v>
      </c>
      <c r="M675" s="151">
        <f>M674+'Basic Data'!$AE$13</f>
        <v>5033.3400000000183</v>
      </c>
      <c r="N675" s="151">
        <f>N674+'Basic Data'!$AF$13</f>
        <v>11870.750000000113</v>
      </c>
      <c r="O675" s="151">
        <f>O674+'Basic Data'!$AG$13</f>
        <v>4733.4799999999395</v>
      </c>
      <c r="P675" s="151">
        <f>P674+'Basic Data'!$AH$13</f>
        <v>12947.790000000125</v>
      </c>
    </row>
    <row r="676" spans="2:16">
      <c r="B676" s="156">
        <v>674</v>
      </c>
      <c r="C676" s="176">
        <v>674</v>
      </c>
      <c r="D676" s="177">
        <f t="shared" si="67"/>
        <v>8066.5400000000636</v>
      </c>
      <c r="E676" s="177">
        <f t="shared" si="68"/>
        <v>8067.8600000000642</v>
      </c>
      <c r="F676" s="177">
        <f t="shared" si="69"/>
        <v>5019.3400000000183</v>
      </c>
      <c r="G676" s="177">
        <f t="shared" si="70"/>
        <v>11837.750000000113</v>
      </c>
      <c r="H676" s="177">
        <f t="shared" si="71"/>
        <v>4719.5699999999397</v>
      </c>
      <c r="I676" s="177">
        <f t="shared" si="72"/>
        <v>12909.680000000124</v>
      </c>
      <c r="K676" s="151">
        <f>K675+'Basic Data'!$AC$13</f>
        <v>8102.100000000064</v>
      </c>
      <c r="L676" s="151">
        <f>L675+'Basic Data'!$AD$13</f>
        <v>8102.100000000064</v>
      </c>
      <c r="M676" s="151">
        <f>M675+'Basic Data'!$AE$13</f>
        <v>5040.7300000000187</v>
      </c>
      <c r="N676" s="151">
        <f>N675+'Basic Data'!$AF$13</f>
        <v>11888.180000000113</v>
      </c>
      <c r="O676" s="151">
        <f>O675+'Basic Data'!$AG$13</f>
        <v>4740.4299999999394</v>
      </c>
      <c r="P676" s="151">
        <f>P675+'Basic Data'!$AH$13</f>
        <v>12966.800000000125</v>
      </c>
    </row>
    <row r="677" spans="2:16">
      <c r="B677" s="156">
        <v>675</v>
      </c>
      <c r="C677" s="176">
        <v>675</v>
      </c>
      <c r="D677" s="177">
        <f t="shared" si="67"/>
        <v>8078.4200000000637</v>
      </c>
      <c r="E677" s="177">
        <f t="shared" si="68"/>
        <v>8079.7400000000644</v>
      </c>
      <c r="F677" s="177">
        <f t="shared" si="69"/>
        <v>5026.7300000000187</v>
      </c>
      <c r="G677" s="177">
        <f t="shared" si="70"/>
        <v>11855.180000000113</v>
      </c>
      <c r="H677" s="177">
        <f t="shared" si="71"/>
        <v>4726.5199999999395</v>
      </c>
      <c r="I677" s="177">
        <f t="shared" si="72"/>
        <v>12928.690000000124</v>
      </c>
      <c r="K677" s="151">
        <f>K676+'Basic Data'!$AC$13</f>
        <v>8113.9800000000641</v>
      </c>
      <c r="L677" s="151">
        <f>L676+'Basic Data'!$AD$13</f>
        <v>8113.9800000000641</v>
      </c>
      <c r="M677" s="151">
        <f>M676+'Basic Data'!$AE$13</f>
        <v>5048.120000000019</v>
      </c>
      <c r="N677" s="151">
        <f>N676+'Basic Data'!$AF$13</f>
        <v>11905.610000000113</v>
      </c>
      <c r="O677" s="151">
        <f>O676+'Basic Data'!$AG$13</f>
        <v>4747.3799999999392</v>
      </c>
      <c r="P677" s="151">
        <f>P676+'Basic Data'!$AH$13</f>
        <v>12985.810000000125</v>
      </c>
    </row>
    <row r="678" spans="2:16">
      <c r="B678" s="156">
        <v>676</v>
      </c>
      <c r="C678" s="176">
        <v>676</v>
      </c>
      <c r="D678" s="177">
        <f t="shared" si="67"/>
        <v>8090.3000000000638</v>
      </c>
      <c r="E678" s="177">
        <f t="shared" si="68"/>
        <v>8091.6200000000645</v>
      </c>
      <c r="F678" s="177">
        <f t="shared" si="69"/>
        <v>5034.120000000019</v>
      </c>
      <c r="G678" s="177">
        <f t="shared" si="70"/>
        <v>11872.610000000113</v>
      </c>
      <c r="H678" s="177">
        <f t="shared" si="71"/>
        <v>4733.4699999999393</v>
      </c>
      <c r="I678" s="177">
        <f t="shared" si="72"/>
        <v>12947.700000000124</v>
      </c>
      <c r="K678" s="151">
        <f>K677+'Basic Data'!$AC$13</f>
        <v>8125.8600000000642</v>
      </c>
      <c r="L678" s="151">
        <f>L677+'Basic Data'!$AD$13</f>
        <v>8125.8600000000642</v>
      </c>
      <c r="M678" s="151">
        <f>M677+'Basic Data'!$AE$13</f>
        <v>5055.5100000000193</v>
      </c>
      <c r="N678" s="151">
        <f>N677+'Basic Data'!$AF$13</f>
        <v>11923.040000000114</v>
      </c>
      <c r="O678" s="151">
        <f>O677+'Basic Data'!$AG$13</f>
        <v>4754.329999999939</v>
      </c>
      <c r="P678" s="151">
        <f>P677+'Basic Data'!$AH$13</f>
        <v>13004.820000000125</v>
      </c>
    </row>
    <row r="679" spans="2:16">
      <c r="B679" s="156">
        <v>677</v>
      </c>
      <c r="C679" s="176">
        <v>677</v>
      </c>
      <c r="D679" s="177">
        <f t="shared" si="67"/>
        <v>8102.180000000064</v>
      </c>
      <c r="E679" s="177">
        <f t="shared" si="68"/>
        <v>8103.5000000000646</v>
      </c>
      <c r="F679" s="177">
        <f t="shared" si="69"/>
        <v>5041.5100000000193</v>
      </c>
      <c r="G679" s="177">
        <f t="shared" si="70"/>
        <v>11890.040000000114</v>
      </c>
      <c r="H679" s="177">
        <f t="shared" si="71"/>
        <v>4740.4199999999391</v>
      </c>
      <c r="I679" s="177">
        <f t="shared" si="72"/>
        <v>12966.710000000125</v>
      </c>
      <c r="K679" s="151">
        <f>K678+'Basic Data'!$AC$13</f>
        <v>8137.7400000000644</v>
      </c>
      <c r="L679" s="151">
        <f>L678+'Basic Data'!$AD$13</f>
        <v>8137.7400000000644</v>
      </c>
      <c r="M679" s="151">
        <f>M678+'Basic Data'!$AE$13</f>
        <v>5062.9000000000196</v>
      </c>
      <c r="N679" s="151">
        <f>N678+'Basic Data'!$AF$13</f>
        <v>11940.470000000114</v>
      </c>
      <c r="O679" s="151">
        <f>O678+'Basic Data'!$AG$13</f>
        <v>4761.2799999999388</v>
      </c>
      <c r="P679" s="151">
        <f>P678+'Basic Data'!$AH$13</f>
        <v>13023.830000000125</v>
      </c>
    </row>
    <row r="680" spans="2:16">
      <c r="B680" s="156">
        <v>678</v>
      </c>
      <c r="C680" s="176">
        <v>678</v>
      </c>
      <c r="D680" s="177">
        <f t="shared" si="67"/>
        <v>8114.0600000000641</v>
      </c>
      <c r="E680" s="177">
        <f t="shared" si="68"/>
        <v>8115.3800000000647</v>
      </c>
      <c r="F680" s="177">
        <f t="shared" si="69"/>
        <v>5048.9000000000196</v>
      </c>
      <c r="G680" s="177">
        <f t="shared" si="70"/>
        <v>11907.470000000114</v>
      </c>
      <c r="H680" s="177">
        <f t="shared" si="71"/>
        <v>4747.369999999939</v>
      </c>
      <c r="I680" s="177">
        <f t="shared" si="72"/>
        <v>12985.720000000125</v>
      </c>
      <c r="K680" s="151">
        <f>K679+'Basic Data'!$AC$13</f>
        <v>8149.6200000000645</v>
      </c>
      <c r="L680" s="151">
        <f>L679+'Basic Data'!$AD$13</f>
        <v>8149.6200000000645</v>
      </c>
      <c r="M680" s="151">
        <f>M679+'Basic Data'!$AE$13</f>
        <v>5070.29000000002</v>
      </c>
      <c r="N680" s="151">
        <f>N679+'Basic Data'!$AF$13</f>
        <v>11957.900000000114</v>
      </c>
      <c r="O680" s="151">
        <f>O679+'Basic Data'!$AG$13</f>
        <v>4768.2299999999386</v>
      </c>
      <c r="P680" s="151">
        <f>P679+'Basic Data'!$AH$13</f>
        <v>13042.840000000126</v>
      </c>
    </row>
    <row r="681" spans="2:16">
      <c r="B681" s="156">
        <v>679</v>
      </c>
      <c r="C681" s="176">
        <v>679</v>
      </c>
      <c r="D681" s="177">
        <f t="shared" si="67"/>
        <v>8125.9400000000642</v>
      </c>
      <c r="E681" s="177">
        <f t="shared" si="68"/>
        <v>8127.2600000000648</v>
      </c>
      <c r="F681" s="177">
        <f t="shared" si="69"/>
        <v>5056.29000000002</v>
      </c>
      <c r="G681" s="177">
        <f t="shared" si="70"/>
        <v>11924.900000000114</v>
      </c>
      <c r="H681" s="177">
        <f t="shared" si="71"/>
        <v>4754.3199999999388</v>
      </c>
      <c r="I681" s="177">
        <f t="shared" si="72"/>
        <v>13004.730000000125</v>
      </c>
      <c r="K681" s="151">
        <f>K680+'Basic Data'!$AC$13</f>
        <v>8161.5000000000646</v>
      </c>
      <c r="L681" s="151">
        <f>L680+'Basic Data'!$AD$13</f>
        <v>8161.5000000000646</v>
      </c>
      <c r="M681" s="151">
        <f>M680+'Basic Data'!$AE$13</f>
        <v>5077.6800000000203</v>
      </c>
      <c r="N681" s="151">
        <f>N680+'Basic Data'!$AF$13</f>
        <v>11975.330000000115</v>
      </c>
      <c r="O681" s="151">
        <f>O680+'Basic Data'!$AG$13</f>
        <v>4775.1799999999384</v>
      </c>
      <c r="P681" s="151">
        <f>P680+'Basic Data'!$AH$13</f>
        <v>13061.850000000126</v>
      </c>
    </row>
    <row r="682" spans="2:16">
      <c r="B682" s="156">
        <v>680</v>
      </c>
      <c r="C682" s="176">
        <v>680</v>
      </c>
      <c r="D682" s="177">
        <f t="shared" si="67"/>
        <v>8137.8200000000643</v>
      </c>
      <c r="E682" s="177">
        <f t="shared" si="68"/>
        <v>8139.1400000000649</v>
      </c>
      <c r="F682" s="177">
        <f t="shared" si="69"/>
        <v>5063.6800000000203</v>
      </c>
      <c r="G682" s="177">
        <f t="shared" si="70"/>
        <v>11942.330000000115</v>
      </c>
      <c r="H682" s="177">
        <f t="shared" si="71"/>
        <v>4761.2699999999386</v>
      </c>
      <c r="I682" s="177">
        <f t="shared" si="72"/>
        <v>13023.740000000125</v>
      </c>
      <c r="K682" s="151">
        <f>K681+'Basic Data'!$AC$13</f>
        <v>8173.3800000000647</v>
      </c>
      <c r="L682" s="151">
        <f>L681+'Basic Data'!$AD$13</f>
        <v>8173.3800000000647</v>
      </c>
      <c r="M682" s="151">
        <f>M681+'Basic Data'!$AE$13</f>
        <v>5085.0700000000206</v>
      </c>
      <c r="N682" s="151">
        <f>N681+'Basic Data'!$AF$13</f>
        <v>11992.760000000115</v>
      </c>
      <c r="O682" s="151">
        <f>O681+'Basic Data'!$AG$13</f>
        <v>4782.1299999999383</v>
      </c>
      <c r="P682" s="151">
        <f>P681+'Basic Data'!$AH$13</f>
        <v>13080.860000000126</v>
      </c>
    </row>
    <row r="683" spans="2:16">
      <c r="B683" s="156">
        <v>681</v>
      </c>
      <c r="C683" s="176">
        <v>681</v>
      </c>
      <c r="D683" s="177">
        <f t="shared" si="67"/>
        <v>8149.7000000000644</v>
      </c>
      <c r="E683" s="177">
        <f t="shared" si="68"/>
        <v>8151.020000000065</v>
      </c>
      <c r="F683" s="177">
        <f t="shared" si="69"/>
        <v>5071.0700000000206</v>
      </c>
      <c r="G683" s="177">
        <f t="shared" si="70"/>
        <v>11959.760000000115</v>
      </c>
      <c r="H683" s="177">
        <f t="shared" si="71"/>
        <v>4768.2199999999384</v>
      </c>
      <c r="I683" s="177">
        <f t="shared" si="72"/>
        <v>13042.750000000126</v>
      </c>
      <c r="K683" s="151">
        <f>K682+'Basic Data'!$AC$13</f>
        <v>8185.2600000000648</v>
      </c>
      <c r="L683" s="151">
        <f>L682+'Basic Data'!$AD$13</f>
        <v>8185.2600000000648</v>
      </c>
      <c r="M683" s="151">
        <f>M682+'Basic Data'!$AE$13</f>
        <v>5092.460000000021</v>
      </c>
      <c r="N683" s="151">
        <f>N682+'Basic Data'!$AF$13</f>
        <v>12010.190000000115</v>
      </c>
      <c r="O683" s="151">
        <f>O682+'Basic Data'!$AG$13</f>
        <v>4789.0799999999381</v>
      </c>
      <c r="P683" s="151">
        <f>P682+'Basic Data'!$AH$13</f>
        <v>13099.870000000126</v>
      </c>
    </row>
    <row r="684" spans="2:16">
      <c r="B684" s="156">
        <v>682</v>
      </c>
      <c r="C684" s="176">
        <v>682</v>
      </c>
      <c r="D684" s="177">
        <f t="shared" si="67"/>
        <v>8161.5800000000645</v>
      </c>
      <c r="E684" s="177">
        <f t="shared" si="68"/>
        <v>8162.9000000000651</v>
      </c>
      <c r="F684" s="177">
        <f t="shared" si="69"/>
        <v>5078.460000000021</v>
      </c>
      <c r="G684" s="177">
        <f t="shared" si="70"/>
        <v>11977.190000000115</v>
      </c>
      <c r="H684" s="177">
        <f t="shared" si="71"/>
        <v>4775.1699999999382</v>
      </c>
      <c r="I684" s="177">
        <f t="shared" si="72"/>
        <v>13061.760000000126</v>
      </c>
      <c r="K684" s="151">
        <f>K683+'Basic Data'!$AC$13</f>
        <v>8197.1400000000649</v>
      </c>
      <c r="L684" s="151">
        <f>L683+'Basic Data'!$AD$13</f>
        <v>8197.1400000000649</v>
      </c>
      <c r="M684" s="151">
        <f>M683+'Basic Data'!$AE$13</f>
        <v>5099.8500000000213</v>
      </c>
      <c r="N684" s="151">
        <f>N683+'Basic Data'!$AF$13</f>
        <v>12027.620000000115</v>
      </c>
      <c r="O684" s="151">
        <f>O683+'Basic Data'!$AG$13</f>
        <v>4796.0299999999379</v>
      </c>
      <c r="P684" s="151">
        <f>P683+'Basic Data'!$AH$13</f>
        <v>13118.880000000127</v>
      </c>
    </row>
    <row r="685" spans="2:16">
      <c r="B685" s="156">
        <v>683</v>
      </c>
      <c r="C685" s="176">
        <v>683</v>
      </c>
      <c r="D685" s="177">
        <f t="shared" si="67"/>
        <v>8173.4600000000637</v>
      </c>
      <c r="E685" s="177">
        <f t="shared" si="68"/>
        <v>8174.7800000000643</v>
      </c>
      <c r="F685" s="177">
        <f t="shared" si="69"/>
        <v>5085.8500000000213</v>
      </c>
      <c r="G685" s="177">
        <f t="shared" si="70"/>
        <v>11994.620000000115</v>
      </c>
      <c r="H685" s="177">
        <f t="shared" si="71"/>
        <v>4782.119999999938</v>
      </c>
      <c r="I685" s="177">
        <f t="shared" si="72"/>
        <v>13080.770000000126</v>
      </c>
      <c r="K685" s="151">
        <f>K684+'Basic Data'!$AC$13</f>
        <v>8209.0200000000641</v>
      </c>
      <c r="L685" s="151">
        <f>L684+'Basic Data'!$AD$13</f>
        <v>8209.0200000000641</v>
      </c>
      <c r="M685" s="151">
        <f>M684+'Basic Data'!$AE$13</f>
        <v>5107.2400000000216</v>
      </c>
      <c r="N685" s="151">
        <f>N684+'Basic Data'!$AF$13</f>
        <v>12045.050000000116</v>
      </c>
      <c r="O685" s="151">
        <f>O684+'Basic Data'!$AG$13</f>
        <v>4802.9799999999377</v>
      </c>
      <c r="P685" s="151">
        <f>P684+'Basic Data'!$AH$13</f>
        <v>13137.890000000127</v>
      </c>
    </row>
    <row r="686" spans="2:16">
      <c r="B686" s="156">
        <v>684</v>
      </c>
      <c r="C686" s="176">
        <v>684</v>
      </c>
      <c r="D686" s="177">
        <f t="shared" si="67"/>
        <v>8185.3400000000629</v>
      </c>
      <c r="E686" s="177">
        <f t="shared" si="68"/>
        <v>8186.6600000000635</v>
      </c>
      <c r="F686" s="177">
        <f t="shared" si="69"/>
        <v>5093.2400000000216</v>
      </c>
      <c r="G686" s="177">
        <f t="shared" si="70"/>
        <v>12012.050000000116</v>
      </c>
      <c r="H686" s="177">
        <f t="shared" si="71"/>
        <v>4789.0699999999379</v>
      </c>
      <c r="I686" s="177">
        <f t="shared" si="72"/>
        <v>13099.780000000126</v>
      </c>
      <c r="K686" s="151">
        <f>K685+'Basic Data'!$AC$13</f>
        <v>8220.9000000000633</v>
      </c>
      <c r="L686" s="151">
        <f>L685+'Basic Data'!$AD$13</f>
        <v>8220.9000000000633</v>
      </c>
      <c r="M686" s="151">
        <f>M685+'Basic Data'!$AE$13</f>
        <v>5114.6300000000219</v>
      </c>
      <c r="N686" s="151">
        <f>N685+'Basic Data'!$AF$13</f>
        <v>12062.480000000116</v>
      </c>
      <c r="O686" s="151">
        <f>O685+'Basic Data'!$AG$13</f>
        <v>4809.9299999999375</v>
      </c>
      <c r="P686" s="151">
        <f>P685+'Basic Data'!$AH$13</f>
        <v>13156.900000000127</v>
      </c>
    </row>
    <row r="687" spans="2:16">
      <c r="B687" s="156">
        <v>685</v>
      </c>
      <c r="C687" s="176">
        <v>685</v>
      </c>
      <c r="D687" s="177">
        <f t="shared" si="67"/>
        <v>8197.220000000063</v>
      </c>
      <c r="E687" s="177">
        <f t="shared" si="68"/>
        <v>8198.5400000000627</v>
      </c>
      <c r="F687" s="177">
        <f t="shared" si="69"/>
        <v>5100.6300000000219</v>
      </c>
      <c r="G687" s="177">
        <f t="shared" si="70"/>
        <v>12029.480000000116</v>
      </c>
      <c r="H687" s="177">
        <f t="shared" si="71"/>
        <v>4796.0199999999377</v>
      </c>
      <c r="I687" s="177">
        <f t="shared" si="72"/>
        <v>13118.790000000126</v>
      </c>
      <c r="K687" s="151">
        <f>K686+'Basic Data'!$AC$13</f>
        <v>8232.7800000000625</v>
      </c>
      <c r="L687" s="151">
        <f>L686+'Basic Data'!$AD$13</f>
        <v>8232.7800000000625</v>
      </c>
      <c r="M687" s="151">
        <f>M686+'Basic Data'!$AE$13</f>
        <v>5122.0200000000223</v>
      </c>
      <c r="N687" s="151">
        <f>N686+'Basic Data'!$AF$13</f>
        <v>12079.910000000116</v>
      </c>
      <c r="O687" s="151">
        <f>O686+'Basic Data'!$AG$13</f>
        <v>4816.8799999999374</v>
      </c>
      <c r="P687" s="151">
        <f>P686+'Basic Data'!$AH$13</f>
        <v>13175.910000000127</v>
      </c>
    </row>
    <row r="688" spans="2:16">
      <c r="B688" s="156">
        <v>686</v>
      </c>
      <c r="C688" s="176">
        <v>686</v>
      </c>
      <c r="D688" s="177">
        <f t="shared" si="67"/>
        <v>8209.1000000000622</v>
      </c>
      <c r="E688" s="177">
        <f t="shared" si="68"/>
        <v>8210.4200000000619</v>
      </c>
      <c r="F688" s="177">
        <f t="shared" si="69"/>
        <v>5108.0200000000223</v>
      </c>
      <c r="G688" s="177">
        <f t="shared" si="70"/>
        <v>12046.910000000116</v>
      </c>
      <c r="H688" s="177">
        <f t="shared" si="71"/>
        <v>4802.9699999999375</v>
      </c>
      <c r="I688" s="177">
        <f t="shared" si="72"/>
        <v>13137.800000000127</v>
      </c>
      <c r="K688" s="151">
        <f>K687+'Basic Data'!$AC$13</f>
        <v>8244.6600000000617</v>
      </c>
      <c r="L688" s="151">
        <f>L687+'Basic Data'!$AD$13</f>
        <v>8244.6600000000617</v>
      </c>
      <c r="M688" s="151">
        <f>M687+'Basic Data'!$AE$13</f>
        <v>5129.4100000000226</v>
      </c>
      <c r="N688" s="151">
        <f>N687+'Basic Data'!$AF$13</f>
        <v>12097.340000000117</v>
      </c>
      <c r="O688" s="151">
        <f>O687+'Basic Data'!$AG$13</f>
        <v>4823.8299999999372</v>
      </c>
      <c r="P688" s="151">
        <f>P687+'Basic Data'!$AH$13</f>
        <v>13194.920000000127</v>
      </c>
    </row>
    <row r="689" spans="2:16">
      <c r="B689" s="156">
        <v>687</v>
      </c>
      <c r="C689" s="176">
        <v>687</v>
      </c>
      <c r="D689" s="177">
        <f t="shared" si="67"/>
        <v>8220.9800000000614</v>
      </c>
      <c r="E689" s="177">
        <f t="shared" si="68"/>
        <v>8222.3000000000611</v>
      </c>
      <c r="F689" s="177">
        <f t="shared" si="69"/>
        <v>5115.4100000000226</v>
      </c>
      <c r="G689" s="177">
        <f t="shared" si="70"/>
        <v>12064.340000000117</v>
      </c>
      <c r="H689" s="177">
        <f t="shared" si="71"/>
        <v>4809.9199999999373</v>
      </c>
      <c r="I689" s="177">
        <f t="shared" si="72"/>
        <v>13156.810000000127</v>
      </c>
      <c r="K689" s="151">
        <f>K688+'Basic Data'!$AC$13</f>
        <v>8256.5400000000609</v>
      </c>
      <c r="L689" s="151">
        <f>L688+'Basic Data'!$AD$13</f>
        <v>8256.5400000000609</v>
      </c>
      <c r="M689" s="151">
        <f>M688+'Basic Data'!$AE$13</f>
        <v>5136.8000000000229</v>
      </c>
      <c r="N689" s="151">
        <f>N688+'Basic Data'!$AF$13</f>
        <v>12114.770000000117</v>
      </c>
      <c r="O689" s="151">
        <f>O688+'Basic Data'!$AG$13</f>
        <v>4830.779999999937</v>
      </c>
      <c r="P689" s="151">
        <f>P688+'Basic Data'!$AH$13</f>
        <v>13213.930000000128</v>
      </c>
    </row>
    <row r="690" spans="2:16">
      <c r="B690" s="156">
        <v>688</v>
      </c>
      <c r="C690" s="176">
        <v>688</v>
      </c>
      <c r="D690" s="177">
        <f t="shared" si="67"/>
        <v>8232.8600000000606</v>
      </c>
      <c r="E690" s="177">
        <f t="shared" si="68"/>
        <v>8234.1800000000603</v>
      </c>
      <c r="F690" s="177">
        <f t="shared" si="69"/>
        <v>5122.8000000000229</v>
      </c>
      <c r="G690" s="177">
        <f t="shared" si="70"/>
        <v>12081.770000000117</v>
      </c>
      <c r="H690" s="177">
        <f t="shared" si="71"/>
        <v>4816.8699999999371</v>
      </c>
      <c r="I690" s="177">
        <f t="shared" si="72"/>
        <v>13175.820000000127</v>
      </c>
      <c r="K690" s="151">
        <f>K689+'Basic Data'!$AC$13</f>
        <v>8268.4200000000601</v>
      </c>
      <c r="L690" s="151">
        <f>L689+'Basic Data'!$AD$13</f>
        <v>8268.4200000000601</v>
      </c>
      <c r="M690" s="151">
        <f>M689+'Basic Data'!$AE$13</f>
        <v>5144.1900000000232</v>
      </c>
      <c r="N690" s="151">
        <f>N689+'Basic Data'!$AF$13</f>
        <v>12132.200000000117</v>
      </c>
      <c r="O690" s="151">
        <f>O689+'Basic Data'!$AG$13</f>
        <v>4837.7299999999368</v>
      </c>
      <c r="P690" s="151">
        <f>P689+'Basic Data'!$AH$13</f>
        <v>13232.940000000128</v>
      </c>
    </row>
    <row r="691" spans="2:16">
      <c r="B691" s="156">
        <v>689</v>
      </c>
      <c r="C691" s="176">
        <v>689</v>
      </c>
      <c r="D691" s="177">
        <f t="shared" si="67"/>
        <v>8244.7400000000598</v>
      </c>
      <c r="E691" s="177">
        <f t="shared" si="68"/>
        <v>8246.0600000000595</v>
      </c>
      <c r="F691" s="177">
        <f t="shared" si="69"/>
        <v>5130.1900000000232</v>
      </c>
      <c r="G691" s="177">
        <f t="shared" si="70"/>
        <v>12099.200000000117</v>
      </c>
      <c r="H691" s="177">
        <f t="shared" si="71"/>
        <v>4823.819999999937</v>
      </c>
      <c r="I691" s="177">
        <f t="shared" si="72"/>
        <v>13194.830000000127</v>
      </c>
      <c r="K691" s="151">
        <f>K690+'Basic Data'!$AC$13</f>
        <v>8280.3000000000593</v>
      </c>
      <c r="L691" s="151">
        <f>L690+'Basic Data'!$AD$13</f>
        <v>8280.3000000000593</v>
      </c>
      <c r="M691" s="151">
        <f>M690+'Basic Data'!$AE$13</f>
        <v>5151.5800000000236</v>
      </c>
      <c r="N691" s="151">
        <f>N690+'Basic Data'!$AF$13</f>
        <v>12149.630000000117</v>
      </c>
      <c r="O691" s="151">
        <f>O690+'Basic Data'!$AG$13</f>
        <v>4844.6799999999366</v>
      </c>
      <c r="P691" s="151">
        <f>P690+'Basic Data'!$AH$13</f>
        <v>13251.950000000128</v>
      </c>
    </row>
    <row r="692" spans="2:16">
      <c r="B692" s="156">
        <v>690</v>
      </c>
      <c r="C692" s="176">
        <v>690</v>
      </c>
      <c r="D692" s="177">
        <f t="shared" si="67"/>
        <v>8256.620000000059</v>
      </c>
      <c r="E692" s="177">
        <f t="shared" si="68"/>
        <v>8257.9400000000587</v>
      </c>
      <c r="F692" s="177">
        <f t="shared" si="69"/>
        <v>5137.5800000000236</v>
      </c>
      <c r="G692" s="177">
        <f t="shared" si="70"/>
        <v>12116.630000000117</v>
      </c>
      <c r="H692" s="177">
        <f t="shared" si="71"/>
        <v>4830.7699999999368</v>
      </c>
      <c r="I692" s="177">
        <f t="shared" si="72"/>
        <v>13213.840000000127</v>
      </c>
      <c r="K692" s="151">
        <f>K691+'Basic Data'!$AC$13</f>
        <v>8292.1800000000585</v>
      </c>
      <c r="L692" s="151">
        <f>L691+'Basic Data'!$AD$13</f>
        <v>8292.1800000000585</v>
      </c>
      <c r="M692" s="151">
        <f>M691+'Basic Data'!$AE$13</f>
        <v>5158.9700000000239</v>
      </c>
      <c r="N692" s="151">
        <f>N691+'Basic Data'!$AF$13</f>
        <v>12167.060000000118</v>
      </c>
      <c r="O692" s="151">
        <f>O691+'Basic Data'!$AG$13</f>
        <v>4851.6299999999364</v>
      </c>
      <c r="P692" s="151">
        <f>P691+'Basic Data'!$AH$13</f>
        <v>13270.960000000128</v>
      </c>
    </row>
    <row r="693" spans="2:16">
      <c r="B693" s="156">
        <v>691</v>
      </c>
      <c r="C693" s="176">
        <v>691</v>
      </c>
      <c r="D693" s="177">
        <f t="shared" si="67"/>
        <v>8268.5000000000582</v>
      </c>
      <c r="E693" s="177">
        <f t="shared" si="68"/>
        <v>8269.8200000000579</v>
      </c>
      <c r="F693" s="177">
        <f t="shared" si="69"/>
        <v>5144.9700000000239</v>
      </c>
      <c r="G693" s="177">
        <f t="shared" si="70"/>
        <v>12134.060000000118</v>
      </c>
      <c r="H693" s="177">
        <f t="shared" si="71"/>
        <v>4837.7199999999366</v>
      </c>
      <c r="I693" s="177">
        <f t="shared" si="72"/>
        <v>13232.850000000128</v>
      </c>
      <c r="K693" s="151">
        <f>K692+'Basic Data'!$AC$13</f>
        <v>8304.0600000000577</v>
      </c>
      <c r="L693" s="151">
        <f>L692+'Basic Data'!$AD$13</f>
        <v>8304.0600000000577</v>
      </c>
      <c r="M693" s="151">
        <f>M692+'Basic Data'!$AE$13</f>
        <v>5166.3600000000242</v>
      </c>
      <c r="N693" s="151">
        <f>N692+'Basic Data'!$AF$13</f>
        <v>12184.490000000118</v>
      </c>
      <c r="O693" s="151">
        <f>O692+'Basic Data'!$AG$13</f>
        <v>4858.5799999999363</v>
      </c>
      <c r="P693" s="151">
        <f>P692+'Basic Data'!$AH$13</f>
        <v>13289.970000000128</v>
      </c>
    </row>
    <row r="694" spans="2:16">
      <c r="B694" s="156">
        <v>692</v>
      </c>
      <c r="C694" s="176">
        <v>692</v>
      </c>
      <c r="D694" s="177">
        <f t="shared" si="67"/>
        <v>8280.3800000000574</v>
      </c>
      <c r="E694" s="177">
        <f t="shared" si="68"/>
        <v>8281.7000000000571</v>
      </c>
      <c r="F694" s="177">
        <f t="shared" si="69"/>
        <v>5152.3600000000242</v>
      </c>
      <c r="G694" s="177">
        <f t="shared" si="70"/>
        <v>12151.490000000118</v>
      </c>
      <c r="H694" s="177">
        <f t="shared" si="71"/>
        <v>4844.6699999999364</v>
      </c>
      <c r="I694" s="177">
        <f t="shared" si="72"/>
        <v>13251.860000000128</v>
      </c>
      <c r="K694" s="151">
        <f>K693+'Basic Data'!$AC$13</f>
        <v>8315.9400000000569</v>
      </c>
      <c r="L694" s="151">
        <f>L693+'Basic Data'!$AD$13</f>
        <v>8315.9400000000569</v>
      </c>
      <c r="M694" s="151">
        <f>M693+'Basic Data'!$AE$13</f>
        <v>5173.7500000000246</v>
      </c>
      <c r="N694" s="151">
        <f>N693+'Basic Data'!$AF$13</f>
        <v>12201.920000000118</v>
      </c>
      <c r="O694" s="151">
        <f>O693+'Basic Data'!$AG$13</f>
        <v>4865.5299999999361</v>
      </c>
      <c r="P694" s="151">
        <f>P693+'Basic Data'!$AH$13</f>
        <v>13308.980000000129</v>
      </c>
    </row>
    <row r="695" spans="2:16">
      <c r="B695" s="156">
        <v>693</v>
      </c>
      <c r="C695" s="176">
        <v>693</v>
      </c>
      <c r="D695" s="177">
        <f t="shared" ref="D695:D758" si="73">K695-$K$3</f>
        <v>8292.2600000000566</v>
      </c>
      <c r="E695" s="177">
        <f t="shared" ref="E695:E758" si="74">L695-$L$3</f>
        <v>8293.5800000000563</v>
      </c>
      <c r="F695" s="177">
        <f t="shared" ref="F695:F758" si="75">M695-$M$3</f>
        <v>5159.7500000000246</v>
      </c>
      <c r="G695" s="177">
        <f t="shared" ref="G695:G758" si="76">N695-$N$3</f>
        <v>12168.920000000118</v>
      </c>
      <c r="H695" s="177">
        <f t="shared" ref="H695:H758" si="77">O695-$O$3</f>
        <v>4851.6199999999362</v>
      </c>
      <c r="I695" s="177">
        <f t="shared" ref="I695:I758" si="78">P695-$P$3</f>
        <v>13270.870000000128</v>
      </c>
      <c r="K695" s="151">
        <f>K694+'Basic Data'!$AC$13</f>
        <v>8327.8200000000561</v>
      </c>
      <c r="L695" s="151">
        <f>L694+'Basic Data'!$AD$13</f>
        <v>8327.8200000000561</v>
      </c>
      <c r="M695" s="151">
        <f>M694+'Basic Data'!$AE$13</f>
        <v>5181.1400000000249</v>
      </c>
      <c r="N695" s="151">
        <f>N694+'Basic Data'!$AF$13</f>
        <v>12219.350000000119</v>
      </c>
      <c r="O695" s="151">
        <f>O694+'Basic Data'!$AG$13</f>
        <v>4872.4799999999359</v>
      </c>
      <c r="P695" s="151">
        <f>P694+'Basic Data'!$AH$13</f>
        <v>13327.990000000129</v>
      </c>
    </row>
    <row r="696" spans="2:16">
      <c r="B696" s="156">
        <v>694</v>
      </c>
      <c r="C696" s="176">
        <v>694</v>
      </c>
      <c r="D696" s="177">
        <f t="shared" si="73"/>
        <v>8304.1400000000558</v>
      </c>
      <c r="E696" s="177">
        <f t="shared" si="74"/>
        <v>8305.4600000000555</v>
      </c>
      <c r="F696" s="177">
        <f t="shared" si="75"/>
        <v>5167.1400000000249</v>
      </c>
      <c r="G696" s="177">
        <f t="shared" si="76"/>
        <v>12186.350000000119</v>
      </c>
      <c r="H696" s="177">
        <f t="shared" si="77"/>
        <v>4858.569999999936</v>
      </c>
      <c r="I696" s="177">
        <f t="shared" si="78"/>
        <v>13289.880000000128</v>
      </c>
      <c r="K696" s="151">
        <f>K695+'Basic Data'!$AC$13</f>
        <v>8339.7000000000553</v>
      </c>
      <c r="L696" s="151">
        <f>L695+'Basic Data'!$AD$13</f>
        <v>8339.7000000000553</v>
      </c>
      <c r="M696" s="151">
        <f>M695+'Basic Data'!$AE$13</f>
        <v>5188.5300000000252</v>
      </c>
      <c r="N696" s="151">
        <f>N695+'Basic Data'!$AF$13</f>
        <v>12236.780000000119</v>
      </c>
      <c r="O696" s="151">
        <f>O695+'Basic Data'!$AG$13</f>
        <v>4879.4299999999357</v>
      </c>
      <c r="P696" s="151">
        <f>P695+'Basic Data'!$AH$13</f>
        <v>13347.000000000129</v>
      </c>
    </row>
    <row r="697" spans="2:16">
      <c r="B697" s="156">
        <v>695</v>
      </c>
      <c r="C697" s="176">
        <v>695</v>
      </c>
      <c r="D697" s="177">
        <f t="shared" si="73"/>
        <v>8316.020000000055</v>
      </c>
      <c r="E697" s="177">
        <f t="shared" si="74"/>
        <v>8317.3400000000547</v>
      </c>
      <c r="F697" s="177">
        <f t="shared" si="75"/>
        <v>5174.5300000000252</v>
      </c>
      <c r="G697" s="177">
        <f t="shared" si="76"/>
        <v>12203.780000000119</v>
      </c>
      <c r="H697" s="177">
        <f t="shared" si="77"/>
        <v>4865.5199999999359</v>
      </c>
      <c r="I697" s="177">
        <f t="shared" si="78"/>
        <v>13308.890000000129</v>
      </c>
      <c r="K697" s="151">
        <f>K696+'Basic Data'!$AC$13</f>
        <v>8351.5800000000545</v>
      </c>
      <c r="L697" s="151">
        <f>L696+'Basic Data'!$AD$13</f>
        <v>8351.5800000000545</v>
      </c>
      <c r="M697" s="151">
        <f>M696+'Basic Data'!$AE$13</f>
        <v>5195.9200000000255</v>
      </c>
      <c r="N697" s="151">
        <f>N696+'Basic Data'!$AF$13</f>
        <v>12254.210000000119</v>
      </c>
      <c r="O697" s="151">
        <f>O696+'Basic Data'!$AG$13</f>
        <v>4886.3799999999355</v>
      </c>
      <c r="P697" s="151">
        <f>P696+'Basic Data'!$AH$13</f>
        <v>13366.010000000129</v>
      </c>
    </row>
    <row r="698" spans="2:16">
      <c r="B698" s="156">
        <v>696</v>
      </c>
      <c r="C698" s="176">
        <v>696</v>
      </c>
      <c r="D698" s="177">
        <f t="shared" si="73"/>
        <v>8327.9000000000542</v>
      </c>
      <c r="E698" s="177">
        <f t="shared" si="74"/>
        <v>8329.2200000000539</v>
      </c>
      <c r="F698" s="177">
        <f t="shared" si="75"/>
        <v>5181.9200000000255</v>
      </c>
      <c r="G698" s="177">
        <f t="shared" si="76"/>
        <v>12221.210000000119</v>
      </c>
      <c r="H698" s="177">
        <f t="shared" si="77"/>
        <v>4872.4699999999357</v>
      </c>
      <c r="I698" s="177">
        <f t="shared" si="78"/>
        <v>13327.900000000129</v>
      </c>
      <c r="K698" s="151">
        <f>K697+'Basic Data'!$AC$13</f>
        <v>8363.4600000000537</v>
      </c>
      <c r="L698" s="151">
        <f>L697+'Basic Data'!$AD$13</f>
        <v>8363.4600000000537</v>
      </c>
      <c r="M698" s="151">
        <f>M697+'Basic Data'!$AE$13</f>
        <v>5203.3100000000259</v>
      </c>
      <c r="N698" s="151">
        <f>N697+'Basic Data'!$AF$13</f>
        <v>12271.640000000119</v>
      </c>
      <c r="O698" s="151">
        <f>O697+'Basic Data'!$AG$13</f>
        <v>4893.3299999999354</v>
      </c>
      <c r="P698" s="151">
        <f>P697+'Basic Data'!$AH$13</f>
        <v>13385.02000000013</v>
      </c>
    </row>
    <row r="699" spans="2:16">
      <c r="B699" s="156">
        <v>697</v>
      </c>
      <c r="C699" s="176">
        <v>697</v>
      </c>
      <c r="D699" s="177">
        <f t="shared" si="73"/>
        <v>8339.7800000000534</v>
      </c>
      <c r="E699" s="177">
        <f t="shared" si="74"/>
        <v>8341.1000000000531</v>
      </c>
      <c r="F699" s="177">
        <f t="shared" si="75"/>
        <v>5189.3100000000259</v>
      </c>
      <c r="G699" s="177">
        <f t="shared" si="76"/>
        <v>12238.640000000119</v>
      </c>
      <c r="H699" s="177">
        <f t="shared" si="77"/>
        <v>4879.4199999999355</v>
      </c>
      <c r="I699" s="177">
        <f t="shared" si="78"/>
        <v>13346.910000000129</v>
      </c>
      <c r="K699" s="151">
        <f>K698+'Basic Data'!$AC$13</f>
        <v>8375.3400000000529</v>
      </c>
      <c r="L699" s="151">
        <f>L698+'Basic Data'!$AD$13</f>
        <v>8375.3400000000529</v>
      </c>
      <c r="M699" s="151">
        <f>M698+'Basic Data'!$AE$13</f>
        <v>5210.7000000000262</v>
      </c>
      <c r="N699" s="151">
        <f>N698+'Basic Data'!$AF$13</f>
        <v>12289.07000000012</v>
      </c>
      <c r="O699" s="151">
        <f>O698+'Basic Data'!$AG$13</f>
        <v>4900.2799999999352</v>
      </c>
      <c r="P699" s="151">
        <f>P698+'Basic Data'!$AH$13</f>
        <v>13404.03000000013</v>
      </c>
    </row>
    <row r="700" spans="2:16">
      <c r="B700" s="156">
        <v>698</v>
      </c>
      <c r="C700" s="176">
        <v>698</v>
      </c>
      <c r="D700" s="177">
        <f t="shared" si="73"/>
        <v>8351.6600000000526</v>
      </c>
      <c r="E700" s="177">
        <f t="shared" si="74"/>
        <v>8352.9800000000523</v>
      </c>
      <c r="F700" s="177">
        <f t="shared" si="75"/>
        <v>5196.7000000000262</v>
      </c>
      <c r="G700" s="177">
        <f t="shared" si="76"/>
        <v>12256.07000000012</v>
      </c>
      <c r="H700" s="177">
        <f t="shared" si="77"/>
        <v>4886.3699999999353</v>
      </c>
      <c r="I700" s="177">
        <f t="shared" si="78"/>
        <v>13365.920000000129</v>
      </c>
      <c r="K700" s="151">
        <f>K699+'Basic Data'!$AC$13</f>
        <v>8387.2200000000521</v>
      </c>
      <c r="L700" s="151">
        <f>L699+'Basic Data'!$AD$13</f>
        <v>8387.2200000000521</v>
      </c>
      <c r="M700" s="151">
        <f>M699+'Basic Data'!$AE$13</f>
        <v>5218.0900000000265</v>
      </c>
      <c r="N700" s="151">
        <f>N699+'Basic Data'!$AF$13</f>
        <v>12306.50000000012</v>
      </c>
      <c r="O700" s="151">
        <f>O699+'Basic Data'!$AG$13</f>
        <v>4907.229999999935</v>
      </c>
      <c r="P700" s="151">
        <f>P699+'Basic Data'!$AH$13</f>
        <v>13423.04000000013</v>
      </c>
    </row>
    <row r="701" spans="2:16">
      <c r="B701" s="156">
        <v>699</v>
      </c>
      <c r="C701" s="176">
        <v>699</v>
      </c>
      <c r="D701" s="177">
        <f t="shared" si="73"/>
        <v>8363.5400000000518</v>
      </c>
      <c r="E701" s="177">
        <f t="shared" si="74"/>
        <v>8364.8600000000515</v>
      </c>
      <c r="F701" s="177">
        <f t="shared" si="75"/>
        <v>5204.0900000000265</v>
      </c>
      <c r="G701" s="177">
        <f t="shared" si="76"/>
        <v>12273.50000000012</v>
      </c>
      <c r="H701" s="177">
        <f t="shared" si="77"/>
        <v>4893.3199999999351</v>
      </c>
      <c r="I701" s="177">
        <f t="shared" si="78"/>
        <v>13384.930000000129</v>
      </c>
      <c r="K701" s="151">
        <f>K700+'Basic Data'!$AC$13</f>
        <v>8399.1000000000513</v>
      </c>
      <c r="L701" s="151">
        <f>L700+'Basic Data'!$AD$13</f>
        <v>8399.1000000000513</v>
      </c>
      <c r="M701" s="151">
        <f>M700+'Basic Data'!$AE$13</f>
        <v>5225.4800000000268</v>
      </c>
      <c r="N701" s="151">
        <f>N700+'Basic Data'!$AF$13</f>
        <v>12323.93000000012</v>
      </c>
      <c r="O701" s="151">
        <f>O700+'Basic Data'!$AG$13</f>
        <v>4914.1799999999348</v>
      </c>
      <c r="P701" s="151">
        <f>P700+'Basic Data'!$AH$13</f>
        <v>13442.05000000013</v>
      </c>
    </row>
    <row r="702" spans="2:16">
      <c r="B702" s="156">
        <v>700</v>
      </c>
      <c r="C702" s="176">
        <v>700</v>
      </c>
      <c r="D702" s="177">
        <f t="shared" si="73"/>
        <v>8375.420000000051</v>
      </c>
      <c r="E702" s="177">
        <f t="shared" si="74"/>
        <v>8376.7400000000507</v>
      </c>
      <c r="F702" s="177">
        <f t="shared" si="75"/>
        <v>5211.4800000000268</v>
      </c>
      <c r="G702" s="177">
        <f t="shared" si="76"/>
        <v>12290.93000000012</v>
      </c>
      <c r="H702" s="177">
        <f t="shared" si="77"/>
        <v>4900.269999999935</v>
      </c>
      <c r="I702" s="177">
        <f t="shared" si="78"/>
        <v>13403.94000000013</v>
      </c>
      <c r="K702" s="151">
        <f>K701+'Basic Data'!$AC$13</f>
        <v>8410.9800000000505</v>
      </c>
      <c r="L702" s="151">
        <f>L701+'Basic Data'!$AD$13</f>
        <v>8410.9800000000505</v>
      </c>
      <c r="M702" s="151">
        <f>M701+'Basic Data'!$AE$13</f>
        <v>5232.8700000000272</v>
      </c>
      <c r="N702" s="151">
        <f>N701+'Basic Data'!$AF$13</f>
        <v>12341.360000000121</v>
      </c>
      <c r="O702" s="151">
        <f>O701+'Basic Data'!$AG$13</f>
        <v>4921.1299999999346</v>
      </c>
      <c r="P702" s="151">
        <f>P701+'Basic Data'!$AH$13</f>
        <v>13461.06000000013</v>
      </c>
    </row>
    <row r="703" spans="2:16">
      <c r="B703" s="156">
        <v>701</v>
      </c>
      <c r="C703" s="176">
        <v>701</v>
      </c>
      <c r="D703" s="177">
        <f t="shared" si="73"/>
        <v>8387.3000000000502</v>
      </c>
      <c r="E703" s="177">
        <f t="shared" si="74"/>
        <v>8388.6200000000499</v>
      </c>
      <c r="F703" s="177">
        <f t="shared" si="75"/>
        <v>5218.8700000000272</v>
      </c>
      <c r="G703" s="177">
        <f t="shared" si="76"/>
        <v>12308.360000000121</v>
      </c>
      <c r="H703" s="177">
        <f t="shared" si="77"/>
        <v>4907.2199999999348</v>
      </c>
      <c r="I703" s="177">
        <f t="shared" si="78"/>
        <v>13422.95000000013</v>
      </c>
      <c r="K703" s="151">
        <f>K702+'Basic Data'!$AC$13</f>
        <v>8422.8600000000497</v>
      </c>
      <c r="L703" s="151">
        <f>L702+'Basic Data'!$AD$13</f>
        <v>8422.8600000000497</v>
      </c>
      <c r="M703" s="151">
        <f>M702+'Basic Data'!$AE$13</f>
        <v>5240.2600000000275</v>
      </c>
      <c r="N703" s="151">
        <f>N702+'Basic Data'!$AF$13</f>
        <v>12358.790000000121</v>
      </c>
      <c r="O703" s="151">
        <f>O702+'Basic Data'!$AG$13</f>
        <v>4928.0799999999344</v>
      </c>
      <c r="P703" s="151">
        <f>P702+'Basic Data'!$AH$13</f>
        <v>13480.070000000131</v>
      </c>
    </row>
    <row r="704" spans="2:16">
      <c r="B704" s="156">
        <v>702</v>
      </c>
      <c r="C704" s="176">
        <v>702</v>
      </c>
      <c r="D704" s="177">
        <f t="shared" si="73"/>
        <v>8399.1800000000494</v>
      </c>
      <c r="E704" s="177">
        <f t="shared" si="74"/>
        <v>8400.5000000000491</v>
      </c>
      <c r="F704" s="177">
        <f t="shared" si="75"/>
        <v>5226.2600000000275</v>
      </c>
      <c r="G704" s="177">
        <f t="shared" si="76"/>
        <v>12325.790000000121</v>
      </c>
      <c r="H704" s="177">
        <f t="shared" si="77"/>
        <v>4914.1699999999346</v>
      </c>
      <c r="I704" s="177">
        <f t="shared" si="78"/>
        <v>13441.96000000013</v>
      </c>
      <c r="K704" s="151">
        <f>K703+'Basic Data'!$AC$13</f>
        <v>8434.7400000000489</v>
      </c>
      <c r="L704" s="151">
        <f>L703+'Basic Data'!$AD$13</f>
        <v>8434.7400000000489</v>
      </c>
      <c r="M704" s="151">
        <f>M703+'Basic Data'!$AE$13</f>
        <v>5247.6500000000278</v>
      </c>
      <c r="N704" s="151">
        <f>N703+'Basic Data'!$AF$13</f>
        <v>12376.220000000121</v>
      </c>
      <c r="O704" s="151">
        <f>O703+'Basic Data'!$AG$13</f>
        <v>4935.0299999999343</v>
      </c>
      <c r="P704" s="151">
        <f>P703+'Basic Data'!$AH$13</f>
        <v>13499.080000000131</v>
      </c>
    </row>
    <row r="705" spans="2:16">
      <c r="B705" s="156">
        <v>703</v>
      </c>
      <c r="C705" s="176">
        <v>703</v>
      </c>
      <c r="D705" s="177">
        <f t="shared" si="73"/>
        <v>8411.0600000000486</v>
      </c>
      <c r="E705" s="177">
        <f t="shared" si="74"/>
        <v>8412.3800000000483</v>
      </c>
      <c r="F705" s="177">
        <f t="shared" si="75"/>
        <v>5233.6500000000278</v>
      </c>
      <c r="G705" s="177">
        <f t="shared" si="76"/>
        <v>12343.220000000121</v>
      </c>
      <c r="H705" s="177">
        <f t="shared" si="77"/>
        <v>4921.1199999999344</v>
      </c>
      <c r="I705" s="177">
        <f t="shared" si="78"/>
        <v>13460.97000000013</v>
      </c>
      <c r="K705" s="151">
        <f>K704+'Basic Data'!$AC$13</f>
        <v>8446.6200000000481</v>
      </c>
      <c r="L705" s="151">
        <f>L704+'Basic Data'!$AD$13</f>
        <v>8446.6200000000481</v>
      </c>
      <c r="M705" s="151">
        <f>M704+'Basic Data'!$AE$13</f>
        <v>5255.0400000000282</v>
      </c>
      <c r="N705" s="151">
        <f>N704+'Basic Data'!$AF$13</f>
        <v>12393.650000000122</v>
      </c>
      <c r="O705" s="151">
        <f>O704+'Basic Data'!$AG$13</f>
        <v>4941.9799999999341</v>
      </c>
      <c r="P705" s="151">
        <f>P704+'Basic Data'!$AH$13</f>
        <v>13518.090000000131</v>
      </c>
    </row>
    <row r="706" spans="2:16">
      <c r="B706" s="156">
        <v>704</v>
      </c>
      <c r="C706" s="176">
        <v>704</v>
      </c>
      <c r="D706" s="177">
        <f t="shared" si="73"/>
        <v>8422.9400000000478</v>
      </c>
      <c r="E706" s="177">
        <f t="shared" si="74"/>
        <v>8424.2600000000475</v>
      </c>
      <c r="F706" s="177">
        <f t="shared" si="75"/>
        <v>5241.0400000000282</v>
      </c>
      <c r="G706" s="177">
        <f t="shared" si="76"/>
        <v>12360.650000000122</v>
      </c>
      <c r="H706" s="177">
        <f t="shared" si="77"/>
        <v>4928.0699999999342</v>
      </c>
      <c r="I706" s="177">
        <f t="shared" si="78"/>
        <v>13479.980000000131</v>
      </c>
      <c r="K706" s="151">
        <f>K705+'Basic Data'!$AC$13</f>
        <v>8458.5000000000473</v>
      </c>
      <c r="L706" s="151">
        <f>L705+'Basic Data'!$AD$13</f>
        <v>8458.5000000000473</v>
      </c>
      <c r="M706" s="151">
        <f>M705+'Basic Data'!$AE$13</f>
        <v>5262.4300000000285</v>
      </c>
      <c r="N706" s="151">
        <f>N705+'Basic Data'!$AF$13</f>
        <v>12411.080000000122</v>
      </c>
      <c r="O706" s="151">
        <f>O705+'Basic Data'!$AG$13</f>
        <v>4948.9299999999339</v>
      </c>
      <c r="P706" s="151">
        <f>P705+'Basic Data'!$AH$13</f>
        <v>13537.100000000131</v>
      </c>
    </row>
    <row r="707" spans="2:16">
      <c r="B707" s="156">
        <v>705</v>
      </c>
      <c r="C707" s="176">
        <v>705</v>
      </c>
      <c r="D707" s="177">
        <f t="shared" si="73"/>
        <v>8434.820000000047</v>
      </c>
      <c r="E707" s="177">
        <f t="shared" si="74"/>
        <v>8436.1400000000467</v>
      </c>
      <c r="F707" s="177">
        <f t="shared" si="75"/>
        <v>5248.4300000000285</v>
      </c>
      <c r="G707" s="177">
        <f t="shared" si="76"/>
        <v>12378.080000000122</v>
      </c>
      <c r="H707" s="177">
        <f t="shared" si="77"/>
        <v>4935.019999999934</v>
      </c>
      <c r="I707" s="177">
        <f t="shared" si="78"/>
        <v>13498.990000000131</v>
      </c>
      <c r="K707" s="151">
        <f>K706+'Basic Data'!$AC$13</f>
        <v>8470.3800000000465</v>
      </c>
      <c r="L707" s="151">
        <f>L706+'Basic Data'!$AD$13</f>
        <v>8470.3800000000465</v>
      </c>
      <c r="M707" s="151">
        <f>M706+'Basic Data'!$AE$13</f>
        <v>5269.8200000000288</v>
      </c>
      <c r="N707" s="151">
        <f>N706+'Basic Data'!$AF$13</f>
        <v>12428.510000000122</v>
      </c>
      <c r="O707" s="151">
        <f>O706+'Basic Data'!$AG$13</f>
        <v>4955.8799999999337</v>
      </c>
      <c r="P707" s="151">
        <f>P706+'Basic Data'!$AH$13</f>
        <v>13556.110000000132</v>
      </c>
    </row>
    <row r="708" spans="2:16">
      <c r="B708" s="156">
        <v>706</v>
      </c>
      <c r="C708" s="176">
        <v>706</v>
      </c>
      <c r="D708" s="177">
        <f t="shared" si="73"/>
        <v>8446.7000000000462</v>
      </c>
      <c r="E708" s="177">
        <f t="shared" si="74"/>
        <v>8448.0200000000459</v>
      </c>
      <c r="F708" s="177">
        <f t="shared" si="75"/>
        <v>5255.8200000000288</v>
      </c>
      <c r="G708" s="177">
        <f t="shared" si="76"/>
        <v>12395.510000000122</v>
      </c>
      <c r="H708" s="177">
        <f t="shared" si="77"/>
        <v>4941.9699999999339</v>
      </c>
      <c r="I708" s="177">
        <f t="shared" si="78"/>
        <v>13518.000000000131</v>
      </c>
      <c r="K708" s="151">
        <f>K707+'Basic Data'!$AC$13</f>
        <v>8482.2600000000457</v>
      </c>
      <c r="L708" s="151">
        <f>L707+'Basic Data'!$AD$13</f>
        <v>8482.2600000000457</v>
      </c>
      <c r="M708" s="151">
        <f>M707+'Basic Data'!$AE$13</f>
        <v>5277.2100000000291</v>
      </c>
      <c r="N708" s="151">
        <f>N707+'Basic Data'!$AF$13</f>
        <v>12445.940000000122</v>
      </c>
      <c r="O708" s="151">
        <f>O707+'Basic Data'!$AG$13</f>
        <v>4962.8299999999335</v>
      </c>
      <c r="P708" s="151">
        <f>P707+'Basic Data'!$AH$13</f>
        <v>13575.120000000132</v>
      </c>
    </row>
    <row r="709" spans="2:16">
      <c r="B709" s="156">
        <v>707</v>
      </c>
      <c r="C709" s="176">
        <v>707</v>
      </c>
      <c r="D709" s="177">
        <f t="shared" si="73"/>
        <v>8458.5800000000454</v>
      </c>
      <c r="E709" s="177">
        <f t="shared" si="74"/>
        <v>8459.9000000000451</v>
      </c>
      <c r="F709" s="177">
        <f t="shared" si="75"/>
        <v>5263.2100000000291</v>
      </c>
      <c r="G709" s="177">
        <f t="shared" si="76"/>
        <v>12412.940000000122</v>
      </c>
      <c r="H709" s="177">
        <f t="shared" si="77"/>
        <v>4948.9199999999337</v>
      </c>
      <c r="I709" s="177">
        <f t="shared" si="78"/>
        <v>13537.010000000131</v>
      </c>
      <c r="K709" s="151">
        <f>K708+'Basic Data'!$AC$13</f>
        <v>8494.1400000000449</v>
      </c>
      <c r="L709" s="151">
        <f>L708+'Basic Data'!$AD$13</f>
        <v>8494.1400000000449</v>
      </c>
      <c r="M709" s="151">
        <f>M708+'Basic Data'!$AE$13</f>
        <v>5284.6000000000295</v>
      </c>
      <c r="N709" s="151">
        <f>N708+'Basic Data'!$AF$13</f>
        <v>12463.370000000123</v>
      </c>
      <c r="O709" s="151">
        <f>O708+'Basic Data'!$AG$13</f>
        <v>4969.7799999999334</v>
      </c>
      <c r="P709" s="151">
        <f>P708+'Basic Data'!$AH$13</f>
        <v>13594.130000000132</v>
      </c>
    </row>
    <row r="710" spans="2:16">
      <c r="B710" s="156">
        <v>708</v>
      </c>
      <c r="C710" s="176">
        <v>708</v>
      </c>
      <c r="D710" s="177">
        <f t="shared" si="73"/>
        <v>8470.4600000000446</v>
      </c>
      <c r="E710" s="177">
        <f t="shared" si="74"/>
        <v>8471.7800000000443</v>
      </c>
      <c r="F710" s="177">
        <f t="shared" si="75"/>
        <v>5270.6000000000295</v>
      </c>
      <c r="G710" s="177">
        <f t="shared" si="76"/>
        <v>12430.370000000123</v>
      </c>
      <c r="H710" s="177">
        <f t="shared" si="77"/>
        <v>4955.8699999999335</v>
      </c>
      <c r="I710" s="177">
        <f t="shared" si="78"/>
        <v>13556.020000000131</v>
      </c>
      <c r="K710" s="151">
        <f>K709+'Basic Data'!$AC$13</f>
        <v>8506.0200000000441</v>
      </c>
      <c r="L710" s="151">
        <f>L709+'Basic Data'!$AD$13</f>
        <v>8506.0200000000441</v>
      </c>
      <c r="M710" s="151">
        <f>M709+'Basic Data'!$AE$13</f>
        <v>5291.9900000000298</v>
      </c>
      <c r="N710" s="151">
        <f>N709+'Basic Data'!$AF$13</f>
        <v>12480.800000000123</v>
      </c>
      <c r="O710" s="151">
        <f>O709+'Basic Data'!$AG$13</f>
        <v>4976.7299999999332</v>
      </c>
      <c r="P710" s="151">
        <f>P709+'Basic Data'!$AH$13</f>
        <v>13613.140000000132</v>
      </c>
    </row>
    <row r="711" spans="2:16">
      <c r="B711" s="156">
        <v>709</v>
      </c>
      <c r="C711" s="176">
        <v>709</v>
      </c>
      <c r="D711" s="177">
        <f t="shared" si="73"/>
        <v>8482.3400000000438</v>
      </c>
      <c r="E711" s="177">
        <f t="shared" si="74"/>
        <v>8483.6600000000435</v>
      </c>
      <c r="F711" s="177">
        <f t="shared" si="75"/>
        <v>5277.9900000000298</v>
      </c>
      <c r="G711" s="177">
        <f t="shared" si="76"/>
        <v>12447.800000000123</v>
      </c>
      <c r="H711" s="177">
        <f t="shared" si="77"/>
        <v>4962.8199999999333</v>
      </c>
      <c r="I711" s="177">
        <f t="shared" si="78"/>
        <v>13575.030000000132</v>
      </c>
      <c r="K711" s="151">
        <f>K710+'Basic Data'!$AC$13</f>
        <v>8517.9000000000433</v>
      </c>
      <c r="L711" s="151">
        <f>L710+'Basic Data'!$AD$13</f>
        <v>8517.9000000000433</v>
      </c>
      <c r="M711" s="151">
        <f>M710+'Basic Data'!$AE$13</f>
        <v>5299.3800000000301</v>
      </c>
      <c r="N711" s="151">
        <f>N710+'Basic Data'!$AF$13</f>
        <v>12498.230000000123</v>
      </c>
      <c r="O711" s="151">
        <f>O710+'Basic Data'!$AG$13</f>
        <v>4983.679999999933</v>
      </c>
      <c r="P711" s="151">
        <f>P710+'Basic Data'!$AH$13</f>
        <v>13632.150000000132</v>
      </c>
    </row>
    <row r="712" spans="2:16">
      <c r="B712" s="156">
        <v>710</v>
      </c>
      <c r="C712" s="176">
        <v>710</v>
      </c>
      <c r="D712" s="177">
        <f t="shared" si="73"/>
        <v>8494.220000000043</v>
      </c>
      <c r="E712" s="177">
        <f t="shared" si="74"/>
        <v>8495.5400000000427</v>
      </c>
      <c r="F712" s="177">
        <f t="shared" si="75"/>
        <v>5285.3800000000301</v>
      </c>
      <c r="G712" s="177">
        <f t="shared" si="76"/>
        <v>12465.230000000123</v>
      </c>
      <c r="H712" s="177">
        <f t="shared" si="77"/>
        <v>4969.7699999999331</v>
      </c>
      <c r="I712" s="177">
        <f t="shared" si="78"/>
        <v>13594.040000000132</v>
      </c>
      <c r="K712" s="151">
        <f>K711+'Basic Data'!$AC$13</f>
        <v>8529.7800000000425</v>
      </c>
      <c r="L712" s="151">
        <f>L711+'Basic Data'!$AD$13</f>
        <v>8529.7800000000425</v>
      </c>
      <c r="M712" s="151">
        <f>M711+'Basic Data'!$AE$13</f>
        <v>5306.7700000000304</v>
      </c>
      <c r="N712" s="151">
        <f>N711+'Basic Data'!$AF$13</f>
        <v>12515.660000000124</v>
      </c>
      <c r="O712" s="151">
        <f>O711+'Basic Data'!$AG$13</f>
        <v>4990.6299999999328</v>
      </c>
      <c r="P712" s="151">
        <f>P711+'Basic Data'!$AH$13</f>
        <v>13651.160000000133</v>
      </c>
    </row>
    <row r="713" spans="2:16">
      <c r="B713" s="156">
        <v>711</v>
      </c>
      <c r="C713" s="176">
        <v>711</v>
      </c>
      <c r="D713" s="177">
        <f t="shared" si="73"/>
        <v>8506.1000000000422</v>
      </c>
      <c r="E713" s="177">
        <f t="shared" si="74"/>
        <v>8507.4200000000419</v>
      </c>
      <c r="F713" s="177">
        <f t="shared" si="75"/>
        <v>5292.7700000000304</v>
      </c>
      <c r="G713" s="177">
        <f t="shared" si="76"/>
        <v>12482.660000000124</v>
      </c>
      <c r="H713" s="177">
        <f t="shared" si="77"/>
        <v>4976.719999999933</v>
      </c>
      <c r="I713" s="177">
        <f t="shared" si="78"/>
        <v>13613.050000000132</v>
      </c>
      <c r="K713" s="151">
        <f>K712+'Basic Data'!$AC$13</f>
        <v>8541.6600000000417</v>
      </c>
      <c r="L713" s="151">
        <f>L712+'Basic Data'!$AD$13</f>
        <v>8541.6600000000417</v>
      </c>
      <c r="M713" s="151">
        <f>M712+'Basic Data'!$AE$13</f>
        <v>5314.1600000000308</v>
      </c>
      <c r="N713" s="151">
        <f>N712+'Basic Data'!$AF$13</f>
        <v>12533.090000000124</v>
      </c>
      <c r="O713" s="151">
        <f>O712+'Basic Data'!$AG$13</f>
        <v>4997.5799999999326</v>
      </c>
      <c r="P713" s="151">
        <f>P712+'Basic Data'!$AH$13</f>
        <v>13670.170000000133</v>
      </c>
    </row>
    <row r="714" spans="2:16">
      <c r="B714" s="156">
        <v>712</v>
      </c>
      <c r="C714" s="176">
        <v>712</v>
      </c>
      <c r="D714" s="177">
        <f t="shared" si="73"/>
        <v>8517.9800000000414</v>
      </c>
      <c r="E714" s="177">
        <f t="shared" si="74"/>
        <v>8519.3000000000411</v>
      </c>
      <c r="F714" s="177">
        <f t="shared" si="75"/>
        <v>5300.1600000000308</v>
      </c>
      <c r="G714" s="177">
        <f t="shared" si="76"/>
        <v>12500.090000000124</v>
      </c>
      <c r="H714" s="177">
        <f t="shared" si="77"/>
        <v>4983.6699999999328</v>
      </c>
      <c r="I714" s="177">
        <f t="shared" si="78"/>
        <v>13632.060000000132</v>
      </c>
      <c r="K714" s="151">
        <f>K713+'Basic Data'!$AC$13</f>
        <v>8553.5400000000409</v>
      </c>
      <c r="L714" s="151">
        <f>L713+'Basic Data'!$AD$13</f>
        <v>8553.5400000000409</v>
      </c>
      <c r="M714" s="151">
        <f>M713+'Basic Data'!$AE$13</f>
        <v>5321.5500000000311</v>
      </c>
      <c r="N714" s="151">
        <f>N713+'Basic Data'!$AF$13</f>
        <v>12550.520000000124</v>
      </c>
      <c r="O714" s="151">
        <f>O713+'Basic Data'!$AG$13</f>
        <v>5004.5299999999324</v>
      </c>
      <c r="P714" s="151">
        <f>P713+'Basic Data'!$AH$13</f>
        <v>13689.180000000133</v>
      </c>
    </row>
    <row r="715" spans="2:16">
      <c r="B715" s="156">
        <v>713</v>
      </c>
      <c r="C715" s="176">
        <v>713</v>
      </c>
      <c r="D715" s="177">
        <f t="shared" si="73"/>
        <v>8529.8600000000406</v>
      </c>
      <c r="E715" s="177">
        <f t="shared" si="74"/>
        <v>8531.1800000000403</v>
      </c>
      <c r="F715" s="177">
        <f t="shared" si="75"/>
        <v>5307.5500000000311</v>
      </c>
      <c r="G715" s="177">
        <f t="shared" si="76"/>
        <v>12517.520000000124</v>
      </c>
      <c r="H715" s="177">
        <f t="shared" si="77"/>
        <v>4990.6199999999326</v>
      </c>
      <c r="I715" s="177">
        <f t="shared" si="78"/>
        <v>13651.070000000132</v>
      </c>
      <c r="K715" s="151">
        <f>K714+'Basic Data'!$AC$13</f>
        <v>8565.4200000000401</v>
      </c>
      <c r="L715" s="151">
        <f>L714+'Basic Data'!$AD$13</f>
        <v>8565.4200000000401</v>
      </c>
      <c r="M715" s="151">
        <f>M714+'Basic Data'!$AE$13</f>
        <v>5328.9400000000314</v>
      </c>
      <c r="N715" s="151">
        <f>N714+'Basic Data'!$AF$13</f>
        <v>12567.950000000124</v>
      </c>
      <c r="O715" s="151">
        <f>O714+'Basic Data'!$AG$13</f>
        <v>5011.4799999999323</v>
      </c>
      <c r="P715" s="151">
        <f>P714+'Basic Data'!$AH$13</f>
        <v>13708.190000000133</v>
      </c>
    </row>
    <row r="716" spans="2:16">
      <c r="B716" s="156">
        <v>714</v>
      </c>
      <c r="C716" s="176">
        <v>714</v>
      </c>
      <c r="D716" s="177">
        <f t="shared" si="73"/>
        <v>8541.7400000000398</v>
      </c>
      <c r="E716" s="177">
        <f t="shared" si="74"/>
        <v>8543.0600000000395</v>
      </c>
      <c r="F716" s="177">
        <f t="shared" si="75"/>
        <v>5314.9400000000314</v>
      </c>
      <c r="G716" s="177">
        <f t="shared" si="76"/>
        <v>12534.950000000124</v>
      </c>
      <c r="H716" s="177">
        <f t="shared" si="77"/>
        <v>4997.5699999999324</v>
      </c>
      <c r="I716" s="177">
        <f t="shared" si="78"/>
        <v>13670.080000000133</v>
      </c>
      <c r="K716" s="151">
        <f>K715+'Basic Data'!$AC$13</f>
        <v>8577.3000000000393</v>
      </c>
      <c r="L716" s="151">
        <f>L715+'Basic Data'!$AD$13</f>
        <v>8577.3000000000393</v>
      </c>
      <c r="M716" s="151">
        <f>M715+'Basic Data'!$AE$13</f>
        <v>5336.3300000000318</v>
      </c>
      <c r="N716" s="151">
        <f>N715+'Basic Data'!$AF$13</f>
        <v>12585.380000000125</v>
      </c>
      <c r="O716" s="151">
        <f>O715+'Basic Data'!$AG$13</f>
        <v>5018.4299999999321</v>
      </c>
      <c r="P716" s="151">
        <f>P715+'Basic Data'!$AH$13</f>
        <v>13727.200000000134</v>
      </c>
    </row>
    <row r="717" spans="2:16">
      <c r="B717" s="156">
        <v>715</v>
      </c>
      <c r="C717" s="176">
        <v>715</v>
      </c>
      <c r="D717" s="177">
        <f t="shared" si="73"/>
        <v>8553.620000000039</v>
      </c>
      <c r="E717" s="177">
        <f t="shared" si="74"/>
        <v>8554.9400000000387</v>
      </c>
      <c r="F717" s="177">
        <f t="shared" si="75"/>
        <v>5322.3300000000318</v>
      </c>
      <c r="G717" s="177">
        <f t="shared" si="76"/>
        <v>12552.380000000125</v>
      </c>
      <c r="H717" s="177">
        <f t="shared" si="77"/>
        <v>5004.5199999999322</v>
      </c>
      <c r="I717" s="177">
        <f t="shared" si="78"/>
        <v>13689.090000000133</v>
      </c>
      <c r="K717" s="151">
        <f>K716+'Basic Data'!$AC$13</f>
        <v>8589.1800000000385</v>
      </c>
      <c r="L717" s="151">
        <f>L716+'Basic Data'!$AD$13</f>
        <v>8589.1800000000385</v>
      </c>
      <c r="M717" s="151">
        <f>M716+'Basic Data'!$AE$13</f>
        <v>5343.7200000000321</v>
      </c>
      <c r="N717" s="151">
        <f>N716+'Basic Data'!$AF$13</f>
        <v>12602.810000000125</v>
      </c>
      <c r="O717" s="151">
        <f>O716+'Basic Data'!$AG$13</f>
        <v>5025.3799999999319</v>
      </c>
      <c r="P717" s="151">
        <f>P716+'Basic Data'!$AH$13</f>
        <v>13746.210000000134</v>
      </c>
    </row>
    <row r="718" spans="2:16">
      <c r="B718" s="156">
        <v>716</v>
      </c>
      <c r="C718" s="176">
        <v>716</v>
      </c>
      <c r="D718" s="177">
        <f t="shared" si="73"/>
        <v>8565.5000000000382</v>
      </c>
      <c r="E718" s="177">
        <f t="shared" si="74"/>
        <v>8566.8200000000379</v>
      </c>
      <c r="F718" s="177">
        <f t="shared" si="75"/>
        <v>5329.7200000000321</v>
      </c>
      <c r="G718" s="177">
        <f t="shared" si="76"/>
        <v>12569.810000000125</v>
      </c>
      <c r="H718" s="177">
        <f t="shared" si="77"/>
        <v>5011.469999999932</v>
      </c>
      <c r="I718" s="177">
        <f t="shared" si="78"/>
        <v>13708.100000000133</v>
      </c>
      <c r="K718" s="151">
        <f>K717+'Basic Data'!$AC$13</f>
        <v>8601.0600000000377</v>
      </c>
      <c r="L718" s="151">
        <f>L717+'Basic Data'!$AD$13</f>
        <v>8601.0600000000377</v>
      </c>
      <c r="M718" s="151">
        <f>M717+'Basic Data'!$AE$13</f>
        <v>5351.1100000000324</v>
      </c>
      <c r="N718" s="151">
        <f>N717+'Basic Data'!$AF$13</f>
        <v>12620.240000000125</v>
      </c>
      <c r="O718" s="151">
        <f>O717+'Basic Data'!$AG$13</f>
        <v>5032.3299999999317</v>
      </c>
      <c r="P718" s="151">
        <f>P717+'Basic Data'!$AH$13</f>
        <v>13765.220000000134</v>
      </c>
    </row>
    <row r="719" spans="2:16">
      <c r="B719" s="156">
        <v>717</v>
      </c>
      <c r="C719" s="176">
        <v>717</v>
      </c>
      <c r="D719" s="177">
        <f t="shared" si="73"/>
        <v>8577.3800000000374</v>
      </c>
      <c r="E719" s="177">
        <f t="shared" si="74"/>
        <v>8578.7000000000371</v>
      </c>
      <c r="F719" s="177">
        <f t="shared" si="75"/>
        <v>5337.1100000000324</v>
      </c>
      <c r="G719" s="177">
        <f t="shared" si="76"/>
        <v>12587.240000000125</v>
      </c>
      <c r="H719" s="177">
        <f t="shared" si="77"/>
        <v>5018.4199999999319</v>
      </c>
      <c r="I719" s="177">
        <f t="shared" si="78"/>
        <v>13727.110000000133</v>
      </c>
      <c r="K719" s="151">
        <f>K718+'Basic Data'!$AC$13</f>
        <v>8612.9400000000369</v>
      </c>
      <c r="L719" s="151">
        <f>L718+'Basic Data'!$AD$13</f>
        <v>8612.9400000000369</v>
      </c>
      <c r="M719" s="151">
        <f>M718+'Basic Data'!$AE$13</f>
        <v>5358.5000000000327</v>
      </c>
      <c r="N719" s="151">
        <f>N718+'Basic Data'!$AF$13</f>
        <v>12637.670000000126</v>
      </c>
      <c r="O719" s="151">
        <f>O718+'Basic Data'!$AG$13</f>
        <v>5039.2799999999315</v>
      </c>
      <c r="P719" s="151">
        <f>P718+'Basic Data'!$AH$13</f>
        <v>13784.230000000134</v>
      </c>
    </row>
    <row r="720" spans="2:16">
      <c r="B720" s="156">
        <v>718</v>
      </c>
      <c r="C720" s="176">
        <v>718</v>
      </c>
      <c r="D720" s="177">
        <f t="shared" si="73"/>
        <v>8589.2600000000366</v>
      </c>
      <c r="E720" s="177">
        <f t="shared" si="74"/>
        <v>8590.5800000000363</v>
      </c>
      <c r="F720" s="177">
        <f t="shared" si="75"/>
        <v>5344.5000000000327</v>
      </c>
      <c r="G720" s="177">
        <f t="shared" si="76"/>
        <v>12604.670000000126</v>
      </c>
      <c r="H720" s="177">
        <f t="shared" si="77"/>
        <v>5025.3699999999317</v>
      </c>
      <c r="I720" s="177">
        <f t="shared" si="78"/>
        <v>13746.120000000134</v>
      </c>
      <c r="K720" s="151">
        <f>K719+'Basic Data'!$AC$13</f>
        <v>8624.8200000000361</v>
      </c>
      <c r="L720" s="151">
        <f>L719+'Basic Data'!$AD$13</f>
        <v>8624.8200000000361</v>
      </c>
      <c r="M720" s="151">
        <f>M719+'Basic Data'!$AE$13</f>
        <v>5365.8900000000331</v>
      </c>
      <c r="N720" s="151">
        <f>N719+'Basic Data'!$AF$13</f>
        <v>12655.100000000126</v>
      </c>
      <c r="O720" s="151">
        <f>O719+'Basic Data'!$AG$13</f>
        <v>5046.2299999999314</v>
      </c>
      <c r="P720" s="151">
        <f>P719+'Basic Data'!$AH$13</f>
        <v>13803.240000000134</v>
      </c>
    </row>
    <row r="721" spans="2:16">
      <c r="B721" s="156">
        <v>719</v>
      </c>
      <c r="C721" s="176">
        <v>719</v>
      </c>
      <c r="D721" s="177">
        <f t="shared" si="73"/>
        <v>8601.1400000000358</v>
      </c>
      <c r="E721" s="177">
        <f t="shared" si="74"/>
        <v>8602.4600000000355</v>
      </c>
      <c r="F721" s="177">
        <f t="shared" si="75"/>
        <v>5351.8900000000331</v>
      </c>
      <c r="G721" s="177">
        <f t="shared" si="76"/>
        <v>12622.100000000126</v>
      </c>
      <c r="H721" s="177">
        <f t="shared" si="77"/>
        <v>5032.3199999999315</v>
      </c>
      <c r="I721" s="177">
        <f t="shared" si="78"/>
        <v>13765.130000000134</v>
      </c>
      <c r="K721" s="151">
        <f>K720+'Basic Data'!$AC$13</f>
        <v>8636.7000000000353</v>
      </c>
      <c r="L721" s="151">
        <f>L720+'Basic Data'!$AD$13</f>
        <v>8636.7000000000353</v>
      </c>
      <c r="M721" s="151">
        <f>M720+'Basic Data'!$AE$13</f>
        <v>5373.2800000000334</v>
      </c>
      <c r="N721" s="151">
        <f>N720+'Basic Data'!$AF$13</f>
        <v>12672.530000000126</v>
      </c>
      <c r="O721" s="151">
        <f>O720+'Basic Data'!$AG$13</f>
        <v>5053.1799999999312</v>
      </c>
      <c r="P721" s="151">
        <f>P720+'Basic Data'!$AH$13</f>
        <v>13822.250000000135</v>
      </c>
    </row>
    <row r="722" spans="2:16">
      <c r="B722" s="156">
        <v>720</v>
      </c>
      <c r="C722" s="176">
        <v>720</v>
      </c>
      <c r="D722" s="177">
        <f t="shared" si="73"/>
        <v>8613.020000000035</v>
      </c>
      <c r="E722" s="177">
        <f t="shared" si="74"/>
        <v>8614.3400000000347</v>
      </c>
      <c r="F722" s="177">
        <f t="shared" si="75"/>
        <v>5359.2800000000334</v>
      </c>
      <c r="G722" s="177">
        <f t="shared" si="76"/>
        <v>12639.530000000126</v>
      </c>
      <c r="H722" s="177">
        <f t="shared" si="77"/>
        <v>5039.2699999999313</v>
      </c>
      <c r="I722" s="177">
        <f t="shared" si="78"/>
        <v>13784.140000000134</v>
      </c>
      <c r="K722" s="151">
        <f>K721+'Basic Data'!$AC$13</f>
        <v>8648.5800000000345</v>
      </c>
      <c r="L722" s="151">
        <f>L721+'Basic Data'!$AD$13</f>
        <v>8648.5800000000345</v>
      </c>
      <c r="M722" s="151">
        <f>M721+'Basic Data'!$AE$13</f>
        <v>5380.6700000000337</v>
      </c>
      <c r="N722" s="151">
        <f>N721+'Basic Data'!$AF$13</f>
        <v>12689.960000000126</v>
      </c>
      <c r="O722" s="151">
        <f>O721+'Basic Data'!$AG$13</f>
        <v>5060.129999999931</v>
      </c>
      <c r="P722" s="151">
        <f>P721+'Basic Data'!$AH$13</f>
        <v>13841.260000000135</v>
      </c>
    </row>
    <row r="723" spans="2:16">
      <c r="B723" s="156">
        <v>721</v>
      </c>
      <c r="C723" s="176">
        <v>721</v>
      </c>
      <c r="D723" s="177">
        <f t="shared" si="73"/>
        <v>8624.9000000000342</v>
      </c>
      <c r="E723" s="177">
        <f t="shared" si="74"/>
        <v>8626.2200000000339</v>
      </c>
      <c r="F723" s="177">
        <f t="shared" si="75"/>
        <v>5366.6700000000337</v>
      </c>
      <c r="G723" s="177">
        <f t="shared" si="76"/>
        <v>12656.960000000126</v>
      </c>
      <c r="H723" s="177">
        <f t="shared" si="77"/>
        <v>5046.2199999999311</v>
      </c>
      <c r="I723" s="177">
        <f t="shared" si="78"/>
        <v>13803.150000000134</v>
      </c>
      <c r="K723" s="151">
        <f>K722+'Basic Data'!$AC$13</f>
        <v>8660.4600000000337</v>
      </c>
      <c r="L723" s="151">
        <f>L722+'Basic Data'!$AD$13</f>
        <v>8660.4600000000337</v>
      </c>
      <c r="M723" s="151">
        <f>M722+'Basic Data'!$AE$13</f>
        <v>5388.0600000000341</v>
      </c>
      <c r="N723" s="151">
        <f>N722+'Basic Data'!$AF$13</f>
        <v>12707.390000000127</v>
      </c>
      <c r="O723" s="151">
        <f>O722+'Basic Data'!$AG$13</f>
        <v>5067.0799999999308</v>
      </c>
      <c r="P723" s="151">
        <f>P722+'Basic Data'!$AH$13</f>
        <v>13860.270000000135</v>
      </c>
    </row>
    <row r="724" spans="2:16">
      <c r="B724" s="156">
        <v>722</v>
      </c>
      <c r="C724" s="176">
        <v>722</v>
      </c>
      <c r="D724" s="177">
        <f t="shared" si="73"/>
        <v>8636.7800000000334</v>
      </c>
      <c r="E724" s="177">
        <f t="shared" si="74"/>
        <v>8638.1000000000331</v>
      </c>
      <c r="F724" s="177">
        <f t="shared" si="75"/>
        <v>5374.0600000000341</v>
      </c>
      <c r="G724" s="177">
        <f t="shared" si="76"/>
        <v>12674.390000000127</v>
      </c>
      <c r="H724" s="177">
        <f t="shared" si="77"/>
        <v>5053.169999999931</v>
      </c>
      <c r="I724" s="177">
        <f t="shared" si="78"/>
        <v>13822.160000000134</v>
      </c>
      <c r="K724" s="151">
        <f>K723+'Basic Data'!$AC$13</f>
        <v>8672.3400000000329</v>
      </c>
      <c r="L724" s="151">
        <f>L723+'Basic Data'!$AD$13</f>
        <v>8672.3400000000329</v>
      </c>
      <c r="M724" s="151">
        <f>M723+'Basic Data'!$AE$13</f>
        <v>5395.4500000000344</v>
      </c>
      <c r="N724" s="151">
        <f>N723+'Basic Data'!$AF$13</f>
        <v>12724.820000000127</v>
      </c>
      <c r="O724" s="151">
        <f>O723+'Basic Data'!$AG$13</f>
        <v>5074.0299999999306</v>
      </c>
      <c r="P724" s="151">
        <f>P723+'Basic Data'!$AH$13</f>
        <v>13879.280000000135</v>
      </c>
    </row>
    <row r="725" spans="2:16">
      <c r="B725" s="156">
        <v>723</v>
      </c>
      <c r="C725" s="176">
        <v>723</v>
      </c>
      <c r="D725" s="177">
        <f t="shared" si="73"/>
        <v>8648.6600000000326</v>
      </c>
      <c r="E725" s="177">
        <f t="shared" si="74"/>
        <v>8649.9800000000323</v>
      </c>
      <c r="F725" s="177">
        <f t="shared" si="75"/>
        <v>5381.4500000000344</v>
      </c>
      <c r="G725" s="177">
        <f t="shared" si="76"/>
        <v>12691.820000000127</v>
      </c>
      <c r="H725" s="177">
        <f t="shared" si="77"/>
        <v>5060.1199999999308</v>
      </c>
      <c r="I725" s="177">
        <f t="shared" si="78"/>
        <v>13841.170000000135</v>
      </c>
      <c r="K725" s="151">
        <f>K724+'Basic Data'!$AC$13</f>
        <v>8684.2200000000321</v>
      </c>
      <c r="L725" s="151">
        <f>L724+'Basic Data'!$AD$13</f>
        <v>8684.2200000000321</v>
      </c>
      <c r="M725" s="151">
        <f>M724+'Basic Data'!$AE$13</f>
        <v>5402.8400000000347</v>
      </c>
      <c r="N725" s="151">
        <f>N724+'Basic Data'!$AF$13</f>
        <v>12742.250000000127</v>
      </c>
      <c r="O725" s="151">
        <f>O724+'Basic Data'!$AG$13</f>
        <v>5080.9799999999304</v>
      </c>
      <c r="P725" s="151">
        <f>P724+'Basic Data'!$AH$13</f>
        <v>13898.290000000135</v>
      </c>
    </row>
    <row r="726" spans="2:16">
      <c r="B726" s="156">
        <v>724</v>
      </c>
      <c r="C726" s="176">
        <v>724</v>
      </c>
      <c r="D726" s="177">
        <f t="shared" si="73"/>
        <v>8660.5400000000318</v>
      </c>
      <c r="E726" s="177">
        <f t="shared" si="74"/>
        <v>8661.8600000000315</v>
      </c>
      <c r="F726" s="177">
        <f t="shared" si="75"/>
        <v>5388.8400000000347</v>
      </c>
      <c r="G726" s="177">
        <f t="shared" si="76"/>
        <v>12709.250000000127</v>
      </c>
      <c r="H726" s="177">
        <f t="shared" si="77"/>
        <v>5067.0699999999306</v>
      </c>
      <c r="I726" s="177">
        <f t="shared" si="78"/>
        <v>13860.180000000135</v>
      </c>
      <c r="K726" s="151">
        <f>K725+'Basic Data'!$AC$13</f>
        <v>8696.1000000000313</v>
      </c>
      <c r="L726" s="151">
        <f>L725+'Basic Data'!$AD$13</f>
        <v>8696.1000000000313</v>
      </c>
      <c r="M726" s="151">
        <f>M725+'Basic Data'!$AE$13</f>
        <v>5410.230000000035</v>
      </c>
      <c r="N726" s="151">
        <f>N725+'Basic Data'!$AF$13</f>
        <v>12759.680000000128</v>
      </c>
      <c r="O726" s="151">
        <f>O725+'Basic Data'!$AG$13</f>
        <v>5087.9299999999303</v>
      </c>
      <c r="P726" s="151">
        <f>P725+'Basic Data'!$AH$13</f>
        <v>13917.300000000136</v>
      </c>
    </row>
    <row r="727" spans="2:16">
      <c r="B727" s="156">
        <v>725</v>
      </c>
      <c r="C727" s="176">
        <v>725</v>
      </c>
      <c r="D727" s="177">
        <f t="shared" si="73"/>
        <v>8672.420000000031</v>
      </c>
      <c r="E727" s="177">
        <f t="shared" si="74"/>
        <v>8673.7400000000307</v>
      </c>
      <c r="F727" s="177">
        <f t="shared" si="75"/>
        <v>5396.230000000035</v>
      </c>
      <c r="G727" s="177">
        <f t="shared" si="76"/>
        <v>12726.680000000128</v>
      </c>
      <c r="H727" s="177">
        <f t="shared" si="77"/>
        <v>5074.0199999999304</v>
      </c>
      <c r="I727" s="177">
        <f t="shared" si="78"/>
        <v>13879.190000000135</v>
      </c>
      <c r="K727" s="151">
        <f>K726+'Basic Data'!$AC$13</f>
        <v>8707.9800000000305</v>
      </c>
      <c r="L727" s="151">
        <f>L726+'Basic Data'!$AD$13</f>
        <v>8707.9800000000305</v>
      </c>
      <c r="M727" s="151">
        <f>M726+'Basic Data'!$AE$13</f>
        <v>5417.6200000000354</v>
      </c>
      <c r="N727" s="151">
        <f>N726+'Basic Data'!$AF$13</f>
        <v>12777.110000000128</v>
      </c>
      <c r="O727" s="151">
        <f>O726+'Basic Data'!$AG$13</f>
        <v>5094.8799999999301</v>
      </c>
      <c r="P727" s="151">
        <f>P726+'Basic Data'!$AH$13</f>
        <v>13936.310000000136</v>
      </c>
    </row>
    <row r="728" spans="2:16">
      <c r="B728" s="156">
        <v>726</v>
      </c>
      <c r="C728" s="176">
        <v>726</v>
      </c>
      <c r="D728" s="177">
        <f t="shared" si="73"/>
        <v>8684.3000000000302</v>
      </c>
      <c r="E728" s="177">
        <f t="shared" si="74"/>
        <v>8685.6200000000299</v>
      </c>
      <c r="F728" s="177">
        <f t="shared" si="75"/>
        <v>5403.6200000000354</v>
      </c>
      <c r="G728" s="177">
        <f t="shared" si="76"/>
        <v>12744.110000000128</v>
      </c>
      <c r="H728" s="177">
        <f t="shared" si="77"/>
        <v>5080.9699999999302</v>
      </c>
      <c r="I728" s="177">
        <f t="shared" si="78"/>
        <v>13898.200000000135</v>
      </c>
      <c r="K728" s="151">
        <f>K727+'Basic Data'!$AC$13</f>
        <v>8719.8600000000297</v>
      </c>
      <c r="L728" s="151">
        <f>L727+'Basic Data'!$AD$13</f>
        <v>8719.8600000000297</v>
      </c>
      <c r="M728" s="151">
        <f>M727+'Basic Data'!$AE$13</f>
        <v>5425.0100000000357</v>
      </c>
      <c r="N728" s="151">
        <f>N727+'Basic Data'!$AF$13</f>
        <v>12794.540000000128</v>
      </c>
      <c r="O728" s="151">
        <f>O727+'Basic Data'!$AG$13</f>
        <v>5101.8299999999299</v>
      </c>
      <c r="P728" s="151">
        <f>P727+'Basic Data'!$AH$13</f>
        <v>13955.320000000136</v>
      </c>
    </row>
    <row r="729" spans="2:16">
      <c r="B729" s="156">
        <v>727</v>
      </c>
      <c r="C729" s="176">
        <v>727</v>
      </c>
      <c r="D729" s="177">
        <f t="shared" si="73"/>
        <v>8696.1800000000294</v>
      </c>
      <c r="E729" s="177">
        <f t="shared" si="74"/>
        <v>8697.5000000000291</v>
      </c>
      <c r="F729" s="177">
        <f t="shared" si="75"/>
        <v>5411.0100000000357</v>
      </c>
      <c r="G729" s="177">
        <f t="shared" si="76"/>
        <v>12761.540000000128</v>
      </c>
      <c r="H729" s="177">
        <f t="shared" si="77"/>
        <v>5087.91999999993</v>
      </c>
      <c r="I729" s="177">
        <f t="shared" si="78"/>
        <v>13917.210000000136</v>
      </c>
      <c r="K729" s="151">
        <f>K728+'Basic Data'!$AC$13</f>
        <v>8731.7400000000289</v>
      </c>
      <c r="L729" s="151">
        <f>L728+'Basic Data'!$AD$13</f>
        <v>8731.7400000000289</v>
      </c>
      <c r="M729" s="151">
        <f>M728+'Basic Data'!$AE$13</f>
        <v>5432.400000000036</v>
      </c>
      <c r="N729" s="151">
        <f>N728+'Basic Data'!$AF$13</f>
        <v>12811.970000000128</v>
      </c>
      <c r="O729" s="151">
        <f>O728+'Basic Data'!$AG$13</f>
        <v>5108.7799999999297</v>
      </c>
      <c r="P729" s="151">
        <f>P728+'Basic Data'!$AH$13</f>
        <v>13974.330000000136</v>
      </c>
    </row>
    <row r="730" spans="2:16">
      <c r="B730" s="156">
        <v>728</v>
      </c>
      <c r="C730" s="176">
        <v>728</v>
      </c>
      <c r="D730" s="177">
        <f t="shared" si="73"/>
        <v>8708.0600000000286</v>
      </c>
      <c r="E730" s="177">
        <f t="shared" si="74"/>
        <v>8709.3800000000283</v>
      </c>
      <c r="F730" s="177">
        <f t="shared" si="75"/>
        <v>5418.400000000036</v>
      </c>
      <c r="G730" s="177">
        <f t="shared" si="76"/>
        <v>12778.970000000128</v>
      </c>
      <c r="H730" s="177">
        <f t="shared" si="77"/>
        <v>5094.8699999999299</v>
      </c>
      <c r="I730" s="177">
        <f t="shared" si="78"/>
        <v>13936.220000000136</v>
      </c>
      <c r="K730" s="151">
        <f>K729+'Basic Data'!$AC$13</f>
        <v>8743.6200000000281</v>
      </c>
      <c r="L730" s="151">
        <f>L729+'Basic Data'!$AD$13</f>
        <v>8743.6200000000281</v>
      </c>
      <c r="M730" s="151">
        <f>M729+'Basic Data'!$AE$13</f>
        <v>5439.7900000000363</v>
      </c>
      <c r="N730" s="151">
        <f>N729+'Basic Data'!$AF$13</f>
        <v>12829.400000000129</v>
      </c>
      <c r="O730" s="151">
        <f>O729+'Basic Data'!$AG$13</f>
        <v>5115.7299999999295</v>
      </c>
      <c r="P730" s="151">
        <f>P729+'Basic Data'!$AH$13</f>
        <v>13993.340000000137</v>
      </c>
    </row>
    <row r="731" spans="2:16">
      <c r="B731" s="156">
        <v>729</v>
      </c>
      <c r="C731" s="176">
        <v>729</v>
      </c>
      <c r="D731" s="177">
        <f t="shared" si="73"/>
        <v>8719.9400000000278</v>
      </c>
      <c r="E731" s="177">
        <f t="shared" si="74"/>
        <v>8721.2600000000275</v>
      </c>
      <c r="F731" s="177">
        <f t="shared" si="75"/>
        <v>5425.7900000000363</v>
      </c>
      <c r="G731" s="177">
        <f t="shared" si="76"/>
        <v>12796.400000000129</v>
      </c>
      <c r="H731" s="177">
        <f t="shared" si="77"/>
        <v>5101.8199999999297</v>
      </c>
      <c r="I731" s="177">
        <f t="shared" si="78"/>
        <v>13955.230000000136</v>
      </c>
      <c r="K731" s="151">
        <f>K730+'Basic Data'!$AC$13</f>
        <v>8755.5000000000273</v>
      </c>
      <c r="L731" s="151">
        <f>L730+'Basic Data'!$AD$13</f>
        <v>8755.5000000000273</v>
      </c>
      <c r="M731" s="151">
        <f>M730+'Basic Data'!$AE$13</f>
        <v>5447.1800000000367</v>
      </c>
      <c r="N731" s="151">
        <f>N730+'Basic Data'!$AF$13</f>
        <v>12846.830000000129</v>
      </c>
      <c r="O731" s="151">
        <f>O730+'Basic Data'!$AG$13</f>
        <v>5122.6799999999294</v>
      </c>
      <c r="P731" s="151">
        <f>P730+'Basic Data'!$AH$13</f>
        <v>14012.350000000137</v>
      </c>
    </row>
    <row r="732" spans="2:16">
      <c r="B732" s="156">
        <v>730</v>
      </c>
      <c r="C732" s="176">
        <v>730</v>
      </c>
      <c r="D732" s="177">
        <f t="shared" si="73"/>
        <v>8731.820000000027</v>
      </c>
      <c r="E732" s="177">
        <f t="shared" si="74"/>
        <v>8733.1400000000267</v>
      </c>
      <c r="F732" s="177">
        <f t="shared" si="75"/>
        <v>5433.1800000000367</v>
      </c>
      <c r="G732" s="177">
        <f t="shared" si="76"/>
        <v>12813.830000000129</v>
      </c>
      <c r="H732" s="177">
        <f t="shared" si="77"/>
        <v>5108.7699999999295</v>
      </c>
      <c r="I732" s="177">
        <f t="shared" si="78"/>
        <v>13974.240000000136</v>
      </c>
      <c r="K732" s="151">
        <f>K731+'Basic Data'!$AC$13</f>
        <v>8767.3800000000265</v>
      </c>
      <c r="L732" s="151">
        <f>L731+'Basic Data'!$AD$13</f>
        <v>8767.3800000000265</v>
      </c>
      <c r="M732" s="151">
        <f>M731+'Basic Data'!$AE$13</f>
        <v>5454.570000000037</v>
      </c>
      <c r="N732" s="151">
        <f>N731+'Basic Data'!$AF$13</f>
        <v>12864.260000000129</v>
      </c>
      <c r="O732" s="151">
        <f>O731+'Basic Data'!$AG$13</f>
        <v>5129.6299999999292</v>
      </c>
      <c r="P732" s="151">
        <f>P731+'Basic Data'!$AH$13</f>
        <v>14031.360000000137</v>
      </c>
    </row>
    <row r="733" spans="2:16">
      <c r="B733" s="156">
        <v>731</v>
      </c>
      <c r="C733" s="176">
        <v>731</v>
      </c>
      <c r="D733" s="177">
        <f t="shared" si="73"/>
        <v>8743.7000000000262</v>
      </c>
      <c r="E733" s="177">
        <f t="shared" si="74"/>
        <v>8745.0200000000259</v>
      </c>
      <c r="F733" s="177">
        <f t="shared" si="75"/>
        <v>5440.570000000037</v>
      </c>
      <c r="G733" s="177">
        <f t="shared" si="76"/>
        <v>12831.260000000129</v>
      </c>
      <c r="H733" s="177">
        <f t="shared" si="77"/>
        <v>5115.7199999999293</v>
      </c>
      <c r="I733" s="177">
        <f t="shared" si="78"/>
        <v>13993.250000000136</v>
      </c>
      <c r="K733" s="151">
        <f>K732+'Basic Data'!$AC$13</f>
        <v>8779.2600000000257</v>
      </c>
      <c r="L733" s="151">
        <f>L732+'Basic Data'!$AD$13</f>
        <v>8779.2600000000257</v>
      </c>
      <c r="M733" s="151">
        <f>M732+'Basic Data'!$AE$13</f>
        <v>5461.9600000000373</v>
      </c>
      <c r="N733" s="151">
        <f>N732+'Basic Data'!$AF$13</f>
        <v>12881.69000000013</v>
      </c>
      <c r="O733" s="151">
        <f>O732+'Basic Data'!$AG$13</f>
        <v>5136.579999999929</v>
      </c>
      <c r="P733" s="151">
        <f>P732+'Basic Data'!$AH$13</f>
        <v>14050.370000000137</v>
      </c>
    </row>
    <row r="734" spans="2:16">
      <c r="B734" s="156">
        <v>732</v>
      </c>
      <c r="C734" s="176">
        <v>732</v>
      </c>
      <c r="D734" s="177">
        <f t="shared" si="73"/>
        <v>8755.5800000000254</v>
      </c>
      <c r="E734" s="177">
        <f t="shared" si="74"/>
        <v>8756.9000000000251</v>
      </c>
      <c r="F734" s="177">
        <f t="shared" si="75"/>
        <v>5447.9600000000373</v>
      </c>
      <c r="G734" s="177">
        <f t="shared" si="76"/>
        <v>12848.69000000013</v>
      </c>
      <c r="H734" s="177">
        <f t="shared" si="77"/>
        <v>5122.6699999999291</v>
      </c>
      <c r="I734" s="177">
        <f t="shared" si="78"/>
        <v>14012.260000000137</v>
      </c>
      <c r="K734" s="151">
        <f>K733+'Basic Data'!$AC$13</f>
        <v>8791.1400000000249</v>
      </c>
      <c r="L734" s="151">
        <f>L733+'Basic Data'!$AD$13</f>
        <v>8791.1400000000249</v>
      </c>
      <c r="M734" s="151">
        <f>M733+'Basic Data'!$AE$13</f>
        <v>5469.3500000000377</v>
      </c>
      <c r="N734" s="151">
        <f>N733+'Basic Data'!$AF$13</f>
        <v>12899.12000000013</v>
      </c>
      <c r="O734" s="151">
        <f>O733+'Basic Data'!$AG$13</f>
        <v>5143.5299999999288</v>
      </c>
      <c r="P734" s="151">
        <f>P733+'Basic Data'!$AH$13</f>
        <v>14069.380000000137</v>
      </c>
    </row>
    <row r="735" spans="2:16">
      <c r="B735" s="156">
        <v>733</v>
      </c>
      <c r="C735" s="176">
        <v>733</v>
      </c>
      <c r="D735" s="177">
        <f t="shared" si="73"/>
        <v>8767.4600000000246</v>
      </c>
      <c r="E735" s="177">
        <f t="shared" si="74"/>
        <v>8768.7800000000243</v>
      </c>
      <c r="F735" s="177">
        <f t="shared" si="75"/>
        <v>5455.3500000000377</v>
      </c>
      <c r="G735" s="177">
        <f t="shared" si="76"/>
        <v>12866.12000000013</v>
      </c>
      <c r="H735" s="177">
        <f t="shared" si="77"/>
        <v>5129.619999999929</v>
      </c>
      <c r="I735" s="177">
        <f t="shared" si="78"/>
        <v>14031.270000000137</v>
      </c>
      <c r="K735" s="151">
        <f>K734+'Basic Data'!$AC$13</f>
        <v>8803.0200000000241</v>
      </c>
      <c r="L735" s="151">
        <f>L734+'Basic Data'!$AD$13</f>
        <v>8803.0200000000241</v>
      </c>
      <c r="M735" s="151">
        <f>M734+'Basic Data'!$AE$13</f>
        <v>5476.740000000038</v>
      </c>
      <c r="N735" s="151">
        <f>N734+'Basic Data'!$AF$13</f>
        <v>12916.55000000013</v>
      </c>
      <c r="O735" s="151">
        <f>O734+'Basic Data'!$AG$13</f>
        <v>5150.4799999999286</v>
      </c>
      <c r="P735" s="151">
        <f>P734+'Basic Data'!$AH$13</f>
        <v>14088.390000000138</v>
      </c>
    </row>
    <row r="736" spans="2:16">
      <c r="B736" s="156">
        <v>734</v>
      </c>
      <c r="C736" s="176">
        <v>734</v>
      </c>
      <c r="D736" s="177">
        <f t="shared" si="73"/>
        <v>8779.3400000000238</v>
      </c>
      <c r="E736" s="177">
        <f t="shared" si="74"/>
        <v>8780.6600000000235</v>
      </c>
      <c r="F736" s="177">
        <f t="shared" si="75"/>
        <v>5462.740000000038</v>
      </c>
      <c r="G736" s="177">
        <f t="shared" si="76"/>
        <v>12883.55000000013</v>
      </c>
      <c r="H736" s="177">
        <f t="shared" si="77"/>
        <v>5136.5699999999288</v>
      </c>
      <c r="I736" s="177">
        <f t="shared" si="78"/>
        <v>14050.280000000137</v>
      </c>
      <c r="K736" s="151">
        <f>K735+'Basic Data'!$AC$13</f>
        <v>8814.9000000000233</v>
      </c>
      <c r="L736" s="151">
        <f>L735+'Basic Data'!$AD$13</f>
        <v>8814.9000000000233</v>
      </c>
      <c r="M736" s="151">
        <f>M735+'Basic Data'!$AE$13</f>
        <v>5484.1300000000383</v>
      </c>
      <c r="N736" s="151">
        <f>N735+'Basic Data'!$AF$13</f>
        <v>12933.980000000131</v>
      </c>
      <c r="O736" s="151">
        <f>O735+'Basic Data'!$AG$13</f>
        <v>5157.4299999999284</v>
      </c>
      <c r="P736" s="151">
        <f>P735+'Basic Data'!$AH$13</f>
        <v>14107.400000000138</v>
      </c>
    </row>
    <row r="737" spans="2:16">
      <c r="B737" s="156">
        <v>735</v>
      </c>
      <c r="C737" s="176">
        <v>735</v>
      </c>
      <c r="D737" s="177">
        <f t="shared" si="73"/>
        <v>8791.220000000023</v>
      </c>
      <c r="E737" s="177">
        <f t="shared" si="74"/>
        <v>8792.5400000000227</v>
      </c>
      <c r="F737" s="177">
        <f t="shared" si="75"/>
        <v>5470.1300000000383</v>
      </c>
      <c r="G737" s="177">
        <f t="shared" si="76"/>
        <v>12900.980000000131</v>
      </c>
      <c r="H737" s="177">
        <f t="shared" si="77"/>
        <v>5143.5199999999286</v>
      </c>
      <c r="I737" s="177">
        <f t="shared" si="78"/>
        <v>14069.290000000137</v>
      </c>
      <c r="K737" s="151">
        <f>K736+'Basic Data'!$AC$13</f>
        <v>8826.7800000000225</v>
      </c>
      <c r="L737" s="151">
        <f>L736+'Basic Data'!$AD$13</f>
        <v>8826.7800000000225</v>
      </c>
      <c r="M737" s="151">
        <f>M736+'Basic Data'!$AE$13</f>
        <v>5491.5200000000386</v>
      </c>
      <c r="N737" s="151">
        <f>N736+'Basic Data'!$AF$13</f>
        <v>12951.410000000131</v>
      </c>
      <c r="O737" s="151">
        <f>O736+'Basic Data'!$AG$13</f>
        <v>5164.3799999999283</v>
      </c>
      <c r="P737" s="151">
        <f>P736+'Basic Data'!$AH$13</f>
        <v>14126.410000000138</v>
      </c>
    </row>
    <row r="738" spans="2:16">
      <c r="B738" s="156">
        <v>736</v>
      </c>
      <c r="C738" s="176">
        <v>736</v>
      </c>
      <c r="D738" s="177">
        <f t="shared" si="73"/>
        <v>8803.1000000000222</v>
      </c>
      <c r="E738" s="177">
        <f t="shared" si="74"/>
        <v>8804.4200000000219</v>
      </c>
      <c r="F738" s="177">
        <f t="shared" si="75"/>
        <v>5477.5200000000386</v>
      </c>
      <c r="G738" s="177">
        <f t="shared" si="76"/>
        <v>12918.410000000131</v>
      </c>
      <c r="H738" s="177">
        <f t="shared" si="77"/>
        <v>5150.4699999999284</v>
      </c>
      <c r="I738" s="177">
        <f t="shared" si="78"/>
        <v>14088.300000000138</v>
      </c>
      <c r="K738" s="151">
        <f>K737+'Basic Data'!$AC$13</f>
        <v>8838.6600000000217</v>
      </c>
      <c r="L738" s="151">
        <f>L737+'Basic Data'!$AD$13</f>
        <v>8838.6600000000217</v>
      </c>
      <c r="M738" s="151">
        <f>M737+'Basic Data'!$AE$13</f>
        <v>5498.910000000039</v>
      </c>
      <c r="N738" s="151">
        <f>N737+'Basic Data'!$AF$13</f>
        <v>12968.840000000131</v>
      </c>
      <c r="O738" s="151">
        <f>O737+'Basic Data'!$AG$13</f>
        <v>5171.3299999999281</v>
      </c>
      <c r="P738" s="151">
        <f>P737+'Basic Data'!$AH$13</f>
        <v>14145.420000000138</v>
      </c>
    </row>
    <row r="739" spans="2:16">
      <c r="B739" s="156">
        <v>737</v>
      </c>
      <c r="C739" s="176">
        <v>737</v>
      </c>
      <c r="D739" s="177">
        <f t="shared" si="73"/>
        <v>8814.9800000000214</v>
      </c>
      <c r="E739" s="177">
        <f t="shared" si="74"/>
        <v>8816.3000000000211</v>
      </c>
      <c r="F739" s="177">
        <f t="shared" si="75"/>
        <v>5484.910000000039</v>
      </c>
      <c r="G739" s="177">
        <f t="shared" si="76"/>
        <v>12935.840000000131</v>
      </c>
      <c r="H739" s="177">
        <f t="shared" si="77"/>
        <v>5157.4199999999282</v>
      </c>
      <c r="I739" s="177">
        <f t="shared" si="78"/>
        <v>14107.310000000138</v>
      </c>
      <c r="K739" s="151">
        <f>K738+'Basic Data'!$AC$13</f>
        <v>8850.5400000000209</v>
      </c>
      <c r="L739" s="151">
        <f>L738+'Basic Data'!$AD$13</f>
        <v>8850.5400000000209</v>
      </c>
      <c r="M739" s="151">
        <f>M738+'Basic Data'!$AE$13</f>
        <v>5506.3000000000393</v>
      </c>
      <c r="N739" s="151">
        <f>N738+'Basic Data'!$AF$13</f>
        <v>12986.270000000131</v>
      </c>
      <c r="O739" s="151">
        <f>O738+'Basic Data'!$AG$13</f>
        <v>5178.2799999999279</v>
      </c>
      <c r="P739" s="151">
        <f>P738+'Basic Data'!$AH$13</f>
        <v>14164.430000000139</v>
      </c>
    </row>
    <row r="740" spans="2:16">
      <c r="B740" s="156">
        <v>738</v>
      </c>
      <c r="C740" s="176">
        <v>738</v>
      </c>
      <c r="D740" s="177">
        <f t="shared" si="73"/>
        <v>8826.8600000000206</v>
      </c>
      <c r="E740" s="177">
        <f t="shared" si="74"/>
        <v>8828.1800000000203</v>
      </c>
      <c r="F740" s="177">
        <f t="shared" si="75"/>
        <v>5492.3000000000393</v>
      </c>
      <c r="G740" s="177">
        <f t="shared" si="76"/>
        <v>12953.270000000131</v>
      </c>
      <c r="H740" s="177">
        <f t="shared" si="77"/>
        <v>5164.369999999928</v>
      </c>
      <c r="I740" s="177">
        <f t="shared" si="78"/>
        <v>14126.320000000138</v>
      </c>
      <c r="K740" s="151">
        <f>K739+'Basic Data'!$AC$13</f>
        <v>8862.4200000000201</v>
      </c>
      <c r="L740" s="151">
        <f>L739+'Basic Data'!$AD$13</f>
        <v>8862.4200000000201</v>
      </c>
      <c r="M740" s="151">
        <f>M739+'Basic Data'!$AE$13</f>
        <v>5513.6900000000396</v>
      </c>
      <c r="N740" s="151">
        <f>N739+'Basic Data'!$AF$13</f>
        <v>13003.700000000132</v>
      </c>
      <c r="O740" s="151">
        <f>O739+'Basic Data'!$AG$13</f>
        <v>5185.2299999999277</v>
      </c>
      <c r="P740" s="151">
        <f>P739+'Basic Data'!$AH$13</f>
        <v>14183.440000000139</v>
      </c>
    </row>
    <row r="741" spans="2:16">
      <c r="B741" s="156">
        <v>739</v>
      </c>
      <c r="C741" s="176">
        <v>739</v>
      </c>
      <c r="D741" s="177">
        <f t="shared" si="73"/>
        <v>8838.7400000000198</v>
      </c>
      <c r="E741" s="177">
        <f t="shared" si="74"/>
        <v>8840.0600000000195</v>
      </c>
      <c r="F741" s="177">
        <f t="shared" si="75"/>
        <v>5499.6900000000396</v>
      </c>
      <c r="G741" s="177">
        <f t="shared" si="76"/>
        <v>12970.700000000132</v>
      </c>
      <c r="H741" s="177">
        <f t="shared" si="77"/>
        <v>5171.3199999999279</v>
      </c>
      <c r="I741" s="177">
        <f t="shared" si="78"/>
        <v>14145.330000000138</v>
      </c>
      <c r="K741" s="151">
        <f>K740+'Basic Data'!$AC$13</f>
        <v>8874.3000000000193</v>
      </c>
      <c r="L741" s="151">
        <f>L740+'Basic Data'!$AD$13</f>
        <v>8874.3000000000193</v>
      </c>
      <c r="M741" s="151">
        <f>M740+'Basic Data'!$AE$13</f>
        <v>5521.0800000000399</v>
      </c>
      <c r="N741" s="151">
        <f>N740+'Basic Data'!$AF$13</f>
        <v>13021.130000000132</v>
      </c>
      <c r="O741" s="151">
        <f>O740+'Basic Data'!$AG$13</f>
        <v>5192.1799999999275</v>
      </c>
      <c r="P741" s="151">
        <f>P740+'Basic Data'!$AH$13</f>
        <v>14202.450000000139</v>
      </c>
    </row>
    <row r="742" spans="2:16">
      <c r="B742" s="156">
        <v>740</v>
      </c>
      <c r="C742" s="176">
        <v>740</v>
      </c>
      <c r="D742" s="177">
        <f t="shared" si="73"/>
        <v>8850.620000000019</v>
      </c>
      <c r="E742" s="177">
        <f t="shared" si="74"/>
        <v>8851.9400000000187</v>
      </c>
      <c r="F742" s="177">
        <f t="shared" si="75"/>
        <v>5507.0800000000399</v>
      </c>
      <c r="G742" s="177">
        <f t="shared" si="76"/>
        <v>12988.130000000132</v>
      </c>
      <c r="H742" s="177">
        <f t="shared" si="77"/>
        <v>5178.2699999999277</v>
      </c>
      <c r="I742" s="177">
        <f t="shared" si="78"/>
        <v>14164.340000000138</v>
      </c>
      <c r="K742" s="151">
        <f>K741+'Basic Data'!$AC$13</f>
        <v>8886.1800000000185</v>
      </c>
      <c r="L742" s="151">
        <f>L741+'Basic Data'!$AD$13</f>
        <v>8886.1800000000185</v>
      </c>
      <c r="M742" s="151">
        <f>M741+'Basic Data'!$AE$13</f>
        <v>5528.4700000000403</v>
      </c>
      <c r="N742" s="151">
        <f>N741+'Basic Data'!$AF$13</f>
        <v>13038.560000000132</v>
      </c>
      <c r="O742" s="151">
        <f>O741+'Basic Data'!$AG$13</f>
        <v>5199.1299999999273</v>
      </c>
      <c r="P742" s="151">
        <f>P741+'Basic Data'!$AH$13</f>
        <v>14221.460000000139</v>
      </c>
    </row>
    <row r="743" spans="2:16">
      <c r="B743" s="156">
        <v>741</v>
      </c>
      <c r="C743" s="176">
        <v>741</v>
      </c>
      <c r="D743" s="177">
        <f t="shared" si="73"/>
        <v>8862.5000000000182</v>
      </c>
      <c r="E743" s="177">
        <f t="shared" si="74"/>
        <v>8863.8200000000179</v>
      </c>
      <c r="F743" s="177">
        <f t="shared" si="75"/>
        <v>5514.4700000000403</v>
      </c>
      <c r="G743" s="177">
        <f t="shared" si="76"/>
        <v>13005.560000000132</v>
      </c>
      <c r="H743" s="177">
        <f t="shared" si="77"/>
        <v>5185.2199999999275</v>
      </c>
      <c r="I743" s="177">
        <f t="shared" si="78"/>
        <v>14183.350000000139</v>
      </c>
      <c r="K743" s="151">
        <f>K742+'Basic Data'!$AC$13</f>
        <v>8898.0600000000177</v>
      </c>
      <c r="L743" s="151">
        <f>L742+'Basic Data'!$AD$13</f>
        <v>8898.0600000000177</v>
      </c>
      <c r="M743" s="151">
        <f>M742+'Basic Data'!$AE$13</f>
        <v>5535.8600000000406</v>
      </c>
      <c r="N743" s="151">
        <f>N742+'Basic Data'!$AF$13</f>
        <v>13055.990000000133</v>
      </c>
      <c r="O743" s="151">
        <f>O742+'Basic Data'!$AG$13</f>
        <v>5206.0799999999272</v>
      </c>
      <c r="P743" s="151">
        <f>P742+'Basic Data'!$AH$13</f>
        <v>14240.470000000139</v>
      </c>
    </row>
    <row r="744" spans="2:16">
      <c r="B744" s="156">
        <v>742</v>
      </c>
      <c r="C744" s="176">
        <v>742</v>
      </c>
      <c r="D744" s="177">
        <f t="shared" si="73"/>
        <v>8874.3800000000174</v>
      </c>
      <c r="E744" s="177">
        <f t="shared" si="74"/>
        <v>8875.7000000000171</v>
      </c>
      <c r="F744" s="177">
        <f t="shared" si="75"/>
        <v>5521.8600000000406</v>
      </c>
      <c r="G744" s="177">
        <f t="shared" si="76"/>
        <v>13022.990000000133</v>
      </c>
      <c r="H744" s="177">
        <f t="shared" si="77"/>
        <v>5192.1699999999273</v>
      </c>
      <c r="I744" s="177">
        <f t="shared" si="78"/>
        <v>14202.360000000139</v>
      </c>
      <c r="K744" s="151">
        <f>K743+'Basic Data'!$AC$13</f>
        <v>8909.9400000000169</v>
      </c>
      <c r="L744" s="151">
        <f>L743+'Basic Data'!$AD$13</f>
        <v>8909.9400000000169</v>
      </c>
      <c r="M744" s="151">
        <f>M743+'Basic Data'!$AE$13</f>
        <v>5543.2500000000409</v>
      </c>
      <c r="N744" s="151">
        <f>N743+'Basic Data'!$AF$13</f>
        <v>13073.420000000133</v>
      </c>
      <c r="O744" s="151">
        <f>O743+'Basic Data'!$AG$13</f>
        <v>5213.029999999927</v>
      </c>
      <c r="P744" s="151">
        <f>P743+'Basic Data'!$AH$13</f>
        <v>14259.48000000014</v>
      </c>
    </row>
    <row r="745" spans="2:16">
      <c r="B745" s="156">
        <v>743</v>
      </c>
      <c r="C745" s="176">
        <v>743</v>
      </c>
      <c r="D745" s="177">
        <f t="shared" si="73"/>
        <v>8886.2600000000166</v>
      </c>
      <c r="E745" s="177">
        <f t="shared" si="74"/>
        <v>8887.5800000000163</v>
      </c>
      <c r="F745" s="177">
        <f t="shared" si="75"/>
        <v>5529.2500000000409</v>
      </c>
      <c r="G745" s="177">
        <f t="shared" si="76"/>
        <v>13040.420000000133</v>
      </c>
      <c r="H745" s="177">
        <f t="shared" si="77"/>
        <v>5199.1199999999271</v>
      </c>
      <c r="I745" s="177">
        <f t="shared" si="78"/>
        <v>14221.370000000139</v>
      </c>
      <c r="K745" s="151">
        <f>K744+'Basic Data'!$AC$13</f>
        <v>8921.8200000000161</v>
      </c>
      <c r="L745" s="151">
        <f>L744+'Basic Data'!$AD$13</f>
        <v>8921.8200000000161</v>
      </c>
      <c r="M745" s="151">
        <f>M744+'Basic Data'!$AE$13</f>
        <v>5550.6400000000413</v>
      </c>
      <c r="N745" s="151">
        <f>N744+'Basic Data'!$AF$13</f>
        <v>13090.850000000133</v>
      </c>
      <c r="O745" s="151">
        <f>O744+'Basic Data'!$AG$13</f>
        <v>5219.9799999999268</v>
      </c>
      <c r="P745" s="151">
        <f>P744+'Basic Data'!$AH$13</f>
        <v>14278.49000000014</v>
      </c>
    </row>
    <row r="746" spans="2:16">
      <c r="B746" s="156">
        <v>744</v>
      </c>
      <c r="C746" s="176">
        <v>744</v>
      </c>
      <c r="D746" s="177">
        <f t="shared" si="73"/>
        <v>8898.1400000000158</v>
      </c>
      <c r="E746" s="177">
        <f t="shared" si="74"/>
        <v>8899.4600000000155</v>
      </c>
      <c r="F746" s="177">
        <f t="shared" si="75"/>
        <v>5536.6400000000413</v>
      </c>
      <c r="G746" s="177">
        <f t="shared" si="76"/>
        <v>13057.850000000133</v>
      </c>
      <c r="H746" s="177">
        <f t="shared" si="77"/>
        <v>5206.0699999999269</v>
      </c>
      <c r="I746" s="177">
        <f t="shared" si="78"/>
        <v>14240.380000000139</v>
      </c>
      <c r="K746" s="151">
        <f>K745+'Basic Data'!$AC$13</f>
        <v>8933.7000000000153</v>
      </c>
      <c r="L746" s="151">
        <f>L745+'Basic Data'!$AD$13</f>
        <v>8933.7000000000153</v>
      </c>
      <c r="M746" s="151">
        <f>M745+'Basic Data'!$AE$13</f>
        <v>5558.0300000000416</v>
      </c>
      <c r="N746" s="151">
        <f>N745+'Basic Data'!$AF$13</f>
        <v>13108.280000000133</v>
      </c>
      <c r="O746" s="151">
        <f>O745+'Basic Data'!$AG$13</f>
        <v>5226.9299999999266</v>
      </c>
      <c r="P746" s="151">
        <f>P745+'Basic Data'!$AH$13</f>
        <v>14297.50000000014</v>
      </c>
    </row>
    <row r="747" spans="2:16">
      <c r="B747" s="156">
        <v>745</v>
      </c>
      <c r="C747" s="176">
        <v>745</v>
      </c>
      <c r="D747" s="177">
        <f t="shared" si="73"/>
        <v>8910.020000000015</v>
      </c>
      <c r="E747" s="177">
        <f t="shared" si="74"/>
        <v>8911.3400000000147</v>
      </c>
      <c r="F747" s="177">
        <f t="shared" si="75"/>
        <v>5544.0300000000416</v>
      </c>
      <c r="G747" s="177">
        <f t="shared" si="76"/>
        <v>13075.280000000133</v>
      </c>
      <c r="H747" s="177">
        <f t="shared" si="77"/>
        <v>5213.0199999999268</v>
      </c>
      <c r="I747" s="177">
        <f t="shared" si="78"/>
        <v>14259.390000000139</v>
      </c>
      <c r="K747" s="151">
        <f>K746+'Basic Data'!$AC$13</f>
        <v>8945.5800000000145</v>
      </c>
      <c r="L747" s="151">
        <f>L746+'Basic Data'!$AD$13</f>
        <v>8945.5800000000145</v>
      </c>
      <c r="M747" s="151">
        <f>M746+'Basic Data'!$AE$13</f>
        <v>5565.4200000000419</v>
      </c>
      <c r="N747" s="151">
        <f>N746+'Basic Data'!$AF$13</f>
        <v>13125.710000000134</v>
      </c>
      <c r="O747" s="151">
        <f>O746+'Basic Data'!$AG$13</f>
        <v>5233.8799999999264</v>
      </c>
      <c r="P747" s="151">
        <f>P746+'Basic Data'!$AH$13</f>
        <v>14316.51000000014</v>
      </c>
    </row>
    <row r="748" spans="2:16">
      <c r="B748" s="156">
        <v>746</v>
      </c>
      <c r="C748" s="176">
        <v>746</v>
      </c>
      <c r="D748" s="177">
        <f t="shared" si="73"/>
        <v>8921.9000000000142</v>
      </c>
      <c r="E748" s="177">
        <f t="shared" si="74"/>
        <v>8923.2200000000139</v>
      </c>
      <c r="F748" s="177">
        <f t="shared" si="75"/>
        <v>5551.4200000000419</v>
      </c>
      <c r="G748" s="177">
        <f t="shared" si="76"/>
        <v>13092.710000000134</v>
      </c>
      <c r="H748" s="177">
        <f t="shared" si="77"/>
        <v>5219.9699999999266</v>
      </c>
      <c r="I748" s="177">
        <f t="shared" si="78"/>
        <v>14278.40000000014</v>
      </c>
      <c r="K748" s="151">
        <f>K747+'Basic Data'!$AC$13</f>
        <v>8957.4600000000137</v>
      </c>
      <c r="L748" s="151">
        <f>L747+'Basic Data'!$AD$13</f>
        <v>8957.4600000000137</v>
      </c>
      <c r="M748" s="151">
        <f>M747+'Basic Data'!$AE$13</f>
        <v>5572.8100000000422</v>
      </c>
      <c r="N748" s="151">
        <f>N747+'Basic Data'!$AF$13</f>
        <v>13143.140000000134</v>
      </c>
      <c r="O748" s="151">
        <f>O747+'Basic Data'!$AG$13</f>
        <v>5240.8299999999263</v>
      </c>
      <c r="P748" s="151">
        <f>P747+'Basic Data'!$AH$13</f>
        <v>14335.52000000014</v>
      </c>
    </row>
    <row r="749" spans="2:16">
      <c r="B749" s="156">
        <v>747</v>
      </c>
      <c r="C749" s="176">
        <v>747</v>
      </c>
      <c r="D749" s="177">
        <f t="shared" si="73"/>
        <v>8933.7800000000134</v>
      </c>
      <c r="E749" s="177">
        <f t="shared" si="74"/>
        <v>8935.1000000000131</v>
      </c>
      <c r="F749" s="177">
        <f t="shared" si="75"/>
        <v>5558.8100000000422</v>
      </c>
      <c r="G749" s="177">
        <f t="shared" si="76"/>
        <v>13110.140000000134</v>
      </c>
      <c r="H749" s="177">
        <f t="shared" si="77"/>
        <v>5226.9199999999264</v>
      </c>
      <c r="I749" s="177">
        <f t="shared" si="78"/>
        <v>14297.41000000014</v>
      </c>
      <c r="K749" s="151">
        <f>K748+'Basic Data'!$AC$13</f>
        <v>8969.3400000000129</v>
      </c>
      <c r="L749" s="151">
        <f>L748+'Basic Data'!$AD$13</f>
        <v>8969.3400000000129</v>
      </c>
      <c r="M749" s="151">
        <f>M748+'Basic Data'!$AE$13</f>
        <v>5580.2000000000426</v>
      </c>
      <c r="N749" s="151">
        <f>N748+'Basic Data'!$AF$13</f>
        <v>13160.570000000134</v>
      </c>
      <c r="O749" s="151">
        <f>O748+'Basic Data'!$AG$13</f>
        <v>5247.7799999999261</v>
      </c>
      <c r="P749" s="151">
        <f>P748+'Basic Data'!$AH$13</f>
        <v>14354.530000000141</v>
      </c>
    </row>
    <row r="750" spans="2:16">
      <c r="B750" s="156">
        <v>748</v>
      </c>
      <c r="C750" s="176">
        <v>748</v>
      </c>
      <c r="D750" s="177">
        <f t="shared" si="73"/>
        <v>8945.6600000000126</v>
      </c>
      <c r="E750" s="177">
        <f t="shared" si="74"/>
        <v>8946.9800000000123</v>
      </c>
      <c r="F750" s="177">
        <f t="shared" si="75"/>
        <v>5566.2000000000426</v>
      </c>
      <c r="G750" s="177">
        <f t="shared" si="76"/>
        <v>13127.570000000134</v>
      </c>
      <c r="H750" s="177">
        <f t="shared" si="77"/>
        <v>5233.8699999999262</v>
      </c>
      <c r="I750" s="177">
        <f t="shared" si="78"/>
        <v>14316.42000000014</v>
      </c>
      <c r="K750" s="151">
        <f>K749+'Basic Data'!$AC$13</f>
        <v>8981.2200000000121</v>
      </c>
      <c r="L750" s="151">
        <f>L749+'Basic Data'!$AD$13</f>
        <v>8981.2200000000121</v>
      </c>
      <c r="M750" s="151">
        <f>M749+'Basic Data'!$AE$13</f>
        <v>5587.5900000000429</v>
      </c>
      <c r="N750" s="151">
        <f>N749+'Basic Data'!$AF$13</f>
        <v>13178.000000000135</v>
      </c>
      <c r="O750" s="151">
        <f>O749+'Basic Data'!$AG$13</f>
        <v>5254.7299999999259</v>
      </c>
      <c r="P750" s="151">
        <f>P749+'Basic Data'!$AH$13</f>
        <v>14373.540000000141</v>
      </c>
    </row>
    <row r="751" spans="2:16">
      <c r="B751" s="156">
        <v>749</v>
      </c>
      <c r="C751" s="176">
        <v>749</v>
      </c>
      <c r="D751" s="177">
        <f t="shared" si="73"/>
        <v>8957.5400000000118</v>
      </c>
      <c r="E751" s="177">
        <f t="shared" si="74"/>
        <v>8958.8600000000115</v>
      </c>
      <c r="F751" s="177">
        <f t="shared" si="75"/>
        <v>5573.5900000000429</v>
      </c>
      <c r="G751" s="177">
        <f t="shared" si="76"/>
        <v>13145.000000000135</v>
      </c>
      <c r="H751" s="177">
        <f t="shared" si="77"/>
        <v>5240.819999999926</v>
      </c>
      <c r="I751" s="177">
        <f t="shared" si="78"/>
        <v>14335.43000000014</v>
      </c>
      <c r="K751" s="151">
        <f>K750+'Basic Data'!$AC$13</f>
        <v>8993.1000000000113</v>
      </c>
      <c r="L751" s="151">
        <f>L750+'Basic Data'!$AD$13</f>
        <v>8993.1000000000113</v>
      </c>
      <c r="M751" s="151">
        <f>M750+'Basic Data'!$AE$13</f>
        <v>5594.9800000000432</v>
      </c>
      <c r="N751" s="151">
        <f>N750+'Basic Data'!$AF$13</f>
        <v>13195.430000000135</v>
      </c>
      <c r="O751" s="151">
        <f>O750+'Basic Data'!$AG$13</f>
        <v>5261.6799999999257</v>
      </c>
      <c r="P751" s="151">
        <f>P750+'Basic Data'!$AH$13</f>
        <v>14392.550000000141</v>
      </c>
    </row>
    <row r="752" spans="2:16">
      <c r="B752" s="156">
        <v>750</v>
      </c>
      <c r="C752" s="176">
        <v>750</v>
      </c>
      <c r="D752" s="177">
        <f t="shared" si="73"/>
        <v>8969.420000000011</v>
      </c>
      <c r="E752" s="177">
        <f t="shared" si="74"/>
        <v>8970.7400000000107</v>
      </c>
      <c r="F752" s="177">
        <f t="shared" si="75"/>
        <v>5580.9800000000432</v>
      </c>
      <c r="G752" s="177">
        <f t="shared" si="76"/>
        <v>13162.430000000135</v>
      </c>
      <c r="H752" s="177">
        <f t="shared" si="77"/>
        <v>5247.7699999999259</v>
      </c>
      <c r="I752" s="177">
        <f t="shared" si="78"/>
        <v>14354.440000000141</v>
      </c>
      <c r="K752" s="151">
        <f>K751+'Basic Data'!$AC$13</f>
        <v>9004.9800000000105</v>
      </c>
      <c r="L752" s="151">
        <f>L751+'Basic Data'!$AD$13</f>
        <v>9004.9800000000105</v>
      </c>
      <c r="M752" s="151">
        <f>M751+'Basic Data'!$AE$13</f>
        <v>5602.3700000000435</v>
      </c>
      <c r="N752" s="151">
        <f>N751+'Basic Data'!$AF$13</f>
        <v>13212.860000000135</v>
      </c>
      <c r="O752" s="151">
        <f>O751+'Basic Data'!$AG$13</f>
        <v>5268.6299999999255</v>
      </c>
      <c r="P752" s="151">
        <f>P751+'Basic Data'!$AH$13</f>
        <v>14411.560000000141</v>
      </c>
    </row>
    <row r="753" spans="2:16">
      <c r="B753" s="156">
        <v>751</v>
      </c>
      <c r="C753" s="176">
        <v>751</v>
      </c>
      <c r="D753" s="177">
        <f t="shared" si="73"/>
        <v>8981.3000000000102</v>
      </c>
      <c r="E753" s="177">
        <f t="shared" si="74"/>
        <v>8982.6200000000099</v>
      </c>
      <c r="F753" s="177">
        <f t="shared" si="75"/>
        <v>5588.3700000000435</v>
      </c>
      <c r="G753" s="177">
        <f t="shared" si="76"/>
        <v>13179.860000000135</v>
      </c>
      <c r="H753" s="177">
        <f t="shared" si="77"/>
        <v>5254.7199999999257</v>
      </c>
      <c r="I753" s="177">
        <f t="shared" si="78"/>
        <v>14373.450000000141</v>
      </c>
      <c r="K753" s="151">
        <f>K752+'Basic Data'!$AC$13</f>
        <v>9016.8600000000097</v>
      </c>
      <c r="L753" s="151">
        <f>L752+'Basic Data'!$AD$13</f>
        <v>9016.8600000000097</v>
      </c>
      <c r="M753" s="151">
        <f>M752+'Basic Data'!$AE$13</f>
        <v>5609.7600000000439</v>
      </c>
      <c r="N753" s="151">
        <f>N752+'Basic Data'!$AF$13</f>
        <v>13230.290000000135</v>
      </c>
      <c r="O753" s="151">
        <f>O752+'Basic Data'!$AG$13</f>
        <v>5275.5799999999253</v>
      </c>
      <c r="P753" s="151">
        <f>P752+'Basic Data'!$AH$13</f>
        <v>14430.570000000142</v>
      </c>
    </row>
    <row r="754" spans="2:16">
      <c r="B754" s="156">
        <v>752</v>
      </c>
      <c r="C754" s="176">
        <v>752</v>
      </c>
      <c r="D754" s="177">
        <f t="shared" si="73"/>
        <v>8993.1800000000094</v>
      </c>
      <c r="E754" s="177">
        <f t="shared" si="74"/>
        <v>8994.5000000000091</v>
      </c>
      <c r="F754" s="177">
        <f t="shared" si="75"/>
        <v>5595.7600000000439</v>
      </c>
      <c r="G754" s="177">
        <f t="shared" si="76"/>
        <v>13197.290000000135</v>
      </c>
      <c r="H754" s="177">
        <f t="shared" si="77"/>
        <v>5261.6699999999255</v>
      </c>
      <c r="I754" s="177">
        <f t="shared" si="78"/>
        <v>14392.460000000141</v>
      </c>
      <c r="K754" s="151">
        <f>K753+'Basic Data'!$AC$13</f>
        <v>9028.7400000000089</v>
      </c>
      <c r="L754" s="151">
        <f>L753+'Basic Data'!$AD$13</f>
        <v>9028.7400000000089</v>
      </c>
      <c r="M754" s="151">
        <f>M753+'Basic Data'!$AE$13</f>
        <v>5617.1500000000442</v>
      </c>
      <c r="N754" s="151">
        <f>N753+'Basic Data'!$AF$13</f>
        <v>13247.720000000136</v>
      </c>
      <c r="O754" s="151">
        <f>O753+'Basic Data'!$AG$13</f>
        <v>5282.5299999999252</v>
      </c>
      <c r="P754" s="151">
        <f>P753+'Basic Data'!$AH$13</f>
        <v>14449.580000000142</v>
      </c>
    </row>
    <row r="755" spans="2:16">
      <c r="B755" s="156">
        <v>753</v>
      </c>
      <c r="C755" s="176">
        <v>753</v>
      </c>
      <c r="D755" s="177">
        <f t="shared" si="73"/>
        <v>9005.0600000000086</v>
      </c>
      <c r="E755" s="177">
        <f t="shared" si="74"/>
        <v>9006.3800000000083</v>
      </c>
      <c r="F755" s="177">
        <f t="shared" si="75"/>
        <v>5603.1500000000442</v>
      </c>
      <c r="G755" s="177">
        <f t="shared" si="76"/>
        <v>13214.720000000136</v>
      </c>
      <c r="H755" s="177">
        <f t="shared" si="77"/>
        <v>5268.6199999999253</v>
      </c>
      <c r="I755" s="177">
        <f t="shared" si="78"/>
        <v>14411.470000000141</v>
      </c>
      <c r="K755" s="151">
        <f>K754+'Basic Data'!$AC$13</f>
        <v>9040.6200000000081</v>
      </c>
      <c r="L755" s="151">
        <f>L754+'Basic Data'!$AD$13</f>
        <v>9040.6200000000081</v>
      </c>
      <c r="M755" s="151">
        <f>M754+'Basic Data'!$AE$13</f>
        <v>5624.5400000000445</v>
      </c>
      <c r="N755" s="151">
        <f>N754+'Basic Data'!$AF$13</f>
        <v>13265.150000000136</v>
      </c>
      <c r="O755" s="151">
        <f>O754+'Basic Data'!$AG$13</f>
        <v>5289.479999999925</v>
      </c>
      <c r="P755" s="151">
        <f>P754+'Basic Data'!$AH$13</f>
        <v>14468.590000000142</v>
      </c>
    </row>
    <row r="756" spans="2:16">
      <c r="B756" s="156">
        <v>754</v>
      </c>
      <c r="C756" s="176">
        <v>754</v>
      </c>
      <c r="D756" s="177">
        <f t="shared" si="73"/>
        <v>9016.9400000000078</v>
      </c>
      <c r="E756" s="177">
        <f t="shared" si="74"/>
        <v>9018.2600000000075</v>
      </c>
      <c r="F756" s="177">
        <f t="shared" si="75"/>
        <v>5610.5400000000445</v>
      </c>
      <c r="G756" s="177">
        <f t="shared" si="76"/>
        <v>13232.150000000136</v>
      </c>
      <c r="H756" s="177">
        <f t="shared" si="77"/>
        <v>5275.5699999999251</v>
      </c>
      <c r="I756" s="177">
        <f t="shared" si="78"/>
        <v>14430.480000000141</v>
      </c>
      <c r="K756" s="151">
        <f>K755+'Basic Data'!$AC$13</f>
        <v>9052.5000000000073</v>
      </c>
      <c r="L756" s="151">
        <f>L755+'Basic Data'!$AD$13</f>
        <v>9052.5000000000073</v>
      </c>
      <c r="M756" s="151">
        <f>M755+'Basic Data'!$AE$13</f>
        <v>5631.9300000000449</v>
      </c>
      <c r="N756" s="151">
        <f>N755+'Basic Data'!$AF$13</f>
        <v>13282.580000000136</v>
      </c>
      <c r="O756" s="151">
        <f>O755+'Basic Data'!$AG$13</f>
        <v>5296.4299999999248</v>
      </c>
      <c r="P756" s="151">
        <f>P755+'Basic Data'!$AH$13</f>
        <v>14487.600000000142</v>
      </c>
    </row>
    <row r="757" spans="2:16">
      <c r="B757" s="156">
        <v>755</v>
      </c>
      <c r="C757" s="176">
        <v>755</v>
      </c>
      <c r="D757" s="177">
        <f t="shared" si="73"/>
        <v>9028.820000000007</v>
      </c>
      <c r="E757" s="177">
        <f t="shared" si="74"/>
        <v>9030.1400000000067</v>
      </c>
      <c r="F757" s="177">
        <f t="shared" si="75"/>
        <v>5617.9300000000449</v>
      </c>
      <c r="G757" s="177">
        <f t="shared" si="76"/>
        <v>13249.580000000136</v>
      </c>
      <c r="H757" s="177">
        <f t="shared" si="77"/>
        <v>5282.5199999999249</v>
      </c>
      <c r="I757" s="177">
        <f t="shared" si="78"/>
        <v>14449.490000000142</v>
      </c>
      <c r="K757" s="151">
        <f>K756+'Basic Data'!$AC$13</f>
        <v>9064.3800000000065</v>
      </c>
      <c r="L757" s="151">
        <f>L756+'Basic Data'!$AD$13</f>
        <v>9064.3800000000065</v>
      </c>
      <c r="M757" s="151">
        <f>M756+'Basic Data'!$AE$13</f>
        <v>5639.3200000000452</v>
      </c>
      <c r="N757" s="151">
        <f>N756+'Basic Data'!$AF$13</f>
        <v>13300.010000000137</v>
      </c>
      <c r="O757" s="151">
        <f>O756+'Basic Data'!$AG$13</f>
        <v>5303.3799999999246</v>
      </c>
      <c r="P757" s="151">
        <f>P756+'Basic Data'!$AH$13</f>
        <v>14506.610000000142</v>
      </c>
    </row>
    <row r="758" spans="2:16">
      <c r="B758" s="156">
        <v>756</v>
      </c>
      <c r="C758" s="176">
        <v>756</v>
      </c>
      <c r="D758" s="177">
        <f t="shared" si="73"/>
        <v>9040.7000000000062</v>
      </c>
      <c r="E758" s="177">
        <f t="shared" si="74"/>
        <v>9042.0200000000059</v>
      </c>
      <c r="F758" s="177">
        <f t="shared" si="75"/>
        <v>5625.3200000000452</v>
      </c>
      <c r="G758" s="177">
        <f t="shared" si="76"/>
        <v>13267.010000000137</v>
      </c>
      <c r="H758" s="177">
        <f t="shared" si="77"/>
        <v>5289.4699999999248</v>
      </c>
      <c r="I758" s="177">
        <f t="shared" si="78"/>
        <v>14468.500000000142</v>
      </c>
      <c r="K758" s="151">
        <f>K757+'Basic Data'!$AC$13</f>
        <v>9076.2600000000057</v>
      </c>
      <c r="L758" s="151">
        <f>L757+'Basic Data'!$AD$13</f>
        <v>9076.2600000000057</v>
      </c>
      <c r="M758" s="151">
        <f>M757+'Basic Data'!$AE$13</f>
        <v>5646.7100000000455</v>
      </c>
      <c r="N758" s="151">
        <f>N757+'Basic Data'!$AF$13</f>
        <v>13317.440000000137</v>
      </c>
      <c r="O758" s="151">
        <f>O757+'Basic Data'!$AG$13</f>
        <v>5310.3299999999244</v>
      </c>
      <c r="P758" s="151">
        <f>P757+'Basic Data'!$AH$13</f>
        <v>14525.620000000143</v>
      </c>
    </row>
    <row r="759" spans="2:16">
      <c r="B759" s="156">
        <v>757</v>
      </c>
      <c r="C759" s="176">
        <v>757</v>
      </c>
      <c r="D759" s="177">
        <f t="shared" ref="D759:D822" si="79">K759-$K$3</f>
        <v>9052.5800000000054</v>
      </c>
      <c r="E759" s="177">
        <f t="shared" ref="E759:E822" si="80">L759-$L$3</f>
        <v>9053.9000000000051</v>
      </c>
      <c r="F759" s="177">
        <f t="shared" ref="F759:F822" si="81">M759-$M$3</f>
        <v>5632.7100000000455</v>
      </c>
      <c r="G759" s="177">
        <f t="shared" ref="G759:G822" si="82">N759-$N$3</f>
        <v>13284.440000000137</v>
      </c>
      <c r="H759" s="177">
        <f t="shared" ref="H759:H822" si="83">O759-$O$3</f>
        <v>5296.4199999999246</v>
      </c>
      <c r="I759" s="177">
        <f t="shared" ref="I759:I822" si="84">P759-$P$3</f>
        <v>14487.510000000142</v>
      </c>
      <c r="K759" s="151">
        <f>K758+'Basic Data'!$AC$13</f>
        <v>9088.1400000000049</v>
      </c>
      <c r="L759" s="151">
        <f>L758+'Basic Data'!$AD$13</f>
        <v>9088.1400000000049</v>
      </c>
      <c r="M759" s="151">
        <f>M758+'Basic Data'!$AE$13</f>
        <v>5654.1000000000458</v>
      </c>
      <c r="N759" s="151">
        <f>N758+'Basic Data'!$AF$13</f>
        <v>13334.870000000137</v>
      </c>
      <c r="O759" s="151">
        <f>O758+'Basic Data'!$AG$13</f>
        <v>5317.2799999999243</v>
      </c>
      <c r="P759" s="151">
        <f>P758+'Basic Data'!$AH$13</f>
        <v>14544.630000000143</v>
      </c>
    </row>
    <row r="760" spans="2:16">
      <c r="B760" s="156">
        <v>758</v>
      </c>
      <c r="C760" s="176">
        <v>758</v>
      </c>
      <c r="D760" s="177">
        <f t="shared" si="79"/>
        <v>9064.4600000000046</v>
      </c>
      <c r="E760" s="177">
        <f t="shared" si="80"/>
        <v>9065.7800000000043</v>
      </c>
      <c r="F760" s="177">
        <f t="shared" si="81"/>
        <v>5640.1000000000458</v>
      </c>
      <c r="G760" s="177">
        <f t="shared" si="82"/>
        <v>13301.870000000137</v>
      </c>
      <c r="H760" s="177">
        <f t="shared" si="83"/>
        <v>5303.3699999999244</v>
      </c>
      <c r="I760" s="177">
        <f t="shared" si="84"/>
        <v>14506.520000000142</v>
      </c>
      <c r="K760" s="151">
        <f>K759+'Basic Data'!$AC$13</f>
        <v>9100.0200000000041</v>
      </c>
      <c r="L760" s="151">
        <f>L759+'Basic Data'!$AD$13</f>
        <v>9100.0200000000041</v>
      </c>
      <c r="M760" s="151">
        <f>M759+'Basic Data'!$AE$13</f>
        <v>5661.4900000000462</v>
      </c>
      <c r="N760" s="151">
        <f>N759+'Basic Data'!$AF$13</f>
        <v>13352.300000000138</v>
      </c>
      <c r="O760" s="151">
        <f>O759+'Basic Data'!$AG$13</f>
        <v>5324.2299999999241</v>
      </c>
      <c r="P760" s="151">
        <f>P759+'Basic Data'!$AH$13</f>
        <v>14563.640000000143</v>
      </c>
    </row>
    <row r="761" spans="2:16">
      <c r="B761" s="156">
        <v>759</v>
      </c>
      <c r="C761" s="176">
        <v>759</v>
      </c>
      <c r="D761" s="177">
        <f t="shared" si="79"/>
        <v>9076.3400000000038</v>
      </c>
      <c r="E761" s="177">
        <f t="shared" si="80"/>
        <v>9077.6600000000035</v>
      </c>
      <c r="F761" s="177">
        <f t="shared" si="81"/>
        <v>5647.4900000000462</v>
      </c>
      <c r="G761" s="177">
        <f t="shared" si="82"/>
        <v>13319.300000000138</v>
      </c>
      <c r="H761" s="177">
        <f t="shared" si="83"/>
        <v>5310.3199999999242</v>
      </c>
      <c r="I761" s="177">
        <f t="shared" si="84"/>
        <v>14525.530000000143</v>
      </c>
      <c r="K761" s="151">
        <f>K760+'Basic Data'!$AC$13</f>
        <v>9111.9000000000033</v>
      </c>
      <c r="L761" s="151">
        <f>L760+'Basic Data'!$AD$13</f>
        <v>9111.9000000000033</v>
      </c>
      <c r="M761" s="151">
        <f>M760+'Basic Data'!$AE$13</f>
        <v>5668.8800000000465</v>
      </c>
      <c r="N761" s="151">
        <f>N760+'Basic Data'!$AF$13</f>
        <v>13369.730000000138</v>
      </c>
      <c r="O761" s="151">
        <f>O760+'Basic Data'!$AG$13</f>
        <v>5331.1799999999239</v>
      </c>
      <c r="P761" s="151">
        <f>P760+'Basic Data'!$AH$13</f>
        <v>14582.650000000143</v>
      </c>
    </row>
    <row r="762" spans="2:16">
      <c r="B762" s="156">
        <v>760</v>
      </c>
      <c r="C762" s="176">
        <v>760</v>
      </c>
      <c r="D762" s="177">
        <f t="shared" si="79"/>
        <v>9088.220000000003</v>
      </c>
      <c r="E762" s="177">
        <f t="shared" si="80"/>
        <v>9089.5400000000027</v>
      </c>
      <c r="F762" s="177">
        <f t="shared" si="81"/>
        <v>5654.8800000000465</v>
      </c>
      <c r="G762" s="177">
        <f t="shared" si="82"/>
        <v>13336.730000000138</v>
      </c>
      <c r="H762" s="177">
        <f t="shared" si="83"/>
        <v>5317.269999999924</v>
      </c>
      <c r="I762" s="177">
        <f t="shared" si="84"/>
        <v>14544.540000000143</v>
      </c>
      <c r="K762" s="151">
        <f>K761+'Basic Data'!$AC$13</f>
        <v>9123.7800000000025</v>
      </c>
      <c r="L762" s="151">
        <f>L761+'Basic Data'!$AD$13</f>
        <v>9123.7800000000025</v>
      </c>
      <c r="M762" s="151">
        <f>M761+'Basic Data'!$AE$13</f>
        <v>5676.2700000000468</v>
      </c>
      <c r="N762" s="151">
        <f>N761+'Basic Data'!$AF$13</f>
        <v>13387.160000000138</v>
      </c>
      <c r="O762" s="151">
        <f>O761+'Basic Data'!$AG$13</f>
        <v>5338.1299999999237</v>
      </c>
      <c r="P762" s="151">
        <f>P761+'Basic Data'!$AH$13</f>
        <v>14601.660000000144</v>
      </c>
    </row>
    <row r="763" spans="2:16">
      <c r="B763" s="156">
        <v>761</v>
      </c>
      <c r="C763" s="176">
        <v>761</v>
      </c>
      <c r="D763" s="177">
        <f t="shared" si="79"/>
        <v>9100.1000000000022</v>
      </c>
      <c r="E763" s="177">
        <f t="shared" si="80"/>
        <v>9101.4200000000019</v>
      </c>
      <c r="F763" s="177">
        <f t="shared" si="81"/>
        <v>5662.2700000000468</v>
      </c>
      <c r="G763" s="177">
        <f t="shared" si="82"/>
        <v>13354.160000000138</v>
      </c>
      <c r="H763" s="177">
        <f t="shared" si="83"/>
        <v>5324.2199999999239</v>
      </c>
      <c r="I763" s="177">
        <f t="shared" si="84"/>
        <v>14563.550000000143</v>
      </c>
      <c r="K763" s="151">
        <f>K762+'Basic Data'!$AC$13</f>
        <v>9135.6600000000017</v>
      </c>
      <c r="L763" s="151">
        <f>L762+'Basic Data'!$AD$13</f>
        <v>9135.6600000000017</v>
      </c>
      <c r="M763" s="151">
        <f>M762+'Basic Data'!$AE$13</f>
        <v>5683.6600000000471</v>
      </c>
      <c r="N763" s="151">
        <f>N762+'Basic Data'!$AF$13</f>
        <v>13404.590000000138</v>
      </c>
      <c r="O763" s="151">
        <f>O762+'Basic Data'!$AG$13</f>
        <v>5345.0799999999235</v>
      </c>
      <c r="P763" s="151">
        <f>P762+'Basic Data'!$AH$13</f>
        <v>14620.670000000144</v>
      </c>
    </row>
    <row r="764" spans="2:16">
      <c r="B764" s="156">
        <v>762</v>
      </c>
      <c r="C764" s="176">
        <v>762</v>
      </c>
      <c r="D764" s="177">
        <f t="shared" si="79"/>
        <v>9111.9800000000014</v>
      </c>
      <c r="E764" s="177">
        <f t="shared" si="80"/>
        <v>9113.3000000000011</v>
      </c>
      <c r="F764" s="177">
        <f t="shared" si="81"/>
        <v>5669.6600000000471</v>
      </c>
      <c r="G764" s="177">
        <f t="shared" si="82"/>
        <v>13371.590000000138</v>
      </c>
      <c r="H764" s="177">
        <f t="shared" si="83"/>
        <v>5331.1699999999237</v>
      </c>
      <c r="I764" s="177">
        <f t="shared" si="84"/>
        <v>14582.560000000143</v>
      </c>
      <c r="K764" s="151">
        <f>K763+'Basic Data'!$AC$13</f>
        <v>9147.5400000000009</v>
      </c>
      <c r="L764" s="151">
        <f>L763+'Basic Data'!$AD$13</f>
        <v>9147.5400000000009</v>
      </c>
      <c r="M764" s="151">
        <f>M763+'Basic Data'!$AE$13</f>
        <v>5691.0500000000475</v>
      </c>
      <c r="N764" s="151">
        <f>N763+'Basic Data'!$AF$13</f>
        <v>13422.020000000139</v>
      </c>
      <c r="O764" s="151">
        <f>O763+'Basic Data'!$AG$13</f>
        <v>5352.0299999999233</v>
      </c>
      <c r="P764" s="151">
        <f>P763+'Basic Data'!$AH$13</f>
        <v>14639.680000000144</v>
      </c>
    </row>
    <row r="765" spans="2:16">
      <c r="B765" s="156">
        <v>763</v>
      </c>
      <c r="C765" s="176">
        <v>763</v>
      </c>
      <c r="D765" s="177">
        <f t="shared" si="79"/>
        <v>9123.86</v>
      </c>
      <c r="E765" s="177">
        <f t="shared" si="80"/>
        <v>9125.18</v>
      </c>
      <c r="F765" s="177">
        <f t="shared" si="81"/>
        <v>5677.0500000000475</v>
      </c>
      <c r="G765" s="177">
        <f t="shared" si="82"/>
        <v>13389.020000000139</v>
      </c>
      <c r="H765" s="177">
        <f t="shared" si="83"/>
        <v>5338.1199999999235</v>
      </c>
      <c r="I765" s="177">
        <f t="shared" si="84"/>
        <v>14601.570000000143</v>
      </c>
      <c r="K765" s="151">
        <f>K764+'Basic Data'!$AC$13</f>
        <v>9159.42</v>
      </c>
      <c r="L765" s="151">
        <f>L764+'Basic Data'!$AD$13</f>
        <v>9159.42</v>
      </c>
      <c r="M765" s="151">
        <f>M764+'Basic Data'!$AE$13</f>
        <v>5698.4400000000478</v>
      </c>
      <c r="N765" s="151">
        <f>N764+'Basic Data'!$AF$13</f>
        <v>13439.450000000139</v>
      </c>
      <c r="O765" s="151">
        <f>O764+'Basic Data'!$AG$13</f>
        <v>5358.9799999999232</v>
      </c>
      <c r="P765" s="151">
        <f>P764+'Basic Data'!$AH$13</f>
        <v>14658.690000000144</v>
      </c>
    </row>
    <row r="766" spans="2:16">
      <c r="B766" s="156">
        <v>764</v>
      </c>
      <c r="C766" s="176">
        <v>764</v>
      </c>
      <c r="D766" s="177">
        <f t="shared" si="79"/>
        <v>9135.74</v>
      </c>
      <c r="E766" s="177">
        <f t="shared" si="80"/>
        <v>9137.06</v>
      </c>
      <c r="F766" s="177">
        <f t="shared" si="81"/>
        <v>5684.4400000000478</v>
      </c>
      <c r="G766" s="177">
        <f t="shared" si="82"/>
        <v>13406.450000000139</v>
      </c>
      <c r="H766" s="177">
        <f t="shared" si="83"/>
        <v>5345.0699999999233</v>
      </c>
      <c r="I766" s="177">
        <f t="shared" si="84"/>
        <v>14620.580000000144</v>
      </c>
      <c r="K766" s="151">
        <f>K765+'Basic Data'!$AC$13</f>
        <v>9171.2999999999993</v>
      </c>
      <c r="L766" s="151">
        <f>L765+'Basic Data'!$AD$13</f>
        <v>9171.2999999999993</v>
      </c>
      <c r="M766" s="151">
        <f>M765+'Basic Data'!$AE$13</f>
        <v>5705.8300000000481</v>
      </c>
      <c r="N766" s="151">
        <f>N765+'Basic Data'!$AF$13</f>
        <v>13456.880000000139</v>
      </c>
      <c r="O766" s="151">
        <f>O765+'Basic Data'!$AG$13</f>
        <v>5365.929999999923</v>
      </c>
      <c r="P766" s="151">
        <f>P765+'Basic Data'!$AH$13</f>
        <v>14677.700000000144</v>
      </c>
    </row>
    <row r="767" spans="2:16">
      <c r="B767" s="156">
        <v>765</v>
      </c>
      <c r="C767" s="176">
        <v>765</v>
      </c>
      <c r="D767" s="177">
        <f t="shared" si="79"/>
        <v>9147.619999999999</v>
      </c>
      <c r="E767" s="177">
        <f t="shared" si="80"/>
        <v>9148.9399999999987</v>
      </c>
      <c r="F767" s="177">
        <f t="shared" si="81"/>
        <v>5691.8300000000481</v>
      </c>
      <c r="G767" s="177">
        <f t="shared" si="82"/>
        <v>13423.880000000139</v>
      </c>
      <c r="H767" s="177">
        <f t="shared" si="83"/>
        <v>5352.0199999999231</v>
      </c>
      <c r="I767" s="177">
        <f t="shared" si="84"/>
        <v>14639.590000000144</v>
      </c>
      <c r="K767" s="151">
        <f>K766+'Basic Data'!$AC$13</f>
        <v>9183.1799999999985</v>
      </c>
      <c r="L767" s="151">
        <f>L766+'Basic Data'!$AD$13</f>
        <v>9183.1799999999985</v>
      </c>
      <c r="M767" s="151">
        <f>M766+'Basic Data'!$AE$13</f>
        <v>5713.2200000000485</v>
      </c>
      <c r="N767" s="151">
        <f>N766+'Basic Data'!$AF$13</f>
        <v>13474.31000000014</v>
      </c>
      <c r="O767" s="151">
        <f>O766+'Basic Data'!$AG$13</f>
        <v>5372.8799999999228</v>
      </c>
      <c r="P767" s="151">
        <f>P766+'Basic Data'!$AH$13</f>
        <v>14696.710000000145</v>
      </c>
    </row>
    <row r="768" spans="2:16">
      <c r="B768" s="156">
        <v>766</v>
      </c>
      <c r="C768" s="176">
        <v>766</v>
      </c>
      <c r="D768" s="177">
        <f t="shared" si="79"/>
        <v>9159.4999999999982</v>
      </c>
      <c r="E768" s="177">
        <f t="shared" si="80"/>
        <v>9160.8199999999979</v>
      </c>
      <c r="F768" s="177">
        <f t="shared" si="81"/>
        <v>5699.2200000000485</v>
      </c>
      <c r="G768" s="177">
        <f t="shared" si="82"/>
        <v>13441.31000000014</v>
      </c>
      <c r="H768" s="177">
        <f t="shared" si="83"/>
        <v>5358.9699999999229</v>
      </c>
      <c r="I768" s="177">
        <f t="shared" si="84"/>
        <v>14658.600000000144</v>
      </c>
      <c r="K768" s="151">
        <f>K767+'Basic Data'!$AC$13</f>
        <v>9195.0599999999977</v>
      </c>
      <c r="L768" s="151">
        <f>L767+'Basic Data'!$AD$13</f>
        <v>9195.0599999999977</v>
      </c>
      <c r="M768" s="151">
        <f>M767+'Basic Data'!$AE$13</f>
        <v>5720.6100000000488</v>
      </c>
      <c r="N768" s="151">
        <f>N767+'Basic Data'!$AF$13</f>
        <v>13491.74000000014</v>
      </c>
      <c r="O768" s="151">
        <f>O767+'Basic Data'!$AG$13</f>
        <v>5379.8299999999226</v>
      </c>
      <c r="P768" s="151">
        <f>P767+'Basic Data'!$AH$13</f>
        <v>14715.720000000145</v>
      </c>
    </row>
    <row r="769" spans="2:16">
      <c r="B769" s="156">
        <v>767</v>
      </c>
      <c r="C769" s="176">
        <v>767</v>
      </c>
      <c r="D769" s="177">
        <f t="shared" si="79"/>
        <v>9171.3799999999974</v>
      </c>
      <c r="E769" s="177">
        <f t="shared" si="80"/>
        <v>9172.6999999999971</v>
      </c>
      <c r="F769" s="177">
        <f t="shared" si="81"/>
        <v>5706.6100000000488</v>
      </c>
      <c r="G769" s="177">
        <f t="shared" si="82"/>
        <v>13458.74000000014</v>
      </c>
      <c r="H769" s="177">
        <f t="shared" si="83"/>
        <v>5365.9199999999228</v>
      </c>
      <c r="I769" s="177">
        <f t="shared" si="84"/>
        <v>14677.610000000144</v>
      </c>
      <c r="K769" s="151">
        <f>K768+'Basic Data'!$AC$13</f>
        <v>9206.9399999999969</v>
      </c>
      <c r="L769" s="151">
        <f>L768+'Basic Data'!$AD$13</f>
        <v>9206.9399999999969</v>
      </c>
      <c r="M769" s="151">
        <f>M768+'Basic Data'!$AE$13</f>
        <v>5728.0000000000491</v>
      </c>
      <c r="N769" s="151">
        <f>N768+'Basic Data'!$AF$13</f>
        <v>13509.17000000014</v>
      </c>
      <c r="O769" s="151">
        <f>O768+'Basic Data'!$AG$13</f>
        <v>5386.7799999999224</v>
      </c>
      <c r="P769" s="151">
        <f>P768+'Basic Data'!$AH$13</f>
        <v>14734.730000000145</v>
      </c>
    </row>
    <row r="770" spans="2:16">
      <c r="B770" s="156">
        <v>768</v>
      </c>
      <c r="C770" s="176">
        <v>768</v>
      </c>
      <c r="D770" s="177">
        <f t="shared" si="79"/>
        <v>9183.2599999999966</v>
      </c>
      <c r="E770" s="177">
        <f t="shared" si="80"/>
        <v>9184.5799999999963</v>
      </c>
      <c r="F770" s="177">
        <f t="shared" si="81"/>
        <v>5714.0000000000491</v>
      </c>
      <c r="G770" s="177">
        <f t="shared" si="82"/>
        <v>13476.17000000014</v>
      </c>
      <c r="H770" s="177">
        <f t="shared" si="83"/>
        <v>5372.8699999999226</v>
      </c>
      <c r="I770" s="177">
        <f t="shared" si="84"/>
        <v>14696.620000000145</v>
      </c>
      <c r="K770" s="151">
        <f>K769+'Basic Data'!$AC$13</f>
        <v>9218.8199999999961</v>
      </c>
      <c r="L770" s="151">
        <f>L769+'Basic Data'!$AD$13</f>
        <v>9218.8199999999961</v>
      </c>
      <c r="M770" s="151">
        <f>M769+'Basic Data'!$AE$13</f>
        <v>5735.3900000000494</v>
      </c>
      <c r="N770" s="151">
        <f>N769+'Basic Data'!$AF$13</f>
        <v>13526.60000000014</v>
      </c>
      <c r="O770" s="151">
        <f>O769+'Basic Data'!$AG$13</f>
        <v>5393.7299999999223</v>
      </c>
      <c r="P770" s="151">
        <f>P769+'Basic Data'!$AH$13</f>
        <v>14753.740000000145</v>
      </c>
    </row>
    <row r="771" spans="2:16">
      <c r="B771" s="156">
        <v>769</v>
      </c>
      <c r="C771" s="176">
        <v>769</v>
      </c>
      <c r="D771" s="177">
        <f t="shared" si="79"/>
        <v>9195.1399999999958</v>
      </c>
      <c r="E771" s="177">
        <f t="shared" si="80"/>
        <v>9196.4599999999955</v>
      </c>
      <c r="F771" s="177">
        <f t="shared" si="81"/>
        <v>5721.3900000000494</v>
      </c>
      <c r="G771" s="177">
        <f t="shared" si="82"/>
        <v>13493.60000000014</v>
      </c>
      <c r="H771" s="177">
        <f t="shared" si="83"/>
        <v>5379.8199999999224</v>
      </c>
      <c r="I771" s="177">
        <f t="shared" si="84"/>
        <v>14715.630000000145</v>
      </c>
      <c r="K771" s="151">
        <f>K770+'Basic Data'!$AC$13</f>
        <v>9230.6999999999953</v>
      </c>
      <c r="L771" s="151">
        <f>L770+'Basic Data'!$AD$13</f>
        <v>9230.6999999999953</v>
      </c>
      <c r="M771" s="151">
        <f>M770+'Basic Data'!$AE$13</f>
        <v>5742.7800000000498</v>
      </c>
      <c r="N771" s="151">
        <f>N770+'Basic Data'!$AF$13</f>
        <v>13544.030000000141</v>
      </c>
      <c r="O771" s="151">
        <f>O770+'Basic Data'!$AG$13</f>
        <v>5400.6799999999221</v>
      </c>
      <c r="P771" s="151">
        <f>P770+'Basic Data'!$AH$13</f>
        <v>14772.750000000146</v>
      </c>
    </row>
    <row r="772" spans="2:16">
      <c r="B772" s="156">
        <v>770</v>
      </c>
      <c r="C772" s="176">
        <v>770</v>
      </c>
      <c r="D772" s="177">
        <f t="shared" si="79"/>
        <v>9207.019999999995</v>
      </c>
      <c r="E772" s="177">
        <f t="shared" si="80"/>
        <v>9208.3399999999947</v>
      </c>
      <c r="F772" s="177">
        <f t="shared" si="81"/>
        <v>5728.7800000000498</v>
      </c>
      <c r="G772" s="177">
        <f t="shared" si="82"/>
        <v>13511.030000000141</v>
      </c>
      <c r="H772" s="177">
        <f t="shared" si="83"/>
        <v>5386.7699999999222</v>
      </c>
      <c r="I772" s="177">
        <f t="shared" si="84"/>
        <v>14734.640000000145</v>
      </c>
      <c r="K772" s="151">
        <f>K771+'Basic Data'!$AC$13</f>
        <v>9242.5799999999945</v>
      </c>
      <c r="L772" s="151">
        <f>L771+'Basic Data'!$AD$13</f>
        <v>9242.5799999999945</v>
      </c>
      <c r="M772" s="151">
        <f>M771+'Basic Data'!$AE$13</f>
        <v>5750.1700000000501</v>
      </c>
      <c r="N772" s="151">
        <f>N771+'Basic Data'!$AF$13</f>
        <v>13561.460000000141</v>
      </c>
      <c r="O772" s="151">
        <f>O771+'Basic Data'!$AG$13</f>
        <v>5407.6299999999219</v>
      </c>
      <c r="P772" s="151">
        <f>P771+'Basic Data'!$AH$13</f>
        <v>14791.760000000146</v>
      </c>
    </row>
    <row r="773" spans="2:16">
      <c r="B773" s="156">
        <v>771</v>
      </c>
      <c r="C773" s="176">
        <v>771</v>
      </c>
      <c r="D773" s="177">
        <f t="shared" si="79"/>
        <v>9218.8999999999942</v>
      </c>
      <c r="E773" s="177">
        <f t="shared" si="80"/>
        <v>9220.2199999999939</v>
      </c>
      <c r="F773" s="177">
        <f t="shared" si="81"/>
        <v>5736.1700000000501</v>
      </c>
      <c r="G773" s="177">
        <f t="shared" si="82"/>
        <v>13528.460000000141</v>
      </c>
      <c r="H773" s="177">
        <f t="shared" si="83"/>
        <v>5393.719999999922</v>
      </c>
      <c r="I773" s="177">
        <f t="shared" si="84"/>
        <v>14753.650000000145</v>
      </c>
      <c r="K773" s="151">
        <f>K772+'Basic Data'!$AC$13</f>
        <v>9254.4599999999937</v>
      </c>
      <c r="L773" s="151">
        <f>L772+'Basic Data'!$AD$13</f>
        <v>9254.4599999999937</v>
      </c>
      <c r="M773" s="151">
        <f>M772+'Basic Data'!$AE$13</f>
        <v>5757.5600000000504</v>
      </c>
      <c r="N773" s="151">
        <f>N772+'Basic Data'!$AF$13</f>
        <v>13578.890000000141</v>
      </c>
      <c r="O773" s="151">
        <f>O772+'Basic Data'!$AG$13</f>
        <v>5414.5799999999217</v>
      </c>
      <c r="P773" s="151">
        <f>P772+'Basic Data'!$AH$13</f>
        <v>14810.770000000146</v>
      </c>
    </row>
    <row r="774" spans="2:16">
      <c r="B774" s="156">
        <v>772</v>
      </c>
      <c r="C774" s="176">
        <v>772</v>
      </c>
      <c r="D774" s="177">
        <f t="shared" si="79"/>
        <v>9230.7799999999934</v>
      </c>
      <c r="E774" s="177">
        <f t="shared" si="80"/>
        <v>9232.0999999999931</v>
      </c>
      <c r="F774" s="177">
        <f t="shared" si="81"/>
        <v>5743.5600000000504</v>
      </c>
      <c r="G774" s="177">
        <f t="shared" si="82"/>
        <v>13545.890000000141</v>
      </c>
      <c r="H774" s="177">
        <f t="shared" si="83"/>
        <v>5400.6699999999219</v>
      </c>
      <c r="I774" s="177">
        <f t="shared" si="84"/>
        <v>14772.660000000145</v>
      </c>
      <c r="K774" s="151">
        <f>K773+'Basic Data'!$AC$13</f>
        <v>9266.3399999999929</v>
      </c>
      <c r="L774" s="151">
        <f>L773+'Basic Data'!$AD$13</f>
        <v>9266.3399999999929</v>
      </c>
      <c r="M774" s="151">
        <f>M773+'Basic Data'!$AE$13</f>
        <v>5764.9500000000507</v>
      </c>
      <c r="N774" s="151">
        <f>N773+'Basic Data'!$AF$13</f>
        <v>13596.320000000142</v>
      </c>
      <c r="O774" s="151">
        <f>O773+'Basic Data'!$AG$13</f>
        <v>5421.5299999999215</v>
      </c>
      <c r="P774" s="151">
        <f>P773+'Basic Data'!$AH$13</f>
        <v>14829.780000000146</v>
      </c>
    </row>
    <row r="775" spans="2:16">
      <c r="B775" s="156">
        <v>773</v>
      </c>
      <c r="C775" s="176">
        <v>773</v>
      </c>
      <c r="D775" s="177">
        <f t="shared" si="79"/>
        <v>9242.6599999999926</v>
      </c>
      <c r="E775" s="177">
        <f t="shared" si="80"/>
        <v>9243.9799999999923</v>
      </c>
      <c r="F775" s="177">
        <f t="shared" si="81"/>
        <v>5750.9500000000507</v>
      </c>
      <c r="G775" s="177">
        <f t="shared" si="82"/>
        <v>13563.320000000142</v>
      </c>
      <c r="H775" s="177">
        <f t="shared" si="83"/>
        <v>5407.6199999999217</v>
      </c>
      <c r="I775" s="177">
        <f t="shared" si="84"/>
        <v>14791.670000000146</v>
      </c>
      <c r="K775" s="151">
        <f>K774+'Basic Data'!$AC$13</f>
        <v>9278.2199999999921</v>
      </c>
      <c r="L775" s="151">
        <f>L774+'Basic Data'!$AD$13</f>
        <v>9278.2199999999921</v>
      </c>
      <c r="M775" s="151">
        <f>M774+'Basic Data'!$AE$13</f>
        <v>5772.3400000000511</v>
      </c>
      <c r="N775" s="151">
        <f>N774+'Basic Data'!$AF$13</f>
        <v>13613.750000000142</v>
      </c>
      <c r="O775" s="151">
        <f>O774+'Basic Data'!$AG$13</f>
        <v>5428.4799999999213</v>
      </c>
      <c r="P775" s="151">
        <f>P774+'Basic Data'!$AH$13</f>
        <v>14848.790000000146</v>
      </c>
    </row>
    <row r="776" spans="2:16">
      <c r="B776" s="156">
        <v>774</v>
      </c>
      <c r="C776" s="176">
        <v>774</v>
      </c>
      <c r="D776" s="177">
        <f t="shared" si="79"/>
        <v>9254.5399999999918</v>
      </c>
      <c r="E776" s="177">
        <f t="shared" si="80"/>
        <v>9255.8599999999915</v>
      </c>
      <c r="F776" s="177">
        <f t="shared" si="81"/>
        <v>5758.3400000000511</v>
      </c>
      <c r="G776" s="177">
        <f t="shared" si="82"/>
        <v>13580.750000000142</v>
      </c>
      <c r="H776" s="177">
        <f t="shared" si="83"/>
        <v>5414.5699999999215</v>
      </c>
      <c r="I776" s="177">
        <f t="shared" si="84"/>
        <v>14810.680000000146</v>
      </c>
      <c r="K776" s="151">
        <f>K775+'Basic Data'!$AC$13</f>
        <v>9290.0999999999913</v>
      </c>
      <c r="L776" s="151">
        <f>L775+'Basic Data'!$AD$13</f>
        <v>9290.0999999999913</v>
      </c>
      <c r="M776" s="151">
        <f>M775+'Basic Data'!$AE$13</f>
        <v>5779.7300000000514</v>
      </c>
      <c r="N776" s="151">
        <f>N775+'Basic Data'!$AF$13</f>
        <v>13631.180000000142</v>
      </c>
      <c r="O776" s="151">
        <f>O775+'Basic Data'!$AG$13</f>
        <v>5435.4299999999212</v>
      </c>
      <c r="P776" s="151">
        <f>P775+'Basic Data'!$AH$13</f>
        <v>14867.800000000147</v>
      </c>
    </row>
    <row r="777" spans="2:16">
      <c r="B777" s="156">
        <v>775</v>
      </c>
      <c r="C777" s="176">
        <v>775</v>
      </c>
      <c r="D777" s="177">
        <f t="shared" si="79"/>
        <v>9266.419999999991</v>
      </c>
      <c r="E777" s="177">
        <f t="shared" si="80"/>
        <v>9267.7399999999907</v>
      </c>
      <c r="F777" s="177">
        <f t="shared" si="81"/>
        <v>5765.7300000000514</v>
      </c>
      <c r="G777" s="177">
        <f t="shared" si="82"/>
        <v>13598.180000000142</v>
      </c>
      <c r="H777" s="177">
        <f t="shared" si="83"/>
        <v>5421.5199999999213</v>
      </c>
      <c r="I777" s="177">
        <f t="shared" si="84"/>
        <v>14829.690000000146</v>
      </c>
      <c r="K777" s="151">
        <f>K776+'Basic Data'!$AC$13</f>
        <v>9301.9799999999905</v>
      </c>
      <c r="L777" s="151">
        <f>L776+'Basic Data'!$AD$13</f>
        <v>9301.9799999999905</v>
      </c>
      <c r="M777" s="151">
        <f>M776+'Basic Data'!$AE$13</f>
        <v>5787.1200000000517</v>
      </c>
      <c r="N777" s="151">
        <f>N776+'Basic Data'!$AF$13</f>
        <v>13648.610000000142</v>
      </c>
      <c r="O777" s="151">
        <f>O776+'Basic Data'!$AG$13</f>
        <v>5442.379999999921</v>
      </c>
      <c r="P777" s="151">
        <f>P776+'Basic Data'!$AH$13</f>
        <v>14886.810000000147</v>
      </c>
    </row>
    <row r="778" spans="2:16">
      <c r="B778" s="156">
        <v>776</v>
      </c>
      <c r="C778" s="176">
        <v>776</v>
      </c>
      <c r="D778" s="177">
        <f t="shared" si="79"/>
        <v>9278.2999999999902</v>
      </c>
      <c r="E778" s="177">
        <f t="shared" si="80"/>
        <v>9279.6199999999899</v>
      </c>
      <c r="F778" s="177">
        <f t="shared" si="81"/>
        <v>5773.1200000000517</v>
      </c>
      <c r="G778" s="177">
        <f t="shared" si="82"/>
        <v>13615.610000000142</v>
      </c>
      <c r="H778" s="177">
        <f t="shared" si="83"/>
        <v>5428.4699999999211</v>
      </c>
      <c r="I778" s="177">
        <f t="shared" si="84"/>
        <v>14848.700000000146</v>
      </c>
      <c r="K778" s="151">
        <f>K777+'Basic Data'!$AC$13</f>
        <v>9313.8599999999897</v>
      </c>
      <c r="L778" s="151">
        <f>L777+'Basic Data'!$AD$13</f>
        <v>9313.8599999999897</v>
      </c>
      <c r="M778" s="151">
        <f>M777+'Basic Data'!$AE$13</f>
        <v>5794.5100000000521</v>
      </c>
      <c r="N778" s="151">
        <f>N777+'Basic Data'!$AF$13</f>
        <v>13666.040000000143</v>
      </c>
      <c r="O778" s="151">
        <f>O777+'Basic Data'!$AG$13</f>
        <v>5449.3299999999208</v>
      </c>
      <c r="P778" s="151">
        <f>P777+'Basic Data'!$AH$13</f>
        <v>14905.820000000147</v>
      </c>
    </row>
    <row r="779" spans="2:16">
      <c r="B779" s="156">
        <v>777</v>
      </c>
      <c r="C779" s="176">
        <v>777</v>
      </c>
      <c r="D779" s="177">
        <f t="shared" si="79"/>
        <v>9290.1799999999894</v>
      </c>
      <c r="E779" s="177">
        <f t="shared" si="80"/>
        <v>9291.4999999999891</v>
      </c>
      <c r="F779" s="177">
        <f t="shared" si="81"/>
        <v>5780.5100000000521</v>
      </c>
      <c r="G779" s="177">
        <f t="shared" si="82"/>
        <v>13633.040000000143</v>
      </c>
      <c r="H779" s="177">
        <f t="shared" si="83"/>
        <v>5435.4199999999209</v>
      </c>
      <c r="I779" s="177">
        <f t="shared" si="84"/>
        <v>14867.710000000146</v>
      </c>
      <c r="K779" s="151">
        <f>K778+'Basic Data'!$AC$13</f>
        <v>9325.7399999999889</v>
      </c>
      <c r="L779" s="151">
        <f>L778+'Basic Data'!$AD$13</f>
        <v>9325.7399999999889</v>
      </c>
      <c r="M779" s="151">
        <f>M778+'Basic Data'!$AE$13</f>
        <v>5801.9000000000524</v>
      </c>
      <c r="N779" s="151">
        <f>N778+'Basic Data'!$AF$13</f>
        <v>13683.470000000143</v>
      </c>
      <c r="O779" s="151">
        <f>O778+'Basic Data'!$AG$13</f>
        <v>5456.2799999999206</v>
      </c>
      <c r="P779" s="151">
        <f>P778+'Basic Data'!$AH$13</f>
        <v>14924.830000000147</v>
      </c>
    </row>
    <row r="780" spans="2:16">
      <c r="B780" s="156">
        <v>778</v>
      </c>
      <c r="C780" s="176">
        <v>778</v>
      </c>
      <c r="D780" s="177">
        <f t="shared" si="79"/>
        <v>9302.0599999999886</v>
      </c>
      <c r="E780" s="177">
        <f t="shared" si="80"/>
        <v>9303.3799999999883</v>
      </c>
      <c r="F780" s="177">
        <f t="shared" si="81"/>
        <v>5787.9000000000524</v>
      </c>
      <c r="G780" s="177">
        <f t="shared" si="82"/>
        <v>13650.470000000143</v>
      </c>
      <c r="H780" s="177">
        <f t="shared" si="83"/>
        <v>5442.3699999999208</v>
      </c>
      <c r="I780" s="177">
        <f t="shared" si="84"/>
        <v>14886.720000000147</v>
      </c>
      <c r="K780" s="151">
        <f>K779+'Basic Data'!$AC$13</f>
        <v>9337.6199999999881</v>
      </c>
      <c r="L780" s="151">
        <f>L779+'Basic Data'!$AD$13</f>
        <v>9337.6199999999881</v>
      </c>
      <c r="M780" s="151">
        <f>M779+'Basic Data'!$AE$13</f>
        <v>5809.2900000000527</v>
      </c>
      <c r="N780" s="151">
        <f>N779+'Basic Data'!$AF$13</f>
        <v>13700.900000000143</v>
      </c>
      <c r="O780" s="151">
        <f>O779+'Basic Data'!$AG$13</f>
        <v>5463.2299999999204</v>
      </c>
      <c r="P780" s="151">
        <f>P779+'Basic Data'!$AH$13</f>
        <v>14943.840000000147</v>
      </c>
    </row>
    <row r="781" spans="2:16">
      <c r="B781" s="156">
        <v>779</v>
      </c>
      <c r="C781" s="176">
        <v>779</v>
      </c>
      <c r="D781" s="177">
        <f t="shared" si="79"/>
        <v>9313.9399999999878</v>
      </c>
      <c r="E781" s="177">
        <f t="shared" si="80"/>
        <v>9315.2599999999875</v>
      </c>
      <c r="F781" s="177">
        <f t="shared" si="81"/>
        <v>5795.2900000000527</v>
      </c>
      <c r="G781" s="177">
        <f t="shared" si="82"/>
        <v>13667.900000000143</v>
      </c>
      <c r="H781" s="177">
        <f t="shared" si="83"/>
        <v>5449.3199999999206</v>
      </c>
      <c r="I781" s="177">
        <f t="shared" si="84"/>
        <v>14905.730000000147</v>
      </c>
      <c r="K781" s="151">
        <f>K780+'Basic Data'!$AC$13</f>
        <v>9349.4999999999873</v>
      </c>
      <c r="L781" s="151">
        <f>L780+'Basic Data'!$AD$13</f>
        <v>9349.4999999999873</v>
      </c>
      <c r="M781" s="151">
        <f>M780+'Basic Data'!$AE$13</f>
        <v>5816.680000000053</v>
      </c>
      <c r="N781" s="151">
        <f>N780+'Basic Data'!$AF$13</f>
        <v>13718.330000000144</v>
      </c>
      <c r="O781" s="151">
        <f>O780+'Basic Data'!$AG$13</f>
        <v>5470.1799999999203</v>
      </c>
      <c r="P781" s="151">
        <f>P780+'Basic Data'!$AH$13</f>
        <v>14962.850000000148</v>
      </c>
    </row>
    <row r="782" spans="2:16">
      <c r="B782" s="156">
        <v>780</v>
      </c>
      <c r="C782" s="176">
        <v>780</v>
      </c>
      <c r="D782" s="177">
        <f t="shared" si="79"/>
        <v>9325.819999999987</v>
      </c>
      <c r="E782" s="177">
        <f t="shared" si="80"/>
        <v>9327.1399999999867</v>
      </c>
      <c r="F782" s="177">
        <f t="shared" si="81"/>
        <v>5802.680000000053</v>
      </c>
      <c r="G782" s="177">
        <f t="shared" si="82"/>
        <v>13685.330000000144</v>
      </c>
      <c r="H782" s="177">
        <f t="shared" si="83"/>
        <v>5456.2699999999204</v>
      </c>
      <c r="I782" s="177">
        <f t="shared" si="84"/>
        <v>14924.740000000147</v>
      </c>
      <c r="K782" s="151">
        <f>K781+'Basic Data'!$AC$13</f>
        <v>9361.3799999999865</v>
      </c>
      <c r="L782" s="151">
        <f>L781+'Basic Data'!$AD$13</f>
        <v>9361.3799999999865</v>
      </c>
      <c r="M782" s="151">
        <f>M781+'Basic Data'!$AE$13</f>
        <v>5824.0700000000534</v>
      </c>
      <c r="N782" s="151">
        <f>N781+'Basic Data'!$AF$13</f>
        <v>13735.760000000144</v>
      </c>
      <c r="O782" s="151">
        <f>O781+'Basic Data'!$AG$13</f>
        <v>5477.1299999999201</v>
      </c>
      <c r="P782" s="151">
        <f>P781+'Basic Data'!$AH$13</f>
        <v>14981.860000000148</v>
      </c>
    </row>
    <row r="783" spans="2:16">
      <c r="B783" s="156">
        <v>781</v>
      </c>
      <c r="C783" s="176">
        <v>781</v>
      </c>
      <c r="D783" s="177">
        <f t="shared" si="79"/>
        <v>9337.6999999999862</v>
      </c>
      <c r="E783" s="177">
        <f t="shared" si="80"/>
        <v>9339.0199999999859</v>
      </c>
      <c r="F783" s="177">
        <f t="shared" si="81"/>
        <v>5810.0700000000534</v>
      </c>
      <c r="G783" s="177">
        <f t="shared" si="82"/>
        <v>13702.760000000144</v>
      </c>
      <c r="H783" s="177">
        <f t="shared" si="83"/>
        <v>5463.2199999999202</v>
      </c>
      <c r="I783" s="177">
        <f t="shared" si="84"/>
        <v>14943.750000000147</v>
      </c>
      <c r="K783" s="151">
        <f>K782+'Basic Data'!$AC$13</f>
        <v>9373.2599999999857</v>
      </c>
      <c r="L783" s="151">
        <f>L782+'Basic Data'!$AD$13</f>
        <v>9373.2599999999857</v>
      </c>
      <c r="M783" s="151">
        <f>M782+'Basic Data'!$AE$13</f>
        <v>5831.4600000000537</v>
      </c>
      <c r="N783" s="151">
        <f>N782+'Basic Data'!$AF$13</f>
        <v>13753.190000000144</v>
      </c>
      <c r="O783" s="151">
        <f>O782+'Basic Data'!$AG$13</f>
        <v>5484.0799999999199</v>
      </c>
      <c r="P783" s="151">
        <f>P782+'Basic Data'!$AH$13</f>
        <v>15000.870000000148</v>
      </c>
    </row>
    <row r="784" spans="2:16">
      <c r="B784" s="156">
        <v>782</v>
      </c>
      <c r="C784" s="176">
        <v>782</v>
      </c>
      <c r="D784" s="177">
        <f t="shared" si="79"/>
        <v>9349.5799999999854</v>
      </c>
      <c r="E784" s="177">
        <f t="shared" si="80"/>
        <v>9350.8999999999851</v>
      </c>
      <c r="F784" s="177">
        <f t="shared" si="81"/>
        <v>5817.4600000000537</v>
      </c>
      <c r="G784" s="177">
        <f t="shared" si="82"/>
        <v>13720.190000000144</v>
      </c>
      <c r="H784" s="177">
        <f t="shared" si="83"/>
        <v>5470.16999999992</v>
      </c>
      <c r="I784" s="177">
        <f t="shared" si="84"/>
        <v>14962.760000000148</v>
      </c>
      <c r="K784" s="151">
        <f>K783+'Basic Data'!$AC$13</f>
        <v>9385.1399999999849</v>
      </c>
      <c r="L784" s="151">
        <f>L783+'Basic Data'!$AD$13</f>
        <v>9385.1399999999849</v>
      </c>
      <c r="M784" s="151">
        <f>M783+'Basic Data'!$AE$13</f>
        <v>5838.850000000054</v>
      </c>
      <c r="N784" s="151">
        <f>N783+'Basic Data'!$AF$13</f>
        <v>13770.620000000145</v>
      </c>
      <c r="O784" s="151">
        <f>O783+'Basic Data'!$AG$13</f>
        <v>5491.0299999999197</v>
      </c>
      <c r="P784" s="151">
        <f>P783+'Basic Data'!$AH$13</f>
        <v>15019.880000000148</v>
      </c>
    </row>
    <row r="785" spans="2:16">
      <c r="B785" s="156">
        <v>783</v>
      </c>
      <c r="C785" s="176">
        <v>783</v>
      </c>
      <c r="D785" s="177">
        <f t="shared" si="79"/>
        <v>9361.4599999999846</v>
      </c>
      <c r="E785" s="177">
        <f t="shared" si="80"/>
        <v>9362.7799999999843</v>
      </c>
      <c r="F785" s="177">
        <f t="shared" si="81"/>
        <v>5824.850000000054</v>
      </c>
      <c r="G785" s="177">
        <f t="shared" si="82"/>
        <v>13737.620000000145</v>
      </c>
      <c r="H785" s="177">
        <f t="shared" si="83"/>
        <v>5477.1199999999199</v>
      </c>
      <c r="I785" s="177">
        <f t="shared" si="84"/>
        <v>14981.770000000148</v>
      </c>
      <c r="K785" s="151">
        <f>K784+'Basic Data'!$AC$13</f>
        <v>9397.0199999999841</v>
      </c>
      <c r="L785" s="151">
        <f>L784+'Basic Data'!$AD$13</f>
        <v>9397.0199999999841</v>
      </c>
      <c r="M785" s="151">
        <f>M784+'Basic Data'!$AE$13</f>
        <v>5846.2400000000544</v>
      </c>
      <c r="N785" s="151">
        <f>N784+'Basic Data'!$AF$13</f>
        <v>13788.050000000145</v>
      </c>
      <c r="O785" s="151">
        <f>O784+'Basic Data'!$AG$13</f>
        <v>5497.9799999999195</v>
      </c>
      <c r="P785" s="151">
        <f>P784+'Basic Data'!$AH$13</f>
        <v>15038.890000000149</v>
      </c>
    </row>
    <row r="786" spans="2:16">
      <c r="B786" s="156">
        <v>784</v>
      </c>
      <c r="C786" s="176">
        <v>784</v>
      </c>
      <c r="D786" s="177">
        <f t="shared" si="79"/>
        <v>9373.3399999999838</v>
      </c>
      <c r="E786" s="177">
        <f t="shared" si="80"/>
        <v>9374.6599999999835</v>
      </c>
      <c r="F786" s="177">
        <f t="shared" si="81"/>
        <v>5832.2400000000544</v>
      </c>
      <c r="G786" s="177">
        <f t="shared" si="82"/>
        <v>13755.050000000145</v>
      </c>
      <c r="H786" s="177">
        <f t="shared" si="83"/>
        <v>5484.0699999999197</v>
      </c>
      <c r="I786" s="177">
        <f t="shared" si="84"/>
        <v>15000.780000000148</v>
      </c>
      <c r="K786" s="151">
        <f>K785+'Basic Data'!$AC$13</f>
        <v>9408.8999999999833</v>
      </c>
      <c r="L786" s="151">
        <f>L785+'Basic Data'!$AD$13</f>
        <v>9408.8999999999833</v>
      </c>
      <c r="M786" s="151">
        <f>M785+'Basic Data'!$AE$13</f>
        <v>5853.6300000000547</v>
      </c>
      <c r="N786" s="151">
        <f>N785+'Basic Data'!$AF$13</f>
        <v>13805.480000000145</v>
      </c>
      <c r="O786" s="151">
        <f>O785+'Basic Data'!$AG$13</f>
        <v>5504.9299999999193</v>
      </c>
      <c r="P786" s="151">
        <f>P785+'Basic Data'!$AH$13</f>
        <v>15057.900000000149</v>
      </c>
    </row>
    <row r="787" spans="2:16">
      <c r="B787" s="156">
        <v>785</v>
      </c>
      <c r="C787" s="176">
        <v>785</v>
      </c>
      <c r="D787" s="177">
        <f t="shared" si="79"/>
        <v>9385.219999999983</v>
      </c>
      <c r="E787" s="177">
        <f t="shared" si="80"/>
        <v>9386.5399999999827</v>
      </c>
      <c r="F787" s="177">
        <f t="shared" si="81"/>
        <v>5839.6300000000547</v>
      </c>
      <c r="G787" s="177">
        <f t="shared" si="82"/>
        <v>13772.480000000145</v>
      </c>
      <c r="H787" s="177">
        <f t="shared" si="83"/>
        <v>5491.0199999999195</v>
      </c>
      <c r="I787" s="177">
        <f t="shared" si="84"/>
        <v>15019.790000000148</v>
      </c>
      <c r="K787" s="151">
        <f>K786+'Basic Data'!$AC$13</f>
        <v>9420.7799999999825</v>
      </c>
      <c r="L787" s="151">
        <f>L786+'Basic Data'!$AD$13</f>
        <v>9420.7799999999825</v>
      </c>
      <c r="M787" s="151">
        <f>M786+'Basic Data'!$AE$13</f>
        <v>5861.020000000055</v>
      </c>
      <c r="N787" s="151">
        <f>N786+'Basic Data'!$AF$13</f>
        <v>13822.910000000145</v>
      </c>
      <c r="O787" s="151">
        <f>O786+'Basic Data'!$AG$13</f>
        <v>5511.8799999999192</v>
      </c>
      <c r="P787" s="151">
        <f>P786+'Basic Data'!$AH$13</f>
        <v>15076.910000000149</v>
      </c>
    </row>
    <row r="788" spans="2:16">
      <c r="B788" s="156">
        <v>786</v>
      </c>
      <c r="C788" s="176">
        <v>786</v>
      </c>
      <c r="D788" s="177">
        <f t="shared" si="79"/>
        <v>9397.0999999999822</v>
      </c>
      <c r="E788" s="177">
        <f t="shared" si="80"/>
        <v>9398.4199999999819</v>
      </c>
      <c r="F788" s="177">
        <f t="shared" si="81"/>
        <v>5847.020000000055</v>
      </c>
      <c r="G788" s="177">
        <f t="shared" si="82"/>
        <v>13789.910000000145</v>
      </c>
      <c r="H788" s="177">
        <f t="shared" si="83"/>
        <v>5497.9699999999193</v>
      </c>
      <c r="I788" s="177">
        <f t="shared" si="84"/>
        <v>15038.800000000148</v>
      </c>
      <c r="K788" s="151">
        <f>K787+'Basic Data'!$AC$13</f>
        <v>9432.6599999999817</v>
      </c>
      <c r="L788" s="151">
        <f>L787+'Basic Data'!$AD$13</f>
        <v>9432.6599999999817</v>
      </c>
      <c r="M788" s="151">
        <f>M787+'Basic Data'!$AE$13</f>
        <v>5868.4100000000553</v>
      </c>
      <c r="N788" s="151">
        <f>N787+'Basic Data'!$AF$13</f>
        <v>13840.340000000146</v>
      </c>
      <c r="O788" s="151">
        <f>O787+'Basic Data'!$AG$13</f>
        <v>5518.829999999919</v>
      </c>
      <c r="P788" s="151">
        <f>P787+'Basic Data'!$AH$13</f>
        <v>15095.920000000149</v>
      </c>
    </row>
    <row r="789" spans="2:16">
      <c r="B789" s="156">
        <v>787</v>
      </c>
      <c r="C789" s="176">
        <v>787</v>
      </c>
      <c r="D789" s="177">
        <f t="shared" si="79"/>
        <v>9408.9799999999814</v>
      </c>
      <c r="E789" s="177">
        <f t="shared" si="80"/>
        <v>9410.2999999999811</v>
      </c>
      <c r="F789" s="177">
        <f t="shared" si="81"/>
        <v>5854.4100000000553</v>
      </c>
      <c r="G789" s="177">
        <f t="shared" si="82"/>
        <v>13807.340000000146</v>
      </c>
      <c r="H789" s="177">
        <f t="shared" si="83"/>
        <v>5504.9199999999191</v>
      </c>
      <c r="I789" s="177">
        <f t="shared" si="84"/>
        <v>15057.810000000149</v>
      </c>
      <c r="K789" s="151">
        <f>K788+'Basic Data'!$AC$13</f>
        <v>9444.5399999999809</v>
      </c>
      <c r="L789" s="151">
        <f>L788+'Basic Data'!$AD$13</f>
        <v>9444.5399999999809</v>
      </c>
      <c r="M789" s="151">
        <f>M788+'Basic Data'!$AE$13</f>
        <v>5875.8000000000557</v>
      </c>
      <c r="N789" s="151">
        <f>N788+'Basic Data'!$AF$13</f>
        <v>13857.770000000146</v>
      </c>
      <c r="O789" s="151">
        <f>O788+'Basic Data'!$AG$13</f>
        <v>5525.7799999999188</v>
      </c>
      <c r="P789" s="151">
        <f>P788+'Basic Data'!$AH$13</f>
        <v>15114.930000000149</v>
      </c>
    </row>
    <row r="790" spans="2:16">
      <c r="B790" s="156">
        <v>788</v>
      </c>
      <c r="C790" s="176">
        <v>788</v>
      </c>
      <c r="D790" s="177">
        <f t="shared" si="79"/>
        <v>9420.8599999999806</v>
      </c>
      <c r="E790" s="177">
        <f t="shared" si="80"/>
        <v>9422.1799999999803</v>
      </c>
      <c r="F790" s="177">
        <f t="shared" si="81"/>
        <v>5861.8000000000557</v>
      </c>
      <c r="G790" s="177">
        <f t="shared" si="82"/>
        <v>13824.770000000146</v>
      </c>
      <c r="H790" s="177">
        <f t="shared" si="83"/>
        <v>5511.8699999999189</v>
      </c>
      <c r="I790" s="177">
        <f t="shared" si="84"/>
        <v>15076.820000000149</v>
      </c>
      <c r="K790" s="151">
        <f>K789+'Basic Data'!$AC$13</f>
        <v>9456.4199999999801</v>
      </c>
      <c r="L790" s="151">
        <f>L789+'Basic Data'!$AD$13</f>
        <v>9456.4199999999801</v>
      </c>
      <c r="M790" s="151">
        <f>M789+'Basic Data'!$AE$13</f>
        <v>5883.190000000056</v>
      </c>
      <c r="N790" s="151">
        <f>N789+'Basic Data'!$AF$13</f>
        <v>13875.200000000146</v>
      </c>
      <c r="O790" s="151">
        <f>O789+'Basic Data'!$AG$13</f>
        <v>5532.7299999999186</v>
      </c>
      <c r="P790" s="151">
        <f>P789+'Basic Data'!$AH$13</f>
        <v>15133.94000000015</v>
      </c>
    </row>
    <row r="791" spans="2:16">
      <c r="B791" s="156">
        <v>789</v>
      </c>
      <c r="C791" s="176">
        <v>789</v>
      </c>
      <c r="D791" s="177">
        <f t="shared" si="79"/>
        <v>9432.7399999999798</v>
      </c>
      <c r="E791" s="177">
        <f t="shared" si="80"/>
        <v>9434.0599999999795</v>
      </c>
      <c r="F791" s="177">
        <f t="shared" si="81"/>
        <v>5869.190000000056</v>
      </c>
      <c r="G791" s="177">
        <f t="shared" si="82"/>
        <v>13842.200000000146</v>
      </c>
      <c r="H791" s="177">
        <f t="shared" si="83"/>
        <v>5518.8199999999188</v>
      </c>
      <c r="I791" s="177">
        <f t="shared" si="84"/>
        <v>15095.830000000149</v>
      </c>
      <c r="K791" s="151">
        <f>K790+'Basic Data'!$AC$13</f>
        <v>9468.2999999999793</v>
      </c>
      <c r="L791" s="151">
        <f>L790+'Basic Data'!$AD$13</f>
        <v>9468.2999999999793</v>
      </c>
      <c r="M791" s="151">
        <f>M790+'Basic Data'!$AE$13</f>
        <v>5890.5800000000563</v>
      </c>
      <c r="N791" s="151">
        <f>N790+'Basic Data'!$AF$13</f>
        <v>13892.630000000147</v>
      </c>
      <c r="O791" s="151">
        <f>O790+'Basic Data'!$AG$13</f>
        <v>5539.6799999999184</v>
      </c>
      <c r="P791" s="151">
        <f>P790+'Basic Data'!$AH$13</f>
        <v>15152.95000000015</v>
      </c>
    </row>
    <row r="792" spans="2:16">
      <c r="B792" s="156">
        <v>790</v>
      </c>
      <c r="C792" s="176">
        <v>790</v>
      </c>
      <c r="D792" s="177">
        <f t="shared" si="79"/>
        <v>9444.619999999979</v>
      </c>
      <c r="E792" s="177">
        <f t="shared" si="80"/>
        <v>9445.9399999999787</v>
      </c>
      <c r="F792" s="177">
        <f t="shared" si="81"/>
        <v>5876.5800000000563</v>
      </c>
      <c r="G792" s="177">
        <f t="shared" si="82"/>
        <v>13859.630000000147</v>
      </c>
      <c r="H792" s="177">
        <f t="shared" si="83"/>
        <v>5525.7699999999186</v>
      </c>
      <c r="I792" s="177">
        <f t="shared" si="84"/>
        <v>15114.840000000149</v>
      </c>
      <c r="K792" s="151">
        <f>K791+'Basic Data'!$AC$13</f>
        <v>9480.1799999999785</v>
      </c>
      <c r="L792" s="151">
        <f>L791+'Basic Data'!$AD$13</f>
        <v>9480.1799999999785</v>
      </c>
      <c r="M792" s="151">
        <f>M791+'Basic Data'!$AE$13</f>
        <v>5897.9700000000566</v>
      </c>
      <c r="N792" s="151">
        <f>N791+'Basic Data'!$AF$13</f>
        <v>13910.060000000147</v>
      </c>
      <c r="O792" s="151">
        <f>O791+'Basic Data'!$AG$13</f>
        <v>5546.6299999999183</v>
      </c>
      <c r="P792" s="151">
        <f>P791+'Basic Data'!$AH$13</f>
        <v>15171.96000000015</v>
      </c>
    </row>
    <row r="793" spans="2:16">
      <c r="B793" s="156">
        <v>791</v>
      </c>
      <c r="C793" s="176">
        <v>791</v>
      </c>
      <c r="D793" s="177">
        <f t="shared" si="79"/>
        <v>9456.4999999999782</v>
      </c>
      <c r="E793" s="177">
        <f t="shared" si="80"/>
        <v>9457.8199999999779</v>
      </c>
      <c r="F793" s="177">
        <f t="shared" si="81"/>
        <v>5883.9700000000566</v>
      </c>
      <c r="G793" s="177">
        <f t="shared" si="82"/>
        <v>13877.060000000147</v>
      </c>
      <c r="H793" s="177">
        <f t="shared" si="83"/>
        <v>5532.7199999999184</v>
      </c>
      <c r="I793" s="177">
        <f t="shared" si="84"/>
        <v>15133.85000000015</v>
      </c>
      <c r="K793" s="151">
        <f>K792+'Basic Data'!$AC$13</f>
        <v>9492.0599999999777</v>
      </c>
      <c r="L793" s="151">
        <f>L792+'Basic Data'!$AD$13</f>
        <v>9492.0599999999777</v>
      </c>
      <c r="M793" s="151">
        <f>M792+'Basic Data'!$AE$13</f>
        <v>5905.360000000057</v>
      </c>
      <c r="N793" s="151">
        <f>N792+'Basic Data'!$AF$13</f>
        <v>13927.490000000147</v>
      </c>
      <c r="O793" s="151">
        <f>O792+'Basic Data'!$AG$13</f>
        <v>5553.5799999999181</v>
      </c>
      <c r="P793" s="151">
        <f>P792+'Basic Data'!$AH$13</f>
        <v>15190.97000000015</v>
      </c>
    </row>
    <row r="794" spans="2:16">
      <c r="B794" s="156">
        <v>792</v>
      </c>
      <c r="C794" s="176">
        <v>792</v>
      </c>
      <c r="D794" s="177">
        <f t="shared" si="79"/>
        <v>9468.3799999999774</v>
      </c>
      <c r="E794" s="177">
        <f t="shared" si="80"/>
        <v>9469.6999999999771</v>
      </c>
      <c r="F794" s="177">
        <f t="shared" si="81"/>
        <v>5891.360000000057</v>
      </c>
      <c r="G794" s="177">
        <f t="shared" si="82"/>
        <v>13894.490000000147</v>
      </c>
      <c r="H794" s="177">
        <f t="shared" si="83"/>
        <v>5539.6699999999182</v>
      </c>
      <c r="I794" s="177">
        <f t="shared" si="84"/>
        <v>15152.86000000015</v>
      </c>
      <c r="K794" s="151">
        <f>K793+'Basic Data'!$AC$13</f>
        <v>9503.9399999999769</v>
      </c>
      <c r="L794" s="151">
        <f>L793+'Basic Data'!$AD$13</f>
        <v>9503.9399999999769</v>
      </c>
      <c r="M794" s="151">
        <f>M793+'Basic Data'!$AE$13</f>
        <v>5912.7500000000573</v>
      </c>
      <c r="N794" s="151">
        <f>N793+'Basic Data'!$AF$13</f>
        <v>13944.920000000147</v>
      </c>
      <c r="O794" s="151">
        <f>O793+'Basic Data'!$AG$13</f>
        <v>5560.5299999999179</v>
      </c>
      <c r="P794" s="151">
        <f>P793+'Basic Data'!$AH$13</f>
        <v>15209.980000000151</v>
      </c>
    </row>
    <row r="795" spans="2:16">
      <c r="B795" s="156">
        <v>793</v>
      </c>
      <c r="C795" s="176">
        <v>793</v>
      </c>
      <c r="D795" s="177">
        <f t="shared" si="79"/>
        <v>9480.2599999999766</v>
      </c>
      <c r="E795" s="177">
        <f t="shared" si="80"/>
        <v>9481.5799999999763</v>
      </c>
      <c r="F795" s="177">
        <f t="shared" si="81"/>
        <v>5898.7500000000573</v>
      </c>
      <c r="G795" s="177">
        <f t="shared" si="82"/>
        <v>13911.920000000147</v>
      </c>
      <c r="H795" s="177">
        <f t="shared" si="83"/>
        <v>5546.619999999918</v>
      </c>
      <c r="I795" s="177">
        <f t="shared" si="84"/>
        <v>15171.87000000015</v>
      </c>
      <c r="K795" s="151">
        <f>K794+'Basic Data'!$AC$13</f>
        <v>9515.8199999999761</v>
      </c>
      <c r="L795" s="151">
        <f>L794+'Basic Data'!$AD$13</f>
        <v>9515.8199999999761</v>
      </c>
      <c r="M795" s="151">
        <f>M794+'Basic Data'!$AE$13</f>
        <v>5920.1400000000576</v>
      </c>
      <c r="N795" s="151">
        <f>N794+'Basic Data'!$AF$13</f>
        <v>13962.350000000148</v>
      </c>
      <c r="O795" s="151">
        <f>O794+'Basic Data'!$AG$13</f>
        <v>5567.4799999999177</v>
      </c>
      <c r="P795" s="151">
        <f>P794+'Basic Data'!$AH$13</f>
        <v>15228.990000000151</v>
      </c>
    </row>
    <row r="796" spans="2:16">
      <c r="B796" s="156">
        <v>794</v>
      </c>
      <c r="C796" s="176">
        <v>794</v>
      </c>
      <c r="D796" s="177">
        <f t="shared" si="79"/>
        <v>9492.1399999999758</v>
      </c>
      <c r="E796" s="177">
        <f t="shared" si="80"/>
        <v>9493.4599999999755</v>
      </c>
      <c r="F796" s="177">
        <f t="shared" si="81"/>
        <v>5906.1400000000576</v>
      </c>
      <c r="G796" s="177">
        <f t="shared" si="82"/>
        <v>13929.350000000148</v>
      </c>
      <c r="H796" s="177">
        <f t="shared" si="83"/>
        <v>5553.5699999999179</v>
      </c>
      <c r="I796" s="177">
        <f t="shared" si="84"/>
        <v>15190.88000000015</v>
      </c>
      <c r="K796" s="151">
        <f>K795+'Basic Data'!$AC$13</f>
        <v>9527.6999999999753</v>
      </c>
      <c r="L796" s="151">
        <f>L795+'Basic Data'!$AD$13</f>
        <v>9527.6999999999753</v>
      </c>
      <c r="M796" s="151">
        <f>M795+'Basic Data'!$AE$13</f>
        <v>5927.530000000058</v>
      </c>
      <c r="N796" s="151">
        <f>N795+'Basic Data'!$AF$13</f>
        <v>13979.780000000148</v>
      </c>
      <c r="O796" s="151">
        <f>O795+'Basic Data'!$AG$13</f>
        <v>5574.4299999999175</v>
      </c>
      <c r="P796" s="151">
        <f>P795+'Basic Data'!$AH$13</f>
        <v>15248.000000000151</v>
      </c>
    </row>
    <row r="797" spans="2:16">
      <c r="B797" s="156">
        <v>795</v>
      </c>
      <c r="C797" s="176">
        <v>795</v>
      </c>
      <c r="D797" s="177">
        <f t="shared" si="79"/>
        <v>9504.019999999975</v>
      </c>
      <c r="E797" s="177">
        <f t="shared" si="80"/>
        <v>9505.3399999999747</v>
      </c>
      <c r="F797" s="177">
        <f t="shared" si="81"/>
        <v>5913.530000000058</v>
      </c>
      <c r="G797" s="177">
        <f t="shared" si="82"/>
        <v>13946.780000000148</v>
      </c>
      <c r="H797" s="177">
        <f t="shared" si="83"/>
        <v>5560.5199999999177</v>
      </c>
      <c r="I797" s="177">
        <f t="shared" si="84"/>
        <v>15209.89000000015</v>
      </c>
      <c r="K797" s="151">
        <f>K796+'Basic Data'!$AC$13</f>
        <v>9539.5799999999745</v>
      </c>
      <c r="L797" s="151">
        <f>L796+'Basic Data'!$AD$13</f>
        <v>9539.5799999999745</v>
      </c>
      <c r="M797" s="151">
        <f>M796+'Basic Data'!$AE$13</f>
        <v>5934.9200000000583</v>
      </c>
      <c r="N797" s="151">
        <f>N796+'Basic Data'!$AF$13</f>
        <v>13997.210000000148</v>
      </c>
      <c r="O797" s="151">
        <f>O796+'Basic Data'!$AG$13</f>
        <v>5581.3799999999173</v>
      </c>
      <c r="P797" s="151">
        <f>P796+'Basic Data'!$AH$13</f>
        <v>15267.010000000151</v>
      </c>
    </row>
    <row r="798" spans="2:16">
      <c r="B798" s="156">
        <v>796</v>
      </c>
      <c r="C798" s="176">
        <v>796</v>
      </c>
      <c r="D798" s="177">
        <f t="shared" si="79"/>
        <v>9515.8999999999742</v>
      </c>
      <c r="E798" s="177">
        <f t="shared" si="80"/>
        <v>9517.2199999999739</v>
      </c>
      <c r="F798" s="177">
        <f t="shared" si="81"/>
        <v>5920.9200000000583</v>
      </c>
      <c r="G798" s="177">
        <f t="shared" si="82"/>
        <v>13964.210000000148</v>
      </c>
      <c r="H798" s="177">
        <f t="shared" si="83"/>
        <v>5567.4699999999175</v>
      </c>
      <c r="I798" s="177">
        <f t="shared" si="84"/>
        <v>15228.900000000151</v>
      </c>
      <c r="K798" s="151">
        <f>K797+'Basic Data'!$AC$13</f>
        <v>9551.4599999999737</v>
      </c>
      <c r="L798" s="151">
        <f>L797+'Basic Data'!$AD$13</f>
        <v>9551.4599999999737</v>
      </c>
      <c r="M798" s="151">
        <f>M797+'Basic Data'!$AE$13</f>
        <v>5942.3100000000586</v>
      </c>
      <c r="N798" s="151">
        <f>N797+'Basic Data'!$AF$13</f>
        <v>14014.640000000149</v>
      </c>
      <c r="O798" s="151">
        <f>O797+'Basic Data'!$AG$13</f>
        <v>5588.3299999999172</v>
      </c>
      <c r="P798" s="151">
        <f>P797+'Basic Data'!$AH$13</f>
        <v>15286.020000000151</v>
      </c>
    </row>
    <row r="799" spans="2:16">
      <c r="B799" s="156">
        <v>797</v>
      </c>
      <c r="C799" s="176">
        <v>797</v>
      </c>
      <c r="D799" s="177">
        <f t="shared" si="79"/>
        <v>9527.7799999999734</v>
      </c>
      <c r="E799" s="177">
        <f t="shared" si="80"/>
        <v>9529.0999999999731</v>
      </c>
      <c r="F799" s="177">
        <f t="shared" si="81"/>
        <v>5928.3100000000586</v>
      </c>
      <c r="G799" s="177">
        <f t="shared" si="82"/>
        <v>13981.640000000149</v>
      </c>
      <c r="H799" s="177">
        <f t="shared" si="83"/>
        <v>5574.4199999999173</v>
      </c>
      <c r="I799" s="177">
        <f t="shared" si="84"/>
        <v>15247.910000000151</v>
      </c>
      <c r="K799" s="151">
        <f>K798+'Basic Data'!$AC$13</f>
        <v>9563.3399999999729</v>
      </c>
      <c r="L799" s="151">
        <f>L798+'Basic Data'!$AD$13</f>
        <v>9563.3399999999729</v>
      </c>
      <c r="M799" s="151">
        <f>M798+'Basic Data'!$AE$13</f>
        <v>5949.7000000000589</v>
      </c>
      <c r="N799" s="151">
        <f>N798+'Basic Data'!$AF$13</f>
        <v>14032.070000000149</v>
      </c>
      <c r="O799" s="151">
        <f>O798+'Basic Data'!$AG$13</f>
        <v>5595.279999999917</v>
      </c>
      <c r="P799" s="151">
        <f>P798+'Basic Data'!$AH$13</f>
        <v>15305.030000000152</v>
      </c>
    </row>
    <row r="800" spans="2:16">
      <c r="B800" s="156">
        <v>798</v>
      </c>
      <c r="C800" s="176">
        <v>798</v>
      </c>
      <c r="D800" s="177">
        <f t="shared" si="79"/>
        <v>9539.6599999999726</v>
      </c>
      <c r="E800" s="177">
        <f t="shared" si="80"/>
        <v>9540.9799999999723</v>
      </c>
      <c r="F800" s="177">
        <f t="shared" si="81"/>
        <v>5935.7000000000589</v>
      </c>
      <c r="G800" s="177">
        <f t="shared" si="82"/>
        <v>13999.070000000149</v>
      </c>
      <c r="H800" s="177">
        <f t="shared" si="83"/>
        <v>5581.3699999999171</v>
      </c>
      <c r="I800" s="177">
        <f t="shared" si="84"/>
        <v>15266.920000000151</v>
      </c>
      <c r="K800" s="151">
        <f>K799+'Basic Data'!$AC$13</f>
        <v>9575.2199999999721</v>
      </c>
      <c r="L800" s="151">
        <f>L799+'Basic Data'!$AD$13</f>
        <v>9575.2199999999721</v>
      </c>
      <c r="M800" s="151">
        <f>M799+'Basic Data'!$AE$13</f>
        <v>5957.0900000000593</v>
      </c>
      <c r="N800" s="151">
        <f>N799+'Basic Data'!$AF$13</f>
        <v>14049.500000000149</v>
      </c>
      <c r="O800" s="151">
        <f>O799+'Basic Data'!$AG$13</f>
        <v>5602.2299999999168</v>
      </c>
      <c r="P800" s="151">
        <f>P799+'Basic Data'!$AH$13</f>
        <v>15324.040000000152</v>
      </c>
    </row>
    <row r="801" spans="2:16">
      <c r="B801" s="156">
        <v>799</v>
      </c>
      <c r="C801" s="176">
        <v>799</v>
      </c>
      <c r="D801" s="177">
        <f t="shared" si="79"/>
        <v>9551.5399999999718</v>
      </c>
      <c r="E801" s="177">
        <f t="shared" si="80"/>
        <v>9552.8599999999715</v>
      </c>
      <c r="F801" s="177">
        <f t="shared" si="81"/>
        <v>5943.0900000000593</v>
      </c>
      <c r="G801" s="177">
        <f t="shared" si="82"/>
        <v>14016.500000000149</v>
      </c>
      <c r="H801" s="177">
        <f t="shared" si="83"/>
        <v>5588.3199999999169</v>
      </c>
      <c r="I801" s="177">
        <f t="shared" si="84"/>
        <v>15285.930000000151</v>
      </c>
      <c r="K801" s="151">
        <f>K800+'Basic Data'!$AC$13</f>
        <v>9587.0999999999713</v>
      </c>
      <c r="L801" s="151">
        <f>L800+'Basic Data'!$AD$13</f>
        <v>9587.0999999999713</v>
      </c>
      <c r="M801" s="151">
        <f>M800+'Basic Data'!$AE$13</f>
        <v>5964.4800000000596</v>
      </c>
      <c r="N801" s="151">
        <f>N800+'Basic Data'!$AF$13</f>
        <v>14066.930000000149</v>
      </c>
      <c r="O801" s="151">
        <f>O800+'Basic Data'!$AG$13</f>
        <v>5609.1799999999166</v>
      </c>
      <c r="P801" s="151">
        <f>P800+'Basic Data'!$AH$13</f>
        <v>15343.050000000152</v>
      </c>
    </row>
    <row r="802" spans="2:16">
      <c r="B802" s="156">
        <v>800</v>
      </c>
      <c r="C802" s="176">
        <v>800</v>
      </c>
      <c r="D802" s="177">
        <f t="shared" si="79"/>
        <v>9563.419999999971</v>
      </c>
      <c r="E802" s="177">
        <f t="shared" si="80"/>
        <v>9564.7399999999707</v>
      </c>
      <c r="F802" s="177">
        <f t="shared" si="81"/>
        <v>5950.4800000000596</v>
      </c>
      <c r="G802" s="177">
        <f t="shared" si="82"/>
        <v>14033.930000000149</v>
      </c>
      <c r="H802" s="177">
        <f t="shared" si="83"/>
        <v>5595.2699999999168</v>
      </c>
      <c r="I802" s="177">
        <f t="shared" si="84"/>
        <v>15304.940000000151</v>
      </c>
      <c r="K802" s="151">
        <f>K801+'Basic Data'!$AC$13</f>
        <v>9598.9799999999705</v>
      </c>
      <c r="L802" s="151">
        <f>L801+'Basic Data'!$AD$13</f>
        <v>9598.9799999999705</v>
      </c>
      <c r="M802" s="151">
        <f>M801+'Basic Data'!$AE$13</f>
        <v>5971.8700000000599</v>
      </c>
      <c r="N802" s="151">
        <f>N801+'Basic Data'!$AF$13</f>
        <v>14084.36000000015</v>
      </c>
      <c r="O802" s="151">
        <f>O801+'Basic Data'!$AG$13</f>
        <v>5616.1299999999164</v>
      </c>
      <c r="P802" s="151">
        <f>P801+'Basic Data'!$AH$13</f>
        <v>15362.060000000152</v>
      </c>
    </row>
    <row r="803" spans="2:16">
      <c r="B803" s="156">
        <v>801</v>
      </c>
      <c r="C803" s="176">
        <v>801</v>
      </c>
      <c r="D803" s="177">
        <f t="shared" si="79"/>
        <v>9575.2999999999702</v>
      </c>
      <c r="E803" s="177">
        <f t="shared" si="80"/>
        <v>9576.6199999999699</v>
      </c>
      <c r="F803" s="177">
        <f t="shared" si="81"/>
        <v>5957.8700000000599</v>
      </c>
      <c r="G803" s="177">
        <f t="shared" si="82"/>
        <v>14051.36000000015</v>
      </c>
      <c r="H803" s="177">
        <f t="shared" si="83"/>
        <v>5602.2199999999166</v>
      </c>
      <c r="I803" s="177">
        <f t="shared" si="84"/>
        <v>15323.950000000152</v>
      </c>
      <c r="K803" s="151">
        <f>K802+'Basic Data'!$AC$13</f>
        <v>9610.8599999999697</v>
      </c>
      <c r="L803" s="151">
        <f>L802+'Basic Data'!$AD$13</f>
        <v>9610.8599999999697</v>
      </c>
      <c r="M803" s="151">
        <f>M802+'Basic Data'!$AE$13</f>
        <v>5979.2600000000602</v>
      </c>
      <c r="N803" s="151">
        <f>N802+'Basic Data'!$AF$13</f>
        <v>14101.79000000015</v>
      </c>
      <c r="O803" s="151">
        <f>O802+'Basic Data'!$AG$13</f>
        <v>5623.0799999999163</v>
      </c>
      <c r="P803" s="151">
        <f>P802+'Basic Data'!$AH$13</f>
        <v>15381.070000000153</v>
      </c>
    </row>
    <row r="804" spans="2:16">
      <c r="B804" s="156">
        <v>802</v>
      </c>
      <c r="C804" s="176">
        <v>802</v>
      </c>
      <c r="D804" s="177">
        <f t="shared" si="79"/>
        <v>9587.1799999999694</v>
      </c>
      <c r="E804" s="177">
        <f t="shared" si="80"/>
        <v>9588.4999999999691</v>
      </c>
      <c r="F804" s="177">
        <f t="shared" si="81"/>
        <v>5965.2600000000602</v>
      </c>
      <c r="G804" s="177">
        <f t="shared" si="82"/>
        <v>14068.79000000015</v>
      </c>
      <c r="H804" s="177">
        <f t="shared" si="83"/>
        <v>5609.1699999999164</v>
      </c>
      <c r="I804" s="177">
        <f t="shared" si="84"/>
        <v>15342.960000000152</v>
      </c>
      <c r="K804" s="151">
        <f>K803+'Basic Data'!$AC$13</f>
        <v>9622.7399999999689</v>
      </c>
      <c r="L804" s="151">
        <f>L803+'Basic Data'!$AD$13</f>
        <v>9622.7399999999689</v>
      </c>
      <c r="M804" s="151">
        <f>M803+'Basic Data'!$AE$13</f>
        <v>5986.6500000000606</v>
      </c>
      <c r="N804" s="151">
        <f>N803+'Basic Data'!$AF$13</f>
        <v>14119.22000000015</v>
      </c>
      <c r="O804" s="151">
        <f>O803+'Basic Data'!$AG$13</f>
        <v>5630.0299999999161</v>
      </c>
      <c r="P804" s="151">
        <f>P803+'Basic Data'!$AH$13</f>
        <v>15400.080000000153</v>
      </c>
    </row>
    <row r="805" spans="2:16">
      <c r="B805" s="156">
        <v>803</v>
      </c>
      <c r="C805" s="176">
        <v>803</v>
      </c>
      <c r="D805" s="177">
        <f t="shared" si="79"/>
        <v>9599.0599999999686</v>
      </c>
      <c r="E805" s="177">
        <f t="shared" si="80"/>
        <v>9600.3799999999683</v>
      </c>
      <c r="F805" s="177">
        <f t="shared" si="81"/>
        <v>5972.6500000000606</v>
      </c>
      <c r="G805" s="177">
        <f t="shared" si="82"/>
        <v>14086.22000000015</v>
      </c>
      <c r="H805" s="177">
        <f t="shared" si="83"/>
        <v>5616.1199999999162</v>
      </c>
      <c r="I805" s="177">
        <f t="shared" si="84"/>
        <v>15361.970000000152</v>
      </c>
      <c r="K805" s="151">
        <f>K804+'Basic Data'!$AC$13</f>
        <v>9634.6199999999681</v>
      </c>
      <c r="L805" s="151">
        <f>L804+'Basic Data'!$AD$13</f>
        <v>9634.6199999999681</v>
      </c>
      <c r="M805" s="151">
        <f>M804+'Basic Data'!$AE$13</f>
        <v>5994.0400000000609</v>
      </c>
      <c r="N805" s="151">
        <f>N804+'Basic Data'!$AF$13</f>
        <v>14136.650000000151</v>
      </c>
      <c r="O805" s="151">
        <f>O804+'Basic Data'!$AG$13</f>
        <v>5636.9799999999159</v>
      </c>
      <c r="P805" s="151">
        <f>P804+'Basic Data'!$AH$13</f>
        <v>15419.090000000153</v>
      </c>
    </row>
    <row r="806" spans="2:16">
      <c r="B806" s="156">
        <v>804</v>
      </c>
      <c r="C806" s="176">
        <v>804</v>
      </c>
      <c r="D806" s="177">
        <f t="shared" si="79"/>
        <v>9610.9399999999678</v>
      </c>
      <c r="E806" s="177">
        <f t="shared" si="80"/>
        <v>9612.2599999999675</v>
      </c>
      <c r="F806" s="177">
        <f t="shared" si="81"/>
        <v>5980.0400000000609</v>
      </c>
      <c r="G806" s="177">
        <f t="shared" si="82"/>
        <v>14103.650000000151</v>
      </c>
      <c r="H806" s="177">
        <f t="shared" si="83"/>
        <v>5623.069999999916</v>
      </c>
      <c r="I806" s="177">
        <f t="shared" si="84"/>
        <v>15380.980000000152</v>
      </c>
      <c r="K806" s="151">
        <f>K805+'Basic Data'!$AC$13</f>
        <v>9646.4999999999673</v>
      </c>
      <c r="L806" s="151">
        <f>L805+'Basic Data'!$AD$13</f>
        <v>9646.4999999999673</v>
      </c>
      <c r="M806" s="151">
        <f>M805+'Basic Data'!$AE$13</f>
        <v>6001.4300000000612</v>
      </c>
      <c r="N806" s="151">
        <f>N805+'Basic Data'!$AF$13</f>
        <v>14154.080000000151</v>
      </c>
      <c r="O806" s="151">
        <f>O805+'Basic Data'!$AG$13</f>
        <v>5643.9299999999157</v>
      </c>
      <c r="P806" s="151">
        <f>P805+'Basic Data'!$AH$13</f>
        <v>15438.100000000153</v>
      </c>
    </row>
    <row r="807" spans="2:16">
      <c r="B807" s="156">
        <v>805</v>
      </c>
      <c r="C807" s="176">
        <v>805</v>
      </c>
      <c r="D807" s="177">
        <f t="shared" si="79"/>
        <v>9622.819999999967</v>
      </c>
      <c r="E807" s="177">
        <f t="shared" si="80"/>
        <v>9624.1399999999667</v>
      </c>
      <c r="F807" s="177">
        <f t="shared" si="81"/>
        <v>5987.4300000000612</v>
      </c>
      <c r="G807" s="177">
        <f t="shared" si="82"/>
        <v>14121.080000000151</v>
      </c>
      <c r="H807" s="177">
        <f t="shared" si="83"/>
        <v>5630.0199999999159</v>
      </c>
      <c r="I807" s="177">
        <f t="shared" si="84"/>
        <v>15399.990000000153</v>
      </c>
      <c r="K807" s="151">
        <f>K806+'Basic Data'!$AC$13</f>
        <v>9658.3799999999665</v>
      </c>
      <c r="L807" s="151">
        <f>L806+'Basic Data'!$AD$13</f>
        <v>9658.3799999999665</v>
      </c>
      <c r="M807" s="151">
        <f>M806+'Basic Data'!$AE$13</f>
        <v>6008.8200000000616</v>
      </c>
      <c r="N807" s="151">
        <f>N806+'Basic Data'!$AF$13</f>
        <v>14171.510000000151</v>
      </c>
      <c r="O807" s="151">
        <f>O806+'Basic Data'!$AG$13</f>
        <v>5650.8799999999155</v>
      </c>
      <c r="P807" s="151">
        <f>P806+'Basic Data'!$AH$13</f>
        <v>15457.110000000153</v>
      </c>
    </row>
    <row r="808" spans="2:16">
      <c r="B808" s="156">
        <v>806</v>
      </c>
      <c r="C808" s="176">
        <v>806</v>
      </c>
      <c r="D808" s="177">
        <f t="shared" si="79"/>
        <v>9634.6999999999662</v>
      </c>
      <c r="E808" s="177">
        <f t="shared" si="80"/>
        <v>9636.0199999999659</v>
      </c>
      <c r="F808" s="177">
        <f t="shared" si="81"/>
        <v>5994.8200000000616</v>
      </c>
      <c r="G808" s="177">
        <f t="shared" si="82"/>
        <v>14138.510000000151</v>
      </c>
      <c r="H808" s="177">
        <f t="shared" si="83"/>
        <v>5636.9699999999157</v>
      </c>
      <c r="I808" s="177">
        <f t="shared" si="84"/>
        <v>15419.000000000153</v>
      </c>
      <c r="K808" s="151">
        <f>K807+'Basic Data'!$AC$13</f>
        <v>9670.2599999999657</v>
      </c>
      <c r="L808" s="151">
        <f>L807+'Basic Data'!$AD$13</f>
        <v>9670.2599999999657</v>
      </c>
      <c r="M808" s="151">
        <f>M807+'Basic Data'!$AE$13</f>
        <v>6016.2100000000619</v>
      </c>
      <c r="N808" s="151">
        <f>N807+'Basic Data'!$AF$13</f>
        <v>14188.940000000151</v>
      </c>
      <c r="O808" s="151">
        <f>O807+'Basic Data'!$AG$13</f>
        <v>5657.8299999999153</v>
      </c>
      <c r="P808" s="151">
        <f>P807+'Basic Data'!$AH$13</f>
        <v>15476.120000000154</v>
      </c>
    </row>
    <row r="809" spans="2:16">
      <c r="B809" s="156">
        <v>807</v>
      </c>
      <c r="C809" s="176">
        <v>807</v>
      </c>
      <c r="D809" s="177">
        <f t="shared" si="79"/>
        <v>9646.5799999999654</v>
      </c>
      <c r="E809" s="177">
        <f t="shared" si="80"/>
        <v>9647.8999999999651</v>
      </c>
      <c r="F809" s="177">
        <f t="shared" si="81"/>
        <v>6002.2100000000619</v>
      </c>
      <c r="G809" s="177">
        <f t="shared" si="82"/>
        <v>14155.940000000151</v>
      </c>
      <c r="H809" s="177">
        <f t="shared" si="83"/>
        <v>5643.9199999999155</v>
      </c>
      <c r="I809" s="177">
        <f t="shared" si="84"/>
        <v>15438.010000000153</v>
      </c>
      <c r="K809" s="151">
        <f>K808+'Basic Data'!$AC$13</f>
        <v>9682.1399999999649</v>
      </c>
      <c r="L809" s="151">
        <f>L808+'Basic Data'!$AD$13</f>
        <v>9682.1399999999649</v>
      </c>
      <c r="M809" s="151">
        <f>M808+'Basic Data'!$AE$13</f>
        <v>6023.6000000000622</v>
      </c>
      <c r="N809" s="151">
        <f>N808+'Basic Data'!$AF$13</f>
        <v>14206.370000000152</v>
      </c>
      <c r="O809" s="151">
        <f>O808+'Basic Data'!$AG$13</f>
        <v>5664.7799999999152</v>
      </c>
      <c r="P809" s="151">
        <f>P808+'Basic Data'!$AH$13</f>
        <v>15495.130000000154</v>
      </c>
    </row>
    <row r="810" spans="2:16">
      <c r="B810" s="156">
        <v>808</v>
      </c>
      <c r="C810" s="176">
        <v>808</v>
      </c>
      <c r="D810" s="177">
        <f t="shared" si="79"/>
        <v>9658.4599999999646</v>
      </c>
      <c r="E810" s="177">
        <f t="shared" si="80"/>
        <v>9659.7799999999643</v>
      </c>
      <c r="F810" s="177">
        <f t="shared" si="81"/>
        <v>6009.6000000000622</v>
      </c>
      <c r="G810" s="177">
        <f t="shared" si="82"/>
        <v>14173.370000000152</v>
      </c>
      <c r="H810" s="177">
        <f t="shared" si="83"/>
        <v>5650.8699999999153</v>
      </c>
      <c r="I810" s="177">
        <f t="shared" si="84"/>
        <v>15457.020000000153</v>
      </c>
      <c r="K810" s="151">
        <f>K809+'Basic Data'!$AC$13</f>
        <v>9694.0199999999641</v>
      </c>
      <c r="L810" s="151">
        <f>L809+'Basic Data'!$AD$13</f>
        <v>9694.0199999999641</v>
      </c>
      <c r="M810" s="151">
        <f>M809+'Basic Data'!$AE$13</f>
        <v>6030.9900000000625</v>
      </c>
      <c r="N810" s="151">
        <f>N809+'Basic Data'!$AF$13</f>
        <v>14223.800000000152</v>
      </c>
      <c r="O810" s="151">
        <f>O809+'Basic Data'!$AG$13</f>
        <v>5671.729999999915</v>
      </c>
      <c r="P810" s="151">
        <f>P809+'Basic Data'!$AH$13</f>
        <v>15514.140000000154</v>
      </c>
    </row>
    <row r="811" spans="2:16">
      <c r="B811" s="156">
        <v>809</v>
      </c>
      <c r="C811" s="176">
        <v>809</v>
      </c>
      <c r="D811" s="177">
        <f t="shared" si="79"/>
        <v>9670.3399999999638</v>
      </c>
      <c r="E811" s="177">
        <f t="shared" si="80"/>
        <v>9671.6599999999635</v>
      </c>
      <c r="F811" s="177">
        <f t="shared" si="81"/>
        <v>6016.9900000000625</v>
      </c>
      <c r="G811" s="177">
        <f t="shared" si="82"/>
        <v>14190.800000000152</v>
      </c>
      <c r="H811" s="177">
        <f t="shared" si="83"/>
        <v>5657.8199999999151</v>
      </c>
      <c r="I811" s="177">
        <f t="shared" si="84"/>
        <v>15476.030000000153</v>
      </c>
      <c r="K811" s="151">
        <f>K810+'Basic Data'!$AC$13</f>
        <v>9705.8999999999633</v>
      </c>
      <c r="L811" s="151">
        <f>L810+'Basic Data'!$AD$13</f>
        <v>9705.8999999999633</v>
      </c>
      <c r="M811" s="151">
        <f>M810+'Basic Data'!$AE$13</f>
        <v>6038.3800000000629</v>
      </c>
      <c r="N811" s="151">
        <f>N810+'Basic Data'!$AF$13</f>
        <v>14241.230000000152</v>
      </c>
      <c r="O811" s="151">
        <f>O810+'Basic Data'!$AG$13</f>
        <v>5678.6799999999148</v>
      </c>
      <c r="P811" s="151">
        <f>P810+'Basic Data'!$AH$13</f>
        <v>15533.150000000154</v>
      </c>
    </row>
    <row r="812" spans="2:16">
      <c r="B812" s="156">
        <v>810</v>
      </c>
      <c r="C812" s="176">
        <v>810</v>
      </c>
      <c r="D812" s="177">
        <f t="shared" si="79"/>
        <v>9682.219999999963</v>
      </c>
      <c r="E812" s="177">
        <f t="shared" si="80"/>
        <v>9683.5399999999627</v>
      </c>
      <c r="F812" s="177">
        <f t="shared" si="81"/>
        <v>6024.3800000000629</v>
      </c>
      <c r="G812" s="177">
        <f t="shared" si="82"/>
        <v>14208.230000000152</v>
      </c>
      <c r="H812" s="177">
        <f t="shared" si="83"/>
        <v>5664.7699999999149</v>
      </c>
      <c r="I812" s="177">
        <f t="shared" si="84"/>
        <v>15495.040000000154</v>
      </c>
      <c r="K812" s="151">
        <f>K811+'Basic Data'!$AC$13</f>
        <v>9717.7799999999625</v>
      </c>
      <c r="L812" s="151">
        <f>L811+'Basic Data'!$AD$13</f>
        <v>9717.7799999999625</v>
      </c>
      <c r="M812" s="151">
        <f>M811+'Basic Data'!$AE$13</f>
        <v>6045.7700000000632</v>
      </c>
      <c r="N812" s="151">
        <f>N811+'Basic Data'!$AF$13</f>
        <v>14258.660000000153</v>
      </c>
      <c r="O812" s="151">
        <f>O811+'Basic Data'!$AG$13</f>
        <v>5685.6299999999146</v>
      </c>
      <c r="P812" s="151">
        <f>P811+'Basic Data'!$AH$13</f>
        <v>15552.160000000154</v>
      </c>
    </row>
    <row r="813" spans="2:16">
      <c r="B813" s="156">
        <v>811</v>
      </c>
      <c r="C813" s="176">
        <v>811</v>
      </c>
      <c r="D813" s="177">
        <f t="shared" si="79"/>
        <v>9694.0999999999622</v>
      </c>
      <c r="E813" s="177">
        <f t="shared" si="80"/>
        <v>9695.4199999999619</v>
      </c>
      <c r="F813" s="177">
        <f t="shared" si="81"/>
        <v>6031.7700000000632</v>
      </c>
      <c r="G813" s="177">
        <f t="shared" si="82"/>
        <v>14225.660000000153</v>
      </c>
      <c r="H813" s="177">
        <f t="shared" si="83"/>
        <v>5671.7199999999148</v>
      </c>
      <c r="I813" s="177">
        <f t="shared" si="84"/>
        <v>15514.050000000154</v>
      </c>
      <c r="K813" s="151">
        <f>K812+'Basic Data'!$AC$13</f>
        <v>9729.6599999999617</v>
      </c>
      <c r="L813" s="151">
        <f>L812+'Basic Data'!$AD$13</f>
        <v>9729.6599999999617</v>
      </c>
      <c r="M813" s="151">
        <f>M812+'Basic Data'!$AE$13</f>
        <v>6053.1600000000635</v>
      </c>
      <c r="N813" s="151">
        <f>N812+'Basic Data'!$AF$13</f>
        <v>14276.090000000153</v>
      </c>
      <c r="O813" s="151">
        <f>O812+'Basic Data'!$AG$13</f>
        <v>5692.5799999999144</v>
      </c>
      <c r="P813" s="151">
        <f>P812+'Basic Data'!$AH$13</f>
        <v>15571.170000000155</v>
      </c>
    </row>
    <row r="814" spans="2:16">
      <c r="B814" s="156">
        <v>812</v>
      </c>
      <c r="C814" s="176">
        <v>812</v>
      </c>
      <c r="D814" s="177">
        <f t="shared" si="79"/>
        <v>9705.9799999999614</v>
      </c>
      <c r="E814" s="177">
        <f t="shared" si="80"/>
        <v>9707.2999999999611</v>
      </c>
      <c r="F814" s="177">
        <f t="shared" si="81"/>
        <v>6039.1600000000635</v>
      </c>
      <c r="G814" s="177">
        <f t="shared" si="82"/>
        <v>14243.090000000153</v>
      </c>
      <c r="H814" s="177">
        <f t="shared" si="83"/>
        <v>5678.6699999999146</v>
      </c>
      <c r="I814" s="177">
        <f t="shared" si="84"/>
        <v>15533.060000000154</v>
      </c>
      <c r="K814" s="151">
        <f>K813+'Basic Data'!$AC$13</f>
        <v>9741.5399999999609</v>
      </c>
      <c r="L814" s="151">
        <f>L813+'Basic Data'!$AD$13</f>
        <v>9741.5399999999609</v>
      </c>
      <c r="M814" s="151">
        <f>M813+'Basic Data'!$AE$13</f>
        <v>6060.5500000000638</v>
      </c>
      <c r="N814" s="151">
        <f>N813+'Basic Data'!$AF$13</f>
        <v>14293.520000000153</v>
      </c>
      <c r="O814" s="151">
        <f>O813+'Basic Data'!$AG$13</f>
        <v>5699.5299999999143</v>
      </c>
      <c r="P814" s="151">
        <f>P813+'Basic Data'!$AH$13</f>
        <v>15590.180000000155</v>
      </c>
    </row>
    <row r="815" spans="2:16">
      <c r="B815" s="156">
        <v>813</v>
      </c>
      <c r="C815" s="176">
        <v>813</v>
      </c>
      <c r="D815" s="177">
        <f t="shared" si="79"/>
        <v>9717.8599999999606</v>
      </c>
      <c r="E815" s="177">
        <f t="shared" si="80"/>
        <v>9719.1799999999603</v>
      </c>
      <c r="F815" s="177">
        <f t="shared" si="81"/>
        <v>6046.5500000000638</v>
      </c>
      <c r="G815" s="177">
        <f t="shared" si="82"/>
        <v>14260.520000000153</v>
      </c>
      <c r="H815" s="177">
        <f t="shared" si="83"/>
        <v>5685.6199999999144</v>
      </c>
      <c r="I815" s="177">
        <f t="shared" si="84"/>
        <v>15552.070000000154</v>
      </c>
      <c r="K815" s="151">
        <f>K814+'Basic Data'!$AC$13</f>
        <v>9753.4199999999601</v>
      </c>
      <c r="L815" s="151">
        <f>L814+'Basic Data'!$AD$13</f>
        <v>9753.4199999999601</v>
      </c>
      <c r="M815" s="151">
        <f>M814+'Basic Data'!$AE$13</f>
        <v>6067.9400000000642</v>
      </c>
      <c r="N815" s="151">
        <f>N814+'Basic Data'!$AF$13</f>
        <v>14310.950000000154</v>
      </c>
      <c r="O815" s="151">
        <f>O814+'Basic Data'!$AG$13</f>
        <v>5706.4799999999141</v>
      </c>
      <c r="P815" s="151">
        <f>P814+'Basic Data'!$AH$13</f>
        <v>15609.190000000155</v>
      </c>
    </row>
    <row r="816" spans="2:16">
      <c r="B816" s="156">
        <v>814</v>
      </c>
      <c r="C816" s="176">
        <v>814</v>
      </c>
      <c r="D816" s="177">
        <f t="shared" si="79"/>
        <v>9729.7399999999598</v>
      </c>
      <c r="E816" s="177">
        <f t="shared" si="80"/>
        <v>9731.0599999999595</v>
      </c>
      <c r="F816" s="177">
        <f t="shared" si="81"/>
        <v>6053.9400000000642</v>
      </c>
      <c r="G816" s="177">
        <f t="shared" si="82"/>
        <v>14277.950000000154</v>
      </c>
      <c r="H816" s="177">
        <f t="shared" si="83"/>
        <v>5692.5699999999142</v>
      </c>
      <c r="I816" s="177">
        <f t="shared" si="84"/>
        <v>15571.080000000155</v>
      </c>
      <c r="K816" s="151">
        <f>K815+'Basic Data'!$AC$13</f>
        <v>9765.2999999999593</v>
      </c>
      <c r="L816" s="151">
        <f>L815+'Basic Data'!$AD$13</f>
        <v>9765.2999999999593</v>
      </c>
      <c r="M816" s="151">
        <f>M815+'Basic Data'!$AE$13</f>
        <v>6075.3300000000645</v>
      </c>
      <c r="N816" s="151">
        <f>N815+'Basic Data'!$AF$13</f>
        <v>14328.380000000154</v>
      </c>
      <c r="O816" s="151">
        <f>O815+'Basic Data'!$AG$13</f>
        <v>5713.4299999999139</v>
      </c>
      <c r="P816" s="151">
        <f>P815+'Basic Data'!$AH$13</f>
        <v>15628.200000000155</v>
      </c>
    </row>
    <row r="817" spans="2:16">
      <c r="B817" s="156">
        <v>815</v>
      </c>
      <c r="C817" s="176">
        <v>815</v>
      </c>
      <c r="D817" s="177">
        <f t="shared" si="79"/>
        <v>9741.619999999959</v>
      </c>
      <c r="E817" s="177">
        <f t="shared" si="80"/>
        <v>9742.9399999999587</v>
      </c>
      <c r="F817" s="177">
        <f t="shared" si="81"/>
        <v>6061.3300000000645</v>
      </c>
      <c r="G817" s="177">
        <f t="shared" si="82"/>
        <v>14295.380000000154</v>
      </c>
      <c r="H817" s="177">
        <f t="shared" si="83"/>
        <v>5699.519999999914</v>
      </c>
      <c r="I817" s="177">
        <f t="shared" si="84"/>
        <v>15590.090000000155</v>
      </c>
      <c r="K817" s="151">
        <f>K816+'Basic Data'!$AC$13</f>
        <v>9777.1799999999585</v>
      </c>
      <c r="L817" s="151">
        <f>L816+'Basic Data'!$AD$13</f>
        <v>9777.1799999999585</v>
      </c>
      <c r="M817" s="151">
        <f>M816+'Basic Data'!$AE$13</f>
        <v>6082.7200000000648</v>
      </c>
      <c r="N817" s="151">
        <f>N816+'Basic Data'!$AF$13</f>
        <v>14345.810000000154</v>
      </c>
      <c r="O817" s="151">
        <f>O816+'Basic Data'!$AG$13</f>
        <v>5720.3799999999137</v>
      </c>
      <c r="P817" s="151">
        <f>P816+'Basic Data'!$AH$13</f>
        <v>15647.210000000156</v>
      </c>
    </row>
    <row r="818" spans="2:16">
      <c r="B818" s="156">
        <v>816</v>
      </c>
      <c r="C818" s="176">
        <v>816</v>
      </c>
      <c r="D818" s="177">
        <f t="shared" si="79"/>
        <v>9753.4999999999582</v>
      </c>
      <c r="E818" s="177">
        <f t="shared" si="80"/>
        <v>9754.8199999999579</v>
      </c>
      <c r="F818" s="177">
        <f t="shared" si="81"/>
        <v>6068.7200000000648</v>
      </c>
      <c r="G818" s="177">
        <f t="shared" si="82"/>
        <v>14312.810000000154</v>
      </c>
      <c r="H818" s="177">
        <f t="shared" si="83"/>
        <v>5706.4699999999139</v>
      </c>
      <c r="I818" s="177">
        <f t="shared" si="84"/>
        <v>15609.100000000155</v>
      </c>
      <c r="K818" s="151">
        <f>K817+'Basic Data'!$AC$13</f>
        <v>9789.0599999999577</v>
      </c>
      <c r="L818" s="151">
        <f>L817+'Basic Data'!$AD$13</f>
        <v>9789.0599999999577</v>
      </c>
      <c r="M818" s="151">
        <f>M817+'Basic Data'!$AE$13</f>
        <v>6090.1100000000652</v>
      </c>
      <c r="N818" s="151">
        <f>N817+'Basic Data'!$AF$13</f>
        <v>14363.240000000154</v>
      </c>
      <c r="O818" s="151">
        <f>O817+'Basic Data'!$AG$13</f>
        <v>5727.3299999999135</v>
      </c>
      <c r="P818" s="151">
        <f>P817+'Basic Data'!$AH$13</f>
        <v>15666.220000000156</v>
      </c>
    </row>
    <row r="819" spans="2:16">
      <c r="B819" s="156">
        <v>817</v>
      </c>
      <c r="C819" s="176">
        <v>817</v>
      </c>
      <c r="D819" s="177">
        <f t="shared" si="79"/>
        <v>9765.3799999999574</v>
      </c>
      <c r="E819" s="177">
        <f t="shared" si="80"/>
        <v>9766.6999999999571</v>
      </c>
      <c r="F819" s="177">
        <f t="shared" si="81"/>
        <v>6076.1100000000652</v>
      </c>
      <c r="G819" s="177">
        <f t="shared" si="82"/>
        <v>14330.240000000154</v>
      </c>
      <c r="H819" s="177">
        <f t="shared" si="83"/>
        <v>5713.4199999999137</v>
      </c>
      <c r="I819" s="177">
        <f t="shared" si="84"/>
        <v>15628.110000000155</v>
      </c>
      <c r="K819" s="151">
        <f>K818+'Basic Data'!$AC$13</f>
        <v>9800.9399999999569</v>
      </c>
      <c r="L819" s="151">
        <f>L818+'Basic Data'!$AD$13</f>
        <v>9800.9399999999569</v>
      </c>
      <c r="M819" s="151">
        <f>M818+'Basic Data'!$AE$13</f>
        <v>6097.5000000000655</v>
      </c>
      <c r="N819" s="151">
        <f>N818+'Basic Data'!$AF$13</f>
        <v>14380.670000000155</v>
      </c>
      <c r="O819" s="151">
        <f>O818+'Basic Data'!$AG$13</f>
        <v>5734.2799999999133</v>
      </c>
      <c r="P819" s="151">
        <f>P818+'Basic Data'!$AH$13</f>
        <v>15685.230000000156</v>
      </c>
    </row>
    <row r="820" spans="2:16">
      <c r="B820" s="156">
        <v>818</v>
      </c>
      <c r="C820" s="176">
        <v>818</v>
      </c>
      <c r="D820" s="177">
        <f t="shared" si="79"/>
        <v>9777.2599999999566</v>
      </c>
      <c r="E820" s="177">
        <f t="shared" si="80"/>
        <v>9778.5799999999563</v>
      </c>
      <c r="F820" s="177">
        <f t="shared" si="81"/>
        <v>6083.5000000000655</v>
      </c>
      <c r="G820" s="177">
        <f t="shared" si="82"/>
        <v>14347.670000000155</v>
      </c>
      <c r="H820" s="177">
        <f t="shared" si="83"/>
        <v>5720.3699999999135</v>
      </c>
      <c r="I820" s="177">
        <f t="shared" si="84"/>
        <v>15647.120000000155</v>
      </c>
      <c r="K820" s="151">
        <f>K819+'Basic Data'!$AC$13</f>
        <v>9812.8199999999561</v>
      </c>
      <c r="L820" s="151">
        <f>L819+'Basic Data'!$AD$13</f>
        <v>9812.8199999999561</v>
      </c>
      <c r="M820" s="151">
        <f>M819+'Basic Data'!$AE$13</f>
        <v>6104.8900000000658</v>
      </c>
      <c r="N820" s="151">
        <f>N819+'Basic Data'!$AF$13</f>
        <v>14398.100000000155</v>
      </c>
      <c r="O820" s="151">
        <f>O819+'Basic Data'!$AG$13</f>
        <v>5741.2299999999132</v>
      </c>
      <c r="P820" s="151">
        <f>P819+'Basic Data'!$AH$13</f>
        <v>15704.240000000156</v>
      </c>
    </row>
    <row r="821" spans="2:16">
      <c r="B821" s="156">
        <v>819</v>
      </c>
      <c r="C821" s="176">
        <v>819</v>
      </c>
      <c r="D821" s="177">
        <f t="shared" si="79"/>
        <v>9789.1399999999558</v>
      </c>
      <c r="E821" s="177">
        <f t="shared" si="80"/>
        <v>9790.4599999999555</v>
      </c>
      <c r="F821" s="177">
        <f t="shared" si="81"/>
        <v>6090.8900000000658</v>
      </c>
      <c r="G821" s="177">
        <f t="shared" si="82"/>
        <v>14365.100000000155</v>
      </c>
      <c r="H821" s="177">
        <f t="shared" si="83"/>
        <v>5727.3199999999133</v>
      </c>
      <c r="I821" s="177">
        <f t="shared" si="84"/>
        <v>15666.130000000156</v>
      </c>
      <c r="K821" s="151">
        <f>K820+'Basic Data'!$AC$13</f>
        <v>9824.6999999999553</v>
      </c>
      <c r="L821" s="151">
        <f>L820+'Basic Data'!$AD$13</f>
        <v>9824.6999999999553</v>
      </c>
      <c r="M821" s="151">
        <f>M820+'Basic Data'!$AE$13</f>
        <v>6112.2800000000661</v>
      </c>
      <c r="N821" s="151">
        <f>N820+'Basic Data'!$AF$13</f>
        <v>14415.530000000155</v>
      </c>
      <c r="O821" s="151">
        <f>O820+'Basic Data'!$AG$13</f>
        <v>5748.179999999913</v>
      </c>
      <c r="P821" s="151">
        <f>P820+'Basic Data'!$AH$13</f>
        <v>15723.250000000156</v>
      </c>
    </row>
    <row r="822" spans="2:16">
      <c r="B822" s="156">
        <v>820</v>
      </c>
      <c r="C822" s="176">
        <v>820</v>
      </c>
      <c r="D822" s="177">
        <f t="shared" si="79"/>
        <v>9801.019999999955</v>
      </c>
      <c r="E822" s="177">
        <f t="shared" si="80"/>
        <v>9802.3399999999547</v>
      </c>
      <c r="F822" s="177">
        <f t="shared" si="81"/>
        <v>6098.2800000000661</v>
      </c>
      <c r="G822" s="177">
        <f t="shared" si="82"/>
        <v>14382.530000000155</v>
      </c>
      <c r="H822" s="177">
        <f t="shared" si="83"/>
        <v>5734.2699999999131</v>
      </c>
      <c r="I822" s="177">
        <f t="shared" si="84"/>
        <v>15685.140000000156</v>
      </c>
      <c r="K822" s="151">
        <f>K821+'Basic Data'!$AC$13</f>
        <v>9836.5799999999545</v>
      </c>
      <c r="L822" s="151">
        <f>L821+'Basic Data'!$AD$13</f>
        <v>9836.5799999999545</v>
      </c>
      <c r="M822" s="151">
        <f>M821+'Basic Data'!$AE$13</f>
        <v>6119.6700000000665</v>
      </c>
      <c r="N822" s="151">
        <f>N821+'Basic Data'!$AF$13</f>
        <v>14432.960000000156</v>
      </c>
      <c r="O822" s="151">
        <f>O821+'Basic Data'!$AG$13</f>
        <v>5755.1299999999128</v>
      </c>
      <c r="P822" s="151">
        <f>P821+'Basic Data'!$AH$13</f>
        <v>15742.260000000157</v>
      </c>
    </row>
    <row r="823" spans="2:16">
      <c r="B823" s="156">
        <v>821</v>
      </c>
      <c r="C823" s="176">
        <v>821</v>
      </c>
      <c r="D823" s="177">
        <f t="shared" ref="D823:D852" si="85">K823-$K$3</f>
        <v>9812.8999999999542</v>
      </c>
      <c r="E823" s="177">
        <f t="shared" ref="E823:E852" si="86">L823-$L$3</f>
        <v>9814.2199999999539</v>
      </c>
      <c r="F823" s="177">
        <f t="shared" ref="F823:F852" si="87">M823-$M$3</f>
        <v>6105.6700000000665</v>
      </c>
      <c r="G823" s="177">
        <f t="shared" ref="G823:G852" si="88">N823-$N$3</f>
        <v>14399.960000000156</v>
      </c>
      <c r="H823" s="177">
        <f t="shared" ref="H823:H852" si="89">O823-$O$3</f>
        <v>5741.2199999999129</v>
      </c>
      <c r="I823" s="177">
        <f t="shared" ref="I823:I852" si="90">P823-$P$3</f>
        <v>15704.150000000156</v>
      </c>
      <c r="K823" s="151">
        <f>K822+'Basic Data'!$AC$13</f>
        <v>9848.4599999999537</v>
      </c>
      <c r="L823" s="151">
        <f>L822+'Basic Data'!$AD$13</f>
        <v>9848.4599999999537</v>
      </c>
      <c r="M823" s="151">
        <f>M822+'Basic Data'!$AE$13</f>
        <v>6127.0600000000668</v>
      </c>
      <c r="N823" s="151">
        <f>N822+'Basic Data'!$AF$13</f>
        <v>14450.390000000156</v>
      </c>
      <c r="O823" s="151">
        <f>O822+'Basic Data'!$AG$13</f>
        <v>5762.0799999999126</v>
      </c>
      <c r="P823" s="151">
        <f>P822+'Basic Data'!$AH$13</f>
        <v>15761.270000000157</v>
      </c>
    </row>
    <row r="824" spans="2:16">
      <c r="B824" s="156">
        <v>822</v>
      </c>
      <c r="C824" s="176">
        <v>822</v>
      </c>
      <c r="D824" s="177">
        <f t="shared" si="85"/>
        <v>9824.7799999999534</v>
      </c>
      <c r="E824" s="177">
        <f t="shared" si="86"/>
        <v>9826.0999999999531</v>
      </c>
      <c r="F824" s="177">
        <f t="shared" si="87"/>
        <v>6113.0600000000668</v>
      </c>
      <c r="G824" s="177">
        <f t="shared" si="88"/>
        <v>14417.390000000156</v>
      </c>
      <c r="H824" s="177">
        <f t="shared" si="89"/>
        <v>5748.1699999999128</v>
      </c>
      <c r="I824" s="177">
        <f t="shared" si="90"/>
        <v>15723.160000000156</v>
      </c>
      <c r="K824" s="151">
        <f>K823+'Basic Data'!$AC$13</f>
        <v>9860.3399999999529</v>
      </c>
      <c r="L824" s="151">
        <f>L823+'Basic Data'!$AD$13</f>
        <v>9860.3399999999529</v>
      </c>
      <c r="M824" s="151">
        <f>M823+'Basic Data'!$AE$13</f>
        <v>6134.4500000000671</v>
      </c>
      <c r="N824" s="151">
        <f>N823+'Basic Data'!$AF$13</f>
        <v>14467.820000000156</v>
      </c>
      <c r="O824" s="151">
        <f>O823+'Basic Data'!$AG$13</f>
        <v>5769.0299999999124</v>
      </c>
      <c r="P824" s="151">
        <f>P823+'Basic Data'!$AH$13</f>
        <v>15780.280000000157</v>
      </c>
    </row>
    <row r="825" spans="2:16">
      <c r="B825" s="156">
        <v>823</v>
      </c>
      <c r="C825" s="176">
        <v>823</v>
      </c>
      <c r="D825" s="177">
        <f t="shared" si="85"/>
        <v>9836.6599999999526</v>
      </c>
      <c r="E825" s="177">
        <f t="shared" si="86"/>
        <v>9837.9799999999523</v>
      </c>
      <c r="F825" s="177">
        <f t="shared" si="87"/>
        <v>6120.4500000000671</v>
      </c>
      <c r="G825" s="177">
        <f t="shared" si="88"/>
        <v>14434.820000000156</v>
      </c>
      <c r="H825" s="177">
        <f t="shared" si="89"/>
        <v>5755.1199999999126</v>
      </c>
      <c r="I825" s="177">
        <f t="shared" si="90"/>
        <v>15742.170000000157</v>
      </c>
      <c r="K825" s="151">
        <f>K824+'Basic Data'!$AC$13</f>
        <v>9872.2199999999521</v>
      </c>
      <c r="L825" s="151">
        <f>L824+'Basic Data'!$AD$13</f>
        <v>9872.2199999999521</v>
      </c>
      <c r="M825" s="151">
        <f>M824+'Basic Data'!$AE$13</f>
        <v>6141.8400000000674</v>
      </c>
      <c r="N825" s="151">
        <f>N824+'Basic Data'!$AF$13</f>
        <v>14485.250000000156</v>
      </c>
      <c r="O825" s="151">
        <f>O824+'Basic Data'!$AG$13</f>
        <v>5775.9799999999123</v>
      </c>
      <c r="P825" s="151">
        <f>P824+'Basic Data'!$AH$13</f>
        <v>15799.290000000157</v>
      </c>
    </row>
    <row r="826" spans="2:16">
      <c r="B826" s="156">
        <v>824</v>
      </c>
      <c r="C826" s="176">
        <v>824</v>
      </c>
      <c r="D826" s="177">
        <f t="shared" si="85"/>
        <v>9848.5399999999518</v>
      </c>
      <c r="E826" s="177">
        <f t="shared" si="86"/>
        <v>9849.8599999999515</v>
      </c>
      <c r="F826" s="177">
        <f t="shared" si="87"/>
        <v>6127.8400000000674</v>
      </c>
      <c r="G826" s="177">
        <f t="shared" si="88"/>
        <v>14452.250000000156</v>
      </c>
      <c r="H826" s="177">
        <f t="shared" si="89"/>
        <v>5762.0699999999124</v>
      </c>
      <c r="I826" s="177">
        <f t="shared" si="90"/>
        <v>15761.180000000157</v>
      </c>
      <c r="K826" s="151">
        <f>K825+'Basic Data'!$AC$13</f>
        <v>9884.0999999999513</v>
      </c>
      <c r="L826" s="151">
        <f>L825+'Basic Data'!$AD$13</f>
        <v>9884.0999999999513</v>
      </c>
      <c r="M826" s="151">
        <f>M825+'Basic Data'!$AE$13</f>
        <v>6149.2300000000678</v>
      </c>
      <c r="N826" s="151">
        <f>N825+'Basic Data'!$AF$13</f>
        <v>14502.680000000157</v>
      </c>
      <c r="O826" s="151">
        <f>O825+'Basic Data'!$AG$13</f>
        <v>5782.9299999999121</v>
      </c>
      <c r="P826" s="151">
        <f>P825+'Basic Data'!$AH$13</f>
        <v>15818.300000000158</v>
      </c>
    </row>
    <row r="827" spans="2:16">
      <c r="B827" s="156">
        <v>825</v>
      </c>
      <c r="C827" s="176">
        <v>825</v>
      </c>
      <c r="D827" s="177">
        <f t="shared" si="85"/>
        <v>9860.419999999951</v>
      </c>
      <c r="E827" s="177">
        <f t="shared" si="86"/>
        <v>9861.7399999999507</v>
      </c>
      <c r="F827" s="177">
        <f t="shared" si="87"/>
        <v>6135.2300000000678</v>
      </c>
      <c r="G827" s="177">
        <f t="shared" si="88"/>
        <v>14469.680000000157</v>
      </c>
      <c r="H827" s="177">
        <f t="shared" si="89"/>
        <v>5769.0199999999122</v>
      </c>
      <c r="I827" s="177">
        <f t="shared" si="90"/>
        <v>15780.190000000157</v>
      </c>
      <c r="K827" s="151">
        <f>K826+'Basic Data'!$AC$13</f>
        <v>9895.9799999999505</v>
      </c>
      <c r="L827" s="151">
        <f>L826+'Basic Data'!$AD$13</f>
        <v>9895.9799999999505</v>
      </c>
      <c r="M827" s="151">
        <f>M826+'Basic Data'!$AE$13</f>
        <v>6156.6200000000681</v>
      </c>
      <c r="N827" s="151">
        <f>N826+'Basic Data'!$AF$13</f>
        <v>14520.110000000157</v>
      </c>
      <c r="O827" s="151">
        <f>O826+'Basic Data'!$AG$13</f>
        <v>5789.8799999999119</v>
      </c>
      <c r="P827" s="151">
        <f>P826+'Basic Data'!$AH$13</f>
        <v>15837.310000000158</v>
      </c>
    </row>
    <row r="828" spans="2:16">
      <c r="B828" s="156">
        <v>826</v>
      </c>
      <c r="C828" s="176">
        <v>826</v>
      </c>
      <c r="D828" s="177">
        <f t="shared" si="85"/>
        <v>9872.2999999999502</v>
      </c>
      <c r="E828" s="177">
        <f t="shared" si="86"/>
        <v>9873.6199999999499</v>
      </c>
      <c r="F828" s="177">
        <f t="shared" si="87"/>
        <v>6142.6200000000681</v>
      </c>
      <c r="G828" s="177">
        <f t="shared" si="88"/>
        <v>14487.110000000157</v>
      </c>
      <c r="H828" s="177">
        <f t="shared" si="89"/>
        <v>5775.969999999912</v>
      </c>
      <c r="I828" s="177">
        <f t="shared" si="90"/>
        <v>15799.200000000157</v>
      </c>
      <c r="K828" s="151">
        <f>K827+'Basic Data'!$AC$13</f>
        <v>9907.8599999999497</v>
      </c>
      <c r="L828" s="151">
        <f>L827+'Basic Data'!$AD$13</f>
        <v>9907.8599999999497</v>
      </c>
      <c r="M828" s="151">
        <f>M827+'Basic Data'!$AE$13</f>
        <v>6164.0100000000684</v>
      </c>
      <c r="N828" s="151">
        <f>N827+'Basic Data'!$AF$13</f>
        <v>14537.540000000157</v>
      </c>
      <c r="O828" s="151">
        <f>O827+'Basic Data'!$AG$13</f>
        <v>5796.8299999999117</v>
      </c>
      <c r="P828" s="151">
        <f>P827+'Basic Data'!$AH$13</f>
        <v>15856.320000000158</v>
      </c>
    </row>
    <row r="829" spans="2:16">
      <c r="B829" s="156">
        <v>827</v>
      </c>
      <c r="C829" s="176">
        <v>827</v>
      </c>
      <c r="D829" s="177">
        <f t="shared" si="85"/>
        <v>9884.1799999999494</v>
      </c>
      <c r="E829" s="177">
        <f t="shared" si="86"/>
        <v>9885.4999999999491</v>
      </c>
      <c r="F829" s="177">
        <f t="shared" si="87"/>
        <v>6150.0100000000684</v>
      </c>
      <c r="G829" s="177">
        <f t="shared" si="88"/>
        <v>14504.540000000157</v>
      </c>
      <c r="H829" s="177">
        <f t="shared" si="89"/>
        <v>5782.9199999999119</v>
      </c>
      <c r="I829" s="177">
        <f t="shared" si="90"/>
        <v>15818.210000000157</v>
      </c>
      <c r="K829" s="151">
        <f>K828+'Basic Data'!$AC$13</f>
        <v>9919.7399999999489</v>
      </c>
      <c r="L829" s="151">
        <f>L828+'Basic Data'!$AD$13</f>
        <v>9919.7399999999489</v>
      </c>
      <c r="M829" s="151">
        <f>M828+'Basic Data'!$AE$13</f>
        <v>6171.4000000000688</v>
      </c>
      <c r="N829" s="151">
        <f>N828+'Basic Data'!$AF$13</f>
        <v>14554.970000000158</v>
      </c>
      <c r="O829" s="151">
        <f>O828+'Basic Data'!$AG$13</f>
        <v>5803.7799999999115</v>
      </c>
      <c r="P829" s="151">
        <f>P828+'Basic Data'!$AH$13</f>
        <v>15875.330000000158</v>
      </c>
    </row>
    <row r="830" spans="2:16">
      <c r="B830" s="156">
        <v>828</v>
      </c>
      <c r="C830" s="176">
        <v>828</v>
      </c>
      <c r="D830" s="177">
        <f t="shared" si="85"/>
        <v>9896.0599999999486</v>
      </c>
      <c r="E830" s="177">
        <f t="shared" si="86"/>
        <v>9897.3799999999483</v>
      </c>
      <c r="F830" s="177">
        <f t="shared" si="87"/>
        <v>6157.4000000000688</v>
      </c>
      <c r="G830" s="177">
        <f t="shared" si="88"/>
        <v>14521.970000000158</v>
      </c>
      <c r="H830" s="177">
        <f t="shared" si="89"/>
        <v>5789.8699999999117</v>
      </c>
      <c r="I830" s="177">
        <f t="shared" si="90"/>
        <v>15837.220000000158</v>
      </c>
      <c r="K830" s="151">
        <f>K829+'Basic Data'!$AC$13</f>
        <v>9931.619999999948</v>
      </c>
      <c r="L830" s="151">
        <f>L829+'Basic Data'!$AD$13</f>
        <v>9931.619999999948</v>
      </c>
      <c r="M830" s="151">
        <f>M829+'Basic Data'!$AE$13</f>
        <v>6178.7900000000691</v>
      </c>
      <c r="N830" s="151">
        <f>N829+'Basic Data'!$AF$13</f>
        <v>14572.400000000158</v>
      </c>
      <c r="O830" s="151">
        <f>O829+'Basic Data'!$AG$13</f>
        <v>5810.7299999999113</v>
      </c>
      <c r="P830" s="151">
        <f>P829+'Basic Data'!$AH$13</f>
        <v>15894.340000000158</v>
      </c>
    </row>
    <row r="831" spans="2:16">
      <c r="B831" s="156">
        <v>829</v>
      </c>
      <c r="C831" s="176">
        <v>829</v>
      </c>
      <c r="D831" s="177">
        <f t="shared" si="85"/>
        <v>9907.9399999999478</v>
      </c>
      <c r="E831" s="177">
        <f t="shared" si="86"/>
        <v>9909.2599999999475</v>
      </c>
      <c r="F831" s="177">
        <f t="shared" si="87"/>
        <v>6164.7900000000691</v>
      </c>
      <c r="G831" s="177">
        <f t="shared" si="88"/>
        <v>14539.400000000158</v>
      </c>
      <c r="H831" s="177">
        <f t="shared" si="89"/>
        <v>5796.8199999999115</v>
      </c>
      <c r="I831" s="177">
        <f t="shared" si="90"/>
        <v>15856.230000000158</v>
      </c>
      <c r="K831" s="151">
        <f>K830+'Basic Data'!$AC$13</f>
        <v>9943.4999999999472</v>
      </c>
      <c r="L831" s="151">
        <f>L830+'Basic Data'!$AD$13</f>
        <v>9943.4999999999472</v>
      </c>
      <c r="M831" s="151">
        <f>M830+'Basic Data'!$AE$13</f>
        <v>6186.1800000000694</v>
      </c>
      <c r="N831" s="151">
        <f>N830+'Basic Data'!$AF$13</f>
        <v>14589.830000000158</v>
      </c>
      <c r="O831" s="151">
        <f>O830+'Basic Data'!$AG$13</f>
        <v>5817.6799999999112</v>
      </c>
      <c r="P831" s="151">
        <f>P830+'Basic Data'!$AH$13</f>
        <v>15913.350000000159</v>
      </c>
    </row>
    <row r="832" spans="2:16">
      <c r="B832" s="156">
        <v>830</v>
      </c>
      <c r="C832" s="176">
        <v>830</v>
      </c>
      <c r="D832" s="177">
        <f t="shared" si="85"/>
        <v>9919.819999999947</v>
      </c>
      <c r="E832" s="177">
        <f t="shared" si="86"/>
        <v>9921.1399999999467</v>
      </c>
      <c r="F832" s="177">
        <f t="shared" si="87"/>
        <v>6172.1800000000694</v>
      </c>
      <c r="G832" s="177">
        <f t="shared" si="88"/>
        <v>14556.830000000158</v>
      </c>
      <c r="H832" s="177">
        <f t="shared" si="89"/>
        <v>5803.7699999999113</v>
      </c>
      <c r="I832" s="177">
        <f t="shared" si="90"/>
        <v>15875.240000000158</v>
      </c>
      <c r="K832" s="151">
        <f>K831+'Basic Data'!$AC$13</f>
        <v>9955.3799999999464</v>
      </c>
      <c r="L832" s="151">
        <f>L831+'Basic Data'!$AD$13</f>
        <v>9955.3799999999464</v>
      </c>
      <c r="M832" s="151">
        <f>M831+'Basic Data'!$AE$13</f>
        <v>6193.5700000000697</v>
      </c>
      <c r="N832" s="151">
        <f>N831+'Basic Data'!$AF$13</f>
        <v>14607.260000000158</v>
      </c>
      <c r="O832" s="151">
        <f>O831+'Basic Data'!$AG$13</f>
        <v>5824.629999999911</v>
      </c>
      <c r="P832" s="151">
        <f>P831+'Basic Data'!$AH$13</f>
        <v>15932.360000000159</v>
      </c>
    </row>
    <row r="833" spans="2:16">
      <c r="B833" s="156">
        <v>831</v>
      </c>
      <c r="C833" s="176">
        <v>831</v>
      </c>
      <c r="D833" s="177">
        <f t="shared" si="85"/>
        <v>9931.6999999999462</v>
      </c>
      <c r="E833" s="177">
        <f t="shared" si="86"/>
        <v>9933.0199999999459</v>
      </c>
      <c r="F833" s="177">
        <f t="shared" si="87"/>
        <v>6179.5700000000697</v>
      </c>
      <c r="G833" s="177">
        <f t="shared" si="88"/>
        <v>14574.260000000158</v>
      </c>
      <c r="H833" s="177">
        <f t="shared" si="89"/>
        <v>5810.7199999999111</v>
      </c>
      <c r="I833" s="177">
        <f t="shared" si="90"/>
        <v>15894.250000000158</v>
      </c>
      <c r="K833" s="151">
        <f>K832+'Basic Data'!$AC$13</f>
        <v>9967.2599999999456</v>
      </c>
      <c r="L833" s="151">
        <f>L832+'Basic Data'!$AD$13</f>
        <v>9967.2599999999456</v>
      </c>
      <c r="M833" s="151">
        <f>M832+'Basic Data'!$AE$13</f>
        <v>6200.9600000000701</v>
      </c>
      <c r="N833" s="151">
        <f>N832+'Basic Data'!$AF$13</f>
        <v>14624.690000000159</v>
      </c>
      <c r="O833" s="151">
        <f>O832+'Basic Data'!$AG$13</f>
        <v>5831.5799999999108</v>
      </c>
      <c r="P833" s="151">
        <f>P832+'Basic Data'!$AH$13</f>
        <v>15951.370000000159</v>
      </c>
    </row>
    <row r="834" spans="2:16">
      <c r="B834" s="156">
        <v>832</v>
      </c>
      <c r="C834" s="176">
        <v>832</v>
      </c>
      <c r="D834" s="177">
        <f t="shared" si="85"/>
        <v>9943.5799999999454</v>
      </c>
      <c r="E834" s="177">
        <f t="shared" si="86"/>
        <v>9944.8999999999451</v>
      </c>
      <c r="F834" s="177">
        <f t="shared" si="87"/>
        <v>6186.9600000000701</v>
      </c>
      <c r="G834" s="177">
        <f t="shared" si="88"/>
        <v>14591.690000000159</v>
      </c>
      <c r="H834" s="177">
        <f t="shared" si="89"/>
        <v>5817.6699999999109</v>
      </c>
      <c r="I834" s="177">
        <f t="shared" si="90"/>
        <v>15913.260000000158</v>
      </c>
      <c r="K834" s="151">
        <f>K833+'Basic Data'!$AC$13</f>
        <v>9979.1399999999448</v>
      </c>
      <c r="L834" s="151">
        <f>L833+'Basic Data'!$AD$13</f>
        <v>9979.1399999999448</v>
      </c>
      <c r="M834" s="151">
        <f>M833+'Basic Data'!$AE$13</f>
        <v>6208.3500000000704</v>
      </c>
      <c r="N834" s="151">
        <f>N833+'Basic Data'!$AF$13</f>
        <v>14642.120000000159</v>
      </c>
      <c r="O834" s="151">
        <f>O833+'Basic Data'!$AG$13</f>
        <v>5838.5299999999106</v>
      </c>
      <c r="P834" s="151">
        <f>P833+'Basic Data'!$AH$13</f>
        <v>15970.380000000159</v>
      </c>
    </row>
    <row r="835" spans="2:16">
      <c r="B835" s="156">
        <v>833</v>
      </c>
      <c r="C835" s="176">
        <v>833</v>
      </c>
      <c r="D835" s="177">
        <f t="shared" si="85"/>
        <v>9955.4599999999446</v>
      </c>
      <c r="E835" s="177">
        <f t="shared" si="86"/>
        <v>9956.7799999999443</v>
      </c>
      <c r="F835" s="177">
        <f t="shared" si="87"/>
        <v>6194.3500000000704</v>
      </c>
      <c r="G835" s="177">
        <f t="shared" si="88"/>
        <v>14609.120000000159</v>
      </c>
      <c r="H835" s="177">
        <f t="shared" si="89"/>
        <v>5824.6199999999108</v>
      </c>
      <c r="I835" s="177">
        <f t="shared" si="90"/>
        <v>15932.270000000159</v>
      </c>
      <c r="K835" s="151">
        <f>K834+'Basic Data'!$AC$13</f>
        <v>9991.019999999944</v>
      </c>
      <c r="L835" s="151">
        <f>L834+'Basic Data'!$AD$13</f>
        <v>9991.019999999944</v>
      </c>
      <c r="M835" s="151">
        <f>M834+'Basic Data'!$AE$13</f>
        <v>6215.7400000000707</v>
      </c>
      <c r="N835" s="151">
        <f>N834+'Basic Data'!$AF$13</f>
        <v>14659.550000000159</v>
      </c>
      <c r="O835" s="151">
        <f>O834+'Basic Data'!$AG$13</f>
        <v>5845.4799999999104</v>
      </c>
      <c r="P835" s="151">
        <f>P834+'Basic Data'!$AH$13</f>
        <v>15989.390000000159</v>
      </c>
    </row>
    <row r="836" spans="2:16">
      <c r="B836" s="156">
        <v>834</v>
      </c>
      <c r="C836" s="176">
        <v>834</v>
      </c>
      <c r="D836" s="177">
        <f t="shared" si="85"/>
        <v>9967.3399999999438</v>
      </c>
      <c r="E836" s="177">
        <f t="shared" si="86"/>
        <v>9968.6599999999435</v>
      </c>
      <c r="F836" s="177">
        <f t="shared" si="87"/>
        <v>6201.7400000000707</v>
      </c>
      <c r="G836" s="177">
        <f t="shared" si="88"/>
        <v>14626.550000000159</v>
      </c>
      <c r="H836" s="177">
        <f t="shared" si="89"/>
        <v>5831.5699999999106</v>
      </c>
      <c r="I836" s="177">
        <f t="shared" si="90"/>
        <v>15951.280000000159</v>
      </c>
      <c r="K836" s="151">
        <f>K835+'Basic Data'!$AC$13</f>
        <v>10002.899999999943</v>
      </c>
      <c r="L836" s="151">
        <f>L835+'Basic Data'!$AD$13</f>
        <v>10002.899999999943</v>
      </c>
      <c r="M836" s="151">
        <f>M835+'Basic Data'!$AE$13</f>
        <v>6223.130000000071</v>
      </c>
      <c r="N836" s="151">
        <f>N835+'Basic Data'!$AF$13</f>
        <v>14676.98000000016</v>
      </c>
      <c r="O836" s="151">
        <f>O835+'Basic Data'!$AG$13</f>
        <v>5852.4299999999103</v>
      </c>
      <c r="P836" s="151">
        <f>P835+'Basic Data'!$AH$13</f>
        <v>16008.40000000016</v>
      </c>
    </row>
    <row r="837" spans="2:16">
      <c r="B837" s="156">
        <v>835</v>
      </c>
      <c r="C837" s="176">
        <v>835</v>
      </c>
      <c r="D837" s="177">
        <f t="shared" si="85"/>
        <v>9979.219999999943</v>
      </c>
      <c r="E837" s="177">
        <f t="shared" si="86"/>
        <v>9980.5399999999427</v>
      </c>
      <c r="F837" s="177">
        <f t="shared" si="87"/>
        <v>6209.130000000071</v>
      </c>
      <c r="G837" s="177">
        <f t="shared" si="88"/>
        <v>14643.98000000016</v>
      </c>
      <c r="H837" s="177">
        <f t="shared" si="89"/>
        <v>5838.5199999999104</v>
      </c>
      <c r="I837" s="177">
        <f t="shared" si="90"/>
        <v>15970.290000000159</v>
      </c>
      <c r="K837" s="151">
        <f>K836+'Basic Data'!$AC$13</f>
        <v>10014.779999999942</v>
      </c>
      <c r="L837" s="151">
        <f>L836+'Basic Data'!$AD$13</f>
        <v>10014.779999999942</v>
      </c>
      <c r="M837" s="151">
        <f>M836+'Basic Data'!$AE$13</f>
        <v>6230.5200000000714</v>
      </c>
      <c r="N837" s="151">
        <f>N836+'Basic Data'!$AF$13</f>
        <v>14694.41000000016</v>
      </c>
      <c r="O837" s="151">
        <f>O836+'Basic Data'!$AG$13</f>
        <v>5859.3799999999101</v>
      </c>
      <c r="P837" s="151">
        <f>P836+'Basic Data'!$AH$13</f>
        <v>16027.41000000016</v>
      </c>
    </row>
    <row r="838" spans="2:16">
      <c r="B838" s="156">
        <v>836</v>
      </c>
      <c r="C838" s="176">
        <v>836</v>
      </c>
      <c r="D838" s="177">
        <f t="shared" si="85"/>
        <v>9991.0999999999422</v>
      </c>
      <c r="E838" s="177">
        <f t="shared" si="86"/>
        <v>9992.4199999999419</v>
      </c>
      <c r="F838" s="177">
        <f t="shared" si="87"/>
        <v>6216.5200000000714</v>
      </c>
      <c r="G838" s="177">
        <f t="shared" si="88"/>
        <v>14661.41000000016</v>
      </c>
      <c r="H838" s="177">
        <f t="shared" si="89"/>
        <v>5845.4699999999102</v>
      </c>
      <c r="I838" s="177">
        <f t="shared" si="90"/>
        <v>15989.300000000159</v>
      </c>
      <c r="K838" s="151">
        <f>K837+'Basic Data'!$AC$13</f>
        <v>10026.659999999942</v>
      </c>
      <c r="L838" s="151">
        <f>L837+'Basic Data'!$AD$13</f>
        <v>10026.659999999942</v>
      </c>
      <c r="M838" s="151">
        <f>M837+'Basic Data'!$AE$13</f>
        <v>6237.9100000000717</v>
      </c>
      <c r="N838" s="151">
        <f>N837+'Basic Data'!$AF$13</f>
        <v>14711.84000000016</v>
      </c>
      <c r="O838" s="151">
        <f>O837+'Basic Data'!$AG$13</f>
        <v>5866.3299999999099</v>
      </c>
      <c r="P838" s="151">
        <f>P837+'Basic Data'!$AH$13</f>
        <v>16046.42000000016</v>
      </c>
    </row>
    <row r="839" spans="2:16">
      <c r="B839" s="156">
        <v>837</v>
      </c>
      <c r="C839" s="176">
        <v>837</v>
      </c>
      <c r="D839" s="177">
        <f t="shared" si="85"/>
        <v>10002.979999999941</v>
      </c>
      <c r="E839" s="177">
        <f t="shared" si="86"/>
        <v>10004.299999999941</v>
      </c>
      <c r="F839" s="177">
        <f t="shared" si="87"/>
        <v>6223.9100000000717</v>
      </c>
      <c r="G839" s="177">
        <f t="shared" si="88"/>
        <v>14678.84000000016</v>
      </c>
      <c r="H839" s="177">
        <f t="shared" si="89"/>
        <v>5852.41999999991</v>
      </c>
      <c r="I839" s="177">
        <f t="shared" si="90"/>
        <v>16008.31000000016</v>
      </c>
      <c r="K839" s="151">
        <f>K838+'Basic Data'!$AC$13</f>
        <v>10038.539999999941</v>
      </c>
      <c r="L839" s="151">
        <f>L838+'Basic Data'!$AD$13</f>
        <v>10038.539999999941</v>
      </c>
      <c r="M839" s="151">
        <f>M838+'Basic Data'!$AE$13</f>
        <v>6245.300000000072</v>
      </c>
      <c r="N839" s="151">
        <f>N838+'Basic Data'!$AF$13</f>
        <v>14729.270000000161</v>
      </c>
      <c r="O839" s="151">
        <f>O838+'Basic Data'!$AG$13</f>
        <v>5873.2799999999097</v>
      </c>
      <c r="P839" s="151">
        <f>P838+'Basic Data'!$AH$13</f>
        <v>16065.43000000016</v>
      </c>
    </row>
    <row r="840" spans="2:16">
      <c r="B840" s="156">
        <v>838</v>
      </c>
      <c r="C840" s="176">
        <v>838</v>
      </c>
      <c r="D840" s="177">
        <f t="shared" si="85"/>
        <v>10014.859999999941</v>
      </c>
      <c r="E840" s="177">
        <f t="shared" si="86"/>
        <v>10016.17999999994</v>
      </c>
      <c r="F840" s="177">
        <f t="shared" si="87"/>
        <v>6231.300000000072</v>
      </c>
      <c r="G840" s="177">
        <f t="shared" si="88"/>
        <v>14696.270000000161</v>
      </c>
      <c r="H840" s="177">
        <f t="shared" si="89"/>
        <v>5859.3699999999099</v>
      </c>
      <c r="I840" s="177">
        <f t="shared" si="90"/>
        <v>16027.32000000016</v>
      </c>
      <c r="K840" s="151">
        <f>K839+'Basic Data'!$AC$13</f>
        <v>10050.41999999994</v>
      </c>
      <c r="L840" s="151">
        <f>L839+'Basic Data'!$AD$13</f>
        <v>10050.41999999994</v>
      </c>
      <c r="M840" s="151">
        <f>M839+'Basic Data'!$AE$13</f>
        <v>6252.6900000000724</v>
      </c>
      <c r="N840" s="151">
        <f>N839+'Basic Data'!$AF$13</f>
        <v>14746.700000000161</v>
      </c>
      <c r="O840" s="151">
        <f>O839+'Basic Data'!$AG$13</f>
        <v>5880.2299999999095</v>
      </c>
      <c r="P840" s="151">
        <f>P839+'Basic Data'!$AH$13</f>
        <v>16084.440000000161</v>
      </c>
    </row>
    <row r="841" spans="2:16">
      <c r="B841" s="156">
        <v>839</v>
      </c>
      <c r="C841" s="176">
        <v>839</v>
      </c>
      <c r="D841" s="177">
        <f t="shared" si="85"/>
        <v>10026.73999999994</v>
      </c>
      <c r="E841" s="177">
        <f t="shared" si="86"/>
        <v>10028.059999999939</v>
      </c>
      <c r="F841" s="177">
        <f t="shared" si="87"/>
        <v>6238.6900000000724</v>
      </c>
      <c r="G841" s="177">
        <f t="shared" si="88"/>
        <v>14713.700000000161</v>
      </c>
      <c r="H841" s="177">
        <f t="shared" si="89"/>
        <v>5866.3199999999097</v>
      </c>
      <c r="I841" s="177">
        <f t="shared" si="90"/>
        <v>16046.33000000016</v>
      </c>
      <c r="K841" s="151">
        <f>K840+'Basic Data'!$AC$13</f>
        <v>10062.299999999939</v>
      </c>
      <c r="L841" s="151">
        <f>L840+'Basic Data'!$AD$13</f>
        <v>10062.299999999939</v>
      </c>
      <c r="M841" s="151">
        <f>M840+'Basic Data'!$AE$13</f>
        <v>6260.0800000000727</v>
      </c>
      <c r="N841" s="151">
        <f>N840+'Basic Data'!$AF$13</f>
        <v>14764.130000000161</v>
      </c>
      <c r="O841" s="151">
        <f>O840+'Basic Data'!$AG$13</f>
        <v>5887.1799999999093</v>
      </c>
      <c r="P841" s="151">
        <f>P840+'Basic Data'!$AH$13</f>
        <v>16103.450000000161</v>
      </c>
    </row>
    <row r="842" spans="2:16">
      <c r="B842" s="156">
        <v>840</v>
      </c>
      <c r="C842" s="176">
        <v>840</v>
      </c>
      <c r="D842" s="177">
        <f t="shared" si="85"/>
        <v>10038.619999999939</v>
      </c>
      <c r="E842" s="177">
        <f t="shared" si="86"/>
        <v>10039.939999999939</v>
      </c>
      <c r="F842" s="177">
        <f t="shared" si="87"/>
        <v>6246.0800000000727</v>
      </c>
      <c r="G842" s="177">
        <f t="shared" si="88"/>
        <v>14731.130000000161</v>
      </c>
      <c r="H842" s="177">
        <f t="shared" si="89"/>
        <v>5873.2699999999095</v>
      </c>
      <c r="I842" s="177">
        <f t="shared" si="90"/>
        <v>16065.34000000016</v>
      </c>
      <c r="K842" s="151">
        <f>K841+'Basic Data'!$AC$13</f>
        <v>10074.179999999938</v>
      </c>
      <c r="L842" s="151">
        <f>L841+'Basic Data'!$AD$13</f>
        <v>10074.179999999938</v>
      </c>
      <c r="M842" s="151">
        <f>M841+'Basic Data'!$AE$13</f>
        <v>6267.470000000073</v>
      </c>
      <c r="N842" s="151">
        <f>N841+'Basic Data'!$AF$13</f>
        <v>14781.560000000161</v>
      </c>
      <c r="O842" s="151">
        <f>O841+'Basic Data'!$AG$13</f>
        <v>5894.1299999999092</v>
      </c>
      <c r="P842" s="151">
        <f>P841+'Basic Data'!$AH$13</f>
        <v>16122.460000000161</v>
      </c>
    </row>
    <row r="843" spans="2:16">
      <c r="B843" s="156">
        <v>841</v>
      </c>
      <c r="C843" s="176">
        <v>841</v>
      </c>
      <c r="D843" s="177">
        <f t="shared" si="85"/>
        <v>10050.499999999938</v>
      </c>
      <c r="E843" s="177">
        <f t="shared" si="86"/>
        <v>10051.819999999938</v>
      </c>
      <c r="F843" s="177">
        <f t="shared" si="87"/>
        <v>6253.470000000073</v>
      </c>
      <c r="G843" s="177">
        <f t="shared" si="88"/>
        <v>14748.560000000161</v>
      </c>
      <c r="H843" s="177">
        <f t="shared" si="89"/>
        <v>5880.2199999999093</v>
      </c>
      <c r="I843" s="177">
        <f t="shared" si="90"/>
        <v>16084.35000000016</v>
      </c>
      <c r="K843" s="151">
        <f>K842+'Basic Data'!$AC$13</f>
        <v>10086.059999999938</v>
      </c>
      <c r="L843" s="151">
        <f>L842+'Basic Data'!$AD$13</f>
        <v>10086.059999999938</v>
      </c>
      <c r="M843" s="151">
        <f>M842+'Basic Data'!$AE$13</f>
        <v>6274.8600000000733</v>
      </c>
      <c r="N843" s="151">
        <f>N842+'Basic Data'!$AF$13</f>
        <v>14798.990000000162</v>
      </c>
      <c r="O843" s="151">
        <f>O842+'Basic Data'!$AG$13</f>
        <v>5901.079999999909</v>
      </c>
      <c r="P843" s="151">
        <f>P842+'Basic Data'!$AH$13</f>
        <v>16141.470000000161</v>
      </c>
    </row>
    <row r="844" spans="2:16">
      <c r="B844" s="156">
        <v>842</v>
      </c>
      <c r="C844" s="176">
        <v>842</v>
      </c>
      <c r="D844" s="177">
        <f t="shared" si="85"/>
        <v>10062.379999999937</v>
      </c>
      <c r="E844" s="177">
        <f t="shared" si="86"/>
        <v>10063.699999999937</v>
      </c>
      <c r="F844" s="177">
        <f t="shared" si="87"/>
        <v>6260.8600000000733</v>
      </c>
      <c r="G844" s="177">
        <f t="shared" si="88"/>
        <v>14765.990000000162</v>
      </c>
      <c r="H844" s="177">
        <f t="shared" si="89"/>
        <v>5887.1699999999091</v>
      </c>
      <c r="I844" s="177">
        <f t="shared" si="90"/>
        <v>16103.360000000161</v>
      </c>
      <c r="K844" s="151">
        <f>K843+'Basic Data'!$AC$13</f>
        <v>10097.939999999937</v>
      </c>
      <c r="L844" s="151">
        <f>L843+'Basic Data'!$AD$13</f>
        <v>10097.939999999937</v>
      </c>
      <c r="M844" s="151">
        <f>M843+'Basic Data'!$AE$13</f>
        <v>6282.2500000000737</v>
      </c>
      <c r="N844" s="151">
        <f>N843+'Basic Data'!$AF$13</f>
        <v>14816.420000000162</v>
      </c>
      <c r="O844" s="151">
        <f>O843+'Basic Data'!$AG$13</f>
        <v>5908.0299999999088</v>
      </c>
      <c r="P844" s="151">
        <f>P843+'Basic Data'!$AH$13</f>
        <v>16160.480000000161</v>
      </c>
    </row>
    <row r="845" spans="2:16">
      <c r="B845" s="156">
        <v>843</v>
      </c>
      <c r="C845" s="176">
        <v>843</v>
      </c>
      <c r="D845" s="177">
        <f t="shared" si="85"/>
        <v>10074.259999999937</v>
      </c>
      <c r="E845" s="177">
        <f t="shared" si="86"/>
        <v>10075.579999999936</v>
      </c>
      <c r="F845" s="177">
        <f t="shared" si="87"/>
        <v>6268.2500000000737</v>
      </c>
      <c r="G845" s="177">
        <f t="shared" si="88"/>
        <v>14783.420000000162</v>
      </c>
      <c r="H845" s="177">
        <f t="shared" si="89"/>
        <v>5894.1199999999089</v>
      </c>
      <c r="I845" s="177">
        <f t="shared" si="90"/>
        <v>16122.370000000161</v>
      </c>
      <c r="K845" s="151">
        <f>K844+'Basic Data'!$AC$13</f>
        <v>10109.819999999936</v>
      </c>
      <c r="L845" s="151">
        <f>L844+'Basic Data'!$AD$13</f>
        <v>10109.819999999936</v>
      </c>
      <c r="M845" s="151">
        <f>M844+'Basic Data'!$AE$13</f>
        <v>6289.640000000074</v>
      </c>
      <c r="N845" s="151">
        <f>N844+'Basic Data'!$AF$13</f>
        <v>14833.850000000162</v>
      </c>
      <c r="O845" s="151">
        <f>O844+'Basic Data'!$AG$13</f>
        <v>5914.9799999999086</v>
      </c>
      <c r="P845" s="151">
        <f>P844+'Basic Data'!$AH$13</f>
        <v>16179.490000000162</v>
      </c>
    </row>
    <row r="846" spans="2:16">
      <c r="B846" s="156">
        <v>844</v>
      </c>
      <c r="C846" s="176">
        <v>844</v>
      </c>
      <c r="D846" s="177">
        <f t="shared" si="85"/>
        <v>10086.139999999936</v>
      </c>
      <c r="E846" s="177">
        <f t="shared" si="86"/>
        <v>10087.459999999935</v>
      </c>
      <c r="F846" s="177">
        <f t="shared" si="87"/>
        <v>6275.640000000074</v>
      </c>
      <c r="G846" s="177">
        <f t="shared" si="88"/>
        <v>14800.850000000162</v>
      </c>
      <c r="H846" s="177">
        <f t="shared" si="89"/>
        <v>5901.0699999999088</v>
      </c>
      <c r="I846" s="177">
        <f t="shared" si="90"/>
        <v>16141.380000000161</v>
      </c>
      <c r="K846" s="151">
        <f>K845+'Basic Data'!$AC$13</f>
        <v>10121.699999999935</v>
      </c>
      <c r="L846" s="151">
        <f>L845+'Basic Data'!$AD$13</f>
        <v>10121.699999999935</v>
      </c>
      <c r="M846" s="151">
        <f>M845+'Basic Data'!$AE$13</f>
        <v>6297.0300000000743</v>
      </c>
      <c r="N846" s="151">
        <f>N845+'Basic Data'!$AF$13</f>
        <v>14851.280000000163</v>
      </c>
      <c r="O846" s="151">
        <f>O845+'Basic Data'!$AG$13</f>
        <v>5921.9299999999084</v>
      </c>
      <c r="P846" s="151">
        <f>P845+'Basic Data'!$AH$13</f>
        <v>16198.500000000162</v>
      </c>
    </row>
    <row r="847" spans="2:16">
      <c r="B847" s="156">
        <v>845</v>
      </c>
      <c r="C847" s="176">
        <v>845</v>
      </c>
      <c r="D847" s="177">
        <f t="shared" si="85"/>
        <v>10098.019999999935</v>
      </c>
      <c r="E847" s="177">
        <f t="shared" si="86"/>
        <v>10099.339999999935</v>
      </c>
      <c r="F847" s="177">
        <f t="shared" si="87"/>
        <v>6283.0300000000743</v>
      </c>
      <c r="G847" s="177">
        <f t="shared" si="88"/>
        <v>14818.280000000163</v>
      </c>
      <c r="H847" s="177">
        <f t="shared" si="89"/>
        <v>5908.0199999999086</v>
      </c>
      <c r="I847" s="177">
        <f t="shared" si="90"/>
        <v>16160.390000000161</v>
      </c>
      <c r="K847" s="151">
        <f>K846+'Basic Data'!$AC$13</f>
        <v>10133.579999999934</v>
      </c>
      <c r="L847" s="151">
        <f>L846+'Basic Data'!$AD$13</f>
        <v>10133.579999999934</v>
      </c>
      <c r="M847" s="151">
        <f>M846+'Basic Data'!$AE$13</f>
        <v>6304.4200000000747</v>
      </c>
      <c r="N847" s="151">
        <f>N846+'Basic Data'!$AF$13</f>
        <v>14868.710000000163</v>
      </c>
      <c r="O847" s="151">
        <f>O846+'Basic Data'!$AG$13</f>
        <v>5928.8799999999083</v>
      </c>
      <c r="P847" s="151">
        <f>P846+'Basic Data'!$AH$13</f>
        <v>16217.510000000162</v>
      </c>
    </row>
    <row r="848" spans="2:16">
      <c r="B848" s="156">
        <v>846</v>
      </c>
      <c r="C848" s="176">
        <v>846</v>
      </c>
      <c r="D848" s="177">
        <f t="shared" si="85"/>
        <v>10109.899999999934</v>
      </c>
      <c r="E848" s="177">
        <f t="shared" si="86"/>
        <v>10111.219999999934</v>
      </c>
      <c r="F848" s="177">
        <f t="shared" si="87"/>
        <v>6290.4200000000747</v>
      </c>
      <c r="G848" s="177">
        <f t="shared" si="88"/>
        <v>14835.710000000163</v>
      </c>
      <c r="H848" s="177">
        <f t="shared" si="89"/>
        <v>5914.9699999999084</v>
      </c>
      <c r="I848" s="177">
        <f t="shared" si="90"/>
        <v>16179.400000000162</v>
      </c>
      <c r="K848" s="151">
        <f>K847+'Basic Data'!$AC$13</f>
        <v>10145.459999999934</v>
      </c>
      <c r="L848" s="151">
        <f>L847+'Basic Data'!$AD$13</f>
        <v>10145.459999999934</v>
      </c>
      <c r="M848" s="151">
        <f>M847+'Basic Data'!$AE$13</f>
        <v>6311.810000000075</v>
      </c>
      <c r="N848" s="151">
        <f>N847+'Basic Data'!$AF$13</f>
        <v>14886.140000000163</v>
      </c>
      <c r="O848" s="151">
        <f>O847+'Basic Data'!$AG$13</f>
        <v>5935.8299999999081</v>
      </c>
      <c r="P848" s="151">
        <f>P847+'Basic Data'!$AH$13</f>
        <v>16236.520000000162</v>
      </c>
    </row>
    <row r="849" spans="2:16">
      <c r="B849" s="156">
        <v>847</v>
      </c>
      <c r="C849" s="176">
        <v>847</v>
      </c>
      <c r="D849" s="177">
        <f t="shared" si="85"/>
        <v>10121.779999999933</v>
      </c>
      <c r="E849" s="177">
        <f t="shared" si="86"/>
        <v>10123.099999999933</v>
      </c>
      <c r="F849" s="177">
        <f t="shared" si="87"/>
        <v>6297.810000000075</v>
      </c>
      <c r="G849" s="177">
        <f t="shared" si="88"/>
        <v>14853.140000000163</v>
      </c>
      <c r="H849" s="177">
        <f t="shared" si="89"/>
        <v>5921.9199999999082</v>
      </c>
      <c r="I849" s="177">
        <f t="shared" si="90"/>
        <v>16198.410000000162</v>
      </c>
      <c r="K849" s="151">
        <f>K848+'Basic Data'!$AC$13</f>
        <v>10157.339999999933</v>
      </c>
      <c r="L849" s="151">
        <f>L848+'Basic Data'!$AD$13</f>
        <v>10157.339999999933</v>
      </c>
      <c r="M849" s="151">
        <f>M848+'Basic Data'!$AE$13</f>
        <v>6319.2000000000753</v>
      </c>
      <c r="N849" s="151">
        <f>N848+'Basic Data'!$AF$13</f>
        <v>14903.570000000163</v>
      </c>
      <c r="O849" s="151">
        <f>O848+'Basic Data'!$AG$13</f>
        <v>5942.7799999999079</v>
      </c>
      <c r="P849" s="151">
        <f>P848+'Basic Data'!$AH$13</f>
        <v>16255.530000000163</v>
      </c>
    </row>
    <row r="850" spans="2:16">
      <c r="B850" s="156">
        <v>848</v>
      </c>
      <c r="C850" s="176">
        <v>848</v>
      </c>
      <c r="D850" s="177">
        <f t="shared" si="85"/>
        <v>10133.659999999933</v>
      </c>
      <c r="E850" s="177">
        <f t="shared" si="86"/>
        <v>10134.979999999932</v>
      </c>
      <c r="F850" s="177">
        <f t="shared" si="87"/>
        <v>6305.2000000000753</v>
      </c>
      <c r="G850" s="177">
        <f t="shared" si="88"/>
        <v>14870.570000000163</v>
      </c>
      <c r="H850" s="177">
        <f t="shared" si="89"/>
        <v>5928.869999999908</v>
      </c>
      <c r="I850" s="177">
        <f t="shared" si="90"/>
        <v>16217.420000000162</v>
      </c>
      <c r="K850" s="151">
        <f>K849+'Basic Data'!$AC$13</f>
        <v>10169.219999999932</v>
      </c>
      <c r="L850" s="151">
        <f>L849+'Basic Data'!$AD$13</f>
        <v>10169.219999999932</v>
      </c>
      <c r="M850" s="151">
        <f>M849+'Basic Data'!$AE$13</f>
        <v>6326.5900000000756</v>
      </c>
      <c r="N850" s="151">
        <f>N849+'Basic Data'!$AF$13</f>
        <v>14921.000000000164</v>
      </c>
      <c r="O850" s="151">
        <f>O849+'Basic Data'!$AG$13</f>
        <v>5949.7299999999077</v>
      </c>
      <c r="P850" s="151">
        <f>P849+'Basic Data'!$AH$13</f>
        <v>16274.540000000163</v>
      </c>
    </row>
    <row r="851" spans="2:16">
      <c r="B851" s="156">
        <v>849</v>
      </c>
      <c r="C851" s="176">
        <v>849</v>
      </c>
      <c r="D851" s="177">
        <f t="shared" si="85"/>
        <v>10145.539999999932</v>
      </c>
      <c r="E851" s="177">
        <f t="shared" si="86"/>
        <v>10146.859999999931</v>
      </c>
      <c r="F851" s="177">
        <f t="shared" si="87"/>
        <v>6312.5900000000756</v>
      </c>
      <c r="G851" s="177">
        <f t="shared" si="88"/>
        <v>14888.000000000164</v>
      </c>
      <c r="H851" s="177">
        <f t="shared" si="89"/>
        <v>5935.8199999999078</v>
      </c>
      <c r="I851" s="177">
        <f t="shared" si="90"/>
        <v>16236.430000000162</v>
      </c>
      <c r="K851" s="151">
        <f>K850+'Basic Data'!$AC$13</f>
        <v>10181.099999999931</v>
      </c>
      <c r="L851" s="151">
        <f>L850+'Basic Data'!$AD$13</f>
        <v>10181.099999999931</v>
      </c>
      <c r="M851" s="151">
        <f>M850+'Basic Data'!$AE$13</f>
        <v>6333.980000000076</v>
      </c>
      <c r="N851" s="151">
        <f>N850+'Basic Data'!$AF$13</f>
        <v>14938.430000000164</v>
      </c>
      <c r="O851" s="151">
        <f>O850+'Basic Data'!$AG$13</f>
        <v>5956.6799999999075</v>
      </c>
      <c r="P851" s="151">
        <f>P850+'Basic Data'!$AH$13</f>
        <v>16293.550000000163</v>
      </c>
    </row>
    <row r="852" spans="2:16">
      <c r="B852" s="156">
        <v>850</v>
      </c>
      <c r="C852" s="176">
        <v>850</v>
      </c>
      <c r="D852" s="177">
        <f t="shared" si="85"/>
        <v>10157.419999999931</v>
      </c>
      <c r="E852" s="177">
        <f t="shared" si="86"/>
        <v>10158.739999999931</v>
      </c>
      <c r="F852" s="177">
        <f t="shared" si="87"/>
        <v>6319.980000000076</v>
      </c>
      <c r="G852" s="177">
        <f t="shared" si="88"/>
        <v>14905.430000000164</v>
      </c>
      <c r="H852" s="177">
        <f t="shared" si="89"/>
        <v>5942.7699999999077</v>
      </c>
      <c r="I852" s="177">
        <f t="shared" si="90"/>
        <v>16255.440000000162</v>
      </c>
      <c r="K852" s="151">
        <f>K851+'Basic Data'!$AC$13</f>
        <v>10192.97999999993</v>
      </c>
      <c r="L852" s="151">
        <f>L851+'Basic Data'!$AD$13</f>
        <v>10192.97999999993</v>
      </c>
      <c r="M852" s="151">
        <f>M851+'Basic Data'!$AE$13</f>
        <v>6341.3700000000763</v>
      </c>
      <c r="N852" s="151">
        <f>N851+'Basic Data'!$AF$13</f>
        <v>14955.860000000164</v>
      </c>
      <c r="O852" s="151">
        <f>O851+'Basic Data'!$AG$13</f>
        <v>5963.6299999999073</v>
      </c>
      <c r="P852" s="151">
        <f>P851+'Basic Data'!$AH$13</f>
        <v>16312.560000000163</v>
      </c>
    </row>
  </sheetData>
  <mergeCells count="1">
    <mergeCell ref="B1:I1"/>
  </mergeCells>
  <phoneticPr fontId="12" type="noConversion"/>
  <printOptions horizontalCentered="1"/>
  <pageMargins left="0.27" right="0.25" top="0.55000000000000004" bottom="0.31" header="0" footer="0"/>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4">
    <tabColor indexed="13"/>
  </sheetPr>
  <dimension ref="A1:AH3172"/>
  <sheetViews>
    <sheetView view="pageBreakPreview" topLeftCell="W1" zoomScale="95" zoomScaleSheetLayoutView="95" workbookViewId="0">
      <selection activeCell="T7" sqref="T7"/>
    </sheetView>
  </sheetViews>
  <sheetFormatPr defaultColWidth="9.15625" defaultRowHeight="14.1"/>
  <cols>
    <col min="1" max="1" width="0.83984375" style="150" customWidth="1"/>
    <col min="2" max="2" width="5.26171875" style="156" customWidth="1"/>
    <col min="3" max="3" width="8.15625" style="157" customWidth="1"/>
    <col min="4" max="4" width="7.26171875" style="157" customWidth="1"/>
    <col min="5" max="6" width="9.15625" style="157"/>
    <col min="7" max="7" width="11.41796875" style="157" customWidth="1"/>
    <col min="8" max="9" width="9.15625" style="156"/>
    <col min="10" max="10" width="3.68359375" style="159" customWidth="1"/>
    <col min="11" max="11" width="10.26171875" style="159" customWidth="1"/>
    <col min="12" max="12" width="1.83984375" style="150" customWidth="1"/>
    <col min="13" max="15" width="9.15625" style="150"/>
    <col min="16" max="16" width="9.26171875" style="150" customWidth="1"/>
    <col min="17" max="18" width="9.15625" style="150"/>
    <col min="19" max="19" width="17.15625" style="150" customWidth="1"/>
    <col min="20" max="20" width="14" style="150" customWidth="1"/>
    <col min="21" max="21" width="14.578125" style="150" customWidth="1"/>
    <col min="22" max="22" width="15" style="150" customWidth="1"/>
    <col min="23" max="23" width="12.26171875" style="150" customWidth="1"/>
    <col min="24" max="24" width="9" style="150" customWidth="1"/>
    <col min="25" max="26" width="9.15625" style="150"/>
    <col min="27" max="27" width="11.26171875" style="150" bestFit="1" customWidth="1"/>
    <col min="28" max="28" width="16.15625" style="150" customWidth="1"/>
    <col min="29" max="32" width="13" style="150" customWidth="1"/>
    <col min="33" max="33" width="11.578125" style="150" customWidth="1"/>
    <col min="34" max="16384" width="9.15625" style="150"/>
  </cols>
  <sheetData>
    <row r="1" spans="2:34" ht="48" customHeight="1">
      <c r="B1" s="1602" t="s">
        <v>677</v>
      </c>
      <c r="C1" s="1602"/>
      <c r="D1" s="1602"/>
      <c r="E1" s="1602"/>
      <c r="F1" s="1602"/>
      <c r="G1" s="1602"/>
      <c r="H1" s="1602"/>
      <c r="I1" s="1602"/>
      <c r="J1" s="1602"/>
      <c r="K1" s="1602"/>
      <c r="P1" s="237">
        <v>1122017</v>
      </c>
      <c r="Q1" s="242"/>
      <c r="R1" s="243"/>
      <c r="S1" s="1594" t="s">
        <v>1136</v>
      </c>
      <c r="T1" s="1594"/>
      <c r="U1" s="1594"/>
      <c r="V1" s="1594"/>
      <c r="W1" s="1594"/>
      <c r="X1" s="1594"/>
      <c r="Y1" s="1594"/>
      <c r="Z1" s="244"/>
      <c r="AA1" s="245"/>
      <c r="AB1" s="1594" t="s">
        <v>1136</v>
      </c>
      <c r="AC1" s="1594"/>
      <c r="AD1" s="1594"/>
      <c r="AE1" s="1594"/>
      <c r="AF1" s="1594"/>
      <c r="AG1" s="1594"/>
      <c r="AH1" s="1594"/>
    </row>
    <row r="2" spans="2:34" ht="34.5" customHeight="1">
      <c r="F2" s="158" t="s">
        <v>678</v>
      </c>
      <c r="G2" s="158" t="s">
        <v>679</v>
      </c>
      <c r="H2" s="158" t="s">
        <v>680</v>
      </c>
      <c r="I2" s="155" t="s">
        <v>466</v>
      </c>
      <c r="K2" s="155" t="s">
        <v>528</v>
      </c>
      <c r="P2" s="237">
        <v>42391</v>
      </c>
      <c r="Q2" s="242"/>
      <c r="R2" s="243"/>
      <c r="S2" s="1600" t="s">
        <v>1152</v>
      </c>
      <c r="T2" s="1601"/>
      <c r="U2" s="1601"/>
      <c r="V2" s="1601"/>
      <c r="W2" s="1601"/>
      <c r="X2" s="1601"/>
      <c r="Y2" s="1601"/>
      <c r="Z2" s="246"/>
      <c r="AA2" s="247">
        <v>1.13615</v>
      </c>
      <c r="AB2" s="1607" t="s">
        <v>1153</v>
      </c>
      <c r="AC2" s="1608"/>
      <c r="AD2" s="1608"/>
      <c r="AE2" s="1608"/>
      <c r="AF2" s="1608"/>
      <c r="AG2" s="1608"/>
      <c r="AH2" s="1608"/>
    </row>
    <row r="3" spans="2:34" ht="28.5" customHeight="1">
      <c r="B3" s="156" t="s">
        <v>469</v>
      </c>
      <c r="C3" s="1603" t="s">
        <v>681</v>
      </c>
      <c r="D3" s="1603"/>
      <c r="E3" s="1603"/>
      <c r="F3" s="386">
        <v>471.6</v>
      </c>
      <c r="G3" s="387">
        <v>352.5</v>
      </c>
      <c r="H3" s="387">
        <v>211.6</v>
      </c>
      <c r="I3" s="161">
        <f>F3+G3+H3</f>
        <v>1035.7</v>
      </c>
      <c r="K3" s="162" t="s">
        <v>692</v>
      </c>
      <c r="M3" s="196">
        <v>440.5</v>
      </c>
      <c r="N3" s="197">
        <v>305.2</v>
      </c>
      <c r="O3" s="197">
        <v>178.4</v>
      </c>
      <c r="Q3" s="242"/>
      <c r="R3" s="1599" t="s">
        <v>1137</v>
      </c>
      <c r="S3" s="1599" t="s">
        <v>1138</v>
      </c>
      <c r="T3" s="1594" t="s">
        <v>1139</v>
      </c>
      <c r="U3" s="1597" t="s">
        <v>1140</v>
      </c>
      <c r="V3" s="1598" t="s">
        <v>1141</v>
      </c>
      <c r="W3" s="1598" t="s">
        <v>1142</v>
      </c>
      <c r="X3" s="1598" t="s">
        <v>1143</v>
      </c>
      <c r="Y3" s="1594" t="s">
        <v>1144</v>
      </c>
      <c r="Z3" s="248"/>
      <c r="AA3" s="1599" t="s">
        <v>1137</v>
      </c>
      <c r="AB3" s="1599" t="s">
        <v>1138</v>
      </c>
      <c r="AC3" s="1594" t="s">
        <v>1139</v>
      </c>
      <c r="AD3" s="1597" t="s">
        <v>1140</v>
      </c>
      <c r="AE3" s="1598" t="s">
        <v>1141</v>
      </c>
      <c r="AF3" s="1598" t="s">
        <v>1142</v>
      </c>
      <c r="AG3" s="1598" t="s">
        <v>1143</v>
      </c>
      <c r="AH3" s="1594" t="s">
        <v>1144</v>
      </c>
    </row>
    <row r="4" spans="2:34" s="204" customFormat="1" ht="28.5" customHeight="1">
      <c r="B4" s="198" t="s">
        <v>1</v>
      </c>
      <c r="C4" s="1604" t="s">
        <v>682</v>
      </c>
      <c r="D4" s="1604"/>
      <c r="E4" s="1604"/>
      <c r="F4" s="386">
        <v>471.6</v>
      </c>
      <c r="G4" s="387">
        <v>352.5</v>
      </c>
      <c r="H4" s="387">
        <v>211.6</v>
      </c>
      <c r="I4" s="201">
        <f>F4+G4+H4</f>
        <v>1035.7</v>
      </c>
      <c r="J4" s="202"/>
      <c r="K4" s="203" t="s">
        <v>692</v>
      </c>
      <c r="M4" s="199">
        <v>440.5</v>
      </c>
      <c r="N4" s="200">
        <v>305.2</v>
      </c>
      <c r="O4" s="200">
        <v>178.4</v>
      </c>
      <c r="Q4" s="249"/>
      <c r="R4" s="1599"/>
      <c r="S4" s="1599"/>
      <c r="T4" s="1594"/>
      <c r="U4" s="1597"/>
      <c r="V4" s="1598"/>
      <c r="W4" s="1598"/>
      <c r="X4" s="1598"/>
      <c r="Y4" s="1594"/>
      <c r="Z4" s="250"/>
      <c r="AA4" s="1599"/>
      <c r="AB4" s="1599"/>
      <c r="AC4" s="1594"/>
      <c r="AD4" s="1597"/>
      <c r="AE4" s="1598"/>
      <c r="AF4" s="1598"/>
      <c r="AG4" s="1598"/>
      <c r="AH4" s="1594"/>
    </row>
    <row r="5" spans="2:34" s="204" customFormat="1" ht="28.5" customHeight="1">
      <c r="B5" s="198" t="s">
        <v>363</v>
      </c>
      <c r="C5" s="1604" t="s">
        <v>683</v>
      </c>
      <c r="D5" s="1604"/>
      <c r="E5" s="1604"/>
      <c r="F5" s="388">
        <v>417.8</v>
      </c>
      <c r="G5" s="387">
        <v>352.5</v>
      </c>
      <c r="H5" s="387">
        <v>211.6</v>
      </c>
      <c r="I5" s="201">
        <f>F5+G5+H5</f>
        <v>981.9</v>
      </c>
      <c r="J5" s="202"/>
      <c r="K5" s="203" t="s">
        <v>692</v>
      </c>
      <c r="Q5" s="249"/>
      <c r="R5" s="1599"/>
      <c r="S5" s="1599"/>
      <c r="T5" s="1594"/>
      <c r="U5" s="1597"/>
      <c r="V5" s="1598"/>
      <c r="W5" s="1598"/>
      <c r="X5" s="1598"/>
      <c r="Y5" s="1594"/>
      <c r="Z5" s="250"/>
      <c r="AA5" s="1599"/>
      <c r="AB5" s="1599"/>
      <c r="AC5" s="1594"/>
      <c r="AD5" s="1597"/>
      <c r="AE5" s="1598"/>
      <c r="AF5" s="1598"/>
      <c r="AG5" s="1598"/>
      <c r="AH5" s="1594"/>
    </row>
    <row r="6" spans="2:34" s="204" customFormat="1" ht="28.5" customHeight="1">
      <c r="B6" s="198" t="s">
        <v>361</v>
      </c>
      <c r="C6" s="1604" t="s">
        <v>684</v>
      </c>
      <c r="D6" s="1604"/>
      <c r="E6" s="1604"/>
      <c r="F6" s="388">
        <v>428.6</v>
      </c>
      <c r="G6" s="387">
        <v>352.5</v>
      </c>
      <c r="H6" s="387">
        <v>211.6</v>
      </c>
      <c r="I6" s="201">
        <f>F6+G6+H6</f>
        <v>992.7</v>
      </c>
      <c r="J6" s="202"/>
      <c r="K6" s="203" t="s">
        <v>692</v>
      </c>
      <c r="M6" s="201">
        <v>891.9</v>
      </c>
      <c r="Q6" s="249"/>
      <c r="R6" s="1599"/>
      <c r="S6" s="1599"/>
      <c r="T6" s="1594"/>
      <c r="U6" s="1597"/>
      <c r="V6" s="1598"/>
      <c r="W6" s="1598"/>
      <c r="X6" s="1598"/>
      <c r="Y6" s="1594"/>
      <c r="Z6" s="250"/>
      <c r="AA6" s="1599"/>
      <c r="AB6" s="1599"/>
      <c r="AC6" s="1594"/>
      <c r="AD6" s="1597"/>
      <c r="AE6" s="1598"/>
      <c r="AF6" s="1598"/>
      <c r="AG6" s="1598"/>
      <c r="AH6" s="1594"/>
    </row>
    <row r="7" spans="2:34" s="204" customFormat="1" ht="42.75" customHeight="1">
      <c r="B7" s="198" t="s">
        <v>326</v>
      </c>
      <c r="C7" s="1604" t="s">
        <v>665</v>
      </c>
      <c r="D7" s="1604"/>
      <c r="E7" s="1604"/>
      <c r="F7" s="386">
        <v>1279.42</v>
      </c>
      <c r="G7" s="387">
        <v>352.5</v>
      </c>
      <c r="H7" s="387">
        <v>211.6</v>
      </c>
      <c r="I7" s="201">
        <f>F7+G7+H7</f>
        <v>1843.52</v>
      </c>
      <c r="J7" s="202"/>
      <c r="K7" s="203" t="s">
        <v>692</v>
      </c>
      <c r="M7" s="199">
        <v>440.5</v>
      </c>
      <c r="N7" s="199">
        <v>305.2</v>
      </c>
      <c r="O7" s="199">
        <v>178.4</v>
      </c>
      <c r="P7" s="204">
        <v>1646</v>
      </c>
      <c r="Q7" s="249"/>
      <c r="R7" s="251">
        <v>1</v>
      </c>
      <c r="S7" s="252" t="s">
        <v>1145</v>
      </c>
      <c r="T7" s="385">
        <v>40.4</v>
      </c>
      <c r="U7" s="385">
        <v>38.9</v>
      </c>
      <c r="V7" s="385">
        <v>24.3</v>
      </c>
      <c r="W7" s="385">
        <v>57.3</v>
      </c>
      <c r="X7" s="385">
        <v>23.7</v>
      </c>
      <c r="Y7" s="385">
        <v>64.900000000000006</v>
      </c>
      <c r="Z7" s="250"/>
      <c r="AA7" s="251">
        <v>1</v>
      </c>
      <c r="AB7" s="252" t="s">
        <v>1145</v>
      </c>
      <c r="AC7" s="253">
        <f>ROUND(T7/$AA$2,2)</f>
        <v>35.56</v>
      </c>
      <c r="AD7" s="253">
        <f t="shared" ref="AD7:AH7" si="0">ROUND(U7/$AA$2,2)</f>
        <v>34.24</v>
      </c>
      <c r="AE7" s="253">
        <f t="shared" si="0"/>
        <v>21.39</v>
      </c>
      <c r="AF7" s="253">
        <f t="shared" si="0"/>
        <v>50.43</v>
      </c>
      <c r="AG7" s="253">
        <f t="shared" si="0"/>
        <v>20.86</v>
      </c>
      <c r="AH7" s="253">
        <f t="shared" si="0"/>
        <v>57.12</v>
      </c>
    </row>
    <row r="8" spans="2:34" ht="21" customHeight="1">
      <c r="B8" s="1602" t="s">
        <v>666</v>
      </c>
      <c r="C8" s="1602"/>
      <c r="D8" s="1602"/>
      <c r="E8" s="1602"/>
      <c r="F8" s="1602"/>
      <c r="G8" s="1602"/>
      <c r="H8" s="1602"/>
      <c r="I8" s="1602"/>
      <c r="J8" s="1602"/>
      <c r="K8" s="1602"/>
      <c r="Q8" s="242"/>
      <c r="R8" s="254">
        <v>2</v>
      </c>
      <c r="S8" s="252" t="s">
        <v>1146</v>
      </c>
      <c r="T8" s="385">
        <v>56.6</v>
      </c>
      <c r="U8" s="385">
        <v>54.5</v>
      </c>
      <c r="V8" s="385">
        <v>34.1</v>
      </c>
      <c r="W8" s="385">
        <v>80.2</v>
      </c>
      <c r="X8" s="385">
        <v>33.200000000000003</v>
      </c>
      <c r="Y8" s="385">
        <v>90.9</v>
      </c>
      <c r="Z8" s="246"/>
      <c r="AA8" s="254">
        <v>2</v>
      </c>
      <c r="AB8" s="252" t="s">
        <v>1146</v>
      </c>
      <c r="AC8" s="253">
        <f t="shared" ref="AC8:AC13" si="1">ROUND(T8/$AA$2,2)</f>
        <v>49.82</v>
      </c>
      <c r="AD8" s="253">
        <f t="shared" ref="AD8:AD13" si="2">ROUND(U8/$AA$2,2)</f>
        <v>47.97</v>
      </c>
      <c r="AE8" s="253">
        <f t="shared" ref="AE8:AE13" si="3">ROUND(V8/$AA$2,2)</f>
        <v>30.01</v>
      </c>
      <c r="AF8" s="253">
        <f t="shared" ref="AF8:AF13" si="4">ROUND(W8/$AA$2,2)</f>
        <v>70.59</v>
      </c>
      <c r="AG8" s="253">
        <f t="shared" ref="AG8:AG13" si="5">ROUND(X8/$AA$2,2)</f>
        <v>29.22</v>
      </c>
      <c r="AH8" s="253">
        <f t="shared" ref="AH8:AH13" si="6">ROUND(Y8/$AA$2,2)</f>
        <v>80.010000000000005</v>
      </c>
    </row>
    <row r="9" spans="2:34" ht="21" customHeight="1">
      <c r="B9" s="156">
        <v>1</v>
      </c>
      <c r="C9" s="157" t="s">
        <v>667</v>
      </c>
      <c r="F9" s="163"/>
      <c r="G9" s="163"/>
      <c r="H9" s="163"/>
      <c r="I9" s="163"/>
      <c r="K9" s="164">
        <v>0</v>
      </c>
      <c r="Q9" s="242"/>
      <c r="R9" s="254">
        <v>3</v>
      </c>
      <c r="S9" s="252" t="s">
        <v>1147</v>
      </c>
      <c r="T9" s="385">
        <v>75.400000000000006</v>
      </c>
      <c r="U9" s="385">
        <v>75.400000000000006</v>
      </c>
      <c r="V9" s="385">
        <v>47.1</v>
      </c>
      <c r="W9" s="385">
        <v>110.9</v>
      </c>
      <c r="X9" s="385">
        <v>44.3</v>
      </c>
      <c r="Y9" s="385">
        <v>121.2</v>
      </c>
      <c r="Z9" s="246"/>
      <c r="AA9" s="254">
        <v>3</v>
      </c>
      <c r="AB9" s="252" t="s">
        <v>1147</v>
      </c>
      <c r="AC9" s="253">
        <f t="shared" si="1"/>
        <v>66.36</v>
      </c>
      <c r="AD9" s="253">
        <f t="shared" si="2"/>
        <v>66.36</v>
      </c>
      <c r="AE9" s="253">
        <f t="shared" si="3"/>
        <v>41.46</v>
      </c>
      <c r="AF9" s="253">
        <f t="shared" si="4"/>
        <v>97.61</v>
      </c>
      <c r="AG9" s="253">
        <f t="shared" si="5"/>
        <v>38.99</v>
      </c>
      <c r="AH9" s="253">
        <f t="shared" si="6"/>
        <v>106.68</v>
      </c>
    </row>
    <row r="10" spans="2:34" ht="21" customHeight="1">
      <c r="B10" s="156">
        <v>2</v>
      </c>
      <c r="C10" s="157" t="s">
        <v>433</v>
      </c>
      <c r="F10" s="163"/>
      <c r="G10" s="163"/>
      <c r="H10" s="163"/>
      <c r="I10" s="163"/>
      <c r="K10" s="164">
        <v>0</v>
      </c>
      <c r="Q10" s="242"/>
      <c r="R10" s="254">
        <v>4</v>
      </c>
      <c r="S10" s="252" t="s">
        <v>1148</v>
      </c>
      <c r="T10" s="385">
        <v>91.6</v>
      </c>
      <c r="U10" s="385">
        <v>91.6</v>
      </c>
      <c r="V10" s="385">
        <v>57.2</v>
      </c>
      <c r="W10" s="385">
        <v>134.69999999999999</v>
      </c>
      <c r="X10" s="385">
        <v>53.8</v>
      </c>
      <c r="Y10" s="385">
        <v>147.1</v>
      </c>
      <c r="Z10" s="246"/>
      <c r="AA10" s="254">
        <v>4</v>
      </c>
      <c r="AB10" s="252" t="s">
        <v>1148</v>
      </c>
      <c r="AC10" s="253">
        <f t="shared" si="1"/>
        <v>80.62</v>
      </c>
      <c r="AD10" s="253">
        <f t="shared" si="2"/>
        <v>80.62</v>
      </c>
      <c r="AE10" s="253">
        <f t="shared" si="3"/>
        <v>50.35</v>
      </c>
      <c r="AF10" s="253">
        <f t="shared" si="4"/>
        <v>118.56</v>
      </c>
      <c r="AG10" s="253">
        <f t="shared" si="5"/>
        <v>47.35</v>
      </c>
      <c r="AH10" s="253">
        <f t="shared" si="6"/>
        <v>129.47</v>
      </c>
    </row>
    <row r="11" spans="2:34" ht="21" customHeight="1">
      <c r="B11" s="156">
        <v>3</v>
      </c>
      <c r="C11" s="157" t="s">
        <v>434</v>
      </c>
      <c r="F11" s="163"/>
      <c r="G11" s="163"/>
      <c r="H11" s="163"/>
      <c r="I11" s="163"/>
      <c r="K11" s="164">
        <v>0</v>
      </c>
      <c r="Q11" s="242"/>
      <c r="R11" s="254">
        <v>5</v>
      </c>
      <c r="S11" s="252" t="s">
        <v>1149</v>
      </c>
      <c r="T11" s="385">
        <v>107.8</v>
      </c>
      <c r="U11" s="385">
        <v>107.8</v>
      </c>
      <c r="V11" s="385">
        <v>67.400000000000006</v>
      </c>
      <c r="W11" s="385">
        <v>158.5</v>
      </c>
      <c r="X11" s="385">
        <v>63.2</v>
      </c>
      <c r="Y11" s="385">
        <v>173.1</v>
      </c>
      <c r="Z11" s="246"/>
      <c r="AA11" s="254">
        <v>5</v>
      </c>
      <c r="AB11" s="252" t="s">
        <v>1149</v>
      </c>
      <c r="AC11" s="253">
        <f t="shared" si="1"/>
        <v>94.88</v>
      </c>
      <c r="AD11" s="253">
        <f t="shared" si="2"/>
        <v>94.88</v>
      </c>
      <c r="AE11" s="253">
        <f t="shared" si="3"/>
        <v>59.32</v>
      </c>
      <c r="AF11" s="253">
        <f t="shared" si="4"/>
        <v>139.51</v>
      </c>
      <c r="AG11" s="253">
        <f t="shared" si="5"/>
        <v>55.63</v>
      </c>
      <c r="AH11" s="253">
        <f t="shared" si="6"/>
        <v>152.36000000000001</v>
      </c>
    </row>
    <row r="12" spans="2:34" ht="48" customHeight="1">
      <c r="B12" s="156">
        <v>4</v>
      </c>
      <c r="C12" s="165" t="s">
        <v>435</v>
      </c>
      <c r="F12" s="166"/>
      <c r="G12" s="166"/>
      <c r="H12" s="166"/>
      <c r="I12" s="166"/>
      <c r="K12" s="167">
        <f>MAX(K9,K10,K11)</f>
        <v>0</v>
      </c>
      <c r="Q12" s="242"/>
      <c r="R12" s="254">
        <v>6</v>
      </c>
      <c r="S12" s="256" t="s">
        <v>1151</v>
      </c>
      <c r="T12" s="385">
        <v>16.2</v>
      </c>
      <c r="U12" s="385">
        <v>16.2</v>
      </c>
      <c r="V12" s="385">
        <v>10.1</v>
      </c>
      <c r="W12" s="385">
        <v>23.8</v>
      </c>
      <c r="X12" s="385">
        <v>9.5</v>
      </c>
      <c r="Y12" s="385">
        <v>26</v>
      </c>
      <c r="Z12" s="246"/>
      <c r="AA12" s="254">
        <v>6</v>
      </c>
      <c r="AB12" s="256" t="s">
        <v>1151</v>
      </c>
      <c r="AC12" s="253">
        <f t="shared" si="1"/>
        <v>14.26</v>
      </c>
      <c r="AD12" s="253">
        <f t="shared" si="2"/>
        <v>14.26</v>
      </c>
      <c r="AE12" s="253">
        <f t="shared" si="3"/>
        <v>8.89</v>
      </c>
      <c r="AF12" s="253">
        <f t="shared" si="4"/>
        <v>20.95</v>
      </c>
      <c r="AG12" s="253">
        <f t="shared" si="5"/>
        <v>8.36</v>
      </c>
      <c r="AH12" s="253">
        <f t="shared" si="6"/>
        <v>22.88</v>
      </c>
    </row>
    <row r="13" spans="2:34" ht="29.25" customHeight="1">
      <c r="B13" s="156">
        <v>5</v>
      </c>
      <c r="C13" s="157" t="s">
        <v>436</v>
      </c>
      <c r="K13" s="221">
        <v>0</v>
      </c>
      <c r="Q13" s="242"/>
      <c r="R13" s="254">
        <v>7</v>
      </c>
      <c r="S13" s="256" t="s">
        <v>1150</v>
      </c>
      <c r="T13" s="385">
        <v>13.5</v>
      </c>
      <c r="U13" s="385">
        <v>13.5</v>
      </c>
      <c r="V13" s="385">
        <v>8.4</v>
      </c>
      <c r="W13" s="385">
        <v>19.8</v>
      </c>
      <c r="X13" s="385">
        <v>7.9</v>
      </c>
      <c r="Y13" s="385">
        <v>21.6</v>
      </c>
      <c r="Z13" s="246"/>
      <c r="AA13" s="254">
        <v>7</v>
      </c>
      <c r="AB13" s="256" t="s">
        <v>1150</v>
      </c>
      <c r="AC13" s="253">
        <f t="shared" si="1"/>
        <v>11.88</v>
      </c>
      <c r="AD13" s="253">
        <f t="shared" si="2"/>
        <v>11.88</v>
      </c>
      <c r="AE13" s="253">
        <f t="shared" si="3"/>
        <v>7.39</v>
      </c>
      <c r="AF13" s="253">
        <f t="shared" si="4"/>
        <v>17.43</v>
      </c>
      <c r="AG13" s="253">
        <f t="shared" si="5"/>
        <v>6.95</v>
      </c>
      <c r="AH13" s="253">
        <f t="shared" si="6"/>
        <v>19.010000000000002</v>
      </c>
    </row>
    <row r="14" spans="2:34" s="152" customFormat="1" ht="14.25" customHeight="1">
      <c r="B14" s="155" t="s">
        <v>437</v>
      </c>
      <c r="C14" s="1605" t="s">
        <v>541</v>
      </c>
      <c r="D14" s="1605"/>
      <c r="E14" s="1605"/>
      <c r="F14" s="1605"/>
      <c r="G14" s="1605"/>
      <c r="H14" s="1605"/>
      <c r="I14" s="1605"/>
      <c r="J14" s="1605"/>
      <c r="K14" s="1605"/>
      <c r="Q14" s="257"/>
      <c r="R14" s="257"/>
      <c r="S14" s="257"/>
      <c r="T14" s="257"/>
      <c r="U14" s="257"/>
      <c r="V14" s="257"/>
      <c r="W14" s="257"/>
      <c r="X14" s="257"/>
      <c r="Y14" s="257"/>
      <c r="Z14" s="257"/>
      <c r="AA14" s="257"/>
      <c r="AB14" s="257"/>
      <c r="AC14" s="257"/>
      <c r="AD14" s="257"/>
      <c r="AE14" s="257"/>
      <c r="AF14" s="257"/>
      <c r="AG14" s="257"/>
      <c r="AH14" s="257"/>
    </row>
    <row r="15" spans="2:34" s="152" customFormat="1" ht="15">
      <c r="B15" s="155">
        <v>1</v>
      </c>
      <c r="C15" s="168" t="s">
        <v>542</v>
      </c>
      <c r="D15" s="168"/>
      <c r="E15" s="168"/>
      <c r="F15" s="168"/>
      <c r="G15" s="168"/>
      <c r="H15" s="155"/>
      <c r="I15" s="155"/>
      <c r="J15" s="169"/>
      <c r="K15" s="169"/>
      <c r="Q15" s="257"/>
      <c r="R15" s="257"/>
      <c r="S15" s="257"/>
      <c r="T15" s="257"/>
      <c r="U15" s="257"/>
      <c r="V15" s="257"/>
      <c r="W15" s="257"/>
      <c r="X15" s="257"/>
      <c r="Y15" s="257"/>
      <c r="Z15" s="257"/>
      <c r="AA15" s="257"/>
      <c r="AB15" s="257"/>
      <c r="AC15" s="257"/>
      <c r="AD15" s="257"/>
      <c r="AE15" s="257"/>
      <c r="AF15" s="257"/>
      <c r="AG15" s="257"/>
      <c r="AH15" s="257"/>
    </row>
    <row r="16" spans="2:34" s="153" customFormat="1" ht="15.3">
      <c r="B16" s="170"/>
      <c r="C16" s="171" t="s">
        <v>543</v>
      </c>
      <c r="D16" s="170" t="s">
        <v>544</v>
      </c>
      <c r="E16" s="172">
        <v>5</v>
      </c>
      <c r="F16" s="173" t="s">
        <v>465</v>
      </c>
      <c r="G16" s="171"/>
      <c r="H16" s="155" t="s">
        <v>92</v>
      </c>
      <c r="I16" s="155" t="s">
        <v>528</v>
      </c>
      <c r="J16" s="174"/>
      <c r="K16" s="169" t="s">
        <v>151</v>
      </c>
      <c r="Q16" s="242"/>
      <c r="R16" s="242"/>
      <c r="S16" s="242"/>
      <c r="T16" s="242"/>
      <c r="U16" s="242"/>
      <c r="V16" s="242"/>
      <c r="W16" s="242"/>
      <c r="X16" s="242"/>
      <c r="Y16" s="242"/>
      <c r="Z16" s="242"/>
      <c r="AA16" s="242"/>
      <c r="AB16" s="242"/>
      <c r="AC16" s="242"/>
      <c r="AD16" s="242"/>
      <c r="AE16" s="242"/>
      <c r="AF16" s="242"/>
      <c r="AG16" s="242"/>
      <c r="AH16" s="242"/>
    </row>
    <row r="17" spans="2:34" ht="15.3">
      <c r="C17" s="175">
        <v>0.15</v>
      </c>
      <c r="D17" s="1603" t="s">
        <v>565</v>
      </c>
      <c r="E17" s="1603"/>
      <c r="F17" s="1603"/>
      <c r="G17" s="1603"/>
      <c r="H17" s="176">
        <f>$F$3</f>
        <v>471.6</v>
      </c>
      <c r="I17" s="156" t="str">
        <f>$K$3</f>
        <v>Hour</v>
      </c>
      <c r="J17" s="159" t="s">
        <v>596</v>
      </c>
      <c r="K17" s="176">
        <f>ROUND(C17*H17,2)</f>
        <v>70.739999999999995</v>
      </c>
      <c r="Q17" s="242"/>
      <c r="R17" s="242"/>
      <c r="S17" s="242"/>
      <c r="T17" s="242"/>
      <c r="U17" s="242"/>
      <c r="V17" s="242"/>
      <c r="W17" s="242"/>
      <c r="X17" s="242"/>
      <c r="Y17" s="242"/>
      <c r="Z17" s="242"/>
      <c r="AA17" s="242"/>
      <c r="AB17" s="242"/>
      <c r="AC17" s="242"/>
      <c r="AD17" s="242"/>
      <c r="AE17" s="242"/>
      <c r="AF17" s="242"/>
      <c r="AG17" s="242"/>
      <c r="AH17" s="242"/>
    </row>
    <row r="18" spans="2:34" ht="15.3">
      <c r="C18" s="177">
        <f>C17</f>
        <v>0.15</v>
      </c>
      <c r="D18" s="1603" t="s">
        <v>188</v>
      </c>
      <c r="E18" s="1603"/>
      <c r="F18" s="1603"/>
      <c r="G18" s="1603"/>
      <c r="H18" s="176">
        <f>$G$3</f>
        <v>352.5</v>
      </c>
      <c r="I18" s="156" t="str">
        <f>$K$3</f>
        <v>Hour</v>
      </c>
      <c r="J18" s="159" t="s">
        <v>596</v>
      </c>
      <c r="K18" s="176">
        <f>ROUND(C18*H18,2)</f>
        <v>52.88</v>
      </c>
      <c r="Q18" s="242"/>
      <c r="R18" s="242"/>
      <c r="S18" s="242"/>
      <c r="T18" s="242"/>
      <c r="U18" s="242"/>
      <c r="V18" s="242"/>
      <c r="W18" s="242"/>
      <c r="X18" s="242"/>
      <c r="Y18" s="242"/>
      <c r="Z18" s="242"/>
      <c r="AA18" s="242"/>
      <c r="AB18" s="242"/>
      <c r="AC18" s="242"/>
      <c r="AD18" s="242"/>
      <c r="AE18" s="242"/>
      <c r="AF18" s="242"/>
      <c r="AG18" s="242"/>
      <c r="AH18" s="242"/>
    </row>
    <row r="19" spans="2:34" ht="15.3">
      <c r="C19" s="177">
        <f>C17</f>
        <v>0.15</v>
      </c>
      <c r="D19" s="1603" t="s">
        <v>189</v>
      </c>
      <c r="E19" s="1603"/>
      <c r="F19" s="1603"/>
      <c r="G19" s="1603"/>
      <c r="H19" s="176">
        <f>$H$3</f>
        <v>211.6</v>
      </c>
      <c r="I19" s="156" t="str">
        <f>$K$3</f>
        <v>Hour</v>
      </c>
      <c r="J19" s="159" t="s">
        <v>596</v>
      </c>
      <c r="K19" s="176">
        <f>ROUND(C19*H19,2)</f>
        <v>31.74</v>
      </c>
      <c r="Q19" s="242"/>
      <c r="R19" s="242"/>
      <c r="S19" s="242"/>
      <c r="T19" s="242"/>
      <c r="U19" s="242"/>
      <c r="V19" s="242"/>
      <c r="W19" s="242"/>
      <c r="X19" s="242"/>
      <c r="Y19" s="242"/>
      <c r="Z19" s="242"/>
      <c r="AA19" s="242"/>
      <c r="AB19" s="242"/>
      <c r="AC19" s="242"/>
      <c r="AD19" s="242"/>
      <c r="AE19" s="242"/>
      <c r="AF19" s="242"/>
      <c r="AG19" s="242"/>
      <c r="AH19" s="242"/>
    </row>
    <row r="20" spans="2:34" ht="15.3">
      <c r="C20" s="177">
        <f>MAX($K$9,$K$10,$K$11)</f>
        <v>0</v>
      </c>
      <c r="D20" s="1603" t="str">
        <f>CONCATENATE("add area allowance at ",$K$12*100, "% on Rs.",)</f>
        <v>add area allowance at 0% on Rs.</v>
      </c>
      <c r="E20" s="1603"/>
      <c r="F20" s="1603"/>
      <c r="G20" s="1603"/>
      <c r="H20" s="176">
        <f>K19</f>
        <v>31.74</v>
      </c>
      <c r="J20" s="159" t="s">
        <v>596</v>
      </c>
      <c r="K20" s="176">
        <f>ROUND(C20*H20,2)</f>
        <v>0</v>
      </c>
      <c r="Q20" s="242"/>
      <c r="R20" s="242"/>
      <c r="S20" s="242"/>
      <c r="T20" s="242"/>
      <c r="U20" s="242"/>
      <c r="V20" s="242"/>
      <c r="W20" s="242"/>
      <c r="X20" s="242"/>
      <c r="Y20" s="242"/>
      <c r="Z20" s="242"/>
      <c r="AA20" s="242"/>
      <c r="AB20" s="242"/>
      <c r="AC20" s="242"/>
      <c r="AD20" s="242"/>
      <c r="AE20" s="242"/>
      <c r="AF20" s="242"/>
      <c r="AG20" s="242"/>
      <c r="AH20" s="242"/>
    </row>
    <row r="21" spans="2:34" ht="15.3">
      <c r="D21" s="157" t="s">
        <v>190</v>
      </c>
      <c r="E21" s="177">
        <f>E16</f>
        <v>5</v>
      </c>
      <c r="F21" s="157" t="str">
        <f>F16</f>
        <v>Cum</v>
      </c>
      <c r="J21" s="159" t="s">
        <v>596</v>
      </c>
      <c r="K21" s="176">
        <f>SUM(K17:K20)</f>
        <v>155.36000000000001</v>
      </c>
      <c r="Q21" s="242"/>
      <c r="R21" s="242"/>
      <c r="S21" s="242"/>
      <c r="T21" s="242"/>
      <c r="U21" s="242"/>
      <c r="V21" s="242"/>
      <c r="W21" s="242"/>
      <c r="X21" s="242"/>
      <c r="Y21" s="242"/>
      <c r="Z21" s="242"/>
      <c r="AA21" s="242"/>
      <c r="AB21" s="242"/>
      <c r="AC21" s="242"/>
      <c r="AD21" s="242"/>
      <c r="AE21" s="242"/>
      <c r="AF21" s="242"/>
      <c r="AG21" s="242"/>
      <c r="AH21" s="242"/>
    </row>
    <row r="22" spans="2:34" ht="48.75" customHeight="1">
      <c r="D22" s="157" t="s">
        <v>190</v>
      </c>
      <c r="E22" s="178">
        <v>1</v>
      </c>
      <c r="F22" s="179" t="str">
        <f>F16</f>
        <v>Cum</v>
      </c>
      <c r="J22" s="159" t="s">
        <v>596</v>
      </c>
      <c r="K22" s="156">
        <f>ROUND(K21/E16,2)</f>
        <v>31.07</v>
      </c>
      <c r="Q22" s="242"/>
      <c r="R22" s="1594" t="s">
        <v>1171</v>
      </c>
      <c r="S22" s="1594"/>
      <c r="T22" s="1594"/>
      <c r="U22" s="1594"/>
      <c r="V22" s="1594"/>
      <c r="W22" s="1594"/>
      <c r="X22" s="1594"/>
      <c r="Y22" s="1594"/>
      <c r="Z22" s="244"/>
      <c r="AA22" s="1594" t="s">
        <v>1172</v>
      </c>
      <c r="AB22" s="1594"/>
      <c r="AC22" s="1594"/>
      <c r="AD22" s="1594"/>
      <c r="AE22" s="1594"/>
      <c r="AF22" s="1594"/>
      <c r="AG22" s="1594"/>
      <c r="AH22" s="1594"/>
    </row>
    <row r="23" spans="2:34" ht="24.75" customHeight="1">
      <c r="C23" s="220">
        <f>$K$13</f>
        <v>0</v>
      </c>
      <c r="D23" s="1603" t="str">
        <f>CONCATENATE("add overheads and contractors profit at ",$K$13*100, "% on Rs.",)</f>
        <v>add overheads and contractors profit at 0% on Rs.</v>
      </c>
      <c r="E23" s="1603"/>
      <c r="F23" s="1603"/>
      <c r="G23" s="1603"/>
      <c r="H23" s="176">
        <f>K22</f>
        <v>31.07</v>
      </c>
      <c r="J23" s="159" t="s">
        <v>596</v>
      </c>
      <c r="K23" s="176">
        <f>ROUND(C23*H23,2)</f>
        <v>0</v>
      </c>
      <c r="Q23" s="242"/>
      <c r="R23" s="1595" t="s">
        <v>1111</v>
      </c>
      <c r="S23" s="1596" t="s">
        <v>1163</v>
      </c>
      <c r="T23" s="1596" t="s">
        <v>1164</v>
      </c>
      <c r="U23" s="1596" t="s">
        <v>1165</v>
      </c>
      <c r="V23" s="1596" t="s">
        <v>1166</v>
      </c>
      <c r="W23" s="1596" t="s">
        <v>1167</v>
      </c>
      <c r="X23" s="1596" t="s">
        <v>1168</v>
      </c>
      <c r="Y23" s="254"/>
      <c r="Z23" s="246"/>
      <c r="AA23" s="1595" t="s">
        <v>1111</v>
      </c>
      <c r="AB23" s="1596" t="s">
        <v>1163</v>
      </c>
      <c r="AC23" s="1596" t="s">
        <v>1164</v>
      </c>
      <c r="AD23" s="1596" t="s">
        <v>1165</v>
      </c>
      <c r="AE23" s="1596" t="s">
        <v>1166</v>
      </c>
      <c r="AF23" s="1596" t="s">
        <v>1167</v>
      </c>
      <c r="AG23" s="1596" t="s">
        <v>1168</v>
      </c>
      <c r="AH23" s="254"/>
    </row>
    <row r="24" spans="2:34" s="153" customFormat="1" ht="15.3">
      <c r="B24" s="170"/>
      <c r="C24" s="171"/>
      <c r="D24" s="157" t="s">
        <v>191</v>
      </c>
      <c r="E24" s="171"/>
      <c r="F24" s="180">
        <f>E22</f>
        <v>1</v>
      </c>
      <c r="G24" s="171" t="str">
        <f>F22</f>
        <v>Cum</v>
      </c>
      <c r="H24" s="170"/>
      <c r="I24" s="170"/>
      <c r="J24" s="169" t="s">
        <v>596</v>
      </c>
      <c r="K24" s="181">
        <f>SUM(K22:K23)</f>
        <v>31.07</v>
      </c>
      <c r="Q24" s="242"/>
      <c r="R24" s="1595"/>
      <c r="S24" s="1596"/>
      <c r="T24" s="1596"/>
      <c r="U24" s="1596"/>
      <c r="V24" s="1596"/>
      <c r="W24" s="1596"/>
      <c r="X24" s="1596"/>
      <c r="Y24" s="254"/>
      <c r="Z24" s="246"/>
      <c r="AA24" s="1595"/>
      <c r="AB24" s="1596"/>
      <c r="AC24" s="1596"/>
      <c r="AD24" s="1596"/>
      <c r="AE24" s="1596"/>
      <c r="AF24" s="1596"/>
      <c r="AG24" s="1596"/>
      <c r="AH24" s="254"/>
    </row>
    <row r="25" spans="2:34" s="153" customFormat="1" ht="15.3">
      <c r="B25" s="170"/>
      <c r="C25" s="171"/>
      <c r="D25" s="157"/>
      <c r="E25" s="171"/>
      <c r="F25" s="180"/>
      <c r="G25" s="171"/>
      <c r="H25" s="170"/>
      <c r="I25" s="170"/>
      <c r="J25" s="169"/>
      <c r="K25" s="181"/>
      <c r="Q25" s="242"/>
      <c r="R25" s="1595"/>
      <c r="S25" s="1596"/>
      <c r="T25" s="1596"/>
      <c r="U25" s="1596"/>
      <c r="V25" s="1596"/>
      <c r="W25" s="1596"/>
      <c r="X25" s="1596"/>
      <c r="Y25" s="254"/>
      <c r="Z25" s="246"/>
      <c r="AA25" s="1595"/>
      <c r="AB25" s="1596"/>
      <c r="AC25" s="1596"/>
      <c r="AD25" s="1596"/>
      <c r="AE25" s="1596"/>
      <c r="AF25" s="1596"/>
      <c r="AG25" s="1596"/>
      <c r="AH25" s="254"/>
    </row>
    <row r="26" spans="2:34" s="152" customFormat="1" ht="15">
      <c r="B26" s="155">
        <v>2</v>
      </c>
      <c r="C26" s="168" t="s">
        <v>192</v>
      </c>
      <c r="D26" s="168"/>
      <c r="E26" s="168"/>
      <c r="F26" s="168"/>
      <c r="G26" s="168"/>
      <c r="H26" s="155"/>
      <c r="I26" s="155"/>
      <c r="J26" s="169"/>
      <c r="K26" s="169"/>
      <c r="Q26" s="257"/>
      <c r="R26" s="1595"/>
      <c r="S26" s="1596"/>
      <c r="T26" s="1596"/>
      <c r="U26" s="1596"/>
      <c r="V26" s="1596"/>
      <c r="W26" s="1596"/>
      <c r="X26" s="1596"/>
      <c r="Y26" s="258"/>
      <c r="Z26" s="259"/>
      <c r="AA26" s="1595"/>
      <c r="AB26" s="1596"/>
      <c r="AC26" s="1596"/>
      <c r="AD26" s="1596"/>
      <c r="AE26" s="1596"/>
      <c r="AF26" s="1596"/>
      <c r="AG26" s="1596"/>
      <c r="AH26" s="258"/>
    </row>
    <row r="27" spans="2:34" s="153" customFormat="1" ht="15.3">
      <c r="B27" s="170"/>
      <c r="C27" s="171" t="s">
        <v>543</v>
      </c>
      <c r="D27" s="170" t="s">
        <v>544</v>
      </c>
      <c r="E27" s="172">
        <v>5</v>
      </c>
      <c r="F27" s="173" t="s">
        <v>465</v>
      </c>
      <c r="G27" s="171"/>
      <c r="H27" s="155" t="s">
        <v>92</v>
      </c>
      <c r="I27" s="155" t="s">
        <v>528</v>
      </c>
      <c r="J27" s="174"/>
      <c r="K27" s="169" t="s">
        <v>151</v>
      </c>
      <c r="Q27" s="242"/>
      <c r="R27" s="1595"/>
      <c r="S27" s="1596"/>
      <c r="T27" s="1596"/>
      <c r="U27" s="1596"/>
      <c r="V27" s="1596"/>
      <c r="W27" s="1596"/>
      <c r="X27" s="1596"/>
      <c r="Y27" s="254"/>
      <c r="Z27" s="246"/>
      <c r="AA27" s="1595"/>
      <c r="AB27" s="1596"/>
      <c r="AC27" s="1596"/>
      <c r="AD27" s="1596"/>
      <c r="AE27" s="1596"/>
      <c r="AF27" s="1596"/>
      <c r="AG27" s="1596"/>
      <c r="AH27" s="254"/>
    </row>
    <row r="28" spans="2:34" ht="15.3">
      <c r="C28" s="175">
        <v>0.21</v>
      </c>
      <c r="D28" s="1603" t="s">
        <v>565</v>
      </c>
      <c r="E28" s="1603"/>
      <c r="F28" s="1603"/>
      <c r="G28" s="1603"/>
      <c r="H28" s="176">
        <f>$F$3</f>
        <v>471.6</v>
      </c>
      <c r="I28" s="156" t="str">
        <f>$K$3</f>
        <v>Hour</v>
      </c>
      <c r="J28" s="159" t="s">
        <v>596</v>
      </c>
      <c r="K28" s="176">
        <f>ROUND(C28*H28,2)</f>
        <v>99.04</v>
      </c>
      <c r="Q28" s="242"/>
      <c r="R28" s="1595"/>
      <c r="S28" s="1596"/>
      <c r="T28" s="1596"/>
      <c r="U28" s="1596"/>
      <c r="V28" s="1596"/>
      <c r="W28" s="1596"/>
      <c r="X28" s="1596"/>
      <c r="Y28" s="254"/>
      <c r="Z28" s="246"/>
      <c r="AA28" s="1595"/>
      <c r="AB28" s="1596"/>
      <c r="AC28" s="1596"/>
      <c r="AD28" s="1596"/>
      <c r="AE28" s="1596"/>
      <c r="AF28" s="1596"/>
      <c r="AG28" s="1596"/>
      <c r="AH28" s="254"/>
    </row>
    <row r="29" spans="2:34" ht="15.3">
      <c r="C29" s="177">
        <f>C28</f>
        <v>0.21</v>
      </c>
      <c r="D29" s="1603" t="s">
        <v>188</v>
      </c>
      <c r="E29" s="1603"/>
      <c r="F29" s="1603"/>
      <c r="G29" s="1603"/>
      <c r="H29" s="176">
        <f>$G$3</f>
        <v>352.5</v>
      </c>
      <c r="I29" s="156" t="str">
        <f>$K$3</f>
        <v>Hour</v>
      </c>
      <c r="J29" s="159" t="s">
        <v>596</v>
      </c>
      <c r="K29" s="176">
        <f>ROUND(C29*H29,2)</f>
        <v>74.03</v>
      </c>
      <c r="Q29" s="242"/>
      <c r="R29" s="1595"/>
      <c r="S29" s="1596"/>
      <c r="T29" s="1596"/>
      <c r="U29" s="1596"/>
      <c r="V29" s="1596"/>
      <c r="W29" s="1596"/>
      <c r="X29" s="1596"/>
      <c r="Y29" s="254"/>
      <c r="Z29" s="246"/>
      <c r="AA29" s="1595"/>
      <c r="AB29" s="1596"/>
      <c r="AC29" s="1596"/>
      <c r="AD29" s="1596"/>
      <c r="AE29" s="1596"/>
      <c r="AF29" s="1596"/>
      <c r="AG29" s="1596"/>
      <c r="AH29" s="254"/>
    </row>
    <row r="30" spans="2:34" ht="15.3">
      <c r="C30" s="177">
        <f>C28</f>
        <v>0.21</v>
      </c>
      <c r="D30" s="1603" t="s">
        <v>189</v>
      </c>
      <c r="E30" s="1603"/>
      <c r="F30" s="1603"/>
      <c r="G30" s="1603"/>
      <c r="H30" s="176">
        <f>$H$3</f>
        <v>211.6</v>
      </c>
      <c r="I30" s="156" t="str">
        <f>$K$3</f>
        <v>Hour</v>
      </c>
      <c r="J30" s="159" t="s">
        <v>596</v>
      </c>
      <c r="K30" s="176">
        <f>ROUND(C30*H30,2)</f>
        <v>44.44</v>
      </c>
      <c r="Q30" s="242"/>
      <c r="R30" s="258">
        <v>1</v>
      </c>
      <c r="S30" s="258">
        <v>2</v>
      </c>
      <c r="T30" s="258">
        <v>3</v>
      </c>
      <c r="U30" s="258">
        <v>4</v>
      </c>
      <c r="V30" s="258">
        <v>5</v>
      </c>
      <c r="W30" s="258">
        <v>6</v>
      </c>
      <c r="X30" s="258">
        <v>7</v>
      </c>
      <c r="Y30" s="254"/>
      <c r="Z30" s="246"/>
      <c r="AA30" s="258">
        <v>1</v>
      </c>
      <c r="AB30" s="258">
        <v>2</v>
      </c>
      <c r="AC30" s="258">
        <v>3</v>
      </c>
      <c r="AD30" s="258">
        <v>4</v>
      </c>
      <c r="AE30" s="258">
        <v>5</v>
      </c>
      <c r="AF30" s="258">
        <v>6</v>
      </c>
      <c r="AG30" s="258">
        <v>7</v>
      </c>
      <c r="AH30" s="254"/>
    </row>
    <row r="31" spans="2:34" ht="15.3">
      <c r="C31" s="177">
        <f>MAX($K$9,$K$10,$K$11)</f>
        <v>0</v>
      </c>
      <c r="D31" s="1603" t="str">
        <f>CONCATENATE("add area allowance at ",$K$12*100, "% on Rs.",)</f>
        <v>add area allowance at 0% on Rs.</v>
      </c>
      <c r="E31" s="1603"/>
      <c r="F31" s="1603"/>
      <c r="G31" s="1603"/>
      <c r="H31" s="176">
        <f>K30</f>
        <v>44.44</v>
      </c>
      <c r="J31" s="159" t="s">
        <v>596</v>
      </c>
      <c r="K31" s="176">
        <f>ROUND(C31*H31,2)</f>
        <v>0</v>
      </c>
      <c r="Q31" s="242"/>
      <c r="R31" s="254">
        <v>1</v>
      </c>
      <c r="S31" s="254" t="s">
        <v>1169</v>
      </c>
      <c r="T31" s="385">
        <v>26.4</v>
      </c>
      <c r="U31" s="385">
        <v>52.7</v>
      </c>
      <c r="V31" s="385">
        <v>87</v>
      </c>
      <c r="W31" s="385">
        <v>104.3</v>
      </c>
      <c r="X31" s="385">
        <v>72.5</v>
      </c>
      <c r="Y31" s="254"/>
      <c r="Z31" s="246"/>
      <c r="AA31" s="254">
        <v>1</v>
      </c>
      <c r="AB31" s="254" t="s">
        <v>1169</v>
      </c>
      <c r="AC31" s="255">
        <f>ROUND(T31/$AA$2,2)</f>
        <v>23.24</v>
      </c>
      <c r="AD31" s="255">
        <f t="shared" ref="AD31:AG32" si="7">ROUND(U31/$AA$2,2)</f>
        <v>46.38</v>
      </c>
      <c r="AE31" s="255">
        <f t="shared" si="7"/>
        <v>76.569999999999993</v>
      </c>
      <c r="AF31" s="255">
        <f t="shared" si="7"/>
        <v>91.8</v>
      </c>
      <c r="AG31" s="255">
        <f t="shared" si="7"/>
        <v>63.81</v>
      </c>
      <c r="AH31" s="254"/>
    </row>
    <row r="32" spans="2:34" ht="15.3">
      <c r="D32" s="157" t="s">
        <v>190</v>
      </c>
      <c r="E32" s="177">
        <f>E27</f>
        <v>5</v>
      </c>
      <c r="F32" s="157" t="str">
        <f>F27</f>
        <v>Cum</v>
      </c>
      <c r="J32" s="159" t="s">
        <v>596</v>
      </c>
      <c r="K32" s="176">
        <f>SUM(K28:K31)</f>
        <v>217.51</v>
      </c>
      <c r="Q32" s="242"/>
      <c r="R32" s="254">
        <v>2</v>
      </c>
      <c r="S32" s="254" t="s">
        <v>1170</v>
      </c>
      <c r="T32" s="385">
        <v>13.2</v>
      </c>
      <c r="U32" s="385">
        <v>26.35</v>
      </c>
      <c r="V32" s="385">
        <v>87</v>
      </c>
      <c r="W32" s="385">
        <v>104.3</v>
      </c>
      <c r="X32" s="385">
        <v>72.5</v>
      </c>
      <c r="Y32" s="254"/>
      <c r="Z32" s="246"/>
      <c r="AA32" s="254">
        <v>2</v>
      </c>
      <c r="AB32" s="254" t="s">
        <v>1170</v>
      </c>
      <c r="AC32" s="255">
        <f>ROUND(T32/$AA$2,2)</f>
        <v>11.62</v>
      </c>
      <c r="AD32" s="255">
        <f t="shared" si="7"/>
        <v>23.19</v>
      </c>
      <c r="AE32" s="255">
        <f t="shared" si="7"/>
        <v>76.569999999999993</v>
      </c>
      <c r="AF32" s="255">
        <f t="shared" si="7"/>
        <v>91.8</v>
      </c>
      <c r="AG32" s="255">
        <f t="shared" si="7"/>
        <v>63.81</v>
      </c>
      <c r="AH32" s="254"/>
    </row>
    <row r="33" spans="2:34" ht="15.3">
      <c r="D33" s="157" t="s">
        <v>190</v>
      </c>
      <c r="E33" s="178">
        <v>1</v>
      </c>
      <c r="F33" s="179" t="str">
        <f>F27</f>
        <v>Cum</v>
      </c>
      <c r="J33" s="159" t="s">
        <v>596</v>
      </c>
      <c r="K33" s="156">
        <f>ROUND(K32/E27,2)</f>
        <v>43.5</v>
      </c>
      <c r="Q33" s="242"/>
      <c r="R33" s="254"/>
      <c r="S33" s="254"/>
      <c r="T33" s="254"/>
      <c r="U33" s="254"/>
      <c r="V33" s="254"/>
      <c r="W33" s="254"/>
      <c r="X33" s="254"/>
      <c r="Y33" s="254"/>
      <c r="Z33" s="246"/>
      <c r="AA33" s="254"/>
      <c r="AB33" s="254"/>
      <c r="AC33" s="254"/>
      <c r="AD33" s="254"/>
      <c r="AE33" s="254"/>
      <c r="AF33" s="254"/>
      <c r="AG33" s="254"/>
      <c r="AH33" s="254"/>
    </row>
    <row r="34" spans="2:34" ht="27.75" customHeight="1">
      <c r="C34" s="177">
        <f>$K$13</f>
        <v>0</v>
      </c>
      <c r="D34" s="1603" t="str">
        <f>CONCATENATE("add overheads and contractors profit at ",$K$13*100, "% on Rs.",)</f>
        <v>add overheads and contractors profit at 0% on Rs.</v>
      </c>
      <c r="E34" s="1603"/>
      <c r="F34" s="1603"/>
      <c r="G34" s="1603"/>
      <c r="H34" s="176">
        <f>K33</f>
        <v>43.5</v>
      </c>
      <c r="I34" s="156" t="str">
        <f>$K$3</f>
        <v>Hour</v>
      </c>
      <c r="J34" s="159" t="s">
        <v>596</v>
      </c>
      <c r="K34" s="176">
        <f>ROUND(C34*H34,2)</f>
        <v>0</v>
      </c>
      <c r="Q34" s="242"/>
      <c r="R34" s="242"/>
      <c r="S34" s="242"/>
      <c r="T34" s="242"/>
      <c r="U34" s="242"/>
      <c r="V34" s="242"/>
      <c r="W34" s="242"/>
      <c r="X34" s="242"/>
      <c r="Y34" s="242"/>
      <c r="Z34" s="242"/>
      <c r="AA34" s="242"/>
      <c r="AB34" s="242"/>
      <c r="AC34" s="242"/>
      <c r="AD34" s="242"/>
      <c r="AE34" s="242"/>
      <c r="AF34" s="242"/>
      <c r="AG34" s="242"/>
      <c r="AH34" s="242"/>
    </row>
    <row r="35" spans="2:34" s="153" customFormat="1">
      <c r="B35" s="170"/>
      <c r="C35" s="171"/>
      <c r="D35" s="157" t="s">
        <v>191</v>
      </c>
      <c r="E35" s="171"/>
      <c r="F35" s="180">
        <f>E33</f>
        <v>1</v>
      </c>
      <c r="G35" s="171" t="str">
        <f>F33</f>
        <v>Cum</v>
      </c>
      <c r="H35" s="170"/>
      <c r="I35" s="170"/>
      <c r="J35" s="169" t="s">
        <v>596</v>
      </c>
      <c r="K35" s="181">
        <f>SUM(K33:K34)</f>
        <v>43.5</v>
      </c>
    </row>
    <row r="37" spans="2:34" s="152" customFormat="1" ht="12.3">
      <c r="B37" s="155">
        <v>3</v>
      </c>
      <c r="C37" s="168" t="s">
        <v>193</v>
      </c>
      <c r="D37" s="168"/>
      <c r="E37" s="168"/>
      <c r="F37" s="168"/>
      <c r="G37" s="168"/>
      <c r="H37" s="155"/>
      <c r="I37" s="155"/>
      <c r="J37" s="169"/>
      <c r="K37" s="169"/>
    </row>
    <row r="38" spans="2:34" s="153" customFormat="1" ht="12.3">
      <c r="B38" s="170"/>
      <c r="C38" s="171" t="s">
        <v>543</v>
      </c>
      <c r="D38" s="170" t="s">
        <v>544</v>
      </c>
      <c r="E38" s="172">
        <v>5</v>
      </c>
      <c r="F38" s="173" t="s">
        <v>465</v>
      </c>
      <c r="G38" s="171"/>
      <c r="H38" s="155" t="s">
        <v>92</v>
      </c>
      <c r="I38" s="155" t="s">
        <v>528</v>
      </c>
      <c r="J38" s="174"/>
      <c r="K38" s="169" t="s">
        <v>151</v>
      </c>
    </row>
    <row r="39" spans="2:34">
      <c r="C39" s="175">
        <v>0.28000000000000003</v>
      </c>
      <c r="D39" s="1603" t="s">
        <v>565</v>
      </c>
      <c r="E39" s="1603"/>
      <c r="F39" s="1603"/>
      <c r="G39" s="1603"/>
      <c r="H39" s="176">
        <f>$F$3</f>
        <v>471.6</v>
      </c>
      <c r="I39" s="156" t="str">
        <f>$K$3</f>
        <v>Hour</v>
      </c>
      <c r="J39" s="159" t="s">
        <v>596</v>
      </c>
      <c r="K39" s="176">
        <f>ROUND(C39*H39,2)</f>
        <v>132.05000000000001</v>
      </c>
    </row>
    <row r="40" spans="2:34">
      <c r="C40" s="177">
        <f>C39</f>
        <v>0.28000000000000003</v>
      </c>
      <c r="D40" s="1603" t="s">
        <v>188</v>
      </c>
      <c r="E40" s="1603"/>
      <c r="F40" s="1603"/>
      <c r="G40" s="1603"/>
      <c r="H40" s="176">
        <f>$G$3</f>
        <v>352.5</v>
      </c>
      <c r="I40" s="156" t="str">
        <f>$K$3</f>
        <v>Hour</v>
      </c>
      <c r="J40" s="159" t="s">
        <v>596</v>
      </c>
      <c r="K40" s="176">
        <f>ROUND(C40*H40,2)</f>
        <v>98.7</v>
      </c>
    </row>
    <row r="41" spans="2:34">
      <c r="C41" s="177">
        <f>C39</f>
        <v>0.28000000000000003</v>
      </c>
      <c r="D41" s="1603" t="s">
        <v>189</v>
      </c>
      <c r="E41" s="1603"/>
      <c r="F41" s="1603"/>
      <c r="G41" s="1603"/>
      <c r="H41" s="176">
        <f>$H$3</f>
        <v>211.6</v>
      </c>
      <c r="I41" s="156" t="str">
        <f>$K$3</f>
        <v>Hour</v>
      </c>
      <c r="J41" s="159" t="s">
        <v>596</v>
      </c>
      <c r="K41" s="176">
        <f>ROUND(C41*H41,2)</f>
        <v>59.25</v>
      </c>
    </row>
    <row r="42" spans="2:34">
      <c r="C42" s="177">
        <f>MAX($K$9,$K$10,$K$11)</f>
        <v>0</v>
      </c>
      <c r="D42" s="1603" t="str">
        <f>CONCATENATE("add area allowance at ",$K$12*100, "% on Rs.",)</f>
        <v>add area allowance at 0% on Rs.</v>
      </c>
      <c r="E42" s="1603"/>
      <c r="F42" s="1603"/>
      <c r="G42" s="1603"/>
      <c r="H42" s="176">
        <f>K41</f>
        <v>59.25</v>
      </c>
      <c r="J42" s="159" t="s">
        <v>596</v>
      </c>
      <c r="K42" s="176">
        <f>ROUND(C42*H42,2)</f>
        <v>0</v>
      </c>
    </row>
    <row r="43" spans="2:34">
      <c r="D43" s="157" t="s">
        <v>190</v>
      </c>
      <c r="E43" s="177">
        <f>E38</f>
        <v>5</v>
      </c>
      <c r="F43" s="157" t="str">
        <f>F38</f>
        <v>Cum</v>
      </c>
      <c r="J43" s="159" t="s">
        <v>596</v>
      </c>
      <c r="K43" s="176">
        <f>SUM(K39:K42)</f>
        <v>290</v>
      </c>
    </row>
    <row r="44" spans="2:34">
      <c r="D44" s="157" t="s">
        <v>190</v>
      </c>
      <c r="E44" s="178">
        <v>1</v>
      </c>
      <c r="F44" s="179" t="str">
        <f>F38</f>
        <v>Cum</v>
      </c>
      <c r="J44" s="159" t="s">
        <v>596</v>
      </c>
      <c r="K44" s="156">
        <f>ROUND(K43/E38,2)</f>
        <v>58</v>
      </c>
    </row>
    <row r="45" spans="2:34" ht="27.75" customHeight="1">
      <c r="C45" s="177">
        <f>$K$13</f>
        <v>0</v>
      </c>
      <c r="D45" s="1603" t="str">
        <f>CONCATENATE("add overheads and contractors profit at ",$K$13*100, "% on Rs.",)</f>
        <v>add overheads and contractors profit at 0% on Rs.</v>
      </c>
      <c r="E45" s="1603"/>
      <c r="F45" s="1603"/>
      <c r="G45" s="1603"/>
      <c r="H45" s="176">
        <f>K44</f>
        <v>58</v>
      </c>
      <c r="I45" s="156" t="str">
        <f>$K$3</f>
        <v>Hour</v>
      </c>
      <c r="J45" s="159" t="s">
        <v>596</v>
      </c>
      <c r="K45" s="176">
        <f>ROUND(C45*H45,2)</f>
        <v>0</v>
      </c>
    </row>
    <row r="46" spans="2:34" s="153" customFormat="1">
      <c r="B46" s="170"/>
      <c r="C46" s="171"/>
      <c r="D46" s="157" t="s">
        <v>191</v>
      </c>
      <c r="E46" s="171"/>
      <c r="F46" s="180">
        <f>E44</f>
        <v>1</v>
      </c>
      <c r="G46" s="171" t="str">
        <f>F44</f>
        <v>Cum</v>
      </c>
      <c r="H46" s="170"/>
      <c r="I46" s="170"/>
      <c r="J46" s="169" t="s">
        <v>596</v>
      </c>
      <c r="K46" s="181">
        <f>SUM(K44:K45)</f>
        <v>58</v>
      </c>
    </row>
    <row r="48" spans="2:34" s="152" customFormat="1" ht="12.3">
      <c r="B48" s="155">
        <v>4</v>
      </c>
      <c r="C48" s="168" t="s">
        <v>194</v>
      </c>
      <c r="D48" s="168"/>
      <c r="E48" s="168"/>
      <c r="F48" s="168"/>
      <c r="G48" s="168"/>
      <c r="H48" s="155"/>
      <c r="I48" s="155"/>
      <c r="J48" s="169"/>
      <c r="K48" s="169"/>
    </row>
    <row r="49" spans="2:11" s="153" customFormat="1" ht="12.3">
      <c r="B49" s="170"/>
      <c r="C49" s="171" t="s">
        <v>543</v>
      </c>
      <c r="D49" s="170" t="s">
        <v>544</v>
      </c>
      <c r="E49" s="172">
        <v>5</v>
      </c>
      <c r="F49" s="173" t="s">
        <v>465</v>
      </c>
      <c r="G49" s="171"/>
      <c r="H49" s="155" t="s">
        <v>92</v>
      </c>
      <c r="I49" s="155" t="s">
        <v>528</v>
      </c>
      <c r="J49" s="174"/>
      <c r="K49" s="169" t="s">
        <v>151</v>
      </c>
    </row>
    <row r="50" spans="2:11">
      <c r="C50" s="175">
        <v>0.34</v>
      </c>
      <c r="D50" s="1603" t="s">
        <v>565</v>
      </c>
      <c r="E50" s="1603"/>
      <c r="F50" s="1603"/>
      <c r="G50" s="1603"/>
      <c r="H50" s="176">
        <f>$F$3</f>
        <v>471.6</v>
      </c>
      <c r="I50" s="156" t="str">
        <f>$K$3</f>
        <v>Hour</v>
      </c>
      <c r="J50" s="159" t="s">
        <v>596</v>
      </c>
      <c r="K50" s="176">
        <f>ROUND(C50*H50,2)</f>
        <v>160.34</v>
      </c>
    </row>
    <row r="51" spans="2:11">
      <c r="C51" s="177">
        <f>C50</f>
        <v>0.34</v>
      </c>
      <c r="D51" s="1603" t="s">
        <v>188</v>
      </c>
      <c r="E51" s="1603"/>
      <c r="F51" s="1603"/>
      <c r="G51" s="1603"/>
      <c r="H51" s="176">
        <f>$G$3</f>
        <v>352.5</v>
      </c>
      <c r="I51" s="156" t="str">
        <f>$K$3</f>
        <v>Hour</v>
      </c>
      <c r="J51" s="159" t="s">
        <v>596</v>
      </c>
      <c r="K51" s="176">
        <f>ROUND(C51*H51,2)</f>
        <v>119.85</v>
      </c>
    </row>
    <row r="52" spans="2:11">
      <c r="C52" s="177">
        <f>C50</f>
        <v>0.34</v>
      </c>
      <c r="D52" s="1603" t="s">
        <v>189</v>
      </c>
      <c r="E52" s="1603"/>
      <c r="F52" s="1603"/>
      <c r="G52" s="1603"/>
      <c r="H52" s="176">
        <f>$H$3</f>
        <v>211.6</v>
      </c>
      <c r="I52" s="156" t="str">
        <f>$K$3</f>
        <v>Hour</v>
      </c>
      <c r="J52" s="159" t="s">
        <v>596</v>
      </c>
      <c r="K52" s="176">
        <f>ROUND(C52*H52,2)</f>
        <v>71.94</v>
      </c>
    </row>
    <row r="53" spans="2:11">
      <c r="C53" s="177">
        <f>MAX($K$9,$K$10,$K$11)</f>
        <v>0</v>
      </c>
      <c r="D53" s="1603" t="str">
        <f>CONCATENATE("add area allowance at ",$K$12*100, "% on Rs.",)</f>
        <v>add area allowance at 0% on Rs.</v>
      </c>
      <c r="E53" s="1603"/>
      <c r="F53" s="1603"/>
      <c r="G53" s="1603"/>
      <c r="H53" s="176">
        <f>K52</f>
        <v>71.94</v>
      </c>
      <c r="J53" s="159" t="s">
        <v>596</v>
      </c>
      <c r="K53" s="176">
        <f>ROUND(C53*H53,2)</f>
        <v>0</v>
      </c>
    </row>
    <row r="54" spans="2:11">
      <c r="D54" s="157" t="s">
        <v>190</v>
      </c>
      <c r="E54" s="177">
        <f>E49</f>
        <v>5</v>
      </c>
      <c r="F54" s="157" t="str">
        <f>F49</f>
        <v>Cum</v>
      </c>
      <c r="J54" s="159" t="s">
        <v>596</v>
      </c>
      <c r="K54" s="176">
        <f>SUM(K50:K53)</f>
        <v>352.13</v>
      </c>
    </row>
    <row r="55" spans="2:11">
      <c r="D55" s="157" t="s">
        <v>190</v>
      </c>
      <c r="E55" s="178">
        <v>1</v>
      </c>
      <c r="F55" s="179" t="str">
        <f>F49</f>
        <v>Cum</v>
      </c>
      <c r="J55" s="159" t="s">
        <v>596</v>
      </c>
      <c r="K55" s="176">
        <f>ROUND(K54/E49,2)</f>
        <v>70.430000000000007</v>
      </c>
    </row>
    <row r="56" spans="2:11" ht="27.75" customHeight="1">
      <c r="C56" s="177">
        <f>$K$13</f>
        <v>0</v>
      </c>
      <c r="D56" s="1603" t="str">
        <f>CONCATENATE("add overheads and contractors profit at ",$K$13*100, "% on Rs.",)</f>
        <v>add overheads and contractors profit at 0% on Rs.</v>
      </c>
      <c r="E56" s="1603"/>
      <c r="F56" s="1603"/>
      <c r="G56" s="1603"/>
      <c r="H56" s="176">
        <f>K55</f>
        <v>70.430000000000007</v>
      </c>
      <c r="I56" s="156" t="str">
        <f>$K$3</f>
        <v>Hour</v>
      </c>
      <c r="J56" s="159" t="s">
        <v>596</v>
      </c>
      <c r="K56" s="176">
        <f>ROUND(C56*H56,2)</f>
        <v>0</v>
      </c>
    </row>
    <row r="57" spans="2:11" s="153" customFormat="1">
      <c r="B57" s="170"/>
      <c r="C57" s="171"/>
      <c r="D57" s="157" t="s">
        <v>191</v>
      </c>
      <c r="E57" s="171"/>
      <c r="F57" s="180">
        <f>E55</f>
        <v>1</v>
      </c>
      <c r="G57" s="171" t="str">
        <f>F55</f>
        <v>Cum</v>
      </c>
      <c r="H57" s="170"/>
      <c r="I57" s="170"/>
      <c r="J57" s="169" t="s">
        <v>596</v>
      </c>
      <c r="K57" s="181">
        <f>SUM(K55:K56)</f>
        <v>70.430000000000007</v>
      </c>
    </row>
    <row r="59" spans="2:11" s="152" customFormat="1" ht="12.3">
      <c r="B59" s="155">
        <v>5</v>
      </c>
      <c r="C59" s="168" t="s">
        <v>195</v>
      </c>
      <c r="D59" s="168"/>
      <c r="E59" s="168"/>
      <c r="F59" s="168"/>
      <c r="G59" s="168"/>
      <c r="H59" s="155"/>
      <c r="I59" s="155"/>
      <c r="J59" s="169"/>
      <c r="K59" s="169"/>
    </row>
    <row r="60" spans="2:11" s="153" customFormat="1" ht="12.3">
      <c r="B60" s="170"/>
      <c r="C60" s="171" t="s">
        <v>543</v>
      </c>
      <c r="D60" s="170" t="s">
        <v>544</v>
      </c>
      <c r="E60" s="172">
        <v>5</v>
      </c>
      <c r="F60" s="173" t="s">
        <v>465</v>
      </c>
      <c r="G60" s="171"/>
      <c r="H60" s="155" t="s">
        <v>92</v>
      </c>
      <c r="I60" s="155" t="s">
        <v>528</v>
      </c>
      <c r="J60" s="174"/>
      <c r="K60" s="169" t="s">
        <v>151</v>
      </c>
    </row>
    <row r="61" spans="2:11">
      <c r="C61" s="175">
        <v>0.4</v>
      </c>
      <c r="D61" s="1603" t="s">
        <v>565</v>
      </c>
      <c r="E61" s="1603"/>
      <c r="F61" s="1603"/>
      <c r="G61" s="1603"/>
      <c r="H61" s="176">
        <f>$F$3</f>
        <v>471.6</v>
      </c>
      <c r="I61" s="156" t="str">
        <f>$K$3</f>
        <v>Hour</v>
      </c>
      <c r="J61" s="159" t="s">
        <v>596</v>
      </c>
      <c r="K61" s="176">
        <f>ROUND(C61*H61,2)</f>
        <v>188.64</v>
      </c>
    </row>
    <row r="62" spans="2:11">
      <c r="C62" s="177">
        <f>C61</f>
        <v>0.4</v>
      </c>
      <c r="D62" s="1603" t="s">
        <v>188</v>
      </c>
      <c r="E62" s="1603"/>
      <c r="F62" s="1603"/>
      <c r="G62" s="1603"/>
      <c r="H62" s="176">
        <f>$G$3</f>
        <v>352.5</v>
      </c>
      <c r="I62" s="156" t="str">
        <f>$K$3</f>
        <v>Hour</v>
      </c>
      <c r="J62" s="159" t="s">
        <v>596</v>
      </c>
      <c r="K62" s="176">
        <f>ROUND(C62*H62,2)</f>
        <v>141</v>
      </c>
    </row>
    <row r="63" spans="2:11">
      <c r="C63" s="177">
        <f>C61</f>
        <v>0.4</v>
      </c>
      <c r="D63" s="1603" t="s">
        <v>189</v>
      </c>
      <c r="E63" s="1603"/>
      <c r="F63" s="1603"/>
      <c r="G63" s="1603"/>
      <c r="H63" s="176">
        <f>$H$3</f>
        <v>211.6</v>
      </c>
      <c r="I63" s="156" t="str">
        <f>$K$3</f>
        <v>Hour</v>
      </c>
      <c r="J63" s="159" t="s">
        <v>596</v>
      </c>
      <c r="K63" s="176">
        <f>ROUND(C63*H63,2)</f>
        <v>84.64</v>
      </c>
    </row>
    <row r="64" spans="2:11">
      <c r="C64" s="177">
        <f>MAX($K$9,$K$10,$K$11)</f>
        <v>0</v>
      </c>
      <c r="D64" s="1603" t="str">
        <f>CONCATENATE("add area allowance at ",$K$12*100, "% on Rs.",)</f>
        <v>add area allowance at 0% on Rs.</v>
      </c>
      <c r="E64" s="1603"/>
      <c r="F64" s="1603"/>
      <c r="G64" s="1603"/>
      <c r="H64" s="176">
        <f>K63</f>
        <v>84.64</v>
      </c>
      <c r="J64" s="159" t="s">
        <v>596</v>
      </c>
      <c r="K64" s="176">
        <f>ROUND(C64*H64,2)</f>
        <v>0</v>
      </c>
    </row>
    <row r="65" spans="2:11">
      <c r="D65" s="157" t="s">
        <v>190</v>
      </c>
      <c r="E65" s="177">
        <f>E60</f>
        <v>5</v>
      </c>
      <c r="F65" s="157" t="str">
        <f>F60</f>
        <v>Cum</v>
      </c>
      <c r="J65" s="159" t="s">
        <v>596</v>
      </c>
      <c r="K65" s="176">
        <f>SUM(K61:K64)</f>
        <v>414.28</v>
      </c>
    </row>
    <row r="66" spans="2:11">
      <c r="D66" s="157" t="s">
        <v>190</v>
      </c>
      <c r="E66" s="178">
        <v>1</v>
      </c>
      <c r="F66" s="179" t="str">
        <f>F60</f>
        <v>Cum</v>
      </c>
      <c r="J66" s="159" t="s">
        <v>596</v>
      </c>
      <c r="K66" s="156">
        <f>ROUND(K65/E60,2)</f>
        <v>82.86</v>
      </c>
    </row>
    <row r="67" spans="2:11" ht="27.75" customHeight="1">
      <c r="C67" s="177">
        <f>$K$13</f>
        <v>0</v>
      </c>
      <c r="D67" s="1603" t="str">
        <f>CONCATENATE("add overheads and contractors profit at ",$K$13*100, "% on Rs.",)</f>
        <v>add overheads and contractors profit at 0% on Rs.</v>
      </c>
      <c r="E67" s="1603"/>
      <c r="F67" s="1603"/>
      <c r="G67" s="1603"/>
      <c r="H67" s="176">
        <f>K66</f>
        <v>82.86</v>
      </c>
      <c r="I67" s="156" t="str">
        <f>$K$3</f>
        <v>Hour</v>
      </c>
      <c r="J67" s="159" t="s">
        <v>596</v>
      </c>
      <c r="K67" s="176">
        <f>ROUND(C67*H67,2)</f>
        <v>0</v>
      </c>
    </row>
    <row r="68" spans="2:11" s="153" customFormat="1">
      <c r="B68" s="170"/>
      <c r="C68" s="171"/>
      <c r="D68" s="157" t="s">
        <v>191</v>
      </c>
      <c r="E68" s="171"/>
      <c r="F68" s="180">
        <f>E66</f>
        <v>1</v>
      </c>
      <c r="G68" s="171" t="str">
        <f>F66</f>
        <v>Cum</v>
      </c>
      <c r="H68" s="170"/>
      <c r="I68" s="170"/>
      <c r="J68" s="169" t="s">
        <v>596</v>
      </c>
      <c r="K68" s="181">
        <f>SUM(K66:K67)</f>
        <v>82.86</v>
      </c>
    </row>
    <row r="70" spans="2:11" s="152" customFormat="1" ht="12.3">
      <c r="B70" s="155">
        <v>6</v>
      </c>
      <c r="C70" s="168" t="s">
        <v>246</v>
      </c>
      <c r="D70" s="168"/>
      <c r="E70" s="168"/>
      <c r="F70" s="168"/>
      <c r="G70" s="168"/>
      <c r="H70" s="155"/>
      <c r="I70" s="155"/>
      <c r="J70" s="169"/>
      <c r="K70" s="169"/>
    </row>
    <row r="71" spans="2:11" s="153" customFormat="1" ht="12.3">
      <c r="B71" s="170"/>
      <c r="C71" s="171" t="s">
        <v>543</v>
      </c>
      <c r="D71" s="170" t="s">
        <v>544</v>
      </c>
      <c r="E71" s="172">
        <v>5</v>
      </c>
      <c r="F71" s="173" t="s">
        <v>465</v>
      </c>
      <c r="G71" s="171"/>
      <c r="H71" s="155" t="s">
        <v>92</v>
      </c>
      <c r="I71" s="155" t="s">
        <v>528</v>
      </c>
      <c r="J71" s="174"/>
      <c r="K71" s="169" t="s">
        <v>151</v>
      </c>
    </row>
    <row r="72" spans="2:11">
      <c r="C72" s="175">
        <v>0.06</v>
      </c>
      <c r="D72" s="1603" t="s">
        <v>565</v>
      </c>
      <c r="E72" s="1603"/>
      <c r="F72" s="1603"/>
      <c r="G72" s="1603"/>
      <c r="H72" s="176">
        <f>$F$3</f>
        <v>471.6</v>
      </c>
      <c r="I72" s="156" t="str">
        <f>$K$3</f>
        <v>Hour</v>
      </c>
      <c r="J72" s="159" t="s">
        <v>596</v>
      </c>
      <c r="K72" s="176">
        <f>ROUND(C72*H72,2)</f>
        <v>28.3</v>
      </c>
    </row>
    <row r="73" spans="2:11">
      <c r="C73" s="177">
        <f>C72</f>
        <v>0.06</v>
      </c>
      <c r="D73" s="1603" t="s">
        <v>188</v>
      </c>
      <c r="E73" s="1603"/>
      <c r="F73" s="1603"/>
      <c r="G73" s="1603"/>
      <c r="H73" s="176">
        <f>$G$3</f>
        <v>352.5</v>
      </c>
      <c r="I73" s="156" t="str">
        <f>$K$3</f>
        <v>Hour</v>
      </c>
      <c r="J73" s="159" t="s">
        <v>596</v>
      </c>
      <c r="K73" s="176">
        <f>ROUND(C73*H73,2)</f>
        <v>21.15</v>
      </c>
    </row>
    <row r="74" spans="2:11">
      <c r="C74" s="177">
        <f>C72</f>
        <v>0.06</v>
      </c>
      <c r="D74" s="1603" t="s">
        <v>189</v>
      </c>
      <c r="E74" s="1603"/>
      <c r="F74" s="1603"/>
      <c r="G74" s="1603"/>
      <c r="H74" s="176">
        <f>$H$3</f>
        <v>211.6</v>
      </c>
      <c r="I74" s="156" t="str">
        <f>$K$3</f>
        <v>Hour</v>
      </c>
      <c r="J74" s="159" t="s">
        <v>596</v>
      </c>
      <c r="K74" s="176">
        <f>ROUND(C74*H74,2)</f>
        <v>12.7</v>
      </c>
    </row>
    <row r="75" spans="2:11">
      <c r="C75" s="177">
        <f>MAX($K$9,$K$10,$K$11)</f>
        <v>0</v>
      </c>
      <c r="D75" s="1603" t="str">
        <f>CONCATENATE("add area allowance at ",$K$12*100, "% on Rs.",)</f>
        <v>add area allowance at 0% on Rs.</v>
      </c>
      <c r="E75" s="1603"/>
      <c r="F75" s="1603"/>
      <c r="G75" s="1603"/>
      <c r="H75" s="176">
        <f>K74</f>
        <v>12.7</v>
      </c>
      <c r="J75" s="159" t="s">
        <v>596</v>
      </c>
      <c r="K75" s="176">
        <f>ROUND(C75*H75,2)</f>
        <v>0</v>
      </c>
    </row>
    <row r="76" spans="2:11">
      <c r="D76" s="157" t="s">
        <v>190</v>
      </c>
      <c r="E76" s="177">
        <f>E71</f>
        <v>5</v>
      </c>
      <c r="F76" s="157" t="str">
        <f>F71</f>
        <v>Cum</v>
      </c>
      <c r="J76" s="159" t="s">
        <v>596</v>
      </c>
      <c r="K76" s="176">
        <f>SUM(K72:K75)</f>
        <v>62.150000000000006</v>
      </c>
    </row>
    <row r="77" spans="2:11">
      <c r="D77" s="157" t="s">
        <v>190</v>
      </c>
      <c r="E77" s="178">
        <v>1</v>
      </c>
      <c r="F77" s="179" t="str">
        <f>F71</f>
        <v>Cum</v>
      </c>
      <c r="J77" s="159" t="s">
        <v>596</v>
      </c>
      <c r="K77" s="156">
        <f>ROUND(K76/E71,2)</f>
        <v>12.43</v>
      </c>
    </row>
    <row r="78" spans="2:11" ht="27.75" customHeight="1">
      <c r="C78" s="177">
        <f>$K$13</f>
        <v>0</v>
      </c>
      <c r="D78" s="1603" t="str">
        <f>CONCATENATE("add overheads and contractors profit at ",$K$13*100, "% on Rs.",)</f>
        <v>add overheads and contractors profit at 0% on Rs.</v>
      </c>
      <c r="E78" s="1603"/>
      <c r="F78" s="1603"/>
      <c r="G78" s="1603"/>
      <c r="H78" s="176">
        <f>K77</f>
        <v>12.43</v>
      </c>
      <c r="I78" s="156" t="str">
        <f>$K$3</f>
        <v>Hour</v>
      </c>
      <c r="J78" s="159" t="s">
        <v>596</v>
      </c>
      <c r="K78" s="176">
        <f>ROUND(C78*H78,2)</f>
        <v>0</v>
      </c>
    </row>
    <row r="79" spans="2:11" s="153" customFormat="1">
      <c r="B79" s="170"/>
      <c r="C79" s="171"/>
      <c r="D79" s="157" t="s">
        <v>191</v>
      </c>
      <c r="E79" s="171"/>
      <c r="F79" s="180">
        <f>E77</f>
        <v>1</v>
      </c>
      <c r="G79" s="171" t="str">
        <f>F77</f>
        <v>Cum</v>
      </c>
      <c r="H79" s="170"/>
      <c r="I79" s="170"/>
      <c r="J79" s="169" t="s">
        <v>596</v>
      </c>
      <c r="K79" s="181">
        <f>SUM(K77:K78)</f>
        <v>12.43</v>
      </c>
    </row>
    <row r="81" spans="2:11" s="152" customFormat="1" ht="12.3">
      <c r="B81" s="155">
        <v>7</v>
      </c>
      <c r="C81" s="168" t="s">
        <v>247</v>
      </c>
      <c r="D81" s="168"/>
      <c r="E81" s="168"/>
      <c r="F81" s="168"/>
      <c r="G81" s="168"/>
      <c r="H81" s="155"/>
      <c r="I81" s="155"/>
      <c r="J81" s="169"/>
      <c r="K81" s="169"/>
    </row>
    <row r="82" spans="2:11" s="153" customFormat="1" ht="12.3">
      <c r="B82" s="170"/>
      <c r="C82" s="171" t="s">
        <v>543</v>
      </c>
      <c r="D82" s="170" t="s">
        <v>544</v>
      </c>
      <c r="E82" s="172">
        <v>5</v>
      </c>
      <c r="F82" s="173" t="s">
        <v>465</v>
      </c>
      <c r="G82" s="171"/>
      <c r="H82" s="155" t="s">
        <v>92</v>
      </c>
      <c r="I82" s="155" t="s">
        <v>528</v>
      </c>
      <c r="J82" s="174"/>
      <c r="K82" s="169" t="s">
        <v>151</v>
      </c>
    </row>
    <row r="83" spans="2:11">
      <c r="C83" s="175">
        <v>0.05</v>
      </c>
      <c r="D83" s="1603" t="s">
        <v>565</v>
      </c>
      <c r="E83" s="1603"/>
      <c r="F83" s="1603"/>
      <c r="G83" s="1603"/>
      <c r="H83" s="176">
        <f>$F$3</f>
        <v>471.6</v>
      </c>
      <c r="I83" s="156" t="str">
        <f>$K$3</f>
        <v>Hour</v>
      </c>
      <c r="J83" s="159" t="s">
        <v>596</v>
      </c>
      <c r="K83" s="176">
        <f>ROUND(C83*H83,2)</f>
        <v>23.58</v>
      </c>
    </row>
    <row r="84" spans="2:11">
      <c r="C84" s="177">
        <f>C83</f>
        <v>0.05</v>
      </c>
      <c r="D84" s="1603" t="s">
        <v>188</v>
      </c>
      <c r="E84" s="1603"/>
      <c r="F84" s="1603"/>
      <c r="G84" s="1603"/>
      <c r="H84" s="176">
        <f>$G$3</f>
        <v>352.5</v>
      </c>
      <c r="I84" s="156" t="str">
        <f>$K$3</f>
        <v>Hour</v>
      </c>
      <c r="J84" s="159" t="s">
        <v>596</v>
      </c>
      <c r="K84" s="176">
        <f>ROUND(C84*H84,2)</f>
        <v>17.63</v>
      </c>
    </row>
    <row r="85" spans="2:11">
      <c r="C85" s="177">
        <f>C83</f>
        <v>0.05</v>
      </c>
      <c r="D85" s="1603" t="s">
        <v>189</v>
      </c>
      <c r="E85" s="1603"/>
      <c r="F85" s="1603"/>
      <c r="G85" s="1603"/>
      <c r="H85" s="176">
        <f>$H$3</f>
        <v>211.6</v>
      </c>
      <c r="I85" s="156" t="str">
        <f>$K$3</f>
        <v>Hour</v>
      </c>
      <c r="J85" s="159" t="s">
        <v>596</v>
      </c>
      <c r="K85" s="176">
        <f>ROUND(C85*H85,2)</f>
        <v>10.58</v>
      </c>
    </row>
    <row r="86" spans="2:11">
      <c r="C86" s="177">
        <f>MAX($K$9,$K$10,$K$11)</f>
        <v>0</v>
      </c>
      <c r="D86" s="1603" t="str">
        <f>CONCATENATE("add area allowance at ",$K$12*100, "% on Rs.",)</f>
        <v>add area allowance at 0% on Rs.</v>
      </c>
      <c r="E86" s="1603"/>
      <c r="F86" s="1603"/>
      <c r="G86" s="1603"/>
      <c r="H86" s="176">
        <f>K85</f>
        <v>10.58</v>
      </c>
      <c r="J86" s="159" t="s">
        <v>596</v>
      </c>
      <c r="K86" s="176">
        <f>ROUND(C86*H86,2)</f>
        <v>0</v>
      </c>
    </row>
    <row r="87" spans="2:11">
      <c r="D87" s="157" t="s">
        <v>190</v>
      </c>
      <c r="E87" s="177">
        <f>E82</f>
        <v>5</v>
      </c>
      <c r="F87" s="157" t="str">
        <f>F82</f>
        <v>Cum</v>
      </c>
      <c r="J87" s="159" t="s">
        <v>596</v>
      </c>
      <c r="K87" s="176">
        <f>SUM(K83:K86)</f>
        <v>51.789999999999992</v>
      </c>
    </row>
    <row r="88" spans="2:11">
      <c r="D88" s="157" t="s">
        <v>190</v>
      </c>
      <c r="E88" s="178">
        <v>1</v>
      </c>
      <c r="F88" s="179" t="str">
        <f>F82</f>
        <v>Cum</v>
      </c>
      <c r="J88" s="159" t="s">
        <v>596</v>
      </c>
      <c r="K88" s="156">
        <f>ROUND(K87/E82,2)</f>
        <v>10.36</v>
      </c>
    </row>
    <row r="89" spans="2:11" ht="27.75" customHeight="1">
      <c r="C89" s="177">
        <f>$K$13</f>
        <v>0</v>
      </c>
      <c r="D89" s="1603" t="str">
        <f>CONCATENATE("add overheads and contractors profit at ",$K$13*100, "% on Rs.",)</f>
        <v>add overheads and contractors profit at 0% on Rs.</v>
      </c>
      <c r="E89" s="1603"/>
      <c r="F89" s="1603"/>
      <c r="G89" s="1603"/>
      <c r="H89" s="176">
        <f>K88</f>
        <v>10.36</v>
      </c>
      <c r="J89" s="159" t="s">
        <v>596</v>
      </c>
      <c r="K89" s="176">
        <f>ROUND(C89*H89,2)</f>
        <v>0</v>
      </c>
    </row>
    <row r="90" spans="2:11" s="153" customFormat="1">
      <c r="B90" s="170"/>
      <c r="C90" s="171"/>
      <c r="D90" s="157" t="s">
        <v>191</v>
      </c>
      <c r="E90" s="171"/>
      <c r="F90" s="180">
        <f>E88</f>
        <v>1</v>
      </c>
      <c r="G90" s="171" t="str">
        <f>F88</f>
        <v>Cum</v>
      </c>
      <c r="H90" s="170"/>
      <c r="I90" s="170"/>
      <c r="J90" s="169" t="s">
        <v>596</v>
      </c>
      <c r="K90" s="181">
        <f>SUM(K88:K89)</f>
        <v>10.36</v>
      </c>
    </row>
    <row r="92" spans="2:11" s="152" customFormat="1" ht="16.5" customHeight="1">
      <c r="B92" s="155" t="s">
        <v>111</v>
      </c>
      <c r="C92" s="1605" t="s">
        <v>548</v>
      </c>
      <c r="D92" s="1605"/>
      <c r="E92" s="1605"/>
      <c r="F92" s="1605"/>
      <c r="G92" s="1605"/>
      <c r="H92" s="1605"/>
      <c r="I92" s="1605"/>
      <c r="J92" s="1605"/>
      <c r="K92" s="1605"/>
    </row>
    <row r="93" spans="2:11" s="152" customFormat="1" ht="12.3">
      <c r="B93" s="155">
        <v>1</v>
      </c>
      <c r="C93" s="168" t="s">
        <v>542</v>
      </c>
      <c r="D93" s="168"/>
      <c r="E93" s="168"/>
      <c r="F93" s="168"/>
      <c r="G93" s="168"/>
      <c r="H93" s="155"/>
      <c r="I93" s="155"/>
      <c r="J93" s="169"/>
      <c r="K93" s="169"/>
    </row>
    <row r="94" spans="2:11" s="153" customFormat="1" ht="12.3">
      <c r="B94" s="170"/>
      <c r="C94" s="171" t="s">
        <v>543</v>
      </c>
      <c r="D94" s="170" t="s">
        <v>544</v>
      </c>
      <c r="E94" s="172">
        <v>5</v>
      </c>
      <c r="F94" s="173" t="s">
        <v>465</v>
      </c>
      <c r="G94" s="171"/>
      <c r="H94" s="155" t="s">
        <v>92</v>
      </c>
      <c r="I94" s="155" t="s">
        <v>528</v>
      </c>
      <c r="J94" s="174"/>
      <c r="K94" s="169" t="s">
        <v>151</v>
      </c>
    </row>
    <row r="95" spans="2:11">
      <c r="C95" s="175">
        <v>0.15</v>
      </c>
      <c r="D95" s="1603" t="s">
        <v>565</v>
      </c>
      <c r="E95" s="1603"/>
      <c r="F95" s="1603"/>
      <c r="G95" s="1603"/>
      <c r="H95" s="176">
        <f>$F$3</f>
        <v>471.6</v>
      </c>
      <c r="I95" s="156" t="str">
        <f>$K$3</f>
        <v>Hour</v>
      </c>
      <c r="J95" s="159" t="s">
        <v>596</v>
      </c>
      <c r="K95" s="176">
        <f>ROUND(C95*H95,2)</f>
        <v>70.739999999999995</v>
      </c>
    </row>
    <row r="96" spans="2:11">
      <c r="C96" s="177">
        <f>C95</f>
        <v>0.15</v>
      </c>
      <c r="D96" s="1603" t="s">
        <v>188</v>
      </c>
      <c r="E96" s="1603"/>
      <c r="F96" s="1603"/>
      <c r="G96" s="1603"/>
      <c r="H96" s="176">
        <f>$G$3</f>
        <v>352.5</v>
      </c>
      <c r="I96" s="156" t="str">
        <f>$K$3</f>
        <v>Hour</v>
      </c>
      <c r="J96" s="159" t="s">
        <v>596</v>
      </c>
      <c r="K96" s="176">
        <f>ROUND(C96*H96,2)</f>
        <v>52.88</v>
      </c>
    </row>
    <row r="97" spans="2:11">
      <c r="C97" s="177">
        <f>C95</f>
        <v>0.15</v>
      </c>
      <c r="D97" s="1603" t="s">
        <v>189</v>
      </c>
      <c r="E97" s="1603"/>
      <c r="F97" s="1603"/>
      <c r="G97" s="1603"/>
      <c r="H97" s="176">
        <f>$H$3</f>
        <v>211.6</v>
      </c>
      <c r="I97" s="156" t="str">
        <f>$K$3</f>
        <v>Hour</v>
      </c>
      <c r="J97" s="159" t="s">
        <v>596</v>
      </c>
      <c r="K97" s="176">
        <f>ROUND(C97*H97,2)</f>
        <v>31.74</v>
      </c>
    </row>
    <row r="98" spans="2:11">
      <c r="C98" s="177">
        <f>MAX($K$9,$K$10,$K$11)</f>
        <v>0</v>
      </c>
      <c r="D98" s="1603" t="str">
        <f>CONCATENATE("add area allowance at ",$K$12*100, "% on Rs.",)</f>
        <v>add area allowance at 0% on Rs.</v>
      </c>
      <c r="E98" s="1603"/>
      <c r="F98" s="1603"/>
      <c r="G98" s="1603"/>
      <c r="H98" s="176">
        <f>K97</f>
        <v>31.74</v>
      </c>
      <c r="J98" s="159" t="s">
        <v>596</v>
      </c>
      <c r="K98" s="176">
        <f>ROUND(C98*H98,2)</f>
        <v>0</v>
      </c>
    </row>
    <row r="99" spans="2:11">
      <c r="D99" s="157" t="s">
        <v>190</v>
      </c>
      <c r="E99" s="177">
        <f>E94</f>
        <v>5</v>
      </c>
      <c r="F99" s="157" t="str">
        <f>F94</f>
        <v>Cum</v>
      </c>
      <c r="J99" s="159" t="s">
        <v>596</v>
      </c>
      <c r="K99" s="176">
        <f>SUM(K95:K98)</f>
        <v>155.36000000000001</v>
      </c>
    </row>
    <row r="100" spans="2:11">
      <c r="D100" s="157" t="s">
        <v>190</v>
      </c>
      <c r="E100" s="178">
        <v>1</v>
      </c>
      <c r="F100" s="179" t="str">
        <f>F94</f>
        <v>Cum</v>
      </c>
      <c r="J100" s="159" t="s">
        <v>596</v>
      </c>
      <c r="K100" s="156">
        <f>ROUND(K99/E94,2)</f>
        <v>31.07</v>
      </c>
    </row>
    <row r="101" spans="2:11" ht="24.75" customHeight="1">
      <c r="C101" s="177">
        <f>$K$13</f>
        <v>0</v>
      </c>
      <c r="D101" s="1603" t="str">
        <f>CONCATENATE("add overheads and contractors profit at ",$K$13*100, "% on Rs.",)</f>
        <v>add overheads and contractors profit at 0% on Rs.</v>
      </c>
      <c r="E101" s="1603"/>
      <c r="F101" s="1603"/>
      <c r="G101" s="1603"/>
      <c r="H101" s="176">
        <f>K100</f>
        <v>31.07</v>
      </c>
      <c r="J101" s="159" t="s">
        <v>596</v>
      </c>
      <c r="K101" s="176">
        <f>ROUND(C101*H101,2)</f>
        <v>0</v>
      </c>
    </row>
    <row r="102" spans="2:11" s="153" customFormat="1">
      <c r="B102" s="170"/>
      <c r="C102" s="171"/>
      <c r="D102" s="157" t="s">
        <v>191</v>
      </c>
      <c r="E102" s="171"/>
      <c r="F102" s="180">
        <f>E100</f>
        <v>1</v>
      </c>
      <c r="G102" s="171" t="str">
        <f>F100</f>
        <v>Cum</v>
      </c>
      <c r="H102" s="170"/>
      <c r="I102" s="170"/>
      <c r="J102" s="169" t="s">
        <v>596</v>
      </c>
      <c r="K102" s="181">
        <f>SUM(K100:K101)</f>
        <v>31.07</v>
      </c>
    </row>
    <row r="103" spans="2:11" s="153" customFormat="1">
      <c r="B103" s="170"/>
      <c r="C103" s="171"/>
      <c r="D103" s="157"/>
      <c r="E103" s="171"/>
      <c r="F103" s="180"/>
      <c r="G103" s="171"/>
      <c r="H103" s="170"/>
      <c r="I103" s="170"/>
      <c r="J103" s="169"/>
      <c r="K103" s="181"/>
    </row>
    <row r="104" spans="2:11" s="152" customFormat="1" ht="12.3">
      <c r="B104" s="155">
        <v>2</v>
      </c>
      <c r="C104" s="168" t="s">
        <v>192</v>
      </c>
      <c r="D104" s="168"/>
      <c r="E104" s="168"/>
      <c r="F104" s="168"/>
      <c r="G104" s="168"/>
      <c r="H104" s="155"/>
      <c r="I104" s="155"/>
      <c r="J104" s="169"/>
      <c r="K104" s="169"/>
    </row>
    <row r="105" spans="2:11" s="153" customFormat="1" ht="12.3">
      <c r="B105" s="170"/>
      <c r="C105" s="171" t="s">
        <v>543</v>
      </c>
      <c r="D105" s="170" t="s">
        <v>544</v>
      </c>
      <c r="E105" s="172">
        <v>5</v>
      </c>
      <c r="F105" s="173" t="s">
        <v>465</v>
      </c>
      <c r="G105" s="171"/>
      <c r="H105" s="155" t="s">
        <v>92</v>
      </c>
      <c r="I105" s="155" t="s">
        <v>528</v>
      </c>
      <c r="J105" s="174"/>
      <c r="K105" s="169" t="s">
        <v>151</v>
      </c>
    </row>
    <row r="106" spans="2:11">
      <c r="C106" s="175">
        <v>0.21</v>
      </c>
      <c r="D106" s="1603" t="s">
        <v>565</v>
      </c>
      <c r="E106" s="1603"/>
      <c r="F106" s="1603"/>
      <c r="G106" s="1603"/>
      <c r="H106" s="176">
        <f>$F$3</f>
        <v>471.6</v>
      </c>
      <c r="I106" s="156" t="str">
        <f>$K$3</f>
        <v>Hour</v>
      </c>
      <c r="J106" s="159" t="s">
        <v>596</v>
      </c>
      <c r="K106" s="176">
        <f>ROUND(C106*H106,2)</f>
        <v>99.04</v>
      </c>
    </row>
    <row r="107" spans="2:11">
      <c r="C107" s="177">
        <f>C106</f>
        <v>0.21</v>
      </c>
      <c r="D107" s="1603" t="s">
        <v>188</v>
      </c>
      <c r="E107" s="1603"/>
      <c r="F107" s="1603"/>
      <c r="G107" s="1603"/>
      <c r="H107" s="176">
        <f>$G$3</f>
        <v>352.5</v>
      </c>
      <c r="I107" s="156" t="str">
        <f>$K$3</f>
        <v>Hour</v>
      </c>
      <c r="J107" s="159" t="s">
        <v>596</v>
      </c>
      <c r="K107" s="176">
        <f>ROUND(C107*H107,2)</f>
        <v>74.03</v>
      </c>
    </row>
    <row r="108" spans="2:11">
      <c r="C108" s="177">
        <f>C106</f>
        <v>0.21</v>
      </c>
      <c r="D108" s="1603" t="s">
        <v>189</v>
      </c>
      <c r="E108" s="1603"/>
      <c r="F108" s="1603"/>
      <c r="G108" s="1603"/>
      <c r="H108" s="176">
        <f>$H$3</f>
        <v>211.6</v>
      </c>
      <c r="I108" s="156" t="str">
        <f>$K$3</f>
        <v>Hour</v>
      </c>
      <c r="J108" s="159" t="s">
        <v>596</v>
      </c>
      <c r="K108" s="176">
        <f>ROUND(C108*H108,2)</f>
        <v>44.44</v>
      </c>
    </row>
    <row r="109" spans="2:11">
      <c r="C109" s="177">
        <f>MAX($K$9,$K$10,$K$11)</f>
        <v>0</v>
      </c>
      <c r="D109" s="1603" t="str">
        <f>CONCATENATE("add area allowance at ",$K$12*100, "% on Rs.",)</f>
        <v>add area allowance at 0% on Rs.</v>
      </c>
      <c r="E109" s="1603"/>
      <c r="F109" s="1603"/>
      <c r="G109" s="1603"/>
      <c r="H109" s="176">
        <f>K108</f>
        <v>44.44</v>
      </c>
      <c r="J109" s="159" t="s">
        <v>596</v>
      </c>
      <c r="K109" s="176">
        <f>ROUND(C109*H109,2)</f>
        <v>0</v>
      </c>
    </row>
    <row r="110" spans="2:11">
      <c r="D110" s="157" t="s">
        <v>190</v>
      </c>
      <c r="E110" s="177">
        <f>E105</f>
        <v>5</v>
      </c>
      <c r="F110" s="157" t="str">
        <f>F105</f>
        <v>Cum</v>
      </c>
      <c r="J110" s="159" t="s">
        <v>596</v>
      </c>
      <c r="K110" s="176">
        <f>SUM(K106:K109)</f>
        <v>217.51</v>
      </c>
    </row>
    <row r="111" spans="2:11">
      <c r="D111" s="157" t="s">
        <v>190</v>
      </c>
      <c r="E111" s="178">
        <v>1</v>
      </c>
      <c r="F111" s="179" t="str">
        <f>F105</f>
        <v>Cum</v>
      </c>
      <c r="J111" s="159" t="s">
        <v>596</v>
      </c>
      <c r="K111" s="156">
        <f>ROUND(K110/E105,2)</f>
        <v>43.5</v>
      </c>
    </row>
    <row r="112" spans="2:11" ht="27.75" customHeight="1">
      <c r="C112" s="177">
        <f>$K$13</f>
        <v>0</v>
      </c>
      <c r="D112" s="1603" t="str">
        <f>CONCATENATE("add overheads and contractors profit at ",$K$13*100, "% on Rs.",)</f>
        <v>add overheads and contractors profit at 0% on Rs.</v>
      </c>
      <c r="E112" s="1603"/>
      <c r="F112" s="1603"/>
      <c r="G112" s="1603"/>
      <c r="H112" s="176">
        <f>K111</f>
        <v>43.5</v>
      </c>
      <c r="I112" s="156" t="str">
        <f>$K$3</f>
        <v>Hour</v>
      </c>
      <c r="J112" s="159" t="s">
        <v>596</v>
      </c>
      <c r="K112" s="176">
        <f>ROUND(C112*H112,2)</f>
        <v>0</v>
      </c>
    </row>
    <row r="113" spans="2:11" s="153" customFormat="1">
      <c r="B113" s="170"/>
      <c r="C113" s="171"/>
      <c r="D113" s="157" t="s">
        <v>191</v>
      </c>
      <c r="E113" s="171"/>
      <c r="F113" s="180">
        <f>E111</f>
        <v>1</v>
      </c>
      <c r="G113" s="171" t="str">
        <f>F111</f>
        <v>Cum</v>
      </c>
      <c r="H113" s="170"/>
      <c r="I113" s="170"/>
      <c r="J113" s="169" t="s">
        <v>596</v>
      </c>
      <c r="K113" s="181">
        <f>SUM(K111:K112)</f>
        <v>43.5</v>
      </c>
    </row>
    <row r="115" spans="2:11" s="152" customFormat="1" ht="12.3">
      <c r="B115" s="155">
        <v>3</v>
      </c>
      <c r="C115" s="168" t="s">
        <v>193</v>
      </c>
      <c r="D115" s="168"/>
      <c r="E115" s="168"/>
      <c r="F115" s="168"/>
      <c r="G115" s="168"/>
      <c r="H115" s="155"/>
      <c r="I115" s="155"/>
      <c r="J115" s="169"/>
      <c r="K115" s="169"/>
    </row>
    <row r="116" spans="2:11" s="153" customFormat="1" ht="12.3">
      <c r="B116" s="170"/>
      <c r="C116" s="171" t="s">
        <v>543</v>
      </c>
      <c r="D116" s="170" t="s">
        <v>544</v>
      </c>
      <c r="E116" s="172">
        <v>5</v>
      </c>
      <c r="F116" s="173" t="s">
        <v>465</v>
      </c>
      <c r="G116" s="171"/>
      <c r="H116" s="155" t="s">
        <v>92</v>
      </c>
      <c r="I116" s="155" t="s">
        <v>528</v>
      </c>
      <c r="J116" s="174"/>
      <c r="K116" s="169" t="s">
        <v>151</v>
      </c>
    </row>
    <row r="117" spans="2:11">
      <c r="C117" s="175">
        <v>0.28000000000000003</v>
      </c>
      <c r="D117" s="1603" t="s">
        <v>565</v>
      </c>
      <c r="E117" s="1603"/>
      <c r="F117" s="1603"/>
      <c r="G117" s="1603"/>
      <c r="H117" s="176">
        <f>$F$3</f>
        <v>471.6</v>
      </c>
      <c r="I117" s="156" t="str">
        <f>$K$3</f>
        <v>Hour</v>
      </c>
      <c r="J117" s="159" t="s">
        <v>596</v>
      </c>
      <c r="K117" s="176">
        <f>ROUND(C117*H117,2)</f>
        <v>132.05000000000001</v>
      </c>
    </row>
    <row r="118" spans="2:11">
      <c r="C118" s="177">
        <f>C117</f>
        <v>0.28000000000000003</v>
      </c>
      <c r="D118" s="1603" t="s">
        <v>188</v>
      </c>
      <c r="E118" s="1603"/>
      <c r="F118" s="1603"/>
      <c r="G118" s="1603"/>
      <c r="H118" s="176">
        <f>$G$3</f>
        <v>352.5</v>
      </c>
      <c r="I118" s="156" t="str">
        <f>$K$3</f>
        <v>Hour</v>
      </c>
      <c r="J118" s="159" t="s">
        <v>596</v>
      </c>
      <c r="K118" s="176">
        <f>ROUND(C118*H118,2)</f>
        <v>98.7</v>
      </c>
    </row>
    <row r="119" spans="2:11">
      <c r="C119" s="177">
        <f>C117</f>
        <v>0.28000000000000003</v>
      </c>
      <c r="D119" s="1603" t="s">
        <v>189</v>
      </c>
      <c r="E119" s="1603"/>
      <c r="F119" s="1603"/>
      <c r="G119" s="1603"/>
      <c r="H119" s="176">
        <f>$H$3</f>
        <v>211.6</v>
      </c>
      <c r="I119" s="156" t="str">
        <f>$K$3</f>
        <v>Hour</v>
      </c>
      <c r="J119" s="159" t="s">
        <v>596</v>
      </c>
      <c r="K119" s="176">
        <f>ROUND(C119*H119,2)</f>
        <v>59.25</v>
      </c>
    </row>
    <row r="120" spans="2:11">
      <c r="C120" s="177">
        <f>MAX($K$9,$K$10,$K$11)</f>
        <v>0</v>
      </c>
      <c r="D120" s="1603" t="str">
        <f>CONCATENATE("add area allowance at ",$K$12*100, "% on Rs.",)</f>
        <v>add area allowance at 0% on Rs.</v>
      </c>
      <c r="E120" s="1603"/>
      <c r="F120" s="1603"/>
      <c r="G120" s="1603"/>
      <c r="H120" s="176">
        <f>K119</f>
        <v>59.25</v>
      </c>
      <c r="J120" s="159" t="s">
        <v>596</v>
      </c>
      <c r="K120" s="176">
        <f>ROUND(C120*H120,2)</f>
        <v>0</v>
      </c>
    </row>
    <row r="121" spans="2:11">
      <c r="D121" s="157" t="s">
        <v>190</v>
      </c>
      <c r="E121" s="177">
        <f>E116</f>
        <v>5</v>
      </c>
      <c r="F121" s="157" t="str">
        <f>F116</f>
        <v>Cum</v>
      </c>
      <c r="J121" s="159" t="s">
        <v>596</v>
      </c>
      <c r="K121" s="176">
        <f>SUM(K117:K120)</f>
        <v>290</v>
      </c>
    </row>
    <row r="122" spans="2:11">
      <c r="D122" s="157" t="s">
        <v>190</v>
      </c>
      <c r="E122" s="178">
        <v>1</v>
      </c>
      <c r="F122" s="179" t="str">
        <f>F116</f>
        <v>Cum</v>
      </c>
      <c r="J122" s="159" t="s">
        <v>596</v>
      </c>
      <c r="K122" s="156">
        <f>ROUND(K121/E116,2)</f>
        <v>58</v>
      </c>
    </row>
    <row r="123" spans="2:11" ht="27.75" customHeight="1">
      <c r="C123" s="177">
        <f>$K$13</f>
        <v>0</v>
      </c>
      <c r="D123" s="1603" t="str">
        <f>CONCATENATE("add overheads and contractors profit at ",$K$13*100, "% on Rs.",)</f>
        <v>add overheads and contractors profit at 0% on Rs.</v>
      </c>
      <c r="E123" s="1603"/>
      <c r="F123" s="1603"/>
      <c r="G123" s="1603"/>
      <c r="H123" s="176">
        <f>K122</f>
        <v>58</v>
      </c>
      <c r="I123" s="156" t="str">
        <f>$K$3</f>
        <v>Hour</v>
      </c>
      <c r="J123" s="159" t="s">
        <v>596</v>
      </c>
      <c r="K123" s="176">
        <f>ROUND(C123*H123,2)</f>
        <v>0</v>
      </c>
    </row>
    <row r="124" spans="2:11" s="153" customFormat="1">
      <c r="B124" s="170"/>
      <c r="C124" s="171"/>
      <c r="D124" s="157" t="s">
        <v>191</v>
      </c>
      <c r="E124" s="171"/>
      <c r="F124" s="180">
        <f>E122</f>
        <v>1</v>
      </c>
      <c r="G124" s="171" t="str">
        <f>F122</f>
        <v>Cum</v>
      </c>
      <c r="H124" s="170"/>
      <c r="I124" s="170"/>
      <c r="J124" s="169" t="s">
        <v>596</v>
      </c>
      <c r="K124" s="181">
        <f>SUM(K122:K123)</f>
        <v>58</v>
      </c>
    </row>
    <row r="126" spans="2:11" s="152" customFormat="1" ht="12.3">
      <c r="B126" s="155">
        <v>4</v>
      </c>
      <c r="C126" s="168" t="s">
        <v>194</v>
      </c>
      <c r="D126" s="168"/>
      <c r="E126" s="168"/>
      <c r="F126" s="168"/>
      <c r="G126" s="168"/>
      <c r="H126" s="155"/>
      <c r="I126" s="155"/>
      <c r="J126" s="169"/>
      <c r="K126" s="169"/>
    </row>
    <row r="127" spans="2:11" s="153" customFormat="1" ht="12.3">
      <c r="B127" s="170"/>
      <c r="C127" s="171" t="s">
        <v>543</v>
      </c>
      <c r="D127" s="170" t="s">
        <v>544</v>
      </c>
      <c r="E127" s="172">
        <v>5</v>
      </c>
      <c r="F127" s="173" t="s">
        <v>465</v>
      </c>
      <c r="G127" s="171"/>
      <c r="H127" s="155" t="s">
        <v>92</v>
      </c>
      <c r="I127" s="155" t="s">
        <v>528</v>
      </c>
      <c r="J127" s="174"/>
      <c r="K127" s="169" t="s">
        <v>151</v>
      </c>
    </row>
    <row r="128" spans="2:11">
      <c r="C128" s="175">
        <v>0.34</v>
      </c>
      <c r="D128" s="1603" t="s">
        <v>565</v>
      </c>
      <c r="E128" s="1603"/>
      <c r="F128" s="1603"/>
      <c r="G128" s="1603"/>
      <c r="H128" s="176">
        <f>$F$3</f>
        <v>471.6</v>
      </c>
      <c r="I128" s="156" t="str">
        <f>$K$3</f>
        <v>Hour</v>
      </c>
      <c r="J128" s="159" t="s">
        <v>596</v>
      </c>
      <c r="K128" s="176">
        <f>ROUND(C128*H128,2)</f>
        <v>160.34</v>
      </c>
    </row>
    <row r="129" spans="2:11">
      <c r="C129" s="177">
        <f>C128</f>
        <v>0.34</v>
      </c>
      <c r="D129" s="1603" t="s">
        <v>188</v>
      </c>
      <c r="E129" s="1603"/>
      <c r="F129" s="1603"/>
      <c r="G129" s="1603"/>
      <c r="H129" s="176">
        <f>$G$3</f>
        <v>352.5</v>
      </c>
      <c r="I129" s="156" t="str">
        <f>$K$3</f>
        <v>Hour</v>
      </c>
      <c r="J129" s="159" t="s">
        <v>596</v>
      </c>
      <c r="K129" s="176">
        <f>ROUND(C129*H129,2)</f>
        <v>119.85</v>
      </c>
    </row>
    <row r="130" spans="2:11">
      <c r="C130" s="177">
        <f>C128</f>
        <v>0.34</v>
      </c>
      <c r="D130" s="1603" t="s">
        <v>189</v>
      </c>
      <c r="E130" s="1603"/>
      <c r="F130" s="1603"/>
      <c r="G130" s="1603"/>
      <c r="H130" s="176">
        <f>$H$3</f>
        <v>211.6</v>
      </c>
      <c r="I130" s="156" t="str">
        <f>$K$3</f>
        <v>Hour</v>
      </c>
      <c r="J130" s="159" t="s">
        <v>596</v>
      </c>
      <c r="K130" s="176">
        <f>ROUND(C130*H130,2)</f>
        <v>71.94</v>
      </c>
    </row>
    <row r="131" spans="2:11">
      <c r="C131" s="177">
        <f>MAX($K$9,$K$10,$K$11)</f>
        <v>0</v>
      </c>
      <c r="D131" s="1603" t="str">
        <f>CONCATENATE("add area allowance at ",$K$12*100, "% on Rs.",)</f>
        <v>add area allowance at 0% on Rs.</v>
      </c>
      <c r="E131" s="1603"/>
      <c r="F131" s="1603"/>
      <c r="G131" s="1603"/>
      <c r="H131" s="176">
        <f>K130</f>
        <v>71.94</v>
      </c>
      <c r="J131" s="159" t="s">
        <v>596</v>
      </c>
      <c r="K131" s="176">
        <f>ROUND(C131*H131,2)</f>
        <v>0</v>
      </c>
    </row>
    <row r="132" spans="2:11">
      <c r="D132" s="157" t="s">
        <v>190</v>
      </c>
      <c r="E132" s="177">
        <f>E127</f>
        <v>5</v>
      </c>
      <c r="F132" s="157" t="str">
        <f>F127</f>
        <v>Cum</v>
      </c>
      <c r="J132" s="159" t="s">
        <v>596</v>
      </c>
      <c r="K132" s="176">
        <f>SUM(K128:K131)</f>
        <v>352.13</v>
      </c>
    </row>
    <row r="133" spans="2:11">
      <c r="D133" s="157" t="s">
        <v>190</v>
      </c>
      <c r="E133" s="178">
        <v>1</v>
      </c>
      <c r="F133" s="179" t="str">
        <f>F127</f>
        <v>Cum</v>
      </c>
      <c r="J133" s="159" t="s">
        <v>596</v>
      </c>
      <c r="K133" s="156">
        <f>ROUND(K132/E127,2)</f>
        <v>70.430000000000007</v>
      </c>
    </row>
    <row r="134" spans="2:11" ht="27.75" customHeight="1">
      <c r="C134" s="177">
        <f>$K$13</f>
        <v>0</v>
      </c>
      <c r="D134" s="1603" t="str">
        <f>CONCATENATE("add overheads and contractors profit at ",$K$13*100, "% on Rs.",)</f>
        <v>add overheads and contractors profit at 0% on Rs.</v>
      </c>
      <c r="E134" s="1603"/>
      <c r="F134" s="1603"/>
      <c r="G134" s="1603"/>
      <c r="H134" s="176">
        <f>K133</f>
        <v>70.430000000000007</v>
      </c>
      <c r="I134" s="156" t="str">
        <f>$K$3</f>
        <v>Hour</v>
      </c>
      <c r="J134" s="159" t="s">
        <v>596</v>
      </c>
      <c r="K134" s="176">
        <f>ROUND(C134*H134,2)</f>
        <v>0</v>
      </c>
    </row>
    <row r="135" spans="2:11" s="153" customFormat="1">
      <c r="B135" s="170"/>
      <c r="C135" s="171"/>
      <c r="D135" s="157" t="s">
        <v>191</v>
      </c>
      <c r="E135" s="171"/>
      <c r="F135" s="180">
        <f>E133</f>
        <v>1</v>
      </c>
      <c r="G135" s="171" t="str">
        <f>F133</f>
        <v>Cum</v>
      </c>
      <c r="H135" s="170"/>
      <c r="I135" s="170"/>
      <c r="J135" s="169" t="s">
        <v>596</v>
      </c>
      <c r="K135" s="181">
        <f>SUM(K133:K134)</f>
        <v>70.430000000000007</v>
      </c>
    </row>
    <row r="137" spans="2:11" s="152" customFormat="1" ht="12.3">
      <c r="B137" s="155">
        <v>5</v>
      </c>
      <c r="C137" s="168" t="s">
        <v>195</v>
      </c>
      <c r="D137" s="168"/>
      <c r="E137" s="168"/>
      <c r="F137" s="168"/>
      <c r="G137" s="168"/>
      <c r="H137" s="155"/>
      <c r="I137" s="155"/>
      <c r="J137" s="169"/>
      <c r="K137" s="169"/>
    </row>
    <row r="138" spans="2:11" s="153" customFormat="1" ht="12.3">
      <c r="B138" s="170"/>
      <c r="C138" s="171" t="s">
        <v>543</v>
      </c>
      <c r="D138" s="170" t="s">
        <v>544</v>
      </c>
      <c r="E138" s="172">
        <v>5</v>
      </c>
      <c r="F138" s="173" t="s">
        <v>465</v>
      </c>
      <c r="G138" s="171"/>
      <c r="H138" s="155" t="s">
        <v>92</v>
      </c>
      <c r="I138" s="155" t="s">
        <v>528</v>
      </c>
      <c r="J138" s="174"/>
      <c r="K138" s="169" t="s">
        <v>151</v>
      </c>
    </row>
    <row r="139" spans="2:11">
      <c r="C139" s="175">
        <v>0.4</v>
      </c>
      <c r="D139" s="1603" t="s">
        <v>565</v>
      </c>
      <c r="E139" s="1603"/>
      <c r="F139" s="1603"/>
      <c r="G139" s="1603"/>
      <c r="H139" s="176">
        <f>$F$3</f>
        <v>471.6</v>
      </c>
      <c r="I139" s="156" t="str">
        <f>$K$3</f>
        <v>Hour</v>
      </c>
      <c r="J139" s="159" t="s">
        <v>596</v>
      </c>
      <c r="K139" s="176">
        <f>ROUND(C139*H139,2)</f>
        <v>188.64</v>
      </c>
    </row>
    <row r="140" spans="2:11">
      <c r="C140" s="177">
        <f>C139</f>
        <v>0.4</v>
      </c>
      <c r="D140" s="1603" t="s">
        <v>188</v>
      </c>
      <c r="E140" s="1603"/>
      <c r="F140" s="1603"/>
      <c r="G140" s="1603"/>
      <c r="H140" s="176">
        <f>$G$3</f>
        <v>352.5</v>
      </c>
      <c r="I140" s="156" t="str">
        <f>$K$3</f>
        <v>Hour</v>
      </c>
      <c r="J140" s="159" t="s">
        <v>596</v>
      </c>
      <c r="K140" s="176">
        <f>ROUND(C140*H140,2)</f>
        <v>141</v>
      </c>
    </row>
    <row r="141" spans="2:11">
      <c r="C141" s="177">
        <f>C139</f>
        <v>0.4</v>
      </c>
      <c r="D141" s="1603" t="s">
        <v>189</v>
      </c>
      <c r="E141" s="1603"/>
      <c r="F141" s="1603"/>
      <c r="G141" s="1603"/>
      <c r="H141" s="176">
        <f>$H$3</f>
        <v>211.6</v>
      </c>
      <c r="I141" s="156" t="str">
        <f>$K$3</f>
        <v>Hour</v>
      </c>
      <c r="J141" s="159" t="s">
        <v>596</v>
      </c>
      <c r="K141" s="176">
        <f>ROUND(C141*H141,2)</f>
        <v>84.64</v>
      </c>
    </row>
    <row r="142" spans="2:11">
      <c r="C142" s="177">
        <f>MAX($K$9,$K$10,$K$11)</f>
        <v>0</v>
      </c>
      <c r="D142" s="1603" t="str">
        <f>CONCATENATE("add area allowance at ",$K$12*100, "% on Rs.",)</f>
        <v>add area allowance at 0% on Rs.</v>
      </c>
      <c r="E142" s="1603"/>
      <c r="F142" s="1603"/>
      <c r="G142" s="1603"/>
      <c r="H142" s="176">
        <f>K141</f>
        <v>84.64</v>
      </c>
      <c r="J142" s="159" t="s">
        <v>596</v>
      </c>
      <c r="K142" s="176">
        <f>ROUND(C142*H142,2)</f>
        <v>0</v>
      </c>
    </row>
    <row r="143" spans="2:11">
      <c r="D143" s="157" t="s">
        <v>190</v>
      </c>
      <c r="E143" s="177">
        <f>E138</f>
        <v>5</v>
      </c>
      <c r="F143" s="157" t="str">
        <f>F138</f>
        <v>Cum</v>
      </c>
      <c r="J143" s="159" t="s">
        <v>596</v>
      </c>
      <c r="K143" s="176">
        <f>SUM(K139:K142)</f>
        <v>414.28</v>
      </c>
    </row>
    <row r="144" spans="2:11">
      <c r="D144" s="157" t="s">
        <v>190</v>
      </c>
      <c r="E144" s="178">
        <v>1</v>
      </c>
      <c r="F144" s="179" t="str">
        <f>F138</f>
        <v>Cum</v>
      </c>
      <c r="J144" s="159" t="s">
        <v>596</v>
      </c>
      <c r="K144" s="156">
        <f>ROUND(K143/E138,2)</f>
        <v>82.86</v>
      </c>
    </row>
    <row r="145" spans="2:11" ht="27.75" customHeight="1">
      <c r="C145" s="177">
        <f>$K$13</f>
        <v>0</v>
      </c>
      <c r="D145" s="1603" t="str">
        <f>CONCATENATE("add overheads and contractors profit at ",$K$13*100, "% on Rs.",)</f>
        <v>add overheads and contractors profit at 0% on Rs.</v>
      </c>
      <c r="E145" s="1603"/>
      <c r="F145" s="1603"/>
      <c r="G145" s="1603"/>
      <c r="H145" s="176">
        <f>K144</f>
        <v>82.86</v>
      </c>
      <c r="I145" s="156" t="str">
        <f>$K$3</f>
        <v>Hour</v>
      </c>
      <c r="J145" s="159" t="s">
        <v>596</v>
      </c>
      <c r="K145" s="176">
        <f>ROUND(C145*H145,2)</f>
        <v>0</v>
      </c>
    </row>
    <row r="146" spans="2:11" s="153" customFormat="1">
      <c r="B146" s="170"/>
      <c r="C146" s="171"/>
      <c r="D146" s="157" t="s">
        <v>191</v>
      </c>
      <c r="E146" s="171"/>
      <c r="F146" s="180">
        <f>E144</f>
        <v>1</v>
      </c>
      <c r="G146" s="171" t="str">
        <f>F144</f>
        <v>Cum</v>
      </c>
      <c r="H146" s="170"/>
      <c r="I146" s="170"/>
      <c r="J146" s="169" t="s">
        <v>596</v>
      </c>
      <c r="K146" s="181">
        <f>SUM(K144:K145)</f>
        <v>82.86</v>
      </c>
    </row>
    <row r="148" spans="2:11" s="152" customFormat="1" ht="12.3">
      <c r="B148" s="155">
        <v>6</v>
      </c>
      <c r="C148" s="168" t="s">
        <v>246</v>
      </c>
      <c r="D148" s="168"/>
      <c r="E148" s="168"/>
      <c r="F148" s="168"/>
      <c r="G148" s="168"/>
      <c r="H148" s="155"/>
      <c r="I148" s="155"/>
      <c r="J148" s="169"/>
      <c r="K148" s="169"/>
    </row>
    <row r="149" spans="2:11" s="153" customFormat="1" ht="12.3">
      <c r="B149" s="170"/>
      <c r="C149" s="171" t="s">
        <v>543</v>
      </c>
      <c r="D149" s="170" t="s">
        <v>544</v>
      </c>
      <c r="E149" s="172">
        <v>5</v>
      </c>
      <c r="F149" s="173" t="s">
        <v>465</v>
      </c>
      <c r="G149" s="171"/>
      <c r="H149" s="155" t="s">
        <v>92</v>
      </c>
      <c r="I149" s="155" t="s">
        <v>528</v>
      </c>
      <c r="J149" s="174"/>
      <c r="K149" s="169" t="s">
        <v>151</v>
      </c>
    </row>
    <row r="150" spans="2:11">
      <c r="C150" s="175">
        <v>0.06</v>
      </c>
      <c r="D150" s="1603" t="s">
        <v>565</v>
      </c>
      <c r="E150" s="1603"/>
      <c r="F150" s="1603"/>
      <c r="G150" s="1603"/>
      <c r="H150" s="176">
        <f>$F$3</f>
        <v>471.6</v>
      </c>
      <c r="I150" s="156" t="str">
        <f>$K$3</f>
        <v>Hour</v>
      </c>
      <c r="J150" s="159" t="s">
        <v>596</v>
      </c>
      <c r="K150" s="176">
        <f>ROUND(C150*H150,2)</f>
        <v>28.3</v>
      </c>
    </row>
    <row r="151" spans="2:11">
      <c r="C151" s="177">
        <f>C150</f>
        <v>0.06</v>
      </c>
      <c r="D151" s="1603" t="s">
        <v>188</v>
      </c>
      <c r="E151" s="1603"/>
      <c r="F151" s="1603"/>
      <c r="G151" s="1603"/>
      <c r="H151" s="176">
        <f>$G$3</f>
        <v>352.5</v>
      </c>
      <c r="I151" s="156" t="str">
        <f>$K$3</f>
        <v>Hour</v>
      </c>
      <c r="J151" s="159" t="s">
        <v>596</v>
      </c>
      <c r="K151" s="176">
        <f>ROUND(C151*H151,2)</f>
        <v>21.15</v>
      </c>
    </row>
    <row r="152" spans="2:11">
      <c r="C152" s="177">
        <f>C150</f>
        <v>0.06</v>
      </c>
      <c r="D152" s="1603" t="s">
        <v>189</v>
      </c>
      <c r="E152" s="1603"/>
      <c r="F152" s="1603"/>
      <c r="G152" s="1603"/>
      <c r="H152" s="176">
        <f>$H$3</f>
        <v>211.6</v>
      </c>
      <c r="I152" s="156" t="str">
        <f>$K$3</f>
        <v>Hour</v>
      </c>
      <c r="J152" s="159" t="s">
        <v>596</v>
      </c>
      <c r="K152" s="176">
        <f>ROUND(C152*H152,2)</f>
        <v>12.7</v>
      </c>
    </row>
    <row r="153" spans="2:11">
      <c r="C153" s="177">
        <f>MAX($K$9,$K$10,$K$11)</f>
        <v>0</v>
      </c>
      <c r="D153" s="1603" t="str">
        <f>CONCATENATE("add area allowance at ",$K$12*100, "% on Rs.",)</f>
        <v>add area allowance at 0% on Rs.</v>
      </c>
      <c r="E153" s="1603"/>
      <c r="F153" s="1603"/>
      <c r="G153" s="1603"/>
      <c r="H153" s="176">
        <f>K152</f>
        <v>12.7</v>
      </c>
      <c r="J153" s="159" t="s">
        <v>596</v>
      </c>
      <c r="K153" s="176">
        <f>ROUND(C153*H153,2)</f>
        <v>0</v>
      </c>
    </row>
    <row r="154" spans="2:11">
      <c r="D154" s="157" t="s">
        <v>190</v>
      </c>
      <c r="E154" s="177">
        <f>E149</f>
        <v>5</v>
      </c>
      <c r="F154" s="157" t="str">
        <f>F149</f>
        <v>Cum</v>
      </c>
      <c r="J154" s="159" t="s">
        <v>596</v>
      </c>
      <c r="K154" s="176">
        <f>SUM(K150:K153)</f>
        <v>62.150000000000006</v>
      </c>
    </row>
    <row r="155" spans="2:11">
      <c r="D155" s="157" t="s">
        <v>190</v>
      </c>
      <c r="E155" s="178">
        <v>1</v>
      </c>
      <c r="F155" s="179" t="str">
        <f>F149</f>
        <v>Cum</v>
      </c>
      <c r="J155" s="159" t="s">
        <v>596</v>
      </c>
      <c r="K155" s="156">
        <f>ROUND(K154/E149,2)</f>
        <v>12.43</v>
      </c>
    </row>
    <row r="156" spans="2:11" ht="27.75" customHeight="1">
      <c r="C156" s="177">
        <f>$K$13</f>
        <v>0</v>
      </c>
      <c r="D156" s="1603" t="str">
        <f>CONCATENATE("add overheads and contractors profit at ",$K$13*100, "% on Rs.",)</f>
        <v>add overheads and contractors profit at 0% on Rs.</v>
      </c>
      <c r="E156" s="1603"/>
      <c r="F156" s="1603"/>
      <c r="G156" s="1603"/>
      <c r="H156" s="176">
        <f>K155</f>
        <v>12.43</v>
      </c>
      <c r="I156" s="156" t="str">
        <f>$K$3</f>
        <v>Hour</v>
      </c>
      <c r="J156" s="159" t="s">
        <v>596</v>
      </c>
      <c r="K156" s="176">
        <f>ROUND(C156*H156,2)</f>
        <v>0</v>
      </c>
    </row>
    <row r="157" spans="2:11" s="153" customFormat="1">
      <c r="B157" s="170"/>
      <c r="C157" s="171"/>
      <c r="D157" s="157" t="s">
        <v>191</v>
      </c>
      <c r="E157" s="171"/>
      <c r="F157" s="180">
        <f>E155</f>
        <v>1</v>
      </c>
      <c r="G157" s="171" t="str">
        <f>F155</f>
        <v>Cum</v>
      </c>
      <c r="H157" s="170"/>
      <c r="I157" s="170"/>
      <c r="J157" s="169" t="s">
        <v>596</v>
      </c>
      <c r="K157" s="181">
        <f>SUM(K155:K156)</f>
        <v>12.43</v>
      </c>
    </row>
    <row r="159" spans="2:11" s="152" customFormat="1" ht="12.3">
      <c r="B159" s="155">
        <v>7</v>
      </c>
      <c r="C159" s="168" t="s">
        <v>247</v>
      </c>
      <c r="D159" s="168"/>
      <c r="E159" s="168"/>
      <c r="F159" s="168"/>
      <c r="G159" s="168"/>
      <c r="H159" s="155"/>
      <c r="I159" s="155"/>
      <c r="J159" s="169"/>
      <c r="K159" s="169"/>
    </row>
    <row r="160" spans="2:11" s="153" customFormat="1" ht="12.3">
      <c r="B160" s="170"/>
      <c r="C160" s="171" t="s">
        <v>543</v>
      </c>
      <c r="D160" s="170" t="s">
        <v>544</v>
      </c>
      <c r="E160" s="172">
        <v>5</v>
      </c>
      <c r="F160" s="173" t="s">
        <v>465</v>
      </c>
      <c r="G160" s="171"/>
      <c r="H160" s="155" t="s">
        <v>92</v>
      </c>
      <c r="I160" s="155" t="s">
        <v>528</v>
      </c>
      <c r="J160" s="174"/>
      <c r="K160" s="169" t="s">
        <v>151</v>
      </c>
    </row>
    <row r="161" spans="2:11">
      <c r="C161" s="175">
        <v>0.05</v>
      </c>
      <c r="D161" s="1603" t="s">
        <v>565</v>
      </c>
      <c r="E161" s="1603"/>
      <c r="F161" s="1603"/>
      <c r="G161" s="1603"/>
      <c r="H161" s="176">
        <f>$F$3</f>
        <v>471.6</v>
      </c>
      <c r="I161" s="156" t="str">
        <f>$K$3</f>
        <v>Hour</v>
      </c>
      <c r="J161" s="159" t="s">
        <v>596</v>
      </c>
      <c r="K161" s="176">
        <f>ROUND(C161*H161,2)</f>
        <v>23.58</v>
      </c>
    </row>
    <row r="162" spans="2:11">
      <c r="C162" s="177">
        <f>C161</f>
        <v>0.05</v>
      </c>
      <c r="D162" s="1603" t="s">
        <v>188</v>
      </c>
      <c r="E162" s="1603"/>
      <c r="F162" s="1603"/>
      <c r="G162" s="1603"/>
      <c r="H162" s="176">
        <f>$G$3</f>
        <v>352.5</v>
      </c>
      <c r="I162" s="156" t="str">
        <f>$K$3</f>
        <v>Hour</v>
      </c>
      <c r="J162" s="159" t="s">
        <v>596</v>
      </c>
      <c r="K162" s="176">
        <f>ROUND(C162*H162,2)</f>
        <v>17.63</v>
      </c>
    </row>
    <row r="163" spans="2:11">
      <c r="C163" s="177">
        <f>C161</f>
        <v>0.05</v>
      </c>
      <c r="D163" s="1603" t="s">
        <v>189</v>
      </c>
      <c r="E163" s="1603"/>
      <c r="F163" s="1603"/>
      <c r="G163" s="1603"/>
      <c r="H163" s="176">
        <f>$H$3</f>
        <v>211.6</v>
      </c>
      <c r="I163" s="156" t="str">
        <f>$K$3</f>
        <v>Hour</v>
      </c>
      <c r="J163" s="159" t="s">
        <v>596</v>
      </c>
      <c r="K163" s="176">
        <f>ROUND(C163*H163,2)</f>
        <v>10.58</v>
      </c>
    </row>
    <row r="164" spans="2:11">
      <c r="C164" s="177">
        <f>MAX($K$9,$K$10,$K$11)</f>
        <v>0</v>
      </c>
      <c r="D164" s="1603" t="str">
        <f>CONCATENATE("add area allowance at ",$K$12*100, "% on Rs.",)</f>
        <v>add area allowance at 0% on Rs.</v>
      </c>
      <c r="E164" s="1603"/>
      <c r="F164" s="1603"/>
      <c r="G164" s="1603"/>
      <c r="H164" s="176">
        <f>K163</f>
        <v>10.58</v>
      </c>
      <c r="J164" s="159" t="s">
        <v>596</v>
      </c>
      <c r="K164" s="176">
        <f>ROUND(C164*H164,2)</f>
        <v>0</v>
      </c>
    </row>
    <row r="165" spans="2:11">
      <c r="D165" s="157" t="s">
        <v>190</v>
      </c>
      <c r="E165" s="177">
        <f>E160</f>
        <v>5</v>
      </c>
      <c r="F165" s="157" t="str">
        <f>F160</f>
        <v>Cum</v>
      </c>
      <c r="J165" s="159" t="s">
        <v>596</v>
      </c>
      <c r="K165" s="176">
        <f>SUM(K161:K164)</f>
        <v>51.789999999999992</v>
      </c>
    </row>
    <row r="166" spans="2:11">
      <c r="D166" s="157" t="s">
        <v>190</v>
      </c>
      <c r="E166" s="178">
        <v>1</v>
      </c>
      <c r="F166" s="179" t="str">
        <f>F160</f>
        <v>Cum</v>
      </c>
      <c r="J166" s="159" t="s">
        <v>596</v>
      </c>
      <c r="K166" s="156">
        <f>ROUND(K165/E160,2)</f>
        <v>10.36</v>
      </c>
    </row>
    <row r="167" spans="2:11" ht="27.75" customHeight="1">
      <c r="C167" s="177">
        <f>$K$13</f>
        <v>0</v>
      </c>
      <c r="D167" s="1603" t="str">
        <f>CONCATENATE("add overheads and contractors profit at ",$K$13*100, "% on Rs.",)</f>
        <v>add overheads and contractors profit at 0% on Rs.</v>
      </c>
      <c r="E167" s="1603"/>
      <c r="F167" s="1603"/>
      <c r="G167" s="1603"/>
      <c r="H167" s="176">
        <f>K166</f>
        <v>10.36</v>
      </c>
      <c r="J167" s="159" t="s">
        <v>596</v>
      </c>
      <c r="K167" s="176">
        <f>ROUND(C167*H167,2)</f>
        <v>0</v>
      </c>
    </row>
    <row r="168" spans="2:11" s="153" customFormat="1">
      <c r="B168" s="170"/>
      <c r="C168" s="171"/>
      <c r="D168" s="157" t="s">
        <v>191</v>
      </c>
      <c r="E168" s="171"/>
      <c r="F168" s="180">
        <f>E166</f>
        <v>1</v>
      </c>
      <c r="G168" s="171" t="str">
        <f>F166</f>
        <v>Cum</v>
      </c>
      <c r="H168" s="170"/>
      <c r="I168" s="170"/>
      <c r="J168" s="169" t="s">
        <v>596</v>
      </c>
      <c r="K168" s="181">
        <f>SUM(K166:K167)</f>
        <v>10.36</v>
      </c>
    </row>
    <row r="170" spans="2:11" s="152" customFormat="1" ht="16.5" customHeight="1">
      <c r="B170" s="155" t="s">
        <v>549</v>
      </c>
      <c r="C170" s="1605" t="s">
        <v>550</v>
      </c>
      <c r="D170" s="1605"/>
      <c r="E170" s="1605"/>
      <c r="F170" s="1605"/>
      <c r="G170" s="1605"/>
      <c r="H170" s="1605"/>
      <c r="I170" s="1605"/>
      <c r="J170" s="1605"/>
      <c r="K170" s="1605"/>
    </row>
    <row r="171" spans="2:11" s="152" customFormat="1" ht="12.3">
      <c r="B171" s="155">
        <v>1</v>
      </c>
      <c r="C171" s="168" t="s">
        <v>542</v>
      </c>
      <c r="D171" s="168"/>
      <c r="E171" s="168"/>
      <c r="F171" s="168"/>
      <c r="G171" s="168"/>
      <c r="H171" s="155"/>
      <c r="I171" s="155"/>
      <c r="J171" s="169"/>
      <c r="K171" s="169"/>
    </row>
    <row r="172" spans="2:11" s="153" customFormat="1" ht="12.3">
      <c r="B172" s="170"/>
      <c r="C172" s="171" t="s">
        <v>543</v>
      </c>
      <c r="D172" s="170" t="s">
        <v>544</v>
      </c>
      <c r="E172" s="172">
        <v>8</v>
      </c>
      <c r="F172" s="173" t="s">
        <v>50</v>
      </c>
      <c r="G172" s="171"/>
      <c r="H172" s="155" t="s">
        <v>92</v>
      </c>
      <c r="I172" s="155" t="s">
        <v>528</v>
      </c>
      <c r="J172" s="174"/>
      <c r="K172" s="169" t="s">
        <v>151</v>
      </c>
    </row>
    <row r="173" spans="2:11">
      <c r="C173" s="175">
        <v>0.15</v>
      </c>
      <c r="D173" s="1603" t="s">
        <v>565</v>
      </c>
      <c r="E173" s="1603"/>
      <c r="F173" s="1603"/>
      <c r="G173" s="1603"/>
      <c r="H173" s="176">
        <f>$F$3</f>
        <v>471.6</v>
      </c>
      <c r="I173" s="156" t="str">
        <f>$K$3</f>
        <v>Hour</v>
      </c>
      <c r="J173" s="159" t="s">
        <v>596</v>
      </c>
      <c r="K173" s="176">
        <f>ROUND(C173*H173,2)</f>
        <v>70.739999999999995</v>
      </c>
    </row>
    <row r="174" spans="2:11">
      <c r="C174" s="177">
        <f>C173</f>
        <v>0.15</v>
      </c>
      <c r="D174" s="1603" t="s">
        <v>188</v>
      </c>
      <c r="E174" s="1603"/>
      <c r="F174" s="1603"/>
      <c r="G174" s="1603"/>
      <c r="H174" s="176">
        <f>$G$3</f>
        <v>352.5</v>
      </c>
      <c r="I174" s="156" t="str">
        <f>$K$3</f>
        <v>Hour</v>
      </c>
      <c r="J174" s="159" t="s">
        <v>596</v>
      </c>
      <c r="K174" s="176">
        <f>ROUND(C174*H174,2)</f>
        <v>52.88</v>
      </c>
    </row>
    <row r="175" spans="2:11">
      <c r="C175" s="177">
        <f>C173</f>
        <v>0.15</v>
      </c>
      <c r="D175" s="1603" t="s">
        <v>189</v>
      </c>
      <c r="E175" s="1603"/>
      <c r="F175" s="1603"/>
      <c r="G175" s="1603"/>
      <c r="H175" s="176">
        <f>$H$3</f>
        <v>211.6</v>
      </c>
      <c r="I175" s="156" t="str">
        <f>$K$3</f>
        <v>Hour</v>
      </c>
      <c r="J175" s="159" t="s">
        <v>596</v>
      </c>
      <c r="K175" s="176">
        <f>ROUND(C175*H175,2)</f>
        <v>31.74</v>
      </c>
    </row>
    <row r="176" spans="2:11">
      <c r="C176" s="177">
        <f>MAX($K$9,$K$10,$K$11)</f>
        <v>0</v>
      </c>
      <c r="D176" s="1603" t="str">
        <f>CONCATENATE("add area allowance at ",$K$12*100, "% on Rs.",)</f>
        <v>add area allowance at 0% on Rs.</v>
      </c>
      <c r="E176" s="1603"/>
      <c r="F176" s="1603"/>
      <c r="G176" s="1603"/>
      <c r="H176" s="176">
        <f>K175</f>
        <v>31.74</v>
      </c>
      <c r="J176" s="159" t="s">
        <v>596</v>
      </c>
      <c r="K176" s="176">
        <f>ROUND(C176*H176,2)</f>
        <v>0</v>
      </c>
    </row>
    <row r="177" spans="2:11">
      <c r="D177" s="157" t="s">
        <v>190</v>
      </c>
      <c r="E177" s="177">
        <f>E172</f>
        <v>8</v>
      </c>
      <c r="F177" s="157" t="str">
        <f>F172</f>
        <v>MT</v>
      </c>
      <c r="J177" s="159" t="s">
        <v>596</v>
      </c>
      <c r="K177" s="176">
        <f>SUM(K173:K176)</f>
        <v>155.36000000000001</v>
      </c>
    </row>
    <row r="178" spans="2:11">
      <c r="D178" s="157" t="s">
        <v>190</v>
      </c>
      <c r="E178" s="178">
        <v>1</v>
      </c>
      <c r="F178" s="179" t="str">
        <f>F172</f>
        <v>MT</v>
      </c>
      <c r="J178" s="159" t="s">
        <v>596</v>
      </c>
      <c r="K178" s="156">
        <f>ROUND(K177/E172,2)</f>
        <v>19.420000000000002</v>
      </c>
    </row>
    <row r="179" spans="2:11" ht="24.75" customHeight="1">
      <c r="C179" s="177">
        <f>$K$13</f>
        <v>0</v>
      </c>
      <c r="D179" s="1603" t="str">
        <f>CONCATENATE("add overheads and contractors profit at ",$K$13*100, "% on Rs.",)</f>
        <v>add overheads and contractors profit at 0% on Rs.</v>
      </c>
      <c r="E179" s="1603"/>
      <c r="F179" s="1603"/>
      <c r="G179" s="1603"/>
      <c r="H179" s="176">
        <f>K178</f>
        <v>19.420000000000002</v>
      </c>
      <c r="J179" s="159" t="s">
        <v>596</v>
      </c>
      <c r="K179" s="176">
        <f>ROUND(C179*H179,2)</f>
        <v>0</v>
      </c>
    </row>
    <row r="180" spans="2:11" s="153" customFormat="1">
      <c r="B180" s="170"/>
      <c r="C180" s="171"/>
      <c r="D180" s="157" t="s">
        <v>191</v>
      </c>
      <c r="E180" s="171"/>
      <c r="F180" s="180">
        <f>E178</f>
        <v>1</v>
      </c>
      <c r="G180" s="171" t="str">
        <f>F178</f>
        <v>MT</v>
      </c>
      <c r="H180" s="170"/>
      <c r="I180" s="170"/>
      <c r="J180" s="169" t="s">
        <v>596</v>
      </c>
      <c r="K180" s="181">
        <f>SUM(K178:K179)</f>
        <v>19.420000000000002</v>
      </c>
    </row>
    <row r="181" spans="2:11" s="153" customFormat="1">
      <c r="B181" s="170"/>
      <c r="C181" s="171"/>
      <c r="D181" s="157"/>
      <c r="E181" s="171"/>
      <c r="F181" s="180"/>
      <c r="G181" s="171"/>
      <c r="H181" s="170"/>
      <c r="I181" s="170"/>
      <c r="J181" s="169"/>
      <c r="K181" s="181"/>
    </row>
    <row r="182" spans="2:11" s="152" customFormat="1" ht="12.3">
      <c r="B182" s="155">
        <v>2</v>
      </c>
      <c r="C182" s="168" t="s">
        <v>192</v>
      </c>
      <c r="D182" s="168"/>
      <c r="E182" s="168"/>
      <c r="F182" s="168"/>
      <c r="G182" s="168"/>
      <c r="H182" s="155"/>
      <c r="I182" s="155"/>
      <c r="J182" s="169"/>
      <c r="K182" s="169"/>
    </row>
    <row r="183" spans="2:11" s="153" customFormat="1" ht="12.3">
      <c r="B183" s="170"/>
      <c r="C183" s="171" t="s">
        <v>543</v>
      </c>
      <c r="D183" s="170" t="s">
        <v>544</v>
      </c>
      <c r="E183" s="172">
        <v>8</v>
      </c>
      <c r="F183" s="173" t="s">
        <v>50</v>
      </c>
      <c r="G183" s="171"/>
      <c r="H183" s="155" t="s">
        <v>92</v>
      </c>
      <c r="I183" s="155" t="s">
        <v>528</v>
      </c>
      <c r="J183" s="174"/>
      <c r="K183" s="169" t="s">
        <v>151</v>
      </c>
    </row>
    <row r="184" spans="2:11">
      <c r="C184" s="175">
        <v>0.21</v>
      </c>
      <c r="D184" s="1603" t="s">
        <v>565</v>
      </c>
      <c r="E184" s="1603"/>
      <c r="F184" s="1603"/>
      <c r="G184" s="1603"/>
      <c r="H184" s="176">
        <f>$F$3</f>
        <v>471.6</v>
      </c>
      <c r="I184" s="156" t="str">
        <f>$K$3</f>
        <v>Hour</v>
      </c>
      <c r="J184" s="159" t="s">
        <v>596</v>
      </c>
      <c r="K184" s="176">
        <f>ROUND(C184*H184,2)</f>
        <v>99.04</v>
      </c>
    </row>
    <row r="185" spans="2:11">
      <c r="C185" s="177">
        <f>C184</f>
        <v>0.21</v>
      </c>
      <c r="D185" s="1603" t="s">
        <v>188</v>
      </c>
      <c r="E185" s="1603"/>
      <c r="F185" s="1603"/>
      <c r="G185" s="1603"/>
      <c r="H185" s="176">
        <f>$G$3</f>
        <v>352.5</v>
      </c>
      <c r="I185" s="156" t="str">
        <f>$K$3</f>
        <v>Hour</v>
      </c>
      <c r="J185" s="159" t="s">
        <v>596</v>
      </c>
      <c r="K185" s="176">
        <f>ROUND(C185*H185,2)</f>
        <v>74.03</v>
      </c>
    </row>
    <row r="186" spans="2:11">
      <c r="C186" s="177">
        <f>C184</f>
        <v>0.21</v>
      </c>
      <c r="D186" s="1603" t="s">
        <v>189</v>
      </c>
      <c r="E186" s="1603"/>
      <c r="F186" s="1603"/>
      <c r="G186" s="1603"/>
      <c r="H186" s="176">
        <f>$H$3</f>
        <v>211.6</v>
      </c>
      <c r="I186" s="156" t="str">
        <f>$K$3</f>
        <v>Hour</v>
      </c>
      <c r="J186" s="159" t="s">
        <v>596</v>
      </c>
      <c r="K186" s="176">
        <f>ROUND(C186*H186,2)</f>
        <v>44.44</v>
      </c>
    </row>
    <row r="187" spans="2:11">
      <c r="C187" s="177">
        <f>MAX($K$9,$K$10,$K$11)</f>
        <v>0</v>
      </c>
      <c r="D187" s="1603" t="str">
        <f>CONCATENATE("add area allowance at ",$K$12*100, "% on Rs.",)</f>
        <v>add area allowance at 0% on Rs.</v>
      </c>
      <c r="E187" s="1603"/>
      <c r="F187" s="1603"/>
      <c r="G187" s="1603"/>
      <c r="H187" s="176">
        <f>K186</f>
        <v>44.44</v>
      </c>
      <c r="J187" s="159" t="s">
        <v>596</v>
      </c>
      <c r="K187" s="176">
        <f>ROUND(C187*H187,2)</f>
        <v>0</v>
      </c>
    </row>
    <row r="188" spans="2:11">
      <c r="D188" s="157" t="s">
        <v>190</v>
      </c>
      <c r="E188" s="177">
        <f>E183</f>
        <v>8</v>
      </c>
      <c r="F188" s="157" t="str">
        <f>F183</f>
        <v>MT</v>
      </c>
      <c r="J188" s="159" t="s">
        <v>596</v>
      </c>
      <c r="K188" s="176">
        <f>SUM(K184:K187)</f>
        <v>217.51</v>
      </c>
    </row>
    <row r="189" spans="2:11">
      <c r="D189" s="157" t="s">
        <v>190</v>
      </c>
      <c r="E189" s="178">
        <v>1</v>
      </c>
      <c r="F189" s="179" t="str">
        <f>F183</f>
        <v>MT</v>
      </c>
      <c r="J189" s="159" t="s">
        <v>596</v>
      </c>
      <c r="K189" s="156">
        <f>ROUND(K188/E183,2)</f>
        <v>27.19</v>
      </c>
    </row>
    <row r="190" spans="2:11" ht="27.75" customHeight="1">
      <c r="C190" s="177">
        <f>$K$13</f>
        <v>0</v>
      </c>
      <c r="D190" s="1603" t="str">
        <f>CONCATENATE("add overheads and contractors profit at ",$K$13*100, "% on Rs.",)</f>
        <v>add overheads and contractors profit at 0% on Rs.</v>
      </c>
      <c r="E190" s="1603"/>
      <c r="F190" s="1603"/>
      <c r="G190" s="1603"/>
      <c r="H190" s="176">
        <f>K189</f>
        <v>27.19</v>
      </c>
      <c r="I190" s="156" t="str">
        <f>$K$3</f>
        <v>Hour</v>
      </c>
      <c r="J190" s="159" t="s">
        <v>596</v>
      </c>
      <c r="K190" s="176">
        <f>ROUND(C190*H190,2)</f>
        <v>0</v>
      </c>
    </row>
    <row r="191" spans="2:11" s="153" customFormat="1">
      <c r="B191" s="170"/>
      <c r="C191" s="171"/>
      <c r="D191" s="157" t="s">
        <v>191</v>
      </c>
      <c r="E191" s="171"/>
      <c r="F191" s="180">
        <f>E189</f>
        <v>1</v>
      </c>
      <c r="G191" s="171" t="str">
        <f>F189</f>
        <v>MT</v>
      </c>
      <c r="H191" s="170"/>
      <c r="I191" s="170"/>
      <c r="J191" s="169" t="s">
        <v>596</v>
      </c>
      <c r="K191" s="181">
        <f>SUM(K189:K190)</f>
        <v>27.19</v>
      </c>
    </row>
    <row r="193" spans="2:11" s="152" customFormat="1" ht="12.3">
      <c r="B193" s="155">
        <v>3</v>
      </c>
      <c r="C193" s="168" t="s">
        <v>193</v>
      </c>
      <c r="D193" s="168"/>
      <c r="E193" s="168"/>
      <c r="F193" s="168"/>
      <c r="G193" s="168"/>
      <c r="H193" s="155"/>
      <c r="I193" s="155"/>
      <c r="J193" s="169"/>
      <c r="K193" s="169"/>
    </row>
    <row r="194" spans="2:11" s="153" customFormat="1" ht="12.3">
      <c r="B194" s="170"/>
      <c r="C194" s="171" t="s">
        <v>543</v>
      </c>
      <c r="D194" s="170" t="s">
        <v>544</v>
      </c>
      <c r="E194" s="172">
        <v>8</v>
      </c>
      <c r="F194" s="173" t="s">
        <v>50</v>
      </c>
      <c r="G194" s="171"/>
      <c r="H194" s="155" t="s">
        <v>92</v>
      </c>
      <c r="I194" s="155" t="s">
        <v>528</v>
      </c>
      <c r="J194" s="174"/>
      <c r="K194" s="169" t="s">
        <v>151</v>
      </c>
    </row>
    <row r="195" spans="2:11">
      <c r="C195" s="175">
        <v>0.28000000000000003</v>
      </c>
      <c r="D195" s="1603" t="s">
        <v>565</v>
      </c>
      <c r="E195" s="1603"/>
      <c r="F195" s="1603"/>
      <c r="G195" s="1603"/>
      <c r="H195" s="176">
        <f>$F$3</f>
        <v>471.6</v>
      </c>
      <c r="I195" s="156" t="str">
        <f>$K$3</f>
        <v>Hour</v>
      </c>
      <c r="J195" s="159" t="s">
        <v>596</v>
      </c>
      <c r="K195" s="176">
        <f>ROUND(C195*H195,2)</f>
        <v>132.05000000000001</v>
      </c>
    </row>
    <row r="196" spans="2:11">
      <c r="C196" s="177">
        <f>C195</f>
        <v>0.28000000000000003</v>
      </c>
      <c r="D196" s="1603" t="s">
        <v>188</v>
      </c>
      <c r="E196" s="1603"/>
      <c r="F196" s="1603"/>
      <c r="G196" s="1603"/>
      <c r="H196" s="176">
        <f>$G$3</f>
        <v>352.5</v>
      </c>
      <c r="I196" s="156" t="str">
        <f>$K$3</f>
        <v>Hour</v>
      </c>
      <c r="J196" s="159" t="s">
        <v>596</v>
      </c>
      <c r="K196" s="176">
        <f>ROUND(C196*H196,2)</f>
        <v>98.7</v>
      </c>
    </row>
    <row r="197" spans="2:11">
      <c r="C197" s="177">
        <f>C195</f>
        <v>0.28000000000000003</v>
      </c>
      <c r="D197" s="1603" t="s">
        <v>189</v>
      </c>
      <c r="E197" s="1603"/>
      <c r="F197" s="1603"/>
      <c r="G197" s="1603"/>
      <c r="H197" s="176">
        <f>$H$3</f>
        <v>211.6</v>
      </c>
      <c r="I197" s="156" t="str">
        <f>$K$3</f>
        <v>Hour</v>
      </c>
      <c r="J197" s="159" t="s">
        <v>596</v>
      </c>
      <c r="K197" s="176">
        <f>ROUND(C197*H197,2)</f>
        <v>59.25</v>
      </c>
    </row>
    <row r="198" spans="2:11">
      <c r="C198" s="177">
        <f>MAX($K$9,$K$10,$K$11)</f>
        <v>0</v>
      </c>
      <c r="D198" s="1603" t="str">
        <f>CONCATENATE("add area allowance at ",$K$12*100, "% on Rs.",)</f>
        <v>add area allowance at 0% on Rs.</v>
      </c>
      <c r="E198" s="1603"/>
      <c r="F198" s="1603"/>
      <c r="G198" s="1603"/>
      <c r="H198" s="176">
        <f>K197</f>
        <v>59.25</v>
      </c>
      <c r="J198" s="159" t="s">
        <v>596</v>
      </c>
      <c r="K198" s="176">
        <f>ROUND(C198*H198,2)</f>
        <v>0</v>
      </c>
    </row>
    <row r="199" spans="2:11">
      <c r="D199" s="157" t="s">
        <v>190</v>
      </c>
      <c r="E199" s="177">
        <f>E194</f>
        <v>8</v>
      </c>
      <c r="F199" s="157" t="str">
        <f>F194</f>
        <v>MT</v>
      </c>
      <c r="J199" s="159" t="s">
        <v>596</v>
      </c>
      <c r="K199" s="176">
        <f>SUM(K195:K198)</f>
        <v>290</v>
      </c>
    </row>
    <row r="200" spans="2:11">
      <c r="D200" s="157" t="s">
        <v>190</v>
      </c>
      <c r="E200" s="178">
        <v>1</v>
      </c>
      <c r="F200" s="179" t="str">
        <f>F194</f>
        <v>MT</v>
      </c>
      <c r="J200" s="159" t="s">
        <v>596</v>
      </c>
      <c r="K200" s="156">
        <f>ROUND(K199/E194,2)</f>
        <v>36.25</v>
      </c>
    </row>
    <row r="201" spans="2:11" ht="27.75" customHeight="1">
      <c r="C201" s="177">
        <f>$K$13</f>
        <v>0</v>
      </c>
      <c r="D201" s="1603" t="str">
        <f>CONCATENATE("add overheads and contractors profit at ",$K$13*100, "% on Rs.",)</f>
        <v>add overheads and contractors profit at 0% on Rs.</v>
      </c>
      <c r="E201" s="1603"/>
      <c r="F201" s="1603"/>
      <c r="G201" s="1603"/>
      <c r="H201" s="176">
        <f>K200</f>
        <v>36.25</v>
      </c>
      <c r="I201" s="156" t="str">
        <f>$K$3</f>
        <v>Hour</v>
      </c>
      <c r="J201" s="159" t="s">
        <v>596</v>
      </c>
      <c r="K201" s="176">
        <f>ROUND(C201*H201,2)</f>
        <v>0</v>
      </c>
    </row>
    <row r="202" spans="2:11" s="153" customFormat="1">
      <c r="B202" s="170"/>
      <c r="C202" s="171"/>
      <c r="D202" s="157" t="s">
        <v>191</v>
      </c>
      <c r="E202" s="171"/>
      <c r="F202" s="180">
        <f>E200</f>
        <v>1</v>
      </c>
      <c r="G202" s="171" t="str">
        <f>F200</f>
        <v>MT</v>
      </c>
      <c r="H202" s="170"/>
      <c r="I202" s="170"/>
      <c r="J202" s="169" t="s">
        <v>596</v>
      </c>
      <c r="K202" s="181">
        <f>SUM(K200:K201)</f>
        <v>36.25</v>
      </c>
    </row>
    <row r="204" spans="2:11" s="152" customFormat="1" ht="12.3">
      <c r="B204" s="155">
        <v>4</v>
      </c>
      <c r="C204" s="168" t="s">
        <v>194</v>
      </c>
      <c r="D204" s="168"/>
      <c r="E204" s="168"/>
      <c r="F204" s="168"/>
      <c r="G204" s="168"/>
      <c r="H204" s="155"/>
      <c r="I204" s="155"/>
      <c r="J204" s="169"/>
      <c r="K204" s="169"/>
    </row>
    <row r="205" spans="2:11" s="153" customFormat="1" ht="12.3">
      <c r="B205" s="170"/>
      <c r="C205" s="171" t="s">
        <v>543</v>
      </c>
      <c r="D205" s="170" t="s">
        <v>544</v>
      </c>
      <c r="E205" s="172">
        <v>8</v>
      </c>
      <c r="F205" s="173" t="s">
        <v>50</v>
      </c>
      <c r="G205" s="171"/>
      <c r="H205" s="155" t="s">
        <v>92</v>
      </c>
      <c r="I205" s="155" t="s">
        <v>528</v>
      </c>
      <c r="J205" s="174"/>
      <c r="K205" s="169" t="s">
        <v>151</v>
      </c>
    </row>
    <row r="206" spans="2:11">
      <c r="C206" s="175">
        <v>0.34</v>
      </c>
      <c r="D206" s="1603" t="s">
        <v>565</v>
      </c>
      <c r="E206" s="1603"/>
      <c r="F206" s="1603"/>
      <c r="G206" s="1603"/>
      <c r="H206" s="176">
        <f>$F$3</f>
        <v>471.6</v>
      </c>
      <c r="I206" s="156" t="str">
        <f>$K$3</f>
        <v>Hour</v>
      </c>
      <c r="J206" s="159" t="s">
        <v>596</v>
      </c>
      <c r="K206" s="176">
        <f>ROUND(C206*H206,2)</f>
        <v>160.34</v>
      </c>
    </row>
    <row r="207" spans="2:11">
      <c r="C207" s="177">
        <f>C206</f>
        <v>0.34</v>
      </c>
      <c r="D207" s="1603" t="s">
        <v>188</v>
      </c>
      <c r="E207" s="1603"/>
      <c r="F207" s="1603"/>
      <c r="G207" s="1603"/>
      <c r="H207" s="176">
        <f>$G$3</f>
        <v>352.5</v>
      </c>
      <c r="I207" s="156" t="str">
        <f>$K$3</f>
        <v>Hour</v>
      </c>
      <c r="J207" s="159" t="s">
        <v>596</v>
      </c>
      <c r="K207" s="176">
        <f>ROUND(C207*H207,2)</f>
        <v>119.85</v>
      </c>
    </row>
    <row r="208" spans="2:11">
      <c r="C208" s="177">
        <f>C206</f>
        <v>0.34</v>
      </c>
      <c r="D208" s="1603" t="s">
        <v>189</v>
      </c>
      <c r="E208" s="1603"/>
      <c r="F208" s="1603"/>
      <c r="G208" s="1603"/>
      <c r="H208" s="176">
        <f>$H$3</f>
        <v>211.6</v>
      </c>
      <c r="I208" s="156" t="str">
        <f>$K$3</f>
        <v>Hour</v>
      </c>
      <c r="J208" s="159" t="s">
        <v>596</v>
      </c>
      <c r="K208" s="176">
        <f>ROUND(C208*H208,2)</f>
        <v>71.94</v>
      </c>
    </row>
    <row r="209" spans="2:11">
      <c r="C209" s="177">
        <f>MAX($K$9,$K$10,$K$11)</f>
        <v>0</v>
      </c>
      <c r="D209" s="1603" t="str">
        <f>CONCATENATE("add area allowance at ",$K$12*100, "% on Rs.",)</f>
        <v>add area allowance at 0% on Rs.</v>
      </c>
      <c r="E209" s="1603"/>
      <c r="F209" s="1603"/>
      <c r="G209" s="1603"/>
      <c r="H209" s="176">
        <f>K208</f>
        <v>71.94</v>
      </c>
      <c r="J209" s="159" t="s">
        <v>596</v>
      </c>
      <c r="K209" s="176">
        <f>ROUND(C209*H209,2)</f>
        <v>0</v>
      </c>
    </row>
    <row r="210" spans="2:11">
      <c r="D210" s="157" t="s">
        <v>190</v>
      </c>
      <c r="E210" s="177">
        <f>E205</f>
        <v>8</v>
      </c>
      <c r="F210" s="157" t="str">
        <f>F205</f>
        <v>MT</v>
      </c>
      <c r="J210" s="159" t="s">
        <v>596</v>
      </c>
      <c r="K210" s="176">
        <f>SUM(K206:K209)</f>
        <v>352.13</v>
      </c>
    </row>
    <row r="211" spans="2:11">
      <c r="D211" s="157" t="s">
        <v>190</v>
      </c>
      <c r="E211" s="178">
        <v>1</v>
      </c>
      <c r="F211" s="179" t="str">
        <f>F205</f>
        <v>MT</v>
      </c>
      <c r="J211" s="159" t="s">
        <v>596</v>
      </c>
      <c r="K211" s="156">
        <f>ROUND(K210/E205,2)</f>
        <v>44.02</v>
      </c>
    </row>
    <row r="212" spans="2:11" ht="27.75" customHeight="1">
      <c r="C212" s="177">
        <f>$K$13</f>
        <v>0</v>
      </c>
      <c r="D212" s="1603" t="str">
        <f>CONCATENATE("add overheads and contractors profit at ",$K$13*100, "% on Rs.",)</f>
        <v>add overheads and contractors profit at 0% on Rs.</v>
      </c>
      <c r="E212" s="1603"/>
      <c r="F212" s="1603"/>
      <c r="G212" s="1603"/>
      <c r="H212" s="176">
        <f>K211</f>
        <v>44.02</v>
      </c>
      <c r="I212" s="156" t="str">
        <f>$K$3</f>
        <v>Hour</v>
      </c>
      <c r="J212" s="159" t="s">
        <v>596</v>
      </c>
      <c r="K212" s="176">
        <f>ROUND(C212*H212,2)</f>
        <v>0</v>
      </c>
    </row>
    <row r="213" spans="2:11" s="153" customFormat="1">
      <c r="B213" s="170"/>
      <c r="C213" s="171"/>
      <c r="D213" s="157" t="s">
        <v>191</v>
      </c>
      <c r="E213" s="171"/>
      <c r="F213" s="180">
        <f>E211</f>
        <v>1</v>
      </c>
      <c r="G213" s="171" t="str">
        <f>F211</f>
        <v>MT</v>
      </c>
      <c r="H213" s="170"/>
      <c r="I213" s="170"/>
      <c r="J213" s="169" t="s">
        <v>596</v>
      </c>
      <c r="K213" s="181">
        <f>SUM(K211:K212)</f>
        <v>44.02</v>
      </c>
    </row>
    <row r="215" spans="2:11" s="152" customFormat="1" ht="12.3">
      <c r="B215" s="155">
        <v>5</v>
      </c>
      <c r="C215" s="168" t="s">
        <v>195</v>
      </c>
      <c r="D215" s="168"/>
      <c r="E215" s="168"/>
      <c r="F215" s="168"/>
      <c r="G215" s="168"/>
      <c r="H215" s="155"/>
      <c r="I215" s="155"/>
      <c r="J215" s="169"/>
      <c r="K215" s="169"/>
    </row>
    <row r="216" spans="2:11" s="153" customFormat="1" ht="12.3">
      <c r="B216" s="170"/>
      <c r="C216" s="171" t="s">
        <v>543</v>
      </c>
      <c r="D216" s="170" t="s">
        <v>544</v>
      </c>
      <c r="E216" s="172">
        <v>8</v>
      </c>
      <c r="F216" s="173" t="s">
        <v>50</v>
      </c>
      <c r="G216" s="171"/>
      <c r="H216" s="155" t="s">
        <v>92</v>
      </c>
      <c r="I216" s="155" t="s">
        <v>528</v>
      </c>
      <c r="J216" s="174"/>
      <c r="K216" s="169" t="s">
        <v>151</v>
      </c>
    </row>
    <row r="217" spans="2:11">
      <c r="C217" s="175">
        <v>0.4</v>
      </c>
      <c r="D217" s="1603" t="s">
        <v>565</v>
      </c>
      <c r="E217" s="1603"/>
      <c r="F217" s="1603"/>
      <c r="G217" s="1603"/>
      <c r="H217" s="176">
        <f>$F$3</f>
        <v>471.6</v>
      </c>
      <c r="I217" s="156" t="str">
        <f>$K$3</f>
        <v>Hour</v>
      </c>
      <c r="J217" s="159" t="s">
        <v>596</v>
      </c>
      <c r="K217" s="176">
        <f>ROUND(C217*H217,2)</f>
        <v>188.64</v>
      </c>
    </row>
    <row r="218" spans="2:11">
      <c r="C218" s="177">
        <f>C217</f>
        <v>0.4</v>
      </c>
      <c r="D218" s="1603" t="s">
        <v>188</v>
      </c>
      <c r="E218" s="1603"/>
      <c r="F218" s="1603"/>
      <c r="G218" s="1603"/>
      <c r="H218" s="176">
        <f>$G$3</f>
        <v>352.5</v>
      </c>
      <c r="I218" s="156" t="str">
        <f>$K$3</f>
        <v>Hour</v>
      </c>
      <c r="J218" s="159" t="s">
        <v>596</v>
      </c>
      <c r="K218" s="176">
        <f>ROUND(C218*H218,2)</f>
        <v>141</v>
      </c>
    </row>
    <row r="219" spans="2:11">
      <c r="C219" s="177">
        <f>C217</f>
        <v>0.4</v>
      </c>
      <c r="D219" s="1603" t="s">
        <v>189</v>
      </c>
      <c r="E219" s="1603"/>
      <c r="F219" s="1603"/>
      <c r="G219" s="1603"/>
      <c r="H219" s="176">
        <f>$H$3</f>
        <v>211.6</v>
      </c>
      <c r="I219" s="156" t="str">
        <f>$K$3</f>
        <v>Hour</v>
      </c>
      <c r="J219" s="159" t="s">
        <v>596</v>
      </c>
      <c r="K219" s="176">
        <f>ROUND(C219*H219,2)</f>
        <v>84.64</v>
      </c>
    </row>
    <row r="220" spans="2:11">
      <c r="C220" s="177">
        <f>MAX($K$9,$K$10,$K$11)</f>
        <v>0</v>
      </c>
      <c r="D220" s="1603" t="str">
        <f>CONCATENATE("add area allowance at ",$K$12*100, "% on Rs.",)</f>
        <v>add area allowance at 0% on Rs.</v>
      </c>
      <c r="E220" s="1603"/>
      <c r="F220" s="1603"/>
      <c r="G220" s="1603"/>
      <c r="H220" s="176">
        <f>K219</f>
        <v>84.64</v>
      </c>
      <c r="J220" s="159" t="s">
        <v>596</v>
      </c>
      <c r="K220" s="176">
        <f>ROUND(C220*H220,2)</f>
        <v>0</v>
      </c>
    </row>
    <row r="221" spans="2:11">
      <c r="D221" s="157" t="s">
        <v>190</v>
      </c>
      <c r="E221" s="177">
        <f>E216</f>
        <v>8</v>
      </c>
      <c r="F221" s="157" t="str">
        <f>F216</f>
        <v>MT</v>
      </c>
      <c r="J221" s="159" t="s">
        <v>596</v>
      </c>
      <c r="K221" s="176">
        <f>SUM(K217:K220)</f>
        <v>414.28</v>
      </c>
    </row>
    <row r="222" spans="2:11">
      <c r="D222" s="157" t="s">
        <v>190</v>
      </c>
      <c r="E222" s="178">
        <v>1</v>
      </c>
      <c r="F222" s="179" t="str">
        <f>F216</f>
        <v>MT</v>
      </c>
      <c r="J222" s="159" t="s">
        <v>596</v>
      </c>
      <c r="K222" s="156">
        <f>ROUND(K221/E216,2)</f>
        <v>51.79</v>
      </c>
    </row>
    <row r="223" spans="2:11" ht="27.75" customHeight="1">
      <c r="C223" s="177">
        <f>$K$13</f>
        <v>0</v>
      </c>
      <c r="D223" s="1603" t="str">
        <f>CONCATENATE("add overheads and contractors profit at ",$K$13*100, "% on Rs.",)</f>
        <v>add overheads and contractors profit at 0% on Rs.</v>
      </c>
      <c r="E223" s="1603"/>
      <c r="F223" s="1603"/>
      <c r="G223" s="1603"/>
      <c r="H223" s="176">
        <f>K222</f>
        <v>51.79</v>
      </c>
      <c r="I223" s="156" t="str">
        <f>$K$3</f>
        <v>Hour</v>
      </c>
      <c r="J223" s="159" t="s">
        <v>596</v>
      </c>
      <c r="K223" s="176">
        <f>ROUND(C223*H223,2)</f>
        <v>0</v>
      </c>
    </row>
    <row r="224" spans="2:11" s="153" customFormat="1">
      <c r="B224" s="170"/>
      <c r="C224" s="171"/>
      <c r="D224" s="157" t="s">
        <v>191</v>
      </c>
      <c r="E224" s="171"/>
      <c r="F224" s="180">
        <f>E222</f>
        <v>1</v>
      </c>
      <c r="G224" s="171" t="str">
        <f>F222</f>
        <v>MT</v>
      </c>
      <c r="H224" s="170"/>
      <c r="I224" s="170"/>
      <c r="J224" s="169" t="s">
        <v>596</v>
      </c>
      <c r="K224" s="181">
        <f>SUM(K222:K223)</f>
        <v>51.79</v>
      </c>
    </row>
    <row r="226" spans="2:11" s="152" customFormat="1" ht="12.3">
      <c r="B226" s="155">
        <v>6</v>
      </c>
      <c r="C226" s="168" t="s">
        <v>246</v>
      </c>
      <c r="D226" s="168"/>
      <c r="E226" s="168"/>
      <c r="F226" s="168"/>
      <c r="G226" s="168"/>
      <c r="H226" s="155"/>
      <c r="I226" s="155"/>
      <c r="J226" s="169"/>
      <c r="K226" s="169"/>
    </row>
    <row r="227" spans="2:11" s="153" customFormat="1" ht="12.3">
      <c r="B227" s="170"/>
      <c r="C227" s="171" t="s">
        <v>543</v>
      </c>
      <c r="D227" s="170" t="s">
        <v>544</v>
      </c>
      <c r="E227" s="172">
        <v>8</v>
      </c>
      <c r="F227" s="173" t="s">
        <v>50</v>
      </c>
      <c r="G227" s="171"/>
      <c r="H227" s="155" t="s">
        <v>92</v>
      </c>
      <c r="I227" s="155" t="s">
        <v>528</v>
      </c>
      <c r="J227" s="174"/>
      <c r="K227" s="169" t="s">
        <v>151</v>
      </c>
    </row>
    <row r="228" spans="2:11">
      <c r="C228" s="175">
        <v>0.06</v>
      </c>
      <c r="D228" s="1603" t="s">
        <v>565</v>
      </c>
      <c r="E228" s="1603"/>
      <c r="F228" s="1603"/>
      <c r="G228" s="1603"/>
      <c r="H228" s="176">
        <f>$F$3</f>
        <v>471.6</v>
      </c>
      <c r="I228" s="156" t="str">
        <f>$K$3</f>
        <v>Hour</v>
      </c>
      <c r="J228" s="159" t="s">
        <v>596</v>
      </c>
      <c r="K228" s="176">
        <f>ROUND(C228*H228,2)</f>
        <v>28.3</v>
      </c>
    </row>
    <row r="229" spans="2:11">
      <c r="C229" s="177">
        <f>C228</f>
        <v>0.06</v>
      </c>
      <c r="D229" s="1603" t="s">
        <v>188</v>
      </c>
      <c r="E229" s="1603"/>
      <c r="F229" s="1603"/>
      <c r="G229" s="1603"/>
      <c r="H229" s="176">
        <f>$G$3</f>
        <v>352.5</v>
      </c>
      <c r="I229" s="156" t="str">
        <f>$K$3</f>
        <v>Hour</v>
      </c>
      <c r="J229" s="159" t="s">
        <v>596</v>
      </c>
      <c r="K229" s="176">
        <f>ROUND(C229*H229,2)</f>
        <v>21.15</v>
      </c>
    </row>
    <row r="230" spans="2:11">
      <c r="C230" s="177">
        <f>C228</f>
        <v>0.06</v>
      </c>
      <c r="D230" s="1603" t="s">
        <v>189</v>
      </c>
      <c r="E230" s="1603"/>
      <c r="F230" s="1603"/>
      <c r="G230" s="1603"/>
      <c r="H230" s="176">
        <f>$H$3</f>
        <v>211.6</v>
      </c>
      <c r="I230" s="156" t="str">
        <f>$K$3</f>
        <v>Hour</v>
      </c>
      <c r="J230" s="159" t="s">
        <v>596</v>
      </c>
      <c r="K230" s="176">
        <f>ROUND(C230*H230,2)</f>
        <v>12.7</v>
      </c>
    </row>
    <row r="231" spans="2:11">
      <c r="C231" s="177">
        <f>MAX($K$9,$K$10,$K$11)</f>
        <v>0</v>
      </c>
      <c r="D231" s="1603" t="str">
        <f>CONCATENATE("add area allowance at ",$K$12*100, "% on Rs.",)</f>
        <v>add area allowance at 0% on Rs.</v>
      </c>
      <c r="E231" s="1603"/>
      <c r="F231" s="1603"/>
      <c r="G231" s="1603"/>
      <c r="H231" s="176">
        <f>K230</f>
        <v>12.7</v>
      </c>
      <c r="J231" s="159" t="s">
        <v>596</v>
      </c>
      <c r="K231" s="176">
        <f>ROUND(C231*H231,2)</f>
        <v>0</v>
      </c>
    </row>
    <row r="232" spans="2:11">
      <c r="D232" s="157" t="s">
        <v>190</v>
      </c>
      <c r="E232" s="177">
        <f>E227</f>
        <v>8</v>
      </c>
      <c r="F232" s="157" t="str">
        <f>F227</f>
        <v>MT</v>
      </c>
      <c r="J232" s="159" t="s">
        <v>596</v>
      </c>
      <c r="K232" s="176">
        <f>SUM(K228:K231)</f>
        <v>62.150000000000006</v>
      </c>
    </row>
    <row r="233" spans="2:11">
      <c r="D233" s="157" t="s">
        <v>190</v>
      </c>
      <c r="E233" s="178">
        <v>1</v>
      </c>
      <c r="F233" s="179" t="str">
        <f>F227</f>
        <v>MT</v>
      </c>
      <c r="J233" s="159" t="s">
        <v>596</v>
      </c>
      <c r="K233" s="156">
        <f>ROUND(K232/E227,2)</f>
        <v>7.77</v>
      </c>
    </row>
    <row r="234" spans="2:11" ht="27.75" customHeight="1">
      <c r="C234" s="177">
        <f>$K$13</f>
        <v>0</v>
      </c>
      <c r="D234" s="1603" t="str">
        <f>CONCATENATE("add overheads and contractors profit at ",$K$13*100, "% on Rs.",)</f>
        <v>add overheads and contractors profit at 0% on Rs.</v>
      </c>
      <c r="E234" s="1603"/>
      <c r="F234" s="1603"/>
      <c r="G234" s="1603"/>
      <c r="H234" s="176">
        <f>K233</f>
        <v>7.77</v>
      </c>
      <c r="I234" s="156" t="str">
        <f>$K$3</f>
        <v>Hour</v>
      </c>
      <c r="J234" s="159" t="s">
        <v>596</v>
      </c>
      <c r="K234" s="176">
        <f>ROUND(C234*H234,2)</f>
        <v>0</v>
      </c>
    </row>
    <row r="235" spans="2:11" s="153" customFormat="1">
      <c r="B235" s="170"/>
      <c r="C235" s="171"/>
      <c r="D235" s="157" t="s">
        <v>191</v>
      </c>
      <c r="E235" s="171"/>
      <c r="F235" s="180">
        <f>E233</f>
        <v>1</v>
      </c>
      <c r="G235" s="171" t="str">
        <f>F233</f>
        <v>MT</v>
      </c>
      <c r="H235" s="170"/>
      <c r="I235" s="170"/>
      <c r="J235" s="169" t="s">
        <v>596</v>
      </c>
      <c r="K235" s="181">
        <f>SUM(K233:K234)</f>
        <v>7.77</v>
      </c>
    </row>
    <row r="237" spans="2:11" s="152" customFormat="1" ht="12.3">
      <c r="B237" s="155">
        <v>7</v>
      </c>
      <c r="C237" s="168" t="s">
        <v>247</v>
      </c>
      <c r="D237" s="168"/>
      <c r="E237" s="168"/>
      <c r="F237" s="168"/>
      <c r="G237" s="168"/>
      <c r="H237" s="155"/>
      <c r="I237" s="155"/>
      <c r="J237" s="169"/>
      <c r="K237" s="169"/>
    </row>
    <row r="238" spans="2:11" s="153" customFormat="1" ht="12.3">
      <c r="B238" s="170"/>
      <c r="C238" s="171" t="s">
        <v>543</v>
      </c>
      <c r="D238" s="170" t="s">
        <v>544</v>
      </c>
      <c r="E238" s="172">
        <v>8</v>
      </c>
      <c r="F238" s="173" t="s">
        <v>50</v>
      </c>
      <c r="G238" s="171"/>
      <c r="H238" s="155" t="s">
        <v>92</v>
      </c>
      <c r="I238" s="155" t="s">
        <v>528</v>
      </c>
      <c r="J238" s="174"/>
      <c r="K238" s="169" t="s">
        <v>151</v>
      </c>
    </row>
    <row r="239" spans="2:11">
      <c r="C239" s="175">
        <v>0.05</v>
      </c>
      <c r="D239" s="1603" t="s">
        <v>565</v>
      </c>
      <c r="E239" s="1603"/>
      <c r="F239" s="1603"/>
      <c r="G239" s="1603"/>
      <c r="H239" s="176">
        <f>$F$3</f>
        <v>471.6</v>
      </c>
      <c r="I239" s="156" t="str">
        <f>$K$3</f>
        <v>Hour</v>
      </c>
      <c r="J239" s="159" t="s">
        <v>596</v>
      </c>
      <c r="K239" s="176">
        <f>ROUND(C239*H239,2)</f>
        <v>23.58</v>
      </c>
    </row>
    <row r="240" spans="2:11">
      <c r="C240" s="177">
        <f>C239</f>
        <v>0.05</v>
      </c>
      <c r="D240" s="1603" t="s">
        <v>188</v>
      </c>
      <c r="E240" s="1603"/>
      <c r="F240" s="1603"/>
      <c r="G240" s="1603"/>
      <c r="H240" s="176">
        <f>$G$3</f>
        <v>352.5</v>
      </c>
      <c r="I240" s="156" t="str">
        <f>$K$3</f>
        <v>Hour</v>
      </c>
      <c r="J240" s="159" t="s">
        <v>596</v>
      </c>
      <c r="K240" s="176">
        <f>ROUND(C240*H240,2)</f>
        <v>17.63</v>
      </c>
    </row>
    <row r="241" spans="2:11">
      <c r="C241" s="177">
        <f>C239</f>
        <v>0.05</v>
      </c>
      <c r="D241" s="1603" t="s">
        <v>189</v>
      </c>
      <c r="E241" s="1603"/>
      <c r="F241" s="1603"/>
      <c r="G241" s="1603"/>
      <c r="H241" s="176">
        <f>$H$3</f>
        <v>211.6</v>
      </c>
      <c r="I241" s="156" t="str">
        <f>$K$3</f>
        <v>Hour</v>
      </c>
      <c r="J241" s="159" t="s">
        <v>596</v>
      </c>
      <c r="K241" s="176">
        <f>ROUND(C241*H241,2)</f>
        <v>10.58</v>
      </c>
    </row>
    <row r="242" spans="2:11">
      <c r="C242" s="177">
        <f>MAX($K$9,$K$10,$K$11)</f>
        <v>0</v>
      </c>
      <c r="D242" s="1603" t="str">
        <f>CONCATENATE("add area allowance at ",$K$12*100, "% on Rs.",)</f>
        <v>add area allowance at 0% on Rs.</v>
      </c>
      <c r="E242" s="1603"/>
      <c r="F242" s="1603"/>
      <c r="G242" s="1603"/>
      <c r="H242" s="176">
        <f>K241</f>
        <v>10.58</v>
      </c>
      <c r="J242" s="159" t="s">
        <v>596</v>
      </c>
      <c r="K242" s="176">
        <f>ROUND(C242*H242,2)</f>
        <v>0</v>
      </c>
    </row>
    <row r="243" spans="2:11">
      <c r="D243" s="157" t="s">
        <v>190</v>
      </c>
      <c r="E243" s="177">
        <f>E238</f>
        <v>8</v>
      </c>
      <c r="F243" s="157" t="str">
        <f>F238</f>
        <v>MT</v>
      </c>
      <c r="J243" s="159" t="s">
        <v>596</v>
      </c>
      <c r="K243" s="176">
        <f>SUM(K239:K242)</f>
        <v>51.789999999999992</v>
      </c>
    </row>
    <row r="244" spans="2:11">
      <c r="D244" s="157" t="s">
        <v>190</v>
      </c>
      <c r="E244" s="178">
        <v>1</v>
      </c>
      <c r="F244" s="179" t="str">
        <f>F238</f>
        <v>MT</v>
      </c>
      <c r="J244" s="159" t="s">
        <v>596</v>
      </c>
      <c r="K244" s="156">
        <f>ROUND(K243/E238,2)</f>
        <v>6.47</v>
      </c>
    </row>
    <row r="245" spans="2:11" ht="27.75" customHeight="1">
      <c r="C245" s="177">
        <f>$K$13</f>
        <v>0</v>
      </c>
      <c r="D245" s="1603" t="str">
        <f>CONCATENATE("add overheads and contractors profit at ",$K$13*100, "% on Rs.",)</f>
        <v>add overheads and contractors profit at 0% on Rs.</v>
      </c>
      <c r="E245" s="1603"/>
      <c r="F245" s="1603"/>
      <c r="G245" s="1603"/>
      <c r="H245" s="176">
        <f>K244</f>
        <v>6.47</v>
      </c>
      <c r="J245" s="159" t="s">
        <v>596</v>
      </c>
      <c r="K245" s="176">
        <f>ROUND(C245*H245,2)</f>
        <v>0</v>
      </c>
    </row>
    <row r="246" spans="2:11" s="153" customFormat="1">
      <c r="B246" s="170"/>
      <c r="C246" s="171"/>
      <c r="D246" s="157" t="s">
        <v>191</v>
      </c>
      <c r="E246" s="171"/>
      <c r="F246" s="180">
        <f>E244</f>
        <v>1</v>
      </c>
      <c r="G246" s="171" t="str">
        <f>F244</f>
        <v>MT</v>
      </c>
      <c r="H246" s="170"/>
      <c r="I246" s="170"/>
      <c r="J246" s="169" t="s">
        <v>596</v>
      </c>
      <c r="K246" s="181">
        <f>SUM(K244:K245)</f>
        <v>6.47</v>
      </c>
    </row>
    <row r="248" spans="2:11" s="152" customFormat="1" ht="15.75" customHeight="1">
      <c r="B248" s="155" t="s">
        <v>551</v>
      </c>
      <c r="C248" s="1605" t="s">
        <v>552</v>
      </c>
      <c r="D248" s="1605"/>
      <c r="E248" s="1605"/>
      <c r="F248" s="1605"/>
      <c r="G248" s="1605"/>
      <c r="H248" s="1605"/>
      <c r="I248" s="1605"/>
      <c r="J248" s="1605"/>
      <c r="K248" s="1605"/>
    </row>
    <row r="249" spans="2:11" s="152" customFormat="1" ht="12.3">
      <c r="B249" s="155">
        <v>1</v>
      </c>
      <c r="C249" s="168" t="s">
        <v>542</v>
      </c>
      <c r="D249" s="168"/>
      <c r="E249" s="168"/>
      <c r="F249" s="168"/>
      <c r="G249" s="168"/>
      <c r="H249" s="155"/>
      <c r="I249" s="155"/>
      <c r="J249" s="169"/>
      <c r="K249" s="169"/>
    </row>
    <row r="250" spans="2:11" s="153" customFormat="1" ht="12.3">
      <c r="B250" s="170"/>
      <c r="C250" s="171" t="s">
        <v>543</v>
      </c>
      <c r="D250" s="170" t="s">
        <v>544</v>
      </c>
      <c r="E250" s="172">
        <v>3.4</v>
      </c>
      <c r="F250" s="173" t="s">
        <v>465</v>
      </c>
      <c r="G250" s="171"/>
      <c r="H250" s="155" t="s">
        <v>92</v>
      </c>
      <c r="I250" s="155" t="s">
        <v>528</v>
      </c>
      <c r="J250" s="174"/>
      <c r="K250" s="169" t="s">
        <v>151</v>
      </c>
    </row>
    <row r="251" spans="2:11">
      <c r="C251" s="175">
        <v>0.15</v>
      </c>
      <c r="D251" s="1603" t="s">
        <v>565</v>
      </c>
      <c r="E251" s="1603"/>
      <c r="F251" s="1603"/>
      <c r="G251" s="1603"/>
      <c r="H251" s="176">
        <f>$F$3</f>
        <v>471.6</v>
      </c>
      <c r="I251" s="156" t="str">
        <f>$K$3</f>
        <v>Hour</v>
      </c>
      <c r="J251" s="159" t="s">
        <v>596</v>
      </c>
      <c r="K251" s="176">
        <f>ROUND(C251*H251,2)</f>
        <v>70.739999999999995</v>
      </c>
    </row>
    <row r="252" spans="2:11">
      <c r="C252" s="177">
        <f>C251</f>
        <v>0.15</v>
      </c>
      <c r="D252" s="1603" t="s">
        <v>188</v>
      </c>
      <c r="E252" s="1603"/>
      <c r="F252" s="1603"/>
      <c r="G252" s="1603"/>
      <c r="H252" s="176">
        <f>$G$3</f>
        <v>352.5</v>
      </c>
      <c r="I252" s="156" t="str">
        <f>$K$3</f>
        <v>Hour</v>
      </c>
      <c r="J252" s="159" t="s">
        <v>596</v>
      </c>
      <c r="K252" s="176">
        <f>ROUND(C252*H252,2)</f>
        <v>52.88</v>
      </c>
    </row>
    <row r="253" spans="2:11">
      <c r="C253" s="177">
        <f>C251</f>
        <v>0.15</v>
      </c>
      <c r="D253" s="1603" t="s">
        <v>189</v>
      </c>
      <c r="E253" s="1603"/>
      <c r="F253" s="1603"/>
      <c r="G253" s="1603"/>
      <c r="H253" s="176">
        <f>$H$3</f>
        <v>211.6</v>
      </c>
      <c r="I253" s="156" t="str">
        <f>$K$3</f>
        <v>Hour</v>
      </c>
      <c r="J253" s="159" t="s">
        <v>596</v>
      </c>
      <c r="K253" s="176">
        <f>ROUND(C253*H253,2)</f>
        <v>31.74</v>
      </c>
    </row>
    <row r="254" spans="2:11">
      <c r="C254" s="177">
        <f>MAX($K$9,$K$10,$K$11)</f>
        <v>0</v>
      </c>
      <c r="D254" s="1603" t="str">
        <f>CONCATENATE("add area allowance at ",$K$12*100, "% on Rs.",)</f>
        <v>add area allowance at 0% on Rs.</v>
      </c>
      <c r="E254" s="1603"/>
      <c r="F254" s="1603"/>
      <c r="G254" s="1603"/>
      <c r="H254" s="176">
        <f>K253</f>
        <v>31.74</v>
      </c>
      <c r="J254" s="159" t="s">
        <v>596</v>
      </c>
      <c r="K254" s="176">
        <f>ROUND(C254*H254,2)</f>
        <v>0</v>
      </c>
    </row>
    <row r="255" spans="2:11">
      <c r="D255" s="157" t="s">
        <v>190</v>
      </c>
      <c r="E255" s="177">
        <f>E250</f>
        <v>3.4</v>
      </c>
      <c r="F255" s="157" t="str">
        <f>F250</f>
        <v>Cum</v>
      </c>
      <c r="J255" s="159" t="s">
        <v>596</v>
      </c>
      <c r="K255" s="176">
        <f>SUM(K251:K254)</f>
        <v>155.36000000000001</v>
      </c>
    </row>
    <row r="256" spans="2:11">
      <c r="D256" s="157" t="s">
        <v>190</v>
      </c>
      <c r="E256" s="178">
        <v>1</v>
      </c>
      <c r="F256" s="179" t="str">
        <f>F250</f>
        <v>Cum</v>
      </c>
      <c r="J256" s="159" t="s">
        <v>596</v>
      </c>
      <c r="K256" s="156">
        <f>ROUND(K255/E250,2)</f>
        <v>45.69</v>
      </c>
    </row>
    <row r="257" spans="2:11" ht="24.75" customHeight="1">
      <c r="C257" s="177">
        <f>$K$13</f>
        <v>0</v>
      </c>
      <c r="D257" s="1603" t="str">
        <f>CONCATENATE("add overheads and contractors profit at ",$K$13*100, "% on Rs.",)</f>
        <v>add overheads and contractors profit at 0% on Rs.</v>
      </c>
      <c r="E257" s="1603"/>
      <c r="F257" s="1603"/>
      <c r="G257" s="1603"/>
      <c r="H257" s="176">
        <f>K256</f>
        <v>45.69</v>
      </c>
      <c r="J257" s="159" t="s">
        <v>596</v>
      </c>
      <c r="K257" s="176">
        <f>ROUND(C257*H257,2)</f>
        <v>0</v>
      </c>
    </row>
    <row r="258" spans="2:11" s="153" customFormat="1">
      <c r="B258" s="170"/>
      <c r="C258" s="171"/>
      <c r="D258" s="157" t="s">
        <v>191</v>
      </c>
      <c r="E258" s="171"/>
      <c r="F258" s="180">
        <f>E256</f>
        <v>1</v>
      </c>
      <c r="G258" s="171" t="str">
        <f>F256</f>
        <v>Cum</v>
      </c>
      <c r="H258" s="170"/>
      <c r="I258" s="170"/>
      <c r="J258" s="169" t="s">
        <v>596</v>
      </c>
      <c r="K258" s="181">
        <f>SUM(K256:K257)</f>
        <v>45.69</v>
      </c>
    </row>
    <row r="259" spans="2:11" s="153" customFormat="1">
      <c r="B259" s="170"/>
      <c r="C259" s="171"/>
      <c r="D259" s="157"/>
      <c r="E259" s="171"/>
      <c r="F259" s="180"/>
      <c r="G259" s="171"/>
      <c r="H259" s="170"/>
      <c r="I259" s="170"/>
      <c r="J259" s="169"/>
      <c r="K259" s="181"/>
    </row>
    <row r="260" spans="2:11" s="152" customFormat="1" ht="12.3">
      <c r="B260" s="155">
        <v>2</v>
      </c>
      <c r="C260" s="168" t="s">
        <v>192</v>
      </c>
      <c r="D260" s="168"/>
      <c r="E260" s="168"/>
      <c r="F260" s="168"/>
      <c r="G260" s="168"/>
      <c r="H260" s="155"/>
      <c r="I260" s="155"/>
      <c r="J260" s="169"/>
      <c r="K260" s="169"/>
    </row>
    <row r="261" spans="2:11" s="153" customFormat="1" ht="12.3">
      <c r="B261" s="170"/>
      <c r="C261" s="171" t="s">
        <v>543</v>
      </c>
      <c r="D261" s="170" t="s">
        <v>544</v>
      </c>
      <c r="E261" s="172">
        <v>3.4</v>
      </c>
      <c r="F261" s="173" t="s">
        <v>465</v>
      </c>
      <c r="G261" s="171"/>
      <c r="H261" s="155" t="s">
        <v>92</v>
      </c>
      <c r="I261" s="155" t="s">
        <v>528</v>
      </c>
      <c r="J261" s="174"/>
      <c r="K261" s="169" t="s">
        <v>151</v>
      </c>
    </row>
    <row r="262" spans="2:11">
      <c r="C262" s="175">
        <v>0.21</v>
      </c>
      <c r="D262" s="1603" t="s">
        <v>565</v>
      </c>
      <c r="E262" s="1603"/>
      <c r="F262" s="1603"/>
      <c r="G262" s="1603"/>
      <c r="H262" s="176">
        <f>$F$3</f>
        <v>471.6</v>
      </c>
      <c r="I262" s="156" t="str">
        <f>$K$3</f>
        <v>Hour</v>
      </c>
      <c r="J262" s="159" t="s">
        <v>596</v>
      </c>
      <c r="K262" s="176">
        <f>ROUND(C262*H262,2)</f>
        <v>99.04</v>
      </c>
    </row>
    <row r="263" spans="2:11">
      <c r="C263" s="177">
        <f>C262</f>
        <v>0.21</v>
      </c>
      <c r="D263" s="1603" t="s">
        <v>188</v>
      </c>
      <c r="E263" s="1603"/>
      <c r="F263" s="1603"/>
      <c r="G263" s="1603"/>
      <c r="H263" s="176">
        <f>$G$3</f>
        <v>352.5</v>
      </c>
      <c r="I263" s="156" t="str">
        <f>$K$3</f>
        <v>Hour</v>
      </c>
      <c r="J263" s="159" t="s">
        <v>596</v>
      </c>
      <c r="K263" s="176">
        <f>ROUND(C263*H263,2)</f>
        <v>74.03</v>
      </c>
    </row>
    <row r="264" spans="2:11">
      <c r="C264" s="177">
        <f>C262</f>
        <v>0.21</v>
      </c>
      <c r="D264" s="1603" t="s">
        <v>189</v>
      </c>
      <c r="E264" s="1603"/>
      <c r="F264" s="1603"/>
      <c r="G264" s="1603"/>
      <c r="H264" s="176">
        <f>$H$3</f>
        <v>211.6</v>
      </c>
      <c r="I264" s="156" t="str">
        <f>$K$3</f>
        <v>Hour</v>
      </c>
      <c r="J264" s="159" t="s">
        <v>596</v>
      </c>
      <c r="K264" s="176">
        <f>ROUND(C264*H264,2)</f>
        <v>44.44</v>
      </c>
    </row>
    <row r="265" spans="2:11">
      <c r="C265" s="177">
        <f>MAX($K$9,$K$10,$K$11)</f>
        <v>0</v>
      </c>
      <c r="D265" s="1603" t="str">
        <f>CONCATENATE("add area allowance at ",$K$12*100, "% on Rs.",)</f>
        <v>add area allowance at 0% on Rs.</v>
      </c>
      <c r="E265" s="1603"/>
      <c r="F265" s="1603"/>
      <c r="G265" s="1603"/>
      <c r="H265" s="176">
        <f>K264</f>
        <v>44.44</v>
      </c>
      <c r="J265" s="159" t="s">
        <v>596</v>
      </c>
      <c r="K265" s="176">
        <f>ROUND(C265*H265,2)</f>
        <v>0</v>
      </c>
    </row>
    <row r="266" spans="2:11">
      <c r="D266" s="157" t="s">
        <v>190</v>
      </c>
      <c r="E266" s="177">
        <f>E261</f>
        <v>3.4</v>
      </c>
      <c r="F266" s="157" t="str">
        <f>F261</f>
        <v>Cum</v>
      </c>
      <c r="J266" s="159" t="s">
        <v>596</v>
      </c>
      <c r="K266" s="176">
        <f>SUM(K262:K265)</f>
        <v>217.51</v>
      </c>
    </row>
    <row r="267" spans="2:11">
      <c r="D267" s="157" t="s">
        <v>190</v>
      </c>
      <c r="E267" s="178">
        <v>1</v>
      </c>
      <c r="F267" s="179" t="str">
        <f>F261</f>
        <v>Cum</v>
      </c>
      <c r="J267" s="159" t="s">
        <v>596</v>
      </c>
      <c r="K267" s="156">
        <f>ROUND(K266/E261,2)</f>
        <v>63.97</v>
      </c>
    </row>
    <row r="268" spans="2:11" ht="27.75" customHeight="1">
      <c r="C268" s="177">
        <f>$K$13</f>
        <v>0</v>
      </c>
      <c r="D268" s="1603" t="str">
        <f>CONCATENATE("add overheads and contractors profit at ",$K$13*100, "% on Rs.",)</f>
        <v>add overheads and contractors profit at 0% on Rs.</v>
      </c>
      <c r="E268" s="1603"/>
      <c r="F268" s="1603"/>
      <c r="G268" s="1603"/>
      <c r="H268" s="176">
        <f>K267</f>
        <v>63.97</v>
      </c>
      <c r="I268" s="156" t="str">
        <f>$K$3</f>
        <v>Hour</v>
      </c>
      <c r="J268" s="159" t="s">
        <v>596</v>
      </c>
      <c r="K268" s="176">
        <f>ROUND(C268*H268,2)</f>
        <v>0</v>
      </c>
    </row>
    <row r="269" spans="2:11" s="153" customFormat="1">
      <c r="B269" s="170"/>
      <c r="C269" s="171"/>
      <c r="D269" s="157" t="s">
        <v>191</v>
      </c>
      <c r="E269" s="171"/>
      <c r="F269" s="180">
        <f>E267</f>
        <v>1</v>
      </c>
      <c r="G269" s="171" t="str">
        <f>F267</f>
        <v>Cum</v>
      </c>
      <c r="H269" s="170"/>
      <c r="I269" s="170"/>
      <c r="J269" s="169" t="s">
        <v>596</v>
      </c>
      <c r="K269" s="181">
        <f>SUM(K267:K268)</f>
        <v>63.97</v>
      </c>
    </row>
    <row r="271" spans="2:11" s="152" customFormat="1" ht="12.3">
      <c r="B271" s="155">
        <v>3</v>
      </c>
      <c r="C271" s="168" t="s">
        <v>193</v>
      </c>
      <c r="D271" s="168"/>
      <c r="E271" s="168"/>
      <c r="F271" s="168"/>
      <c r="G271" s="168"/>
      <c r="H271" s="155"/>
      <c r="I271" s="155"/>
      <c r="J271" s="169"/>
      <c r="K271" s="169"/>
    </row>
    <row r="272" spans="2:11" s="153" customFormat="1" ht="12.3">
      <c r="B272" s="170"/>
      <c r="C272" s="171" t="s">
        <v>543</v>
      </c>
      <c r="D272" s="170" t="s">
        <v>544</v>
      </c>
      <c r="E272" s="172">
        <v>3.4</v>
      </c>
      <c r="F272" s="173" t="s">
        <v>465</v>
      </c>
      <c r="G272" s="171"/>
      <c r="H272" s="155" t="s">
        <v>92</v>
      </c>
      <c r="I272" s="155" t="s">
        <v>528</v>
      </c>
      <c r="J272" s="174"/>
      <c r="K272" s="169" t="s">
        <v>151</v>
      </c>
    </row>
    <row r="273" spans="2:11">
      <c r="C273" s="175">
        <v>0.28000000000000003</v>
      </c>
      <c r="D273" s="1603" t="s">
        <v>565</v>
      </c>
      <c r="E273" s="1603"/>
      <c r="F273" s="1603"/>
      <c r="G273" s="1603"/>
      <c r="H273" s="176">
        <f>$F$3</f>
        <v>471.6</v>
      </c>
      <c r="I273" s="156" t="str">
        <f>$K$3</f>
        <v>Hour</v>
      </c>
      <c r="J273" s="159" t="s">
        <v>596</v>
      </c>
      <c r="K273" s="176">
        <f>ROUND(C273*H273,2)</f>
        <v>132.05000000000001</v>
      </c>
    </row>
    <row r="274" spans="2:11">
      <c r="C274" s="177">
        <f>C273</f>
        <v>0.28000000000000003</v>
      </c>
      <c r="D274" s="1603" t="s">
        <v>188</v>
      </c>
      <c r="E274" s="1603"/>
      <c r="F274" s="1603"/>
      <c r="G274" s="1603"/>
      <c r="H274" s="176">
        <f>$G$3</f>
        <v>352.5</v>
      </c>
      <c r="I274" s="156" t="str">
        <f>$K$3</f>
        <v>Hour</v>
      </c>
      <c r="J274" s="159" t="s">
        <v>596</v>
      </c>
      <c r="K274" s="176">
        <f>ROUND(C274*H274,2)</f>
        <v>98.7</v>
      </c>
    </row>
    <row r="275" spans="2:11">
      <c r="C275" s="177">
        <f>C273</f>
        <v>0.28000000000000003</v>
      </c>
      <c r="D275" s="1603" t="s">
        <v>189</v>
      </c>
      <c r="E275" s="1603"/>
      <c r="F275" s="1603"/>
      <c r="G275" s="1603"/>
      <c r="H275" s="176">
        <f>$H$3</f>
        <v>211.6</v>
      </c>
      <c r="I275" s="156" t="str">
        <f>$K$3</f>
        <v>Hour</v>
      </c>
      <c r="J275" s="159" t="s">
        <v>596</v>
      </c>
      <c r="K275" s="176">
        <f>ROUND(C275*H275,2)</f>
        <v>59.25</v>
      </c>
    </row>
    <row r="276" spans="2:11">
      <c r="C276" s="177">
        <f>MAX($K$9,$K$10,$K$11)</f>
        <v>0</v>
      </c>
      <c r="D276" s="1603" t="str">
        <f>CONCATENATE("add area allowance at ",$K$12*100, "% on Rs.",)</f>
        <v>add area allowance at 0% on Rs.</v>
      </c>
      <c r="E276" s="1603"/>
      <c r="F276" s="1603"/>
      <c r="G276" s="1603"/>
      <c r="H276" s="176">
        <f>K275</f>
        <v>59.25</v>
      </c>
      <c r="J276" s="159" t="s">
        <v>596</v>
      </c>
      <c r="K276" s="176">
        <f>ROUND(C276*H276,2)</f>
        <v>0</v>
      </c>
    </row>
    <row r="277" spans="2:11">
      <c r="D277" s="157" t="s">
        <v>190</v>
      </c>
      <c r="E277" s="177">
        <f>E272</f>
        <v>3.4</v>
      </c>
      <c r="F277" s="157" t="str">
        <f>F272</f>
        <v>Cum</v>
      </c>
      <c r="J277" s="159" t="s">
        <v>596</v>
      </c>
      <c r="K277" s="176">
        <f>SUM(K273:K276)</f>
        <v>290</v>
      </c>
    </row>
    <row r="278" spans="2:11">
      <c r="D278" s="157" t="s">
        <v>190</v>
      </c>
      <c r="E278" s="178">
        <v>1</v>
      </c>
      <c r="F278" s="179" t="str">
        <f>F272</f>
        <v>Cum</v>
      </c>
      <c r="J278" s="159" t="s">
        <v>596</v>
      </c>
      <c r="K278" s="156">
        <f>ROUND(K277/E272,2)</f>
        <v>85.29</v>
      </c>
    </row>
    <row r="279" spans="2:11" ht="27.75" customHeight="1">
      <c r="C279" s="177">
        <f>$K$13</f>
        <v>0</v>
      </c>
      <c r="D279" s="1603" t="str">
        <f>CONCATENATE("add overheads and contractors profit at ",$K$13*100, "% on Rs.",)</f>
        <v>add overheads and contractors profit at 0% on Rs.</v>
      </c>
      <c r="E279" s="1603"/>
      <c r="F279" s="1603"/>
      <c r="G279" s="1603"/>
      <c r="H279" s="176">
        <f>K278</f>
        <v>85.29</v>
      </c>
      <c r="I279" s="156" t="str">
        <f>$K$3</f>
        <v>Hour</v>
      </c>
      <c r="J279" s="159" t="s">
        <v>596</v>
      </c>
      <c r="K279" s="176">
        <f>ROUND(C279*H279,2)</f>
        <v>0</v>
      </c>
    </row>
    <row r="280" spans="2:11" s="153" customFormat="1">
      <c r="B280" s="170"/>
      <c r="C280" s="171"/>
      <c r="D280" s="157" t="s">
        <v>191</v>
      </c>
      <c r="E280" s="171"/>
      <c r="F280" s="180">
        <f>E278</f>
        <v>1</v>
      </c>
      <c r="G280" s="171" t="str">
        <f>F278</f>
        <v>Cum</v>
      </c>
      <c r="H280" s="170"/>
      <c r="I280" s="170"/>
      <c r="J280" s="169" t="s">
        <v>596</v>
      </c>
      <c r="K280" s="181">
        <f>SUM(K278:K279)</f>
        <v>85.29</v>
      </c>
    </row>
    <row r="282" spans="2:11" s="152" customFormat="1" ht="12.3">
      <c r="B282" s="155">
        <v>4</v>
      </c>
      <c r="C282" s="168" t="s">
        <v>194</v>
      </c>
      <c r="D282" s="168"/>
      <c r="E282" s="168"/>
      <c r="F282" s="168"/>
      <c r="G282" s="168"/>
      <c r="H282" s="155"/>
      <c r="I282" s="155"/>
      <c r="J282" s="169"/>
      <c r="K282" s="169"/>
    </row>
    <row r="283" spans="2:11" s="153" customFormat="1" ht="12.3">
      <c r="B283" s="170"/>
      <c r="C283" s="171" t="s">
        <v>543</v>
      </c>
      <c r="D283" s="170" t="s">
        <v>544</v>
      </c>
      <c r="E283" s="172">
        <v>3.4</v>
      </c>
      <c r="F283" s="173" t="s">
        <v>465</v>
      </c>
      <c r="G283" s="171"/>
      <c r="H283" s="155" t="s">
        <v>92</v>
      </c>
      <c r="I283" s="155" t="s">
        <v>528</v>
      </c>
      <c r="J283" s="174"/>
      <c r="K283" s="169" t="s">
        <v>151</v>
      </c>
    </row>
    <row r="284" spans="2:11">
      <c r="C284" s="175">
        <v>0.34</v>
      </c>
      <c r="D284" s="1603" t="s">
        <v>565</v>
      </c>
      <c r="E284" s="1603"/>
      <c r="F284" s="1603"/>
      <c r="G284" s="1603"/>
      <c r="H284" s="176">
        <f>$F$3</f>
        <v>471.6</v>
      </c>
      <c r="I284" s="156" t="str">
        <f>$K$3</f>
        <v>Hour</v>
      </c>
      <c r="J284" s="159" t="s">
        <v>596</v>
      </c>
      <c r="K284" s="176">
        <f>ROUND(C284*H284,2)</f>
        <v>160.34</v>
      </c>
    </row>
    <row r="285" spans="2:11">
      <c r="C285" s="177">
        <f>C284</f>
        <v>0.34</v>
      </c>
      <c r="D285" s="1603" t="s">
        <v>188</v>
      </c>
      <c r="E285" s="1603"/>
      <c r="F285" s="1603"/>
      <c r="G285" s="1603"/>
      <c r="H285" s="176">
        <f>$G$3</f>
        <v>352.5</v>
      </c>
      <c r="I285" s="156" t="str">
        <f>$K$3</f>
        <v>Hour</v>
      </c>
      <c r="J285" s="159" t="s">
        <v>596</v>
      </c>
      <c r="K285" s="176">
        <f>ROUND(C285*H285,2)</f>
        <v>119.85</v>
      </c>
    </row>
    <row r="286" spans="2:11">
      <c r="C286" s="177">
        <f>C284</f>
        <v>0.34</v>
      </c>
      <c r="D286" s="1603" t="s">
        <v>189</v>
      </c>
      <c r="E286" s="1603"/>
      <c r="F286" s="1603"/>
      <c r="G286" s="1603"/>
      <c r="H286" s="176">
        <f>$H$3</f>
        <v>211.6</v>
      </c>
      <c r="I286" s="156" t="str">
        <f>$K$3</f>
        <v>Hour</v>
      </c>
      <c r="J286" s="159" t="s">
        <v>596</v>
      </c>
      <c r="K286" s="176">
        <f>ROUND(C286*H286,2)</f>
        <v>71.94</v>
      </c>
    </row>
    <row r="287" spans="2:11">
      <c r="C287" s="177">
        <f>MAX($K$9,$K$10,$K$11)</f>
        <v>0</v>
      </c>
      <c r="D287" s="1603" t="str">
        <f>CONCATENATE("add area allowance at ",$K$12*100, "% on Rs.",)</f>
        <v>add area allowance at 0% on Rs.</v>
      </c>
      <c r="E287" s="1603"/>
      <c r="F287" s="1603"/>
      <c r="G287" s="1603"/>
      <c r="H287" s="176">
        <f>K286</f>
        <v>71.94</v>
      </c>
      <c r="J287" s="159" t="s">
        <v>596</v>
      </c>
      <c r="K287" s="176">
        <f>ROUND(C287*H287,2)</f>
        <v>0</v>
      </c>
    </row>
    <row r="288" spans="2:11">
      <c r="D288" s="157" t="s">
        <v>190</v>
      </c>
      <c r="E288" s="177">
        <f>E283</f>
        <v>3.4</v>
      </c>
      <c r="F288" s="157" t="str">
        <f>F283</f>
        <v>Cum</v>
      </c>
      <c r="J288" s="159" t="s">
        <v>596</v>
      </c>
      <c r="K288" s="176">
        <f>SUM(K284:K287)</f>
        <v>352.13</v>
      </c>
    </row>
    <row r="289" spans="2:11">
      <c r="D289" s="157" t="s">
        <v>190</v>
      </c>
      <c r="E289" s="178">
        <v>1</v>
      </c>
      <c r="F289" s="179" t="str">
        <f>F283</f>
        <v>Cum</v>
      </c>
      <c r="J289" s="159" t="s">
        <v>596</v>
      </c>
      <c r="K289" s="156">
        <f>ROUND(K288/E283,2)</f>
        <v>103.57</v>
      </c>
    </row>
    <row r="290" spans="2:11" ht="27.75" customHeight="1">
      <c r="C290" s="177">
        <f>$K$13</f>
        <v>0</v>
      </c>
      <c r="D290" s="1603" t="str">
        <f>CONCATENATE("add overheads and contractors profit at ",$K$13*100, "% on Rs.",)</f>
        <v>add overheads and contractors profit at 0% on Rs.</v>
      </c>
      <c r="E290" s="1603"/>
      <c r="F290" s="1603"/>
      <c r="G290" s="1603"/>
      <c r="H290" s="176">
        <f>K289</f>
        <v>103.57</v>
      </c>
      <c r="I290" s="156" t="str">
        <f>$K$3</f>
        <v>Hour</v>
      </c>
      <c r="J290" s="159" t="s">
        <v>596</v>
      </c>
      <c r="K290" s="176">
        <f>ROUND(C290*H290,2)</f>
        <v>0</v>
      </c>
    </row>
    <row r="291" spans="2:11" s="153" customFormat="1">
      <c r="B291" s="170"/>
      <c r="C291" s="171"/>
      <c r="D291" s="157" t="s">
        <v>191</v>
      </c>
      <c r="E291" s="171"/>
      <c r="F291" s="180">
        <f>E289</f>
        <v>1</v>
      </c>
      <c r="G291" s="171" t="str">
        <f>F289</f>
        <v>Cum</v>
      </c>
      <c r="H291" s="170"/>
      <c r="I291" s="170"/>
      <c r="J291" s="169" t="s">
        <v>596</v>
      </c>
      <c r="K291" s="181">
        <f>SUM(K289:K290)</f>
        <v>103.57</v>
      </c>
    </row>
    <row r="293" spans="2:11" s="152" customFormat="1" ht="12.3">
      <c r="B293" s="155">
        <v>5</v>
      </c>
      <c r="C293" s="168" t="s">
        <v>195</v>
      </c>
      <c r="D293" s="168"/>
      <c r="E293" s="168"/>
      <c r="F293" s="168"/>
      <c r="G293" s="168"/>
      <c r="H293" s="155"/>
      <c r="I293" s="155"/>
      <c r="J293" s="169"/>
      <c r="K293" s="169"/>
    </row>
    <row r="294" spans="2:11" s="153" customFormat="1" ht="12.3">
      <c r="B294" s="170"/>
      <c r="C294" s="171" t="s">
        <v>543</v>
      </c>
      <c r="D294" s="170" t="s">
        <v>544</v>
      </c>
      <c r="E294" s="172">
        <v>3.4</v>
      </c>
      <c r="F294" s="173" t="s">
        <v>465</v>
      </c>
      <c r="G294" s="171"/>
      <c r="H294" s="155" t="s">
        <v>92</v>
      </c>
      <c r="I294" s="155" t="s">
        <v>528</v>
      </c>
      <c r="J294" s="174"/>
      <c r="K294" s="169" t="s">
        <v>151</v>
      </c>
    </row>
    <row r="295" spans="2:11">
      <c r="C295" s="175">
        <v>0.4</v>
      </c>
      <c r="D295" s="1603" t="s">
        <v>565</v>
      </c>
      <c r="E295" s="1603"/>
      <c r="F295" s="1603"/>
      <c r="G295" s="1603"/>
      <c r="H295" s="176">
        <f>$F$3</f>
        <v>471.6</v>
      </c>
      <c r="I295" s="156" t="str">
        <f>$K$3</f>
        <v>Hour</v>
      </c>
      <c r="J295" s="159" t="s">
        <v>596</v>
      </c>
      <c r="K295" s="176">
        <f>ROUND(C295*H295,2)</f>
        <v>188.64</v>
      </c>
    </row>
    <row r="296" spans="2:11">
      <c r="C296" s="177">
        <f>C295</f>
        <v>0.4</v>
      </c>
      <c r="D296" s="1603" t="s">
        <v>188</v>
      </c>
      <c r="E296" s="1603"/>
      <c r="F296" s="1603"/>
      <c r="G296" s="1603"/>
      <c r="H296" s="176">
        <f>$G$3</f>
        <v>352.5</v>
      </c>
      <c r="I296" s="156" t="str">
        <f>$K$3</f>
        <v>Hour</v>
      </c>
      <c r="J296" s="159" t="s">
        <v>596</v>
      </c>
      <c r="K296" s="176">
        <f>ROUND(C296*H296,2)</f>
        <v>141</v>
      </c>
    </row>
    <row r="297" spans="2:11">
      <c r="C297" s="177">
        <f>C295</f>
        <v>0.4</v>
      </c>
      <c r="D297" s="1603" t="s">
        <v>189</v>
      </c>
      <c r="E297" s="1603"/>
      <c r="F297" s="1603"/>
      <c r="G297" s="1603"/>
      <c r="H297" s="176">
        <f>$H$3</f>
        <v>211.6</v>
      </c>
      <c r="I297" s="156" t="str">
        <f>$K$3</f>
        <v>Hour</v>
      </c>
      <c r="J297" s="159" t="s">
        <v>596</v>
      </c>
      <c r="K297" s="176">
        <f>ROUND(C297*H297,2)</f>
        <v>84.64</v>
      </c>
    </row>
    <row r="298" spans="2:11">
      <c r="C298" s="177">
        <f>MAX($K$9,$K$10,$K$11)</f>
        <v>0</v>
      </c>
      <c r="D298" s="1603" t="str">
        <f>CONCATENATE("add area allowance at ",$K$12*100, "% on Rs.",)</f>
        <v>add area allowance at 0% on Rs.</v>
      </c>
      <c r="E298" s="1603"/>
      <c r="F298" s="1603"/>
      <c r="G298" s="1603"/>
      <c r="H298" s="176">
        <f>K297</f>
        <v>84.64</v>
      </c>
      <c r="J298" s="159" t="s">
        <v>596</v>
      </c>
      <c r="K298" s="176">
        <f>ROUND(C298*H298,2)</f>
        <v>0</v>
      </c>
    </row>
    <row r="299" spans="2:11">
      <c r="D299" s="157" t="s">
        <v>190</v>
      </c>
      <c r="E299" s="177">
        <f>E294</f>
        <v>3.4</v>
      </c>
      <c r="F299" s="157" t="str">
        <f>F294</f>
        <v>Cum</v>
      </c>
      <c r="J299" s="159" t="s">
        <v>596</v>
      </c>
      <c r="K299" s="176">
        <f>SUM(K295:K298)</f>
        <v>414.28</v>
      </c>
    </row>
    <row r="300" spans="2:11">
      <c r="D300" s="157" t="s">
        <v>190</v>
      </c>
      <c r="E300" s="178">
        <v>1</v>
      </c>
      <c r="F300" s="179" t="str">
        <f>F294</f>
        <v>Cum</v>
      </c>
      <c r="J300" s="159" t="s">
        <v>596</v>
      </c>
      <c r="K300" s="156">
        <f>ROUND(K299/E294,2)</f>
        <v>121.85</v>
      </c>
    </row>
    <row r="301" spans="2:11" ht="27.75" customHeight="1">
      <c r="C301" s="177">
        <f>$K$13</f>
        <v>0</v>
      </c>
      <c r="D301" s="1603" t="str">
        <f>CONCATENATE("add overheads and contractors profit at ",$K$13*100, "% on Rs.",)</f>
        <v>add overheads and contractors profit at 0% on Rs.</v>
      </c>
      <c r="E301" s="1603"/>
      <c r="F301" s="1603"/>
      <c r="G301" s="1603"/>
      <c r="H301" s="176">
        <f>K300</f>
        <v>121.85</v>
      </c>
      <c r="I301" s="156" t="str">
        <f>$K$3</f>
        <v>Hour</v>
      </c>
      <c r="J301" s="159" t="s">
        <v>596</v>
      </c>
      <c r="K301" s="176">
        <f>ROUND(C301*H301,2)</f>
        <v>0</v>
      </c>
    </row>
    <row r="302" spans="2:11" s="153" customFormat="1">
      <c r="B302" s="170"/>
      <c r="C302" s="171"/>
      <c r="D302" s="157" t="s">
        <v>191</v>
      </c>
      <c r="E302" s="171"/>
      <c r="F302" s="180">
        <f>E300</f>
        <v>1</v>
      </c>
      <c r="G302" s="171" t="str">
        <f>F300</f>
        <v>Cum</v>
      </c>
      <c r="H302" s="170"/>
      <c r="I302" s="170"/>
      <c r="J302" s="169" t="s">
        <v>596</v>
      </c>
      <c r="K302" s="181">
        <f>SUM(K300:K301)</f>
        <v>121.85</v>
      </c>
    </row>
    <row r="304" spans="2:11" s="152" customFormat="1" ht="12.3">
      <c r="B304" s="155">
        <v>6</v>
      </c>
      <c r="C304" s="168" t="s">
        <v>246</v>
      </c>
      <c r="D304" s="168"/>
      <c r="E304" s="168"/>
      <c r="F304" s="168"/>
      <c r="G304" s="168"/>
      <c r="H304" s="155"/>
      <c r="I304" s="155"/>
      <c r="J304" s="169"/>
      <c r="K304" s="169"/>
    </row>
    <row r="305" spans="2:11" s="153" customFormat="1" ht="12.3">
      <c r="B305" s="170"/>
      <c r="C305" s="171" t="s">
        <v>543</v>
      </c>
      <c r="D305" s="170" t="s">
        <v>544</v>
      </c>
      <c r="E305" s="172">
        <v>3.4</v>
      </c>
      <c r="F305" s="173" t="s">
        <v>465</v>
      </c>
      <c r="G305" s="171"/>
      <c r="H305" s="155" t="s">
        <v>92</v>
      </c>
      <c r="I305" s="155" t="s">
        <v>528</v>
      </c>
      <c r="J305" s="174"/>
      <c r="K305" s="169" t="s">
        <v>151</v>
      </c>
    </row>
    <row r="306" spans="2:11">
      <c r="C306" s="175">
        <v>0.06</v>
      </c>
      <c r="D306" s="1603" t="s">
        <v>565</v>
      </c>
      <c r="E306" s="1603"/>
      <c r="F306" s="1603"/>
      <c r="G306" s="1603"/>
      <c r="H306" s="176">
        <f>$F$3</f>
        <v>471.6</v>
      </c>
      <c r="I306" s="156" t="str">
        <f>$K$3</f>
        <v>Hour</v>
      </c>
      <c r="J306" s="159" t="s">
        <v>596</v>
      </c>
      <c r="K306" s="176">
        <f>ROUND(C306*H306,2)</f>
        <v>28.3</v>
      </c>
    </row>
    <row r="307" spans="2:11">
      <c r="C307" s="177">
        <f>C306</f>
        <v>0.06</v>
      </c>
      <c r="D307" s="1603" t="s">
        <v>188</v>
      </c>
      <c r="E307" s="1603"/>
      <c r="F307" s="1603"/>
      <c r="G307" s="1603"/>
      <c r="H307" s="176">
        <f>$G$3</f>
        <v>352.5</v>
      </c>
      <c r="I307" s="156" t="str">
        <f>$K$3</f>
        <v>Hour</v>
      </c>
      <c r="J307" s="159" t="s">
        <v>596</v>
      </c>
      <c r="K307" s="176">
        <f>ROUND(C307*H307,2)</f>
        <v>21.15</v>
      </c>
    </row>
    <row r="308" spans="2:11">
      <c r="C308" s="177">
        <f>C306</f>
        <v>0.06</v>
      </c>
      <c r="D308" s="1603" t="s">
        <v>189</v>
      </c>
      <c r="E308" s="1603"/>
      <c r="F308" s="1603"/>
      <c r="G308" s="1603"/>
      <c r="H308" s="176">
        <f>$H$3</f>
        <v>211.6</v>
      </c>
      <c r="I308" s="156" t="str">
        <f>$K$3</f>
        <v>Hour</v>
      </c>
      <c r="J308" s="159" t="s">
        <v>596</v>
      </c>
      <c r="K308" s="176">
        <f>ROUND(C308*H308,2)</f>
        <v>12.7</v>
      </c>
    </row>
    <row r="309" spans="2:11">
      <c r="C309" s="177">
        <f>MAX($K$9,$K$10,$K$11)</f>
        <v>0</v>
      </c>
      <c r="D309" s="1603" t="str">
        <f>CONCATENATE("add area allowance at ",$K$12*100, "% on Rs.",)</f>
        <v>add area allowance at 0% on Rs.</v>
      </c>
      <c r="E309" s="1603"/>
      <c r="F309" s="1603"/>
      <c r="G309" s="1603"/>
      <c r="H309" s="176">
        <f>K308</f>
        <v>12.7</v>
      </c>
      <c r="J309" s="159" t="s">
        <v>596</v>
      </c>
      <c r="K309" s="176">
        <f>ROUND(C309*H309,2)</f>
        <v>0</v>
      </c>
    </row>
    <row r="310" spans="2:11">
      <c r="D310" s="157" t="s">
        <v>190</v>
      </c>
      <c r="E310" s="177">
        <f>E305</f>
        <v>3.4</v>
      </c>
      <c r="F310" s="157" t="str">
        <f>F305</f>
        <v>Cum</v>
      </c>
      <c r="J310" s="159" t="s">
        <v>596</v>
      </c>
      <c r="K310" s="176">
        <f>SUM(K306:K309)</f>
        <v>62.150000000000006</v>
      </c>
    </row>
    <row r="311" spans="2:11">
      <c r="D311" s="157" t="s">
        <v>190</v>
      </c>
      <c r="E311" s="178">
        <v>1</v>
      </c>
      <c r="F311" s="179" t="str">
        <f>F305</f>
        <v>Cum</v>
      </c>
      <c r="J311" s="159" t="s">
        <v>596</v>
      </c>
      <c r="K311" s="156">
        <f>ROUND(K310/E305,2)</f>
        <v>18.28</v>
      </c>
    </row>
    <row r="312" spans="2:11" ht="27.75" customHeight="1">
      <c r="C312" s="177">
        <f>$K$13</f>
        <v>0</v>
      </c>
      <c r="D312" s="1603" t="str">
        <f>CONCATENATE("add overheads and contractors profit at ",$K$13*100, "% on Rs.",)</f>
        <v>add overheads and contractors profit at 0% on Rs.</v>
      </c>
      <c r="E312" s="1603"/>
      <c r="F312" s="1603"/>
      <c r="G312" s="1603"/>
      <c r="H312" s="176">
        <f>K311</f>
        <v>18.28</v>
      </c>
      <c r="I312" s="156" t="str">
        <f>$K$3</f>
        <v>Hour</v>
      </c>
      <c r="J312" s="159" t="s">
        <v>596</v>
      </c>
      <c r="K312" s="176">
        <f>ROUND(C312*H312,2)</f>
        <v>0</v>
      </c>
    </row>
    <row r="313" spans="2:11" s="153" customFormat="1">
      <c r="B313" s="170"/>
      <c r="C313" s="171"/>
      <c r="D313" s="157" t="s">
        <v>191</v>
      </c>
      <c r="E313" s="171"/>
      <c r="F313" s="180">
        <f>E311</f>
        <v>1</v>
      </c>
      <c r="G313" s="171" t="str">
        <f>F311</f>
        <v>Cum</v>
      </c>
      <c r="H313" s="170"/>
      <c r="I313" s="170"/>
      <c r="J313" s="169" t="s">
        <v>596</v>
      </c>
      <c r="K313" s="181">
        <f>SUM(K311:K312)</f>
        <v>18.28</v>
      </c>
    </row>
    <row r="315" spans="2:11" s="152" customFormat="1" ht="12.3">
      <c r="B315" s="155">
        <v>7</v>
      </c>
      <c r="C315" s="168" t="s">
        <v>247</v>
      </c>
      <c r="D315" s="168"/>
      <c r="E315" s="168"/>
      <c r="F315" s="168"/>
      <c r="G315" s="168"/>
      <c r="H315" s="155"/>
      <c r="I315" s="155"/>
      <c r="J315" s="169"/>
      <c r="K315" s="169"/>
    </row>
    <row r="316" spans="2:11" s="153" customFormat="1" ht="12.3">
      <c r="B316" s="170"/>
      <c r="C316" s="171" t="s">
        <v>543</v>
      </c>
      <c r="D316" s="170" t="s">
        <v>544</v>
      </c>
      <c r="E316" s="172">
        <v>3.4</v>
      </c>
      <c r="F316" s="173" t="s">
        <v>465</v>
      </c>
      <c r="G316" s="171"/>
      <c r="H316" s="155" t="s">
        <v>92</v>
      </c>
      <c r="I316" s="155" t="s">
        <v>528</v>
      </c>
      <c r="J316" s="174"/>
      <c r="K316" s="169" t="s">
        <v>151</v>
      </c>
    </row>
    <row r="317" spans="2:11">
      <c r="C317" s="175">
        <v>0.05</v>
      </c>
      <c r="D317" s="1603" t="s">
        <v>565</v>
      </c>
      <c r="E317" s="1603"/>
      <c r="F317" s="1603"/>
      <c r="G317" s="1603"/>
      <c r="H317" s="176">
        <f>$F$3</f>
        <v>471.6</v>
      </c>
      <c r="I317" s="156" t="str">
        <f>$K$3</f>
        <v>Hour</v>
      </c>
      <c r="J317" s="159" t="s">
        <v>596</v>
      </c>
      <c r="K317" s="176">
        <f>ROUND(C317*H317,2)</f>
        <v>23.58</v>
      </c>
    </row>
    <row r="318" spans="2:11">
      <c r="C318" s="177">
        <f>C317</f>
        <v>0.05</v>
      </c>
      <c r="D318" s="1603" t="s">
        <v>188</v>
      </c>
      <c r="E318" s="1603"/>
      <c r="F318" s="1603"/>
      <c r="G318" s="1603"/>
      <c r="H318" s="176">
        <f>$G$3</f>
        <v>352.5</v>
      </c>
      <c r="I318" s="156" t="str">
        <f>$K$3</f>
        <v>Hour</v>
      </c>
      <c r="J318" s="159" t="s">
        <v>596</v>
      </c>
      <c r="K318" s="176">
        <f>ROUND(C318*H318,2)</f>
        <v>17.63</v>
      </c>
    </row>
    <row r="319" spans="2:11">
      <c r="C319" s="177">
        <f>C317</f>
        <v>0.05</v>
      </c>
      <c r="D319" s="1603" t="s">
        <v>189</v>
      </c>
      <c r="E319" s="1603"/>
      <c r="F319" s="1603"/>
      <c r="G319" s="1603"/>
      <c r="H319" s="176">
        <f>$H$3</f>
        <v>211.6</v>
      </c>
      <c r="I319" s="156" t="str">
        <f>$K$3</f>
        <v>Hour</v>
      </c>
      <c r="J319" s="159" t="s">
        <v>596</v>
      </c>
      <c r="K319" s="176">
        <f>ROUND(C319*H319,2)</f>
        <v>10.58</v>
      </c>
    </row>
    <row r="320" spans="2:11">
      <c r="C320" s="177">
        <f>MAX($K$9,$K$10,$K$11)</f>
        <v>0</v>
      </c>
      <c r="D320" s="1603" t="str">
        <f>CONCATENATE("add area allowance at ",$K$12*100, "% on Rs.",)</f>
        <v>add area allowance at 0% on Rs.</v>
      </c>
      <c r="E320" s="1603"/>
      <c r="F320" s="1603"/>
      <c r="G320" s="1603"/>
      <c r="H320" s="176">
        <f>K319</f>
        <v>10.58</v>
      </c>
      <c r="J320" s="159" t="s">
        <v>596</v>
      </c>
      <c r="K320" s="176">
        <f>ROUND(C320*H320,2)</f>
        <v>0</v>
      </c>
    </row>
    <row r="321" spans="2:11">
      <c r="D321" s="157" t="s">
        <v>190</v>
      </c>
      <c r="E321" s="177">
        <f>E316</f>
        <v>3.4</v>
      </c>
      <c r="F321" s="157" t="str">
        <f>F316</f>
        <v>Cum</v>
      </c>
      <c r="J321" s="159" t="s">
        <v>596</v>
      </c>
      <c r="K321" s="176">
        <f>SUM(K317:K320)</f>
        <v>51.789999999999992</v>
      </c>
    </row>
    <row r="322" spans="2:11">
      <c r="D322" s="157" t="s">
        <v>190</v>
      </c>
      <c r="E322" s="178">
        <v>1</v>
      </c>
      <c r="F322" s="179" t="str">
        <f>F316</f>
        <v>Cum</v>
      </c>
      <c r="J322" s="159" t="s">
        <v>596</v>
      </c>
      <c r="K322" s="156">
        <f>ROUND(K321/E316,2)</f>
        <v>15.23</v>
      </c>
    </row>
    <row r="323" spans="2:11" ht="27.75" customHeight="1">
      <c r="C323" s="177">
        <f>$K$13</f>
        <v>0</v>
      </c>
      <c r="D323" s="1603" t="str">
        <f>CONCATENATE("add overheads and contractors profit at ",$K$13*100, "% on Rs.",)</f>
        <v>add overheads and contractors profit at 0% on Rs.</v>
      </c>
      <c r="E323" s="1603"/>
      <c r="F323" s="1603"/>
      <c r="G323" s="1603"/>
      <c r="H323" s="176">
        <f>K322</f>
        <v>15.23</v>
      </c>
      <c r="J323" s="159" t="s">
        <v>596</v>
      </c>
      <c r="K323" s="176">
        <f>ROUND(C323*H323,2)</f>
        <v>0</v>
      </c>
    </row>
    <row r="324" spans="2:11" s="153" customFormat="1">
      <c r="B324" s="170"/>
      <c r="C324" s="171"/>
      <c r="D324" s="157" t="s">
        <v>191</v>
      </c>
      <c r="E324" s="171"/>
      <c r="F324" s="180">
        <f>E322</f>
        <v>1</v>
      </c>
      <c r="G324" s="171" t="str">
        <f>F322</f>
        <v>Cum</v>
      </c>
      <c r="H324" s="170"/>
      <c r="I324" s="170"/>
      <c r="J324" s="169" t="s">
        <v>596</v>
      </c>
      <c r="K324" s="181">
        <f>SUM(K322:K323)</f>
        <v>15.23</v>
      </c>
    </row>
    <row r="326" spans="2:11" s="152" customFormat="1" ht="12.3">
      <c r="B326" s="155" t="s">
        <v>553</v>
      </c>
      <c r="C326" s="1605" t="s">
        <v>554</v>
      </c>
      <c r="D326" s="1605"/>
      <c r="E326" s="1605"/>
      <c r="F326" s="1605"/>
      <c r="G326" s="1605"/>
      <c r="H326" s="1605"/>
      <c r="I326" s="1605"/>
      <c r="J326" s="1605"/>
      <c r="K326" s="1605"/>
    </row>
    <row r="327" spans="2:11" s="152" customFormat="1" ht="12.3">
      <c r="B327" s="155">
        <v>1</v>
      </c>
      <c r="C327" s="168" t="s">
        <v>542</v>
      </c>
      <c r="D327" s="168"/>
      <c r="E327" s="168"/>
      <c r="F327" s="168"/>
      <c r="G327" s="168"/>
      <c r="H327" s="155"/>
      <c r="I327" s="155"/>
      <c r="J327" s="169"/>
      <c r="K327" s="169"/>
    </row>
    <row r="328" spans="2:11" s="153" customFormat="1" ht="12.3">
      <c r="B328" s="170"/>
      <c r="C328" s="171" t="s">
        <v>543</v>
      </c>
      <c r="D328" s="170" t="s">
        <v>544</v>
      </c>
      <c r="E328" s="182">
        <v>8000</v>
      </c>
      <c r="F328" s="173" t="s">
        <v>61</v>
      </c>
      <c r="G328" s="171"/>
      <c r="H328" s="155" t="s">
        <v>92</v>
      </c>
      <c r="I328" s="155" t="s">
        <v>528</v>
      </c>
      <c r="J328" s="174"/>
      <c r="K328" s="169" t="s">
        <v>151</v>
      </c>
    </row>
    <row r="329" spans="2:11" ht="27.75" customHeight="1">
      <c r="C329" s="175">
        <v>0.15</v>
      </c>
      <c r="D329" s="1603" t="s">
        <v>555</v>
      </c>
      <c r="E329" s="1603"/>
      <c r="F329" s="1603"/>
      <c r="G329" s="1603"/>
      <c r="H329" s="176">
        <f>$F$5</f>
        <v>417.8</v>
      </c>
      <c r="I329" s="156" t="str">
        <f>$K$5</f>
        <v>Hour</v>
      </c>
      <c r="J329" s="159" t="s">
        <v>596</v>
      </c>
      <c r="K329" s="176">
        <f>ROUND(C329*H329,2)</f>
        <v>62.67</v>
      </c>
    </row>
    <row r="330" spans="2:11" ht="27" customHeight="1">
      <c r="C330" s="177">
        <f>C329</f>
        <v>0.15</v>
      </c>
      <c r="D330" s="1603" t="s">
        <v>429</v>
      </c>
      <c r="E330" s="1603"/>
      <c r="F330" s="1603"/>
      <c r="G330" s="1603"/>
      <c r="H330" s="176">
        <f>$G$5</f>
        <v>352.5</v>
      </c>
      <c r="I330" s="156" t="str">
        <f>$K$5</f>
        <v>Hour</v>
      </c>
      <c r="J330" s="159" t="s">
        <v>596</v>
      </c>
      <c r="K330" s="176">
        <f>ROUND(C330*H330,2)</f>
        <v>52.88</v>
      </c>
    </row>
    <row r="331" spans="2:11" ht="27" customHeight="1">
      <c r="C331" s="177">
        <f>C329</f>
        <v>0.15</v>
      </c>
      <c r="D331" s="1603" t="s">
        <v>430</v>
      </c>
      <c r="E331" s="1603"/>
      <c r="F331" s="1603"/>
      <c r="G331" s="1603"/>
      <c r="H331" s="176">
        <f>$H$5</f>
        <v>211.6</v>
      </c>
      <c r="I331" s="156" t="str">
        <f>$K$5</f>
        <v>Hour</v>
      </c>
      <c r="J331" s="159" t="s">
        <v>596</v>
      </c>
      <c r="K331" s="176">
        <f>ROUND(C331*H331,2)</f>
        <v>31.74</v>
      </c>
    </row>
    <row r="332" spans="2:11">
      <c r="C332" s="177">
        <f>MAX($K$9,$K$10,$K$11)</f>
        <v>0</v>
      </c>
      <c r="D332" s="1603" t="str">
        <f>CONCATENATE("add area allowance at ",$K$12*100, "% on Rs.",)</f>
        <v>add area allowance at 0% on Rs.</v>
      </c>
      <c r="E332" s="1603"/>
      <c r="F332" s="1603"/>
      <c r="G332" s="1603"/>
      <c r="H332" s="176">
        <f>K331</f>
        <v>31.74</v>
      </c>
      <c r="J332" s="159" t="s">
        <v>596</v>
      </c>
      <c r="K332" s="176">
        <f>ROUND(C332*H332,2)</f>
        <v>0</v>
      </c>
    </row>
    <row r="333" spans="2:11">
      <c r="D333" s="157" t="s">
        <v>190</v>
      </c>
      <c r="E333" s="183">
        <f>E328</f>
        <v>8000</v>
      </c>
      <c r="F333" s="157" t="str">
        <f>F328</f>
        <v>Ltrs</v>
      </c>
      <c r="J333" s="159" t="s">
        <v>596</v>
      </c>
      <c r="K333" s="176">
        <f>SUM(K329:K332)</f>
        <v>147.29000000000002</v>
      </c>
    </row>
    <row r="334" spans="2:11">
      <c r="D334" s="157" t="s">
        <v>190</v>
      </c>
      <c r="E334" s="184">
        <v>1000</v>
      </c>
      <c r="F334" s="179" t="str">
        <f>F328</f>
        <v>Ltrs</v>
      </c>
      <c r="J334" s="159" t="s">
        <v>596</v>
      </c>
      <c r="K334" s="176">
        <f>ROUND(K333*1000/E328,2)</f>
        <v>18.41</v>
      </c>
    </row>
    <row r="335" spans="2:11" ht="24.75" customHeight="1">
      <c r="C335" s="177">
        <f>$K$13</f>
        <v>0</v>
      </c>
      <c r="D335" s="1603" t="str">
        <f>CONCATENATE("add overheads and contractors profit at ",$K$13*100, "% on Rs.",)</f>
        <v>add overheads and contractors profit at 0% on Rs.</v>
      </c>
      <c r="E335" s="1603"/>
      <c r="F335" s="1603"/>
      <c r="G335" s="1603"/>
      <c r="H335" s="176">
        <f>K334</f>
        <v>18.41</v>
      </c>
      <c r="J335" s="159" t="s">
        <v>596</v>
      </c>
      <c r="K335" s="176">
        <f>ROUND(C335*H335,2)</f>
        <v>0</v>
      </c>
    </row>
    <row r="336" spans="2:11" s="153" customFormat="1">
      <c r="B336" s="170"/>
      <c r="C336" s="171"/>
      <c r="D336" s="157" t="s">
        <v>191</v>
      </c>
      <c r="E336" s="171"/>
      <c r="F336" s="185">
        <f>E334</f>
        <v>1000</v>
      </c>
      <c r="G336" s="171" t="str">
        <f>F334</f>
        <v>Ltrs</v>
      </c>
      <c r="H336" s="170"/>
      <c r="I336" s="170"/>
      <c r="J336" s="169" t="s">
        <v>596</v>
      </c>
      <c r="K336" s="181">
        <f>SUM(K334:K335)</f>
        <v>18.41</v>
      </c>
    </row>
    <row r="337" spans="2:11" s="153" customFormat="1">
      <c r="B337" s="170"/>
      <c r="C337" s="171"/>
      <c r="D337" s="157"/>
      <c r="E337" s="171"/>
      <c r="F337" s="180"/>
      <c r="G337" s="171"/>
      <c r="H337" s="170"/>
      <c r="I337" s="170"/>
      <c r="J337" s="169"/>
      <c r="K337" s="181"/>
    </row>
    <row r="338" spans="2:11" s="152" customFormat="1" ht="12.3">
      <c r="B338" s="155">
        <v>2</v>
      </c>
      <c r="C338" s="168" t="s">
        <v>192</v>
      </c>
      <c r="D338" s="168"/>
      <c r="E338" s="168"/>
      <c r="F338" s="168"/>
      <c r="G338" s="168"/>
      <c r="H338" s="155"/>
      <c r="I338" s="155"/>
      <c r="J338" s="169"/>
      <c r="K338" s="169"/>
    </row>
    <row r="339" spans="2:11" s="153" customFormat="1" ht="12.3">
      <c r="B339" s="170"/>
      <c r="C339" s="171" t="s">
        <v>543</v>
      </c>
      <c r="D339" s="170" t="s">
        <v>544</v>
      </c>
      <c r="E339" s="182">
        <v>8000</v>
      </c>
      <c r="F339" s="173" t="s">
        <v>61</v>
      </c>
      <c r="G339" s="171"/>
      <c r="H339" s="155" t="s">
        <v>92</v>
      </c>
      <c r="I339" s="155" t="s">
        <v>528</v>
      </c>
      <c r="J339" s="174"/>
      <c r="K339" s="169" t="s">
        <v>151</v>
      </c>
    </row>
    <row r="340" spans="2:11" ht="27.75" customHeight="1">
      <c r="C340" s="175">
        <v>0.21</v>
      </c>
      <c r="D340" s="1603" t="s">
        <v>555</v>
      </c>
      <c r="E340" s="1603"/>
      <c r="F340" s="1603"/>
      <c r="G340" s="1603"/>
      <c r="H340" s="176">
        <f>$F$5</f>
        <v>417.8</v>
      </c>
      <c r="I340" s="156" t="str">
        <f>$K$5</f>
        <v>Hour</v>
      </c>
      <c r="J340" s="159" t="s">
        <v>596</v>
      </c>
      <c r="K340" s="176">
        <f>ROUND(C340*H340,2)</f>
        <v>87.74</v>
      </c>
    </row>
    <row r="341" spans="2:11" ht="27" customHeight="1">
      <c r="C341" s="177">
        <f>C340</f>
        <v>0.21</v>
      </c>
      <c r="D341" s="1603" t="s">
        <v>429</v>
      </c>
      <c r="E341" s="1603"/>
      <c r="F341" s="1603"/>
      <c r="G341" s="1603"/>
      <c r="H341" s="176">
        <f>$G$5</f>
        <v>352.5</v>
      </c>
      <c r="I341" s="156" t="str">
        <f>$K$5</f>
        <v>Hour</v>
      </c>
      <c r="J341" s="159" t="s">
        <v>596</v>
      </c>
      <c r="K341" s="176">
        <f>ROUND(C341*H341,2)</f>
        <v>74.03</v>
      </c>
    </row>
    <row r="342" spans="2:11" ht="27" customHeight="1">
      <c r="C342" s="177">
        <f>C340</f>
        <v>0.21</v>
      </c>
      <c r="D342" s="1603" t="s">
        <v>430</v>
      </c>
      <c r="E342" s="1603"/>
      <c r="F342" s="1603"/>
      <c r="G342" s="1603"/>
      <c r="H342" s="176">
        <f>$H$5</f>
        <v>211.6</v>
      </c>
      <c r="I342" s="156" t="str">
        <f>$K$5</f>
        <v>Hour</v>
      </c>
      <c r="J342" s="159" t="s">
        <v>596</v>
      </c>
      <c r="K342" s="176">
        <f>ROUND(C342*H342,2)</f>
        <v>44.44</v>
      </c>
    </row>
    <row r="343" spans="2:11">
      <c r="C343" s="177">
        <f>MAX($K$9,$K$10,$K$11)</f>
        <v>0</v>
      </c>
      <c r="D343" s="1603" t="str">
        <f>CONCATENATE("add area allowance at ",$K$12*100, "% on Rs.",)</f>
        <v>add area allowance at 0% on Rs.</v>
      </c>
      <c r="E343" s="1603"/>
      <c r="F343" s="1603"/>
      <c r="G343" s="1603"/>
      <c r="H343" s="176">
        <f>K342</f>
        <v>44.44</v>
      </c>
      <c r="J343" s="159" t="s">
        <v>596</v>
      </c>
      <c r="K343" s="176">
        <f>ROUND(C343*H343,2)</f>
        <v>0</v>
      </c>
    </row>
    <row r="344" spans="2:11">
      <c r="D344" s="157" t="s">
        <v>190</v>
      </c>
      <c r="E344" s="183">
        <f>E339</f>
        <v>8000</v>
      </c>
      <c r="F344" s="157" t="str">
        <f>F339</f>
        <v>Ltrs</v>
      </c>
      <c r="J344" s="159" t="s">
        <v>596</v>
      </c>
      <c r="K344" s="176">
        <f>SUM(K340:K343)</f>
        <v>206.20999999999998</v>
      </c>
    </row>
    <row r="345" spans="2:11">
      <c r="D345" s="157" t="s">
        <v>190</v>
      </c>
      <c r="E345" s="184">
        <v>1000</v>
      </c>
      <c r="F345" s="179" t="str">
        <f>F339</f>
        <v>Ltrs</v>
      </c>
      <c r="J345" s="159" t="s">
        <v>596</v>
      </c>
      <c r="K345" s="176">
        <f>ROUND(K344*1000/E339,2)</f>
        <v>25.78</v>
      </c>
    </row>
    <row r="346" spans="2:11" ht="24.75" customHeight="1">
      <c r="C346" s="177">
        <f>$K$13</f>
        <v>0</v>
      </c>
      <c r="D346" s="1603" t="str">
        <f>CONCATENATE("add overheads and contractors profit at ",$K$13*100, "% on Rs.",)</f>
        <v>add overheads and contractors profit at 0% on Rs.</v>
      </c>
      <c r="E346" s="1603"/>
      <c r="F346" s="1603"/>
      <c r="G346" s="1603"/>
      <c r="H346" s="176">
        <f>K345</f>
        <v>25.78</v>
      </c>
      <c r="J346" s="159" t="s">
        <v>596</v>
      </c>
      <c r="K346" s="176">
        <f>ROUND(C346*H346,2)</f>
        <v>0</v>
      </c>
    </row>
    <row r="347" spans="2:11" s="153" customFormat="1">
      <c r="B347" s="170"/>
      <c r="C347" s="171"/>
      <c r="D347" s="157" t="s">
        <v>191</v>
      </c>
      <c r="E347" s="171"/>
      <c r="F347" s="185">
        <f>E345</f>
        <v>1000</v>
      </c>
      <c r="G347" s="171" t="str">
        <f>F345</f>
        <v>Ltrs</v>
      </c>
      <c r="H347" s="170"/>
      <c r="I347" s="170"/>
      <c r="J347" s="169" t="s">
        <v>596</v>
      </c>
      <c r="K347" s="181">
        <f>SUM(K345:K346)</f>
        <v>25.78</v>
      </c>
    </row>
    <row r="349" spans="2:11" s="152" customFormat="1" ht="12.3">
      <c r="B349" s="155">
        <v>3</v>
      </c>
      <c r="C349" s="168" t="s">
        <v>193</v>
      </c>
      <c r="D349" s="168"/>
      <c r="E349" s="168"/>
      <c r="F349" s="168"/>
      <c r="G349" s="168"/>
      <c r="H349" s="155"/>
      <c r="I349" s="155"/>
      <c r="J349" s="169"/>
      <c r="K349" s="169"/>
    </row>
    <row r="350" spans="2:11" s="153" customFormat="1" ht="12.3">
      <c r="B350" s="170"/>
      <c r="C350" s="171" t="s">
        <v>543</v>
      </c>
      <c r="D350" s="170" t="s">
        <v>544</v>
      </c>
      <c r="E350" s="182">
        <v>8000</v>
      </c>
      <c r="F350" s="173" t="s">
        <v>61</v>
      </c>
      <c r="G350" s="171"/>
      <c r="H350" s="155" t="s">
        <v>92</v>
      </c>
      <c r="I350" s="155" t="s">
        <v>528</v>
      </c>
      <c r="J350" s="174"/>
      <c r="K350" s="169" t="s">
        <v>151</v>
      </c>
    </row>
    <row r="351" spans="2:11" ht="27.75" customHeight="1">
      <c r="C351" s="175">
        <v>0.28000000000000003</v>
      </c>
      <c r="D351" s="1603" t="s">
        <v>555</v>
      </c>
      <c r="E351" s="1603"/>
      <c r="F351" s="1603"/>
      <c r="G351" s="1603"/>
      <c r="H351" s="176">
        <f>$F$5</f>
        <v>417.8</v>
      </c>
      <c r="I351" s="156" t="str">
        <f>$K$5</f>
        <v>Hour</v>
      </c>
      <c r="J351" s="159" t="s">
        <v>596</v>
      </c>
      <c r="K351" s="176">
        <f>ROUND(C351*H351,2)</f>
        <v>116.98</v>
      </c>
    </row>
    <row r="352" spans="2:11" ht="27" customHeight="1">
      <c r="C352" s="177">
        <f>C351</f>
        <v>0.28000000000000003</v>
      </c>
      <c r="D352" s="1603" t="s">
        <v>429</v>
      </c>
      <c r="E352" s="1603"/>
      <c r="F352" s="1603"/>
      <c r="G352" s="1603"/>
      <c r="H352" s="176">
        <f>$G$5</f>
        <v>352.5</v>
      </c>
      <c r="I352" s="156" t="str">
        <f>$K$5</f>
        <v>Hour</v>
      </c>
      <c r="J352" s="159" t="s">
        <v>596</v>
      </c>
      <c r="K352" s="176">
        <f>ROUND(C352*H352,2)</f>
        <v>98.7</v>
      </c>
    </row>
    <row r="353" spans="2:11" ht="27" customHeight="1">
      <c r="C353" s="177">
        <f>C351</f>
        <v>0.28000000000000003</v>
      </c>
      <c r="D353" s="1603" t="s">
        <v>430</v>
      </c>
      <c r="E353" s="1603"/>
      <c r="F353" s="1603"/>
      <c r="G353" s="1603"/>
      <c r="H353" s="176">
        <f>$H$5</f>
        <v>211.6</v>
      </c>
      <c r="I353" s="156" t="str">
        <f>$K$5</f>
        <v>Hour</v>
      </c>
      <c r="J353" s="159" t="s">
        <v>596</v>
      </c>
      <c r="K353" s="176">
        <f>ROUND(C353*H353,2)</f>
        <v>59.25</v>
      </c>
    </row>
    <row r="354" spans="2:11">
      <c r="C354" s="177">
        <f>MAX($K$9,$K$10,$K$11)</f>
        <v>0</v>
      </c>
      <c r="D354" s="1603" t="str">
        <f>CONCATENATE("add area allowance at ",$K$12*100, "% on Rs.",)</f>
        <v>add area allowance at 0% on Rs.</v>
      </c>
      <c r="E354" s="1603"/>
      <c r="F354" s="1603"/>
      <c r="G354" s="1603"/>
      <c r="H354" s="176">
        <f>K353</f>
        <v>59.25</v>
      </c>
      <c r="J354" s="159" t="s">
        <v>596</v>
      </c>
      <c r="K354" s="176">
        <f>ROUND(C354*H354,2)</f>
        <v>0</v>
      </c>
    </row>
    <row r="355" spans="2:11">
      <c r="D355" s="157" t="s">
        <v>190</v>
      </c>
      <c r="E355" s="183">
        <f>E350</f>
        <v>8000</v>
      </c>
      <c r="F355" s="157" t="str">
        <f>F350</f>
        <v>Ltrs</v>
      </c>
      <c r="J355" s="159" t="s">
        <v>596</v>
      </c>
      <c r="K355" s="176">
        <f>SUM(K351:K354)</f>
        <v>274.93</v>
      </c>
    </row>
    <row r="356" spans="2:11">
      <c r="D356" s="157" t="s">
        <v>190</v>
      </c>
      <c r="E356" s="184">
        <v>1000</v>
      </c>
      <c r="F356" s="179" t="str">
        <f>F350</f>
        <v>Ltrs</v>
      </c>
      <c r="J356" s="159" t="s">
        <v>596</v>
      </c>
      <c r="K356" s="176">
        <f>ROUND(K355*1000/E350,2)</f>
        <v>34.369999999999997</v>
      </c>
    </row>
    <row r="357" spans="2:11" ht="24.75" customHeight="1">
      <c r="C357" s="177">
        <f>$K$13</f>
        <v>0</v>
      </c>
      <c r="D357" s="1603" t="str">
        <f>CONCATENATE("add overheads and contractors profit at ",$K$13*100, "% on Rs.",)</f>
        <v>add overheads and contractors profit at 0% on Rs.</v>
      </c>
      <c r="E357" s="1603"/>
      <c r="F357" s="1603"/>
      <c r="G357" s="1603"/>
      <c r="H357" s="176">
        <f>K356</f>
        <v>34.369999999999997</v>
      </c>
      <c r="J357" s="159" t="s">
        <v>596</v>
      </c>
      <c r="K357" s="176">
        <f>ROUND(C357*H357,2)</f>
        <v>0</v>
      </c>
    </row>
    <row r="358" spans="2:11" s="153" customFormat="1">
      <c r="B358" s="170"/>
      <c r="C358" s="171"/>
      <c r="D358" s="157" t="s">
        <v>191</v>
      </c>
      <c r="E358" s="171"/>
      <c r="F358" s="185">
        <f>E356</f>
        <v>1000</v>
      </c>
      <c r="G358" s="171" t="str">
        <f>F356</f>
        <v>Ltrs</v>
      </c>
      <c r="H358" s="170"/>
      <c r="I358" s="170"/>
      <c r="J358" s="169" t="s">
        <v>596</v>
      </c>
      <c r="K358" s="181">
        <f>SUM(K356:K357)</f>
        <v>34.369999999999997</v>
      </c>
    </row>
    <row r="360" spans="2:11" s="152" customFormat="1" ht="12.3">
      <c r="B360" s="155">
        <v>4</v>
      </c>
      <c r="C360" s="168" t="s">
        <v>194</v>
      </c>
      <c r="D360" s="168"/>
      <c r="E360" s="168"/>
      <c r="F360" s="168"/>
      <c r="G360" s="168"/>
      <c r="H360" s="155"/>
      <c r="I360" s="155"/>
      <c r="J360" s="169"/>
      <c r="K360" s="169"/>
    </row>
    <row r="361" spans="2:11" s="153" customFormat="1" ht="12.3">
      <c r="B361" s="170"/>
      <c r="C361" s="171" t="s">
        <v>543</v>
      </c>
      <c r="D361" s="170" t="s">
        <v>544</v>
      </c>
      <c r="E361" s="182">
        <v>8000</v>
      </c>
      <c r="F361" s="173" t="s">
        <v>61</v>
      </c>
      <c r="G361" s="171"/>
      <c r="H361" s="155" t="s">
        <v>92</v>
      </c>
      <c r="I361" s="155" t="s">
        <v>528</v>
      </c>
      <c r="J361" s="174"/>
      <c r="K361" s="169" t="s">
        <v>151</v>
      </c>
    </row>
    <row r="362" spans="2:11" ht="27.75" customHeight="1">
      <c r="C362" s="175">
        <v>0.34</v>
      </c>
      <c r="D362" s="1603" t="s">
        <v>555</v>
      </c>
      <c r="E362" s="1603"/>
      <c r="F362" s="1603"/>
      <c r="G362" s="1603"/>
      <c r="H362" s="176">
        <f>$F$5</f>
        <v>417.8</v>
      </c>
      <c r="I362" s="156" t="str">
        <f>$K$5</f>
        <v>Hour</v>
      </c>
      <c r="J362" s="159" t="s">
        <v>596</v>
      </c>
      <c r="K362" s="176">
        <f>ROUND(C362*H362,2)</f>
        <v>142.05000000000001</v>
      </c>
    </row>
    <row r="363" spans="2:11" ht="27" customHeight="1">
      <c r="C363" s="177">
        <f>C362</f>
        <v>0.34</v>
      </c>
      <c r="D363" s="1603" t="s">
        <v>429</v>
      </c>
      <c r="E363" s="1603"/>
      <c r="F363" s="1603"/>
      <c r="G363" s="1603"/>
      <c r="H363" s="176">
        <f>$G$5</f>
        <v>352.5</v>
      </c>
      <c r="I363" s="156" t="str">
        <f>$K$5</f>
        <v>Hour</v>
      </c>
      <c r="J363" s="159" t="s">
        <v>596</v>
      </c>
      <c r="K363" s="176">
        <f>ROUND(C363*H363,2)</f>
        <v>119.85</v>
      </c>
    </row>
    <row r="364" spans="2:11" ht="27" customHeight="1">
      <c r="C364" s="177">
        <f>C362</f>
        <v>0.34</v>
      </c>
      <c r="D364" s="1603" t="s">
        <v>430</v>
      </c>
      <c r="E364" s="1603"/>
      <c r="F364" s="1603"/>
      <c r="G364" s="1603"/>
      <c r="H364" s="176">
        <f>$H$5</f>
        <v>211.6</v>
      </c>
      <c r="I364" s="156" t="str">
        <f>$K$5</f>
        <v>Hour</v>
      </c>
      <c r="J364" s="159" t="s">
        <v>596</v>
      </c>
      <c r="K364" s="176">
        <f>ROUND(C364*H364,2)</f>
        <v>71.94</v>
      </c>
    </row>
    <row r="365" spans="2:11">
      <c r="C365" s="177">
        <f>MAX($K$9,$K$10,$K$11)</f>
        <v>0</v>
      </c>
      <c r="D365" s="1603" t="str">
        <f>CONCATENATE("add area allowance at ",$K$12*100, "% on Rs.",)</f>
        <v>add area allowance at 0% on Rs.</v>
      </c>
      <c r="E365" s="1603"/>
      <c r="F365" s="1603"/>
      <c r="G365" s="1603"/>
      <c r="H365" s="176">
        <f>K364</f>
        <v>71.94</v>
      </c>
      <c r="J365" s="159" t="s">
        <v>596</v>
      </c>
      <c r="K365" s="176">
        <f>ROUND(C365*H365,2)</f>
        <v>0</v>
      </c>
    </row>
    <row r="366" spans="2:11">
      <c r="D366" s="157" t="s">
        <v>190</v>
      </c>
      <c r="E366" s="183">
        <f>E361</f>
        <v>8000</v>
      </c>
      <c r="F366" s="157" t="str">
        <f>F361</f>
        <v>Ltrs</v>
      </c>
      <c r="J366" s="159" t="s">
        <v>596</v>
      </c>
      <c r="K366" s="176">
        <f>SUM(K362:K365)</f>
        <v>333.84</v>
      </c>
    </row>
    <row r="367" spans="2:11">
      <c r="D367" s="157" t="s">
        <v>190</v>
      </c>
      <c r="E367" s="184">
        <v>1000</v>
      </c>
      <c r="F367" s="179" t="str">
        <f>F361</f>
        <v>Ltrs</v>
      </c>
      <c r="J367" s="159" t="s">
        <v>596</v>
      </c>
      <c r="K367" s="176">
        <f>ROUND(K366*1000/E361,2)</f>
        <v>41.73</v>
      </c>
    </row>
    <row r="368" spans="2:11" ht="24.75" customHeight="1">
      <c r="C368" s="177">
        <f>$K$13</f>
        <v>0</v>
      </c>
      <c r="D368" s="1603" t="str">
        <f>CONCATENATE("add overheads and contractors profit at ",$K$13*100, "% on Rs.",)</f>
        <v>add overheads and contractors profit at 0% on Rs.</v>
      </c>
      <c r="E368" s="1603"/>
      <c r="F368" s="1603"/>
      <c r="G368" s="1603"/>
      <c r="H368" s="176">
        <f>K367</f>
        <v>41.73</v>
      </c>
      <c r="J368" s="159" t="s">
        <v>596</v>
      </c>
      <c r="K368" s="176">
        <f>ROUND(C368*H368,2)</f>
        <v>0</v>
      </c>
    </row>
    <row r="369" spans="2:11" s="153" customFormat="1">
      <c r="B369" s="170"/>
      <c r="C369" s="171"/>
      <c r="D369" s="157" t="s">
        <v>191</v>
      </c>
      <c r="E369" s="171"/>
      <c r="F369" s="185">
        <f>E367</f>
        <v>1000</v>
      </c>
      <c r="G369" s="171" t="str">
        <f>F367</f>
        <v>Ltrs</v>
      </c>
      <c r="H369" s="170"/>
      <c r="I369" s="170"/>
      <c r="J369" s="169" t="s">
        <v>596</v>
      </c>
      <c r="K369" s="181">
        <f>SUM(K367:K368)</f>
        <v>41.73</v>
      </c>
    </row>
    <row r="371" spans="2:11" s="152" customFormat="1" ht="12.3">
      <c r="B371" s="155">
        <v>5</v>
      </c>
      <c r="C371" s="168" t="s">
        <v>195</v>
      </c>
      <c r="D371" s="168"/>
      <c r="E371" s="168"/>
      <c r="F371" s="168"/>
      <c r="G371" s="168"/>
      <c r="H371" s="155"/>
      <c r="I371" s="155"/>
      <c r="J371" s="169"/>
      <c r="K371" s="169"/>
    </row>
    <row r="372" spans="2:11" s="153" customFormat="1" ht="12.3">
      <c r="B372" s="170"/>
      <c r="C372" s="171" t="s">
        <v>543</v>
      </c>
      <c r="D372" s="170" t="s">
        <v>544</v>
      </c>
      <c r="E372" s="182">
        <v>8000</v>
      </c>
      <c r="F372" s="173" t="s">
        <v>61</v>
      </c>
      <c r="G372" s="171"/>
      <c r="H372" s="155" t="s">
        <v>92</v>
      </c>
      <c r="I372" s="155" t="s">
        <v>528</v>
      </c>
      <c r="J372" s="174"/>
      <c r="K372" s="169" t="s">
        <v>151</v>
      </c>
    </row>
    <row r="373" spans="2:11" ht="27.75" customHeight="1">
      <c r="C373" s="175">
        <v>0.4</v>
      </c>
      <c r="D373" s="1603" t="s">
        <v>555</v>
      </c>
      <c r="E373" s="1603"/>
      <c r="F373" s="1603"/>
      <c r="G373" s="1603"/>
      <c r="H373" s="176">
        <f>$F$5</f>
        <v>417.8</v>
      </c>
      <c r="I373" s="156" t="str">
        <f>$K$5</f>
        <v>Hour</v>
      </c>
      <c r="J373" s="159" t="s">
        <v>596</v>
      </c>
      <c r="K373" s="176">
        <f>ROUND(C373*H373,2)</f>
        <v>167.12</v>
      </c>
    </row>
    <row r="374" spans="2:11" ht="27" customHeight="1">
      <c r="C374" s="177">
        <f>C373</f>
        <v>0.4</v>
      </c>
      <c r="D374" s="1603" t="s">
        <v>429</v>
      </c>
      <c r="E374" s="1603"/>
      <c r="F374" s="1603"/>
      <c r="G374" s="1603"/>
      <c r="H374" s="176">
        <f>$G$5</f>
        <v>352.5</v>
      </c>
      <c r="I374" s="156" t="str">
        <f>$K$5</f>
        <v>Hour</v>
      </c>
      <c r="J374" s="159" t="s">
        <v>596</v>
      </c>
      <c r="K374" s="176">
        <f>ROUND(C374*H374,2)</f>
        <v>141</v>
      </c>
    </row>
    <row r="375" spans="2:11" ht="27" customHeight="1">
      <c r="C375" s="177">
        <f>C373</f>
        <v>0.4</v>
      </c>
      <c r="D375" s="1603" t="s">
        <v>430</v>
      </c>
      <c r="E375" s="1603"/>
      <c r="F375" s="1603"/>
      <c r="G375" s="1603"/>
      <c r="H375" s="176">
        <f>$H$5</f>
        <v>211.6</v>
      </c>
      <c r="I375" s="156" t="str">
        <f>$K$5</f>
        <v>Hour</v>
      </c>
      <c r="J375" s="159" t="s">
        <v>596</v>
      </c>
      <c r="K375" s="176">
        <f>ROUND(C375*H375,2)</f>
        <v>84.64</v>
      </c>
    </row>
    <row r="376" spans="2:11">
      <c r="C376" s="177">
        <f>MAX($K$9,$K$10,$K$11)</f>
        <v>0</v>
      </c>
      <c r="D376" s="1603" t="str">
        <f>CONCATENATE("add area allowance at ",$K$12*100, "% on Rs.",)</f>
        <v>add area allowance at 0% on Rs.</v>
      </c>
      <c r="E376" s="1603"/>
      <c r="F376" s="1603"/>
      <c r="G376" s="1603"/>
      <c r="H376" s="176">
        <f>K375</f>
        <v>84.64</v>
      </c>
      <c r="J376" s="159" t="s">
        <v>596</v>
      </c>
      <c r="K376" s="176">
        <f>ROUND(C376*H376,2)</f>
        <v>0</v>
      </c>
    </row>
    <row r="377" spans="2:11">
      <c r="D377" s="157" t="s">
        <v>190</v>
      </c>
      <c r="E377" s="183">
        <f>E372</f>
        <v>8000</v>
      </c>
      <c r="F377" s="157" t="str">
        <f>F372</f>
        <v>Ltrs</v>
      </c>
      <c r="J377" s="159" t="s">
        <v>596</v>
      </c>
      <c r="K377" s="176">
        <f>SUM(K373:K376)</f>
        <v>392.76</v>
      </c>
    </row>
    <row r="378" spans="2:11">
      <c r="D378" s="157" t="s">
        <v>190</v>
      </c>
      <c r="E378" s="184">
        <v>1000</v>
      </c>
      <c r="F378" s="179" t="str">
        <f>F372</f>
        <v>Ltrs</v>
      </c>
      <c r="J378" s="159" t="s">
        <v>596</v>
      </c>
      <c r="K378" s="176">
        <f>ROUND(K377*1000/E372,2)</f>
        <v>49.1</v>
      </c>
    </row>
    <row r="379" spans="2:11" ht="24.75" customHeight="1">
      <c r="C379" s="177">
        <f>$K$13</f>
        <v>0</v>
      </c>
      <c r="D379" s="1603" t="str">
        <f>CONCATENATE("add overheads and contractors profit at ",$K$13*100, "% on Rs.",)</f>
        <v>add overheads and contractors profit at 0% on Rs.</v>
      </c>
      <c r="E379" s="1603"/>
      <c r="F379" s="1603"/>
      <c r="G379" s="1603"/>
      <c r="H379" s="176">
        <f>K378</f>
        <v>49.1</v>
      </c>
      <c r="J379" s="159" t="s">
        <v>596</v>
      </c>
      <c r="K379" s="176">
        <f>ROUND(C379*H379,2)</f>
        <v>0</v>
      </c>
    </row>
    <row r="380" spans="2:11" s="153" customFormat="1">
      <c r="B380" s="170"/>
      <c r="C380" s="171"/>
      <c r="D380" s="157" t="s">
        <v>191</v>
      </c>
      <c r="E380" s="171"/>
      <c r="F380" s="185">
        <f>E378</f>
        <v>1000</v>
      </c>
      <c r="G380" s="171" t="str">
        <f>F378</f>
        <v>Ltrs</v>
      </c>
      <c r="H380" s="170"/>
      <c r="I380" s="170"/>
      <c r="J380" s="169" t="s">
        <v>596</v>
      </c>
      <c r="K380" s="181">
        <f>SUM(K378:K379)</f>
        <v>49.1</v>
      </c>
    </row>
    <row r="382" spans="2:11" s="152" customFormat="1" ht="12.3">
      <c r="B382" s="155">
        <v>6</v>
      </c>
      <c r="C382" s="168" t="s">
        <v>246</v>
      </c>
      <c r="D382" s="168"/>
      <c r="E382" s="168"/>
      <c r="F382" s="168"/>
      <c r="G382" s="168"/>
      <c r="H382" s="155"/>
      <c r="I382" s="155"/>
      <c r="J382" s="169"/>
      <c r="K382" s="169"/>
    </row>
    <row r="383" spans="2:11" s="153" customFormat="1" ht="12.3">
      <c r="B383" s="170"/>
      <c r="C383" s="171" t="s">
        <v>543</v>
      </c>
      <c r="D383" s="170" t="s">
        <v>544</v>
      </c>
      <c r="E383" s="182">
        <v>8000</v>
      </c>
      <c r="F383" s="173" t="s">
        <v>61</v>
      </c>
      <c r="G383" s="171"/>
      <c r="H383" s="155" t="s">
        <v>92</v>
      </c>
      <c r="I383" s="155" t="s">
        <v>528</v>
      </c>
      <c r="J383" s="174"/>
      <c r="K383" s="169" t="s">
        <v>151</v>
      </c>
    </row>
    <row r="384" spans="2:11" ht="27.75" customHeight="1">
      <c r="C384" s="175">
        <v>0.06</v>
      </c>
      <c r="D384" s="1603" t="s">
        <v>555</v>
      </c>
      <c r="E384" s="1603"/>
      <c r="F384" s="1603"/>
      <c r="G384" s="1603"/>
      <c r="H384" s="176">
        <f>$F$5</f>
        <v>417.8</v>
      </c>
      <c r="I384" s="156" t="str">
        <f>$K$5</f>
        <v>Hour</v>
      </c>
      <c r="J384" s="159" t="s">
        <v>596</v>
      </c>
      <c r="K384" s="176">
        <f>ROUND(C384*H384,2)</f>
        <v>25.07</v>
      </c>
    </row>
    <row r="385" spans="2:11" ht="27" customHeight="1">
      <c r="C385" s="177">
        <f>C384</f>
        <v>0.06</v>
      </c>
      <c r="D385" s="1603" t="s">
        <v>429</v>
      </c>
      <c r="E385" s="1603"/>
      <c r="F385" s="1603"/>
      <c r="G385" s="1603"/>
      <c r="H385" s="176">
        <f>$G$5</f>
        <v>352.5</v>
      </c>
      <c r="I385" s="156" t="str">
        <f>$K$5</f>
        <v>Hour</v>
      </c>
      <c r="J385" s="159" t="s">
        <v>596</v>
      </c>
      <c r="K385" s="176">
        <f>ROUND(C385*H385,2)</f>
        <v>21.15</v>
      </c>
    </row>
    <row r="386" spans="2:11" ht="27" customHeight="1">
      <c r="C386" s="177">
        <f>C384</f>
        <v>0.06</v>
      </c>
      <c r="D386" s="1603" t="s">
        <v>430</v>
      </c>
      <c r="E386" s="1603"/>
      <c r="F386" s="1603"/>
      <c r="G386" s="1603"/>
      <c r="H386" s="176">
        <f>$H$5</f>
        <v>211.6</v>
      </c>
      <c r="I386" s="156" t="str">
        <f>$K$5</f>
        <v>Hour</v>
      </c>
      <c r="J386" s="159" t="s">
        <v>596</v>
      </c>
      <c r="K386" s="176">
        <f>ROUND(C386*H386,2)</f>
        <v>12.7</v>
      </c>
    </row>
    <row r="387" spans="2:11">
      <c r="C387" s="177">
        <f>MAX($K$9,$K$10,$K$11)</f>
        <v>0</v>
      </c>
      <c r="D387" s="1603" t="str">
        <f>CONCATENATE("add area allowance at ",$K$12*100, "% on Rs.",)</f>
        <v>add area allowance at 0% on Rs.</v>
      </c>
      <c r="E387" s="1603"/>
      <c r="F387" s="1603"/>
      <c r="G387" s="1603"/>
      <c r="H387" s="176">
        <f>K386</f>
        <v>12.7</v>
      </c>
      <c r="J387" s="159" t="s">
        <v>596</v>
      </c>
      <c r="K387" s="176">
        <f>ROUND(C387*H387,2)</f>
        <v>0</v>
      </c>
    </row>
    <row r="388" spans="2:11">
      <c r="D388" s="157" t="s">
        <v>190</v>
      </c>
      <c r="E388" s="183">
        <f>E383</f>
        <v>8000</v>
      </c>
      <c r="F388" s="157" t="str">
        <f>F383</f>
        <v>Ltrs</v>
      </c>
      <c r="J388" s="159" t="s">
        <v>596</v>
      </c>
      <c r="K388" s="176">
        <f>SUM(K384:K387)</f>
        <v>58.92</v>
      </c>
    </row>
    <row r="389" spans="2:11">
      <c r="D389" s="157" t="s">
        <v>190</v>
      </c>
      <c r="E389" s="184">
        <v>1000</v>
      </c>
      <c r="F389" s="179" t="str">
        <f>F383</f>
        <v>Ltrs</v>
      </c>
      <c r="J389" s="159" t="s">
        <v>596</v>
      </c>
      <c r="K389" s="176">
        <f>ROUND(K388*1000/E383,2)</f>
        <v>7.37</v>
      </c>
    </row>
    <row r="390" spans="2:11" ht="24.75" customHeight="1">
      <c r="C390" s="177">
        <f>$K$13</f>
        <v>0</v>
      </c>
      <c r="D390" s="1603" t="str">
        <f>CONCATENATE("add overheads and contractors profit at ",$K$13*100, "% on Rs.",)</f>
        <v>add overheads and contractors profit at 0% on Rs.</v>
      </c>
      <c r="E390" s="1603"/>
      <c r="F390" s="1603"/>
      <c r="G390" s="1603"/>
      <c r="H390" s="176">
        <f>K389</f>
        <v>7.37</v>
      </c>
      <c r="J390" s="159" t="s">
        <v>596</v>
      </c>
      <c r="K390" s="176">
        <f>ROUND(C390*H390,2)</f>
        <v>0</v>
      </c>
    </row>
    <row r="391" spans="2:11" s="153" customFormat="1">
      <c r="B391" s="170"/>
      <c r="C391" s="171"/>
      <c r="D391" s="157" t="s">
        <v>191</v>
      </c>
      <c r="E391" s="171"/>
      <c r="F391" s="185">
        <f>E389</f>
        <v>1000</v>
      </c>
      <c r="G391" s="171" t="str">
        <f>F389</f>
        <v>Ltrs</v>
      </c>
      <c r="H391" s="170"/>
      <c r="I391" s="170"/>
      <c r="J391" s="169" t="s">
        <v>596</v>
      </c>
      <c r="K391" s="181">
        <f>SUM(K389:K390)</f>
        <v>7.37</v>
      </c>
    </row>
    <row r="393" spans="2:11" s="152" customFormat="1" ht="12.3">
      <c r="B393" s="155">
        <v>7</v>
      </c>
      <c r="C393" s="168" t="s">
        <v>247</v>
      </c>
      <c r="D393" s="168"/>
      <c r="E393" s="168"/>
      <c r="F393" s="168"/>
      <c r="G393" s="168"/>
      <c r="H393" s="155"/>
      <c r="I393" s="155"/>
      <c r="J393" s="169"/>
      <c r="K393" s="169"/>
    </row>
    <row r="394" spans="2:11" s="153" customFormat="1" ht="12.3">
      <c r="B394" s="170"/>
      <c r="C394" s="171" t="s">
        <v>543</v>
      </c>
      <c r="D394" s="170" t="s">
        <v>544</v>
      </c>
      <c r="E394" s="182">
        <v>8000</v>
      </c>
      <c r="F394" s="173" t="s">
        <v>61</v>
      </c>
      <c r="G394" s="171"/>
      <c r="H394" s="155" t="s">
        <v>92</v>
      </c>
      <c r="I394" s="155" t="s">
        <v>528</v>
      </c>
      <c r="J394" s="174"/>
      <c r="K394" s="169" t="s">
        <v>151</v>
      </c>
    </row>
    <row r="395" spans="2:11" ht="27.75" customHeight="1">
      <c r="C395" s="175">
        <v>0.05</v>
      </c>
      <c r="D395" s="1603" t="s">
        <v>555</v>
      </c>
      <c r="E395" s="1603"/>
      <c r="F395" s="1603"/>
      <c r="G395" s="1603"/>
      <c r="H395" s="176">
        <f>$F$5</f>
        <v>417.8</v>
      </c>
      <c r="I395" s="156" t="str">
        <f>$K$5</f>
        <v>Hour</v>
      </c>
      <c r="J395" s="159" t="s">
        <v>596</v>
      </c>
      <c r="K395" s="176">
        <f>ROUND(C395*H395,2)</f>
        <v>20.89</v>
      </c>
    </row>
    <row r="396" spans="2:11" ht="27" customHeight="1">
      <c r="C396" s="177">
        <f>C395</f>
        <v>0.05</v>
      </c>
      <c r="D396" s="1603" t="s">
        <v>429</v>
      </c>
      <c r="E396" s="1603"/>
      <c r="F396" s="1603"/>
      <c r="G396" s="1603"/>
      <c r="H396" s="176">
        <f>$G$5</f>
        <v>352.5</v>
      </c>
      <c r="I396" s="156" t="str">
        <f>$K$5</f>
        <v>Hour</v>
      </c>
      <c r="J396" s="159" t="s">
        <v>596</v>
      </c>
      <c r="K396" s="176">
        <f>ROUND(C396*H396,2)</f>
        <v>17.63</v>
      </c>
    </row>
    <row r="397" spans="2:11" ht="27" customHeight="1">
      <c r="C397" s="177">
        <f>C395</f>
        <v>0.05</v>
      </c>
      <c r="D397" s="1603" t="s">
        <v>430</v>
      </c>
      <c r="E397" s="1603"/>
      <c r="F397" s="1603"/>
      <c r="G397" s="1603"/>
      <c r="H397" s="176">
        <f>$H$5</f>
        <v>211.6</v>
      </c>
      <c r="I397" s="156" t="str">
        <f>$K$5</f>
        <v>Hour</v>
      </c>
      <c r="J397" s="159" t="s">
        <v>596</v>
      </c>
      <c r="K397" s="176">
        <f>ROUND(C397*H397,2)</f>
        <v>10.58</v>
      </c>
    </row>
    <row r="398" spans="2:11">
      <c r="C398" s="177">
        <f>MAX($K$9,$K$10,$K$11)</f>
        <v>0</v>
      </c>
      <c r="D398" s="1603" t="str">
        <f>CONCATENATE("add area allowance at ",$K$12*100, "% on Rs.",)</f>
        <v>add area allowance at 0% on Rs.</v>
      </c>
      <c r="E398" s="1603"/>
      <c r="F398" s="1603"/>
      <c r="G398" s="1603"/>
      <c r="H398" s="176">
        <f>K397</f>
        <v>10.58</v>
      </c>
      <c r="J398" s="159" t="s">
        <v>596</v>
      </c>
      <c r="K398" s="176">
        <f>ROUND(C398*H398,2)</f>
        <v>0</v>
      </c>
    </row>
    <row r="399" spans="2:11">
      <c r="D399" s="157" t="s">
        <v>190</v>
      </c>
      <c r="E399" s="183">
        <f>E394</f>
        <v>8000</v>
      </c>
      <c r="F399" s="157" t="str">
        <f>F394</f>
        <v>Ltrs</v>
      </c>
      <c r="J399" s="159" t="s">
        <v>596</v>
      </c>
      <c r="K399" s="176">
        <f>SUM(K395:K398)</f>
        <v>49.099999999999994</v>
      </c>
    </row>
    <row r="400" spans="2:11">
      <c r="D400" s="157" t="s">
        <v>190</v>
      </c>
      <c r="E400" s="184">
        <v>1000</v>
      </c>
      <c r="F400" s="179" t="str">
        <f>F394</f>
        <v>Ltrs</v>
      </c>
      <c r="J400" s="159" t="s">
        <v>596</v>
      </c>
      <c r="K400" s="176">
        <f>ROUND(K399*1000/E394,2)</f>
        <v>6.14</v>
      </c>
    </row>
    <row r="401" spans="2:11" ht="24.75" customHeight="1">
      <c r="C401" s="177">
        <f>$K$13</f>
        <v>0</v>
      </c>
      <c r="D401" s="1603" t="str">
        <f>CONCATENATE("add overheads and contractors profit at ",$K$13*100, "% on Rs.",)</f>
        <v>add overheads and contractors profit at 0% on Rs.</v>
      </c>
      <c r="E401" s="1603"/>
      <c r="F401" s="1603"/>
      <c r="G401" s="1603"/>
      <c r="H401" s="176">
        <f>K400</f>
        <v>6.14</v>
      </c>
      <c r="J401" s="159" t="s">
        <v>596</v>
      </c>
      <c r="K401" s="176">
        <f>ROUND(C401*H401,2)</f>
        <v>0</v>
      </c>
    </row>
    <row r="402" spans="2:11" s="153" customFormat="1">
      <c r="B402" s="170"/>
      <c r="C402" s="171"/>
      <c r="D402" s="157" t="s">
        <v>191</v>
      </c>
      <c r="E402" s="171"/>
      <c r="F402" s="185">
        <f>E400</f>
        <v>1000</v>
      </c>
      <c r="G402" s="171" t="str">
        <f>F400</f>
        <v>Ltrs</v>
      </c>
      <c r="H402" s="170"/>
      <c r="I402" s="170"/>
      <c r="J402" s="169" t="s">
        <v>596</v>
      </c>
      <c r="K402" s="181">
        <f>SUM(K400:K401)</f>
        <v>6.14</v>
      </c>
    </row>
    <row r="404" spans="2:11" s="152" customFormat="1" ht="12.3">
      <c r="B404" s="155" t="s">
        <v>431</v>
      </c>
      <c r="C404" s="1605" t="s">
        <v>432</v>
      </c>
      <c r="D404" s="1605"/>
      <c r="E404" s="1605"/>
      <c r="F404" s="1605"/>
      <c r="G404" s="1605"/>
      <c r="H404" s="1605"/>
      <c r="I404" s="1605"/>
      <c r="J404" s="1605"/>
      <c r="K404" s="1605"/>
    </row>
    <row r="405" spans="2:11" s="152" customFormat="1" ht="12.3">
      <c r="B405" s="155">
        <v>1</v>
      </c>
      <c r="C405" s="168" t="s">
        <v>542</v>
      </c>
      <c r="D405" s="168"/>
      <c r="E405" s="168"/>
      <c r="F405" s="168"/>
      <c r="G405" s="168"/>
      <c r="H405" s="155"/>
      <c r="I405" s="155"/>
      <c r="J405" s="169"/>
      <c r="K405" s="169"/>
    </row>
    <row r="406" spans="2:11" s="153" customFormat="1" ht="12.3">
      <c r="B406" s="170"/>
      <c r="C406" s="171" t="s">
        <v>543</v>
      </c>
      <c r="D406" s="170" t="s">
        <v>544</v>
      </c>
      <c r="E406" s="182">
        <v>3000</v>
      </c>
      <c r="F406" s="173" t="s">
        <v>327</v>
      </c>
      <c r="G406" s="171"/>
      <c r="H406" s="155" t="s">
        <v>92</v>
      </c>
      <c r="I406" s="155" t="s">
        <v>528</v>
      </c>
      <c r="J406" s="174"/>
      <c r="K406" s="169" t="s">
        <v>151</v>
      </c>
    </row>
    <row r="407" spans="2:11" ht="27.75" customHeight="1">
      <c r="C407" s="175">
        <v>0.15</v>
      </c>
      <c r="D407" s="1603" t="s">
        <v>62</v>
      </c>
      <c r="E407" s="1603"/>
      <c r="F407" s="1603"/>
      <c r="G407" s="1603"/>
      <c r="H407" s="176">
        <f>$F$6</f>
        <v>428.6</v>
      </c>
      <c r="I407" s="156" t="str">
        <f>$K$6</f>
        <v>Hour</v>
      </c>
      <c r="J407" s="159" t="s">
        <v>596</v>
      </c>
      <c r="K407" s="176">
        <f>ROUND(C407*H407,2)</f>
        <v>64.290000000000006</v>
      </c>
    </row>
    <row r="408" spans="2:11" ht="27" customHeight="1">
      <c r="C408" s="177">
        <f>C407</f>
        <v>0.15</v>
      </c>
      <c r="D408" s="1603" t="s">
        <v>63</v>
      </c>
      <c r="E408" s="1603"/>
      <c r="F408" s="1603"/>
      <c r="G408" s="1603"/>
      <c r="H408" s="176">
        <f>$G$6</f>
        <v>352.5</v>
      </c>
      <c r="I408" s="156" t="str">
        <f>$K$6</f>
        <v>Hour</v>
      </c>
      <c r="J408" s="159" t="s">
        <v>596</v>
      </c>
      <c r="K408" s="176">
        <f>ROUND(C408*H408,2)</f>
        <v>52.88</v>
      </c>
    </row>
    <row r="409" spans="2:11" ht="27" customHeight="1">
      <c r="C409" s="177">
        <f>C407</f>
        <v>0.15</v>
      </c>
      <c r="D409" s="1603" t="s">
        <v>64</v>
      </c>
      <c r="E409" s="1603"/>
      <c r="F409" s="1603"/>
      <c r="G409" s="1603"/>
      <c r="H409" s="176">
        <f>$H$6</f>
        <v>211.6</v>
      </c>
      <c r="I409" s="156" t="str">
        <f>$K$6</f>
        <v>Hour</v>
      </c>
      <c r="J409" s="159" t="s">
        <v>596</v>
      </c>
      <c r="K409" s="176">
        <f>ROUND(C409*H409,2)</f>
        <v>31.74</v>
      </c>
    </row>
    <row r="410" spans="2:11">
      <c r="C410" s="177">
        <f>MAX($K$9,$K$10,$K$11)</f>
        <v>0</v>
      </c>
      <c r="D410" s="1603" t="str">
        <f>CONCATENATE("add area allowance at ",$K$12*100, "% on Rs.",)</f>
        <v>add area allowance at 0% on Rs.</v>
      </c>
      <c r="E410" s="1603"/>
      <c r="F410" s="1603"/>
      <c r="G410" s="1603"/>
      <c r="H410" s="176">
        <f>K409</f>
        <v>31.74</v>
      </c>
      <c r="J410" s="159" t="s">
        <v>596</v>
      </c>
      <c r="K410" s="176">
        <f>ROUND(C410*H410,2)</f>
        <v>0</v>
      </c>
    </row>
    <row r="411" spans="2:11">
      <c r="D411" s="157" t="s">
        <v>190</v>
      </c>
      <c r="E411" s="183">
        <f>E406</f>
        <v>3000</v>
      </c>
      <c r="F411" s="157" t="str">
        <f>F406</f>
        <v>Nos</v>
      </c>
      <c r="J411" s="159" t="s">
        <v>596</v>
      </c>
      <c r="K411" s="176">
        <f>SUM(K407:K410)</f>
        <v>148.91000000000003</v>
      </c>
    </row>
    <row r="412" spans="2:11">
      <c r="D412" s="157" t="s">
        <v>190</v>
      </c>
      <c r="E412" s="184">
        <v>1000</v>
      </c>
      <c r="F412" s="179" t="str">
        <f>F406</f>
        <v>Nos</v>
      </c>
      <c r="J412" s="159" t="s">
        <v>596</v>
      </c>
      <c r="K412" s="176">
        <f>ROUND(K411*1000/E406,2)</f>
        <v>49.64</v>
      </c>
    </row>
    <row r="413" spans="2:11" ht="24.75" customHeight="1">
      <c r="C413" s="177">
        <f>$K$13</f>
        <v>0</v>
      </c>
      <c r="D413" s="1603" t="str">
        <f>CONCATENATE("add overheads and contractors profit at ",$K$13*100, "% on Rs.",)</f>
        <v>add overheads and contractors profit at 0% on Rs.</v>
      </c>
      <c r="E413" s="1603"/>
      <c r="F413" s="1603"/>
      <c r="G413" s="1603"/>
      <c r="H413" s="176">
        <f>K412</f>
        <v>49.64</v>
      </c>
      <c r="J413" s="159" t="s">
        <v>596</v>
      </c>
      <c r="K413" s="176">
        <f>ROUND(C413*H413,2)</f>
        <v>0</v>
      </c>
    </row>
    <row r="414" spans="2:11" s="153" customFormat="1">
      <c r="B414" s="170"/>
      <c r="C414" s="171"/>
      <c r="D414" s="157" t="s">
        <v>191</v>
      </c>
      <c r="E414" s="171"/>
      <c r="F414" s="185">
        <f>E412</f>
        <v>1000</v>
      </c>
      <c r="G414" s="171" t="str">
        <f>F412</f>
        <v>Nos</v>
      </c>
      <c r="H414" s="170"/>
      <c r="I414" s="170"/>
      <c r="J414" s="169" t="s">
        <v>596</v>
      </c>
      <c r="K414" s="181">
        <f>SUM(K412:K413)</f>
        <v>49.64</v>
      </c>
    </row>
    <row r="415" spans="2:11" s="153" customFormat="1">
      <c r="B415" s="170"/>
      <c r="C415" s="171"/>
      <c r="D415" s="157"/>
      <c r="E415" s="171"/>
      <c r="F415" s="180"/>
      <c r="G415" s="171"/>
      <c r="H415" s="170"/>
      <c r="I415" s="170"/>
      <c r="J415" s="169"/>
      <c r="K415" s="181"/>
    </row>
    <row r="416" spans="2:11" s="152" customFormat="1" ht="12.3">
      <c r="B416" s="155">
        <v>2</v>
      </c>
      <c r="C416" s="168" t="s">
        <v>192</v>
      </c>
      <c r="D416" s="168"/>
      <c r="E416" s="168"/>
      <c r="F416" s="168"/>
      <c r="G416" s="168"/>
      <c r="H416" s="155"/>
      <c r="I416" s="155"/>
      <c r="J416" s="169"/>
      <c r="K416" s="169"/>
    </row>
    <row r="417" spans="2:11" s="153" customFormat="1" ht="12.3">
      <c r="B417" s="170"/>
      <c r="C417" s="171" t="s">
        <v>543</v>
      </c>
      <c r="D417" s="170" t="s">
        <v>544</v>
      </c>
      <c r="E417" s="182">
        <v>3000</v>
      </c>
      <c r="F417" s="173" t="s">
        <v>327</v>
      </c>
      <c r="G417" s="171"/>
      <c r="H417" s="155" t="s">
        <v>92</v>
      </c>
      <c r="I417" s="155" t="s">
        <v>528</v>
      </c>
      <c r="J417" s="174"/>
      <c r="K417" s="169" t="s">
        <v>151</v>
      </c>
    </row>
    <row r="418" spans="2:11" ht="27.75" customHeight="1">
      <c r="C418" s="175">
        <v>0.21</v>
      </c>
      <c r="D418" s="1603" t="s">
        <v>62</v>
      </c>
      <c r="E418" s="1603"/>
      <c r="F418" s="1603"/>
      <c r="G418" s="1603"/>
      <c r="H418" s="176">
        <f>$F$6</f>
        <v>428.6</v>
      </c>
      <c r="I418" s="156" t="str">
        <f>$K$6</f>
        <v>Hour</v>
      </c>
      <c r="J418" s="159" t="s">
        <v>596</v>
      </c>
      <c r="K418" s="176">
        <f>ROUND(C418*H418,2)</f>
        <v>90.01</v>
      </c>
    </row>
    <row r="419" spans="2:11" ht="27" customHeight="1">
      <c r="C419" s="177">
        <f>C418</f>
        <v>0.21</v>
      </c>
      <c r="D419" s="1603" t="s">
        <v>63</v>
      </c>
      <c r="E419" s="1603"/>
      <c r="F419" s="1603"/>
      <c r="G419" s="1603"/>
      <c r="H419" s="176">
        <f>$G$6</f>
        <v>352.5</v>
      </c>
      <c r="I419" s="156" t="str">
        <f>$K$6</f>
        <v>Hour</v>
      </c>
      <c r="J419" s="159" t="s">
        <v>596</v>
      </c>
      <c r="K419" s="176">
        <f>ROUND(C419*H419,2)</f>
        <v>74.03</v>
      </c>
    </row>
    <row r="420" spans="2:11" ht="27" customHeight="1">
      <c r="C420" s="177">
        <f>C418</f>
        <v>0.21</v>
      </c>
      <c r="D420" s="1603" t="s">
        <v>64</v>
      </c>
      <c r="E420" s="1603"/>
      <c r="F420" s="1603"/>
      <c r="G420" s="1603"/>
      <c r="H420" s="176">
        <f>$H$6</f>
        <v>211.6</v>
      </c>
      <c r="I420" s="156" t="str">
        <f>$K$6</f>
        <v>Hour</v>
      </c>
      <c r="J420" s="159" t="s">
        <v>596</v>
      </c>
      <c r="K420" s="176">
        <f>ROUND(C420*H420,2)</f>
        <v>44.44</v>
      </c>
    </row>
    <row r="421" spans="2:11">
      <c r="C421" s="177">
        <f>MAX($K$9,$K$10,$K$11)</f>
        <v>0</v>
      </c>
      <c r="D421" s="1603" t="str">
        <f>CONCATENATE("add area allowance at ",$K$12*100, "% on Rs.",)</f>
        <v>add area allowance at 0% on Rs.</v>
      </c>
      <c r="E421" s="1603"/>
      <c r="F421" s="1603"/>
      <c r="G421" s="1603"/>
      <c r="H421" s="176">
        <f>K420</f>
        <v>44.44</v>
      </c>
      <c r="J421" s="159" t="s">
        <v>596</v>
      </c>
      <c r="K421" s="176">
        <f>ROUND(C421*H421,2)</f>
        <v>0</v>
      </c>
    </row>
    <row r="422" spans="2:11">
      <c r="D422" s="157" t="s">
        <v>190</v>
      </c>
      <c r="E422" s="183">
        <f>E417</f>
        <v>3000</v>
      </c>
      <c r="F422" s="157" t="str">
        <f>F417</f>
        <v>Nos</v>
      </c>
      <c r="J422" s="159" t="s">
        <v>596</v>
      </c>
      <c r="K422" s="176">
        <f>SUM(K418:K421)</f>
        <v>208.48000000000002</v>
      </c>
    </row>
    <row r="423" spans="2:11">
      <c r="D423" s="157" t="s">
        <v>190</v>
      </c>
      <c r="E423" s="184">
        <v>1000</v>
      </c>
      <c r="F423" s="179" t="str">
        <f>F417</f>
        <v>Nos</v>
      </c>
      <c r="J423" s="159" t="s">
        <v>596</v>
      </c>
      <c r="K423" s="176">
        <f>ROUND(K422*1000/E417,2)</f>
        <v>69.489999999999995</v>
      </c>
    </row>
    <row r="424" spans="2:11" ht="24.75" customHeight="1">
      <c r="C424" s="177">
        <f>$K$13</f>
        <v>0</v>
      </c>
      <c r="D424" s="1603" t="str">
        <f>CONCATENATE("add overheads and contractors profit at ",$K$13*100, "% on Rs.",)</f>
        <v>add overheads and contractors profit at 0% on Rs.</v>
      </c>
      <c r="E424" s="1603"/>
      <c r="F424" s="1603"/>
      <c r="G424" s="1603"/>
      <c r="H424" s="176">
        <f>K423</f>
        <v>69.489999999999995</v>
      </c>
      <c r="J424" s="159" t="s">
        <v>596</v>
      </c>
      <c r="K424" s="176">
        <f>ROUND(C424*H424,2)</f>
        <v>0</v>
      </c>
    </row>
    <row r="425" spans="2:11" s="153" customFormat="1">
      <c r="B425" s="170"/>
      <c r="C425" s="171"/>
      <c r="D425" s="157" t="s">
        <v>191</v>
      </c>
      <c r="E425" s="171"/>
      <c r="F425" s="185">
        <f>E423</f>
        <v>1000</v>
      </c>
      <c r="G425" s="171" t="str">
        <f>F423</f>
        <v>Nos</v>
      </c>
      <c r="H425" s="170"/>
      <c r="I425" s="170"/>
      <c r="J425" s="169" t="s">
        <v>596</v>
      </c>
      <c r="K425" s="181">
        <f>SUM(K423:K424)</f>
        <v>69.489999999999995</v>
      </c>
    </row>
    <row r="427" spans="2:11" s="152" customFormat="1" ht="12.3">
      <c r="B427" s="155">
        <v>3</v>
      </c>
      <c r="C427" s="168" t="s">
        <v>193</v>
      </c>
      <c r="D427" s="168"/>
      <c r="E427" s="168"/>
      <c r="F427" s="168"/>
      <c r="G427" s="168"/>
      <c r="H427" s="155"/>
      <c r="I427" s="155"/>
      <c r="J427" s="169"/>
      <c r="K427" s="169"/>
    </row>
    <row r="428" spans="2:11" s="153" customFormat="1" ht="12.3">
      <c r="B428" s="170"/>
      <c r="C428" s="171" t="s">
        <v>543</v>
      </c>
      <c r="D428" s="170" t="s">
        <v>544</v>
      </c>
      <c r="E428" s="182">
        <v>3000</v>
      </c>
      <c r="F428" s="173" t="s">
        <v>327</v>
      </c>
      <c r="G428" s="171"/>
      <c r="H428" s="155" t="s">
        <v>92</v>
      </c>
      <c r="I428" s="155" t="s">
        <v>528</v>
      </c>
      <c r="J428" s="174"/>
      <c r="K428" s="169" t="s">
        <v>151</v>
      </c>
    </row>
    <row r="429" spans="2:11" ht="27.75" customHeight="1">
      <c r="C429" s="175">
        <v>0.28000000000000003</v>
      </c>
      <c r="D429" s="1603" t="s">
        <v>62</v>
      </c>
      <c r="E429" s="1603"/>
      <c r="F429" s="1603"/>
      <c r="G429" s="1603"/>
      <c r="H429" s="176">
        <f>$F$6</f>
        <v>428.6</v>
      </c>
      <c r="I429" s="156" t="str">
        <f>$K$6</f>
        <v>Hour</v>
      </c>
      <c r="J429" s="159" t="s">
        <v>596</v>
      </c>
      <c r="K429" s="176">
        <f>ROUND(C429*H429,2)</f>
        <v>120.01</v>
      </c>
    </row>
    <row r="430" spans="2:11" ht="27" customHeight="1">
      <c r="C430" s="177">
        <f>C429</f>
        <v>0.28000000000000003</v>
      </c>
      <c r="D430" s="1603" t="s">
        <v>63</v>
      </c>
      <c r="E430" s="1603"/>
      <c r="F430" s="1603"/>
      <c r="G430" s="1603"/>
      <c r="H430" s="176">
        <f>$G$6</f>
        <v>352.5</v>
      </c>
      <c r="I430" s="156" t="str">
        <f>$K$6</f>
        <v>Hour</v>
      </c>
      <c r="J430" s="159" t="s">
        <v>596</v>
      </c>
      <c r="K430" s="176">
        <f>ROUND(C430*H430,2)</f>
        <v>98.7</v>
      </c>
    </row>
    <row r="431" spans="2:11" ht="27" customHeight="1">
      <c r="C431" s="177">
        <f>C429</f>
        <v>0.28000000000000003</v>
      </c>
      <c r="D431" s="1603" t="s">
        <v>64</v>
      </c>
      <c r="E431" s="1603"/>
      <c r="F431" s="1603"/>
      <c r="G431" s="1603"/>
      <c r="H431" s="176">
        <f>$H$6</f>
        <v>211.6</v>
      </c>
      <c r="I431" s="156" t="str">
        <f>$K$6</f>
        <v>Hour</v>
      </c>
      <c r="J431" s="159" t="s">
        <v>596</v>
      </c>
      <c r="K431" s="176">
        <f>ROUND(C431*H431,2)</f>
        <v>59.25</v>
      </c>
    </row>
    <row r="432" spans="2:11">
      <c r="C432" s="177">
        <f>MAX($K$9,$K$10,$K$11)</f>
        <v>0</v>
      </c>
      <c r="D432" s="1603" t="str">
        <f>CONCATENATE("add area allowance at ",$K$12*100, "% on Rs.",)</f>
        <v>add area allowance at 0% on Rs.</v>
      </c>
      <c r="E432" s="1603"/>
      <c r="F432" s="1603"/>
      <c r="G432" s="1603"/>
      <c r="H432" s="176">
        <f>K431</f>
        <v>59.25</v>
      </c>
      <c r="J432" s="159" t="s">
        <v>596</v>
      </c>
      <c r="K432" s="176">
        <f>ROUND(C432*H432,2)</f>
        <v>0</v>
      </c>
    </row>
    <row r="433" spans="2:11">
      <c r="D433" s="157" t="s">
        <v>190</v>
      </c>
      <c r="E433" s="183">
        <f>E428</f>
        <v>3000</v>
      </c>
      <c r="F433" s="157" t="str">
        <f>F428</f>
        <v>Nos</v>
      </c>
      <c r="J433" s="159" t="s">
        <v>596</v>
      </c>
      <c r="K433" s="176">
        <f>SUM(K429:K432)</f>
        <v>277.96000000000004</v>
      </c>
    </row>
    <row r="434" spans="2:11">
      <c r="D434" s="157" t="s">
        <v>190</v>
      </c>
      <c r="E434" s="184">
        <v>1000</v>
      </c>
      <c r="F434" s="179" t="str">
        <f>F428</f>
        <v>Nos</v>
      </c>
      <c r="J434" s="159" t="s">
        <v>596</v>
      </c>
      <c r="K434" s="176">
        <f>ROUND(K433*1000/E428,2)</f>
        <v>92.65</v>
      </c>
    </row>
    <row r="435" spans="2:11" ht="24.75" customHeight="1">
      <c r="C435" s="177">
        <f>$K$13</f>
        <v>0</v>
      </c>
      <c r="D435" s="1603" t="str">
        <f>CONCATENATE("add overheads and contractors profit at ",$K$13*100, "% on Rs.",)</f>
        <v>add overheads and contractors profit at 0% on Rs.</v>
      </c>
      <c r="E435" s="1603"/>
      <c r="F435" s="1603"/>
      <c r="G435" s="1603"/>
      <c r="H435" s="176">
        <f>K434</f>
        <v>92.65</v>
      </c>
      <c r="J435" s="159" t="s">
        <v>596</v>
      </c>
      <c r="K435" s="176">
        <f>ROUND(C435*H435,2)</f>
        <v>0</v>
      </c>
    </row>
    <row r="436" spans="2:11" s="153" customFormat="1">
      <c r="B436" s="170"/>
      <c r="C436" s="171"/>
      <c r="D436" s="157" t="s">
        <v>191</v>
      </c>
      <c r="E436" s="171"/>
      <c r="F436" s="185">
        <f>E434</f>
        <v>1000</v>
      </c>
      <c r="G436" s="171" t="str">
        <f>F434</f>
        <v>Nos</v>
      </c>
      <c r="H436" s="170"/>
      <c r="I436" s="170"/>
      <c r="J436" s="169" t="s">
        <v>596</v>
      </c>
      <c r="K436" s="181">
        <f>SUM(K434:K435)</f>
        <v>92.65</v>
      </c>
    </row>
    <row r="438" spans="2:11" s="152" customFormat="1" ht="12.3">
      <c r="B438" s="155">
        <v>4</v>
      </c>
      <c r="C438" s="168" t="s">
        <v>194</v>
      </c>
      <c r="D438" s="168"/>
      <c r="E438" s="168"/>
      <c r="F438" s="168"/>
      <c r="G438" s="168"/>
      <c r="H438" s="155"/>
      <c r="I438" s="155"/>
      <c r="J438" s="169"/>
      <c r="K438" s="169"/>
    </row>
    <row r="439" spans="2:11" s="153" customFormat="1" ht="12.3">
      <c r="B439" s="170"/>
      <c r="C439" s="171" t="s">
        <v>543</v>
      </c>
      <c r="D439" s="170" t="s">
        <v>544</v>
      </c>
      <c r="E439" s="182">
        <v>3000</v>
      </c>
      <c r="F439" s="173" t="s">
        <v>327</v>
      </c>
      <c r="G439" s="171"/>
      <c r="H439" s="155" t="s">
        <v>92</v>
      </c>
      <c r="I439" s="155" t="s">
        <v>528</v>
      </c>
      <c r="J439" s="174"/>
      <c r="K439" s="169" t="s">
        <v>151</v>
      </c>
    </row>
    <row r="440" spans="2:11" ht="27.75" customHeight="1">
      <c r="C440" s="175">
        <v>0.34</v>
      </c>
      <c r="D440" s="1603" t="s">
        <v>62</v>
      </c>
      <c r="E440" s="1603"/>
      <c r="F440" s="1603"/>
      <c r="G440" s="1603"/>
      <c r="H440" s="176">
        <f>$F$6</f>
        <v>428.6</v>
      </c>
      <c r="I440" s="156" t="str">
        <f>$K$6</f>
        <v>Hour</v>
      </c>
      <c r="J440" s="159" t="s">
        <v>596</v>
      </c>
      <c r="K440" s="176">
        <f>ROUND(C440*H440,2)</f>
        <v>145.72</v>
      </c>
    </row>
    <row r="441" spans="2:11" ht="27" customHeight="1">
      <c r="C441" s="177">
        <f>C440</f>
        <v>0.34</v>
      </c>
      <c r="D441" s="1603" t="s">
        <v>63</v>
      </c>
      <c r="E441" s="1603"/>
      <c r="F441" s="1603"/>
      <c r="G441" s="1603"/>
      <c r="H441" s="176">
        <f>$G$6</f>
        <v>352.5</v>
      </c>
      <c r="I441" s="156" t="str">
        <f>$K$6</f>
        <v>Hour</v>
      </c>
      <c r="J441" s="159" t="s">
        <v>596</v>
      </c>
      <c r="K441" s="176">
        <f>ROUND(C441*H441,2)</f>
        <v>119.85</v>
      </c>
    </row>
    <row r="442" spans="2:11" ht="27" customHeight="1">
      <c r="C442" s="177">
        <f>C440</f>
        <v>0.34</v>
      </c>
      <c r="D442" s="1603" t="s">
        <v>64</v>
      </c>
      <c r="E442" s="1603"/>
      <c r="F442" s="1603"/>
      <c r="G442" s="1603"/>
      <c r="H442" s="176">
        <f>$H$6</f>
        <v>211.6</v>
      </c>
      <c r="I442" s="156" t="str">
        <f>$K$6</f>
        <v>Hour</v>
      </c>
      <c r="J442" s="159" t="s">
        <v>596</v>
      </c>
      <c r="K442" s="176">
        <f>ROUND(C442*H442,2)</f>
        <v>71.94</v>
      </c>
    </row>
    <row r="443" spans="2:11">
      <c r="C443" s="177">
        <f>MAX($K$9,$K$10,$K$11)</f>
        <v>0</v>
      </c>
      <c r="D443" s="1603" t="str">
        <f>CONCATENATE("add area allowance at ",$K$12*100, "% on Rs.",)</f>
        <v>add area allowance at 0% on Rs.</v>
      </c>
      <c r="E443" s="1603"/>
      <c r="F443" s="1603"/>
      <c r="G443" s="1603"/>
      <c r="H443" s="176">
        <f>K442</f>
        <v>71.94</v>
      </c>
      <c r="J443" s="159" t="s">
        <v>596</v>
      </c>
      <c r="K443" s="176">
        <f>ROUND(C443*H443,2)</f>
        <v>0</v>
      </c>
    </row>
    <row r="444" spans="2:11">
      <c r="D444" s="157" t="s">
        <v>190</v>
      </c>
      <c r="E444" s="183">
        <f>E439</f>
        <v>3000</v>
      </c>
      <c r="F444" s="157" t="str">
        <f>F439</f>
        <v>Nos</v>
      </c>
      <c r="J444" s="159" t="s">
        <v>596</v>
      </c>
      <c r="K444" s="176">
        <f>SUM(K440:K443)</f>
        <v>337.51</v>
      </c>
    </row>
    <row r="445" spans="2:11">
      <c r="D445" s="157" t="s">
        <v>190</v>
      </c>
      <c r="E445" s="184">
        <v>1000</v>
      </c>
      <c r="F445" s="179" t="str">
        <f>F439</f>
        <v>Nos</v>
      </c>
      <c r="J445" s="159" t="s">
        <v>596</v>
      </c>
      <c r="K445" s="176">
        <f>ROUND(K444*1000/E439,2)</f>
        <v>112.5</v>
      </c>
    </row>
    <row r="446" spans="2:11" ht="24.75" customHeight="1">
      <c r="C446" s="177">
        <f>$K$13</f>
        <v>0</v>
      </c>
      <c r="D446" s="1603" t="str">
        <f>CONCATENATE("add overheads and contractors profit at ",$K$13*100, "% on Rs.",)</f>
        <v>add overheads and contractors profit at 0% on Rs.</v>
      </c>
      <c r="E446" s="1603"/>
      <c r="F446" s="1603"/>
      <c r="G446" s="1603"/>
      <c r="H446" s="176">
        <f>K445</f>
        <v>112.5</v>
      </c>
      <c r="J446" s="159" t="s">
        <v>596</v>
      </c>
      <c r="K446" s="176">
        <f>ROUND(C446*H446,2)</f>
        <v>0</v>
      </c>
    </row>
    <row r="447" spans="2:11" s="153" customFormat="1">
      <c r="B447" s="170"/>
      <c r="C447" s="171"/>
      <c r="D447" s="157" t="s">
        <v>191</v>
      </c>
      <c r="E447" s="171"/>
      <c r="F447" s="185">
        <f>E445</f>
        <v>1000</v>
      </c>
      <c r="G447" s="171" t="str">
        <f>F445</f>
        <v>Nos</v>
      </c>
      <c r="H447" s="170"/>
      <c r="I447" s="170"/>
      <c r="J447" s="169" t="s">
        <v>596</v>
      </c>
      <c r="K447" s="181">
        <f>SUM(K445:K446)</f>
        <v>112.5</v>
      </c>
    </row>
    <row r="449" spans="2:11" s="152" customFormat="1" ht="12.3">
      <c r="B449" s="155">
        <v>5</v>
      </c>
      <c r="C449" s="168" t="s">
        <v>195</v>
      </c>
      <c r="D449" s="168"/>
      <c r="E449" s="168"/>
      <c r="F449" s="168"/>
      <c r="G449" s="168"/>
      <c r="H449" s="155"/>
      <c r="I449" s="155"/>
      <c r="J449" s="169"/>
      <c r="K449" s="169"/>
    </row>
    <row r="450" spans="2:11" s="153" customFormat="1" ht="12.3">
      <c r="B450" s="170"/>
      <c r="C450" s="171" t="s">
        <v>543</v>
      </c>
      <c r="D450" s="170" t="s">
        <v>544</v>
      </c>
      <c r="E450" s="182">
        <v>3000</v>
      </c>
      <c r="F450" s="173" t="s">
        <v>327</v>
      </c>
      <c r="G450" s="171"/>
      <c r="H450" s="155" t="s">
        <v>92</v>
      </c>
      <c r="I450" s="155" t="s">
        <v>528</v>
      </c>
      <c r="J450" s="174"/>
      <c r="K450" s="169" t="s">
        <v>151</v>
      </c>
    </row>
    <row r="451" spans="2:11" ht="27.75" customHeight="1">
      <c r="C451" s="175">
        <v>0.4</v>
      </c>
      <c r="D451" s="1603" t="s">
        <v>62</v>
      </c>
      <c r="E451" s="1603"/>
      <c r="F451" s="1603"/>
      <c r="G451" s="1603"/>
      <c r="H451" s="176">
        <f>$F$6</f>
        <v>428.6</v>
      </c>
      <c r="I451" s="156" t="str">
        <f>$K$6</f>
        <v>Hour</v>
      </c>
      <c r="J451" s="159" t="s">
        <v>596</v>
      </c>
      <c r="K451" s="176">
        <f>ROUND(C451*H451,2)</f>
        <v>171.44</v>
      </c>
    </row>
    <row r="452" spans="2:11" ht="27" customHeight="1">
      <c r="C452" s="177">
        <f>C451</f>
        <v>0.4</v>
      </c>
      <c r="D452" s="1603" t="s">
        <v>63</v>
      </c>
      <c r="E452" s="1603"/>
      <c r="F452" s="1603"/>
      <c r="G452" s="1603"/>
      <c r="H452" s="176">
        <f>$G$6</f>
        <v>352.5</v>
      </c>
      <c r="I452" s="156" t="str">
        <f>$K$6</f>
        <v>Hour</v>
      </c>
      <c r="J452" s="159" t="s">
        <v>596</v>
      </c>
      <c r="K452" s="176">
        <f>ROUND(C452*H452,2)</f>
        <v>141</v>
      </c>
    </row>
    <row r="453" spans="2:11" ht="27" customHeight="1">
      <c r="C453" s="177">
        <f>C451</f>
        <v>0.4</v>
      </c>
      <c r="D453" s="1603" t="s">
        <v>64</v>
      </c>
      <c r="E453" s="1603"/>
      <c r="F453" s="1603"/>
      <c r="G453" s="1603"/>
      <c r="H453" s="176">
        <f>$H$6</f>
        <v>211.6</v>
      </c>
      <c r="I453" s="156" t="str">
        <f>$K$6</f>
        <v>Hour</v>
      </c>
      <c r="J453" s="159" t="s">
        <v>596</v>
      </c>
      <c r="K453" s="176">
        <f>ROUND(C453*H453,2)</f>
        <v>84.64</v>
      </c>
    </row>
    <row r="454" spans="2:11">
      <c r="C454" s="177">
        <f>MAX($K$9,$K$10,$K$11)</f>
        <v>0</v>
      </c>
      <c r="D454" s="1603" t="str">
        <f>CONCATENATE("add area allowance at ",$K$12*100, "% on Rs.",)</f>
        <v>add area allowance at 0% on Rs.</v>
      </c>
      <c r="E454" s="1603"/>
      <c r="F454" s="1603"/>
      <c r="G454" s="1603"/>
      <c r="H454" s="176">
        <f>K453</f>
        <v>84.64</v>
      </c>
      <c r="J454" s="159" t="s">
        <v>596</v>
      </c>
      <c r="K454" s="176">
        <f>ROUND(C454*H454,2)</f>
        <v>0</v>
      </c>
    </row>
    <row r="455" spans="2:11">
      <c r="D455" s="157" t="s">
        <v>190</v>
      </c>
      <c r="E455" s="183">
        <f>E450</f>
        <v>3000</v>
      </c>
      <c r="F455" s="157" t="str">
        <f>F450</f>
        <v>Nos</v>
      </c>
      <c r="J455" s="159" t="s">
        <v>596</v>
      </c>
      <c r="K455" s="176">
        <f>SUM(K451:K454)</f>
        <v>397.08</v>
      </c>
    </row>
    <row r="456" spans="2:11">
      <c r="D456" s="157" t="s">
        <v>190</v>
      </c>
      <c r="E456" s="184">
        <v>1000</v>
      </c>
      <c r="F456" s="179" t="str">
        <f>F450</f>
        <v>Nos</v>
      </c>
      <c r="J456" s="159" t="s">
        <v>596</v>
      </c>
      <c r="K456" s="176">
        <f>ROUND(K455*1000/E450,2)</f>
        <v>132.36000000000001</v>
      </c>
    </row>
    <row r="457" spans="2:11" ht="24.75" customHeight="1">
      <c r="C457" s="177">
        <f>$K$13</f>
        <v>0</v>
      </c>
      <c r="D457" s="1603" t="str">
        <f>CONCATENATE("add overheads and contractors profit at ",$K$13*100, "% on Rs.",)</f>
        <v>add overheads and contractors profit at 0% on Rs.</v>
      </c>
      <c r="E457" s="1603"/>
      <c r="F457" s="1603"/>
      <c r="G457" s="1603"/>
      <c r="H457" s="176">
        <f>K456</f>
        <v>132.36000000000001</v>
      </c>
      <c r="J457" s="159" t="s">
        <v>596</v>
      </c>
      <c r="K457" s="176">
        <f>ROUND(C457*H457,2)</f>
        <v>0</v>
      </c>
    </row>
    <row r="458" spans="2:11" s="153" customFormat="1">
      <c r="B458" s="170"/>
      <c r="C458" s="171"/>
      <c r="D458" s="157" t="s">
        <v>191</v>
      </c>
      <c r="E458" s="171"/>
      <c r="F458" s="185">
        <f>E456</f>
        <v>1000</v>
      </c>
      <c r="G458" s="171" t="str">
        <f>F456</f>
        <v>Nos</v>
      </c>
      <c r="H458" s="170"/>
      <c r="I458" s="170"/>
      <c r="J458" s="169" t="s">
        <v>596</v>
      </c>
      <c r="K458" s="181">
        <f>SUM(K456:K457)</f>
        <v>132.36000000000001</v>
      </c>
    </row>
    <row r="460" spans="2:11" s="152" customFormat="1" ht="12.3">
      <c r="B460" s="155">
        <v>6</v>
      </c>
      <c r="C460" s="168" t="s">
        <v>65</v>
      </c>
      <c r="D460" s="168"/>
      <c r="E460" s="168"/>
      <c r="F460" s="168"/>
      <c r="G460" s="168"/>
      <c r="H460" s="155"/>
      <c r="I460" s="155"/>
      <c r="J460" s="169"/>
      <c r="K460" s="169"/>
    </row>
    <row r="461" spans="2:11" s="153" customFormat="1" ht="12.3">
      <c r="B461" s="170"/>
      <c r="C461" s="171" t="s">
        <v>543</v>
      </c>
      <c r="D461" s="170" t="s">
        <v>544</v>
      </c>
      <c r="E461" s="182">
        <v>3000</v>
      </c>
      <c r="F461" s="173" t="s">
        <v>327</v>
      </c>
      <c r="G461" s="171"/>
      <c r="H461" s="155" t="s">
        <v>92</v>
      </c>
      <c r="I461" s="155" t="s">
        <v>528</v>
      </c>
      <c r="J461" s="174"/>
      <c r="K461" s="169" t="s">
        <v>151</v>
      </c>
    </row>
    <row r="462" spans="2:11" ht="27.75" customHeight="1">
      <c r="C462" s="175">
        <v>0.06</v>
      </c>
      <c r="D462" s="1603" t="s">
        <v>62</v>
      </c>
      <c r="E462" s="1603"/>
      <c r="F462" s="1603"/>
      <c r="G462" s="1603"/>
      <c r="H462" s="176">
        <f>$F$6</f>
        <v>428.6</v>
      </c>
      <c r="I462" s="156" t="str">
        <f>$K$6</f>
        <v>Hour</v>
      </c>
      <c r="J462" s="159" t="s">
        <v>596</v>
      </c>
      <c r="K462" s="176">
        <f>ROUND(C462*H462,2)</f>
        <v>25.72</v>
      </c>
    </row>
    <row r="463" spans="2:11" ht="27" customHeight="1">
      <c r="C463" s="177">
        <f>C462</f>
        <v>0.06</v>
      </c>
      <c r="D463" s="1603" t="s">
        <v>63</v>
      </c>
      <c r="E463" s="1603"/>
      <c r="F463" s="1603"/>
      <c r="G463" s="1603"/>
      <c r="H463" s="176">
        <f>$G$6</f>
        <v>352.5</v>
      </c>
      <c r="I463" s="156" t="str">
        <f>$K$6</f>
        <v>Hour</v>
      </c>
      <c r="J463" s="159" t="s">
        <v>596</v>
      </c>
      <c r="K463" s="176">
        <f>ROUND(C463*H463,2)</f>
        <v>21.15</v>
      </c>
    </row>
    <row r="464" spans="2:11" ht="27" customHeight="1">
      <c r="C464" s="177">
        <f>C462</f>
        <v>0.06</v>
      </c>
      <c r="D464" s="1603" t="s">
        <v>64</v>
      </c>
      <c r="E464" s="1603"/>
      <c r="F464" s="1603"/>
      <c r="G464" s="1603"/>
      <c r="H464" s="176">
        <f>$H$6</f>
        <v>211.6</v>
      </c>
      <c r="I464" s="156" t="str">
        <f>$K$6</f>
        <v>Hour</v>
      </c>
      <c r="J464" s="159" t="s">
        <v>596</v>
      </c>
      <c r="K464" s="176">
        <f>ROUND(C464*H464,2)</f>
        <v>12.7</v>
      </c>
    </row>
    <row r="465" spans="2:11">
      <c r="C465" s="177">
        <f>MAX($K$9,$K$10,$K$11)</f>
        <v>0</v>
      </c>
      <c r="D465" s="1603" t="str">
        <f>CONCATENATE("add area allowance at ",$K$12*100, "% on Rs.",)</f>
        <v>add area allowance at 0% on Rs.</v>
      </c>
      <c r="E465" s="1603"/>
      <c r="F465" s="1603"/>
      <c r="G465" s="1603"/>
      <c r="H465" s="176">
        <f>K464</f>
        <v>12.7</v>
      </c>
      <c r="J465" s="159" t="s">
        <v>596</v>
      </c>
      <c r="K465" s="176">
        <f>ROUND(C465*H465,2)</f>
        <v>0</v>
      </c>
    </row>
    <row r="466" spans="2:11">
      <c r="D466" s="157" t="s">
        <v>190</v>
      </c>
      <c r="E466" s="183">
        <f>E461</f>
        <v>3000</v>
      </c>
      <c r="F466" s="157" t="str">
        <f>F461</f>
        <v>Nos</v>
      </c>
      <c r="J466" s="159" t="s">
        <v>596</v>
      </c>
      <c r="K466" s="176">
        <f>SUM(K462:K465)</f>
        <v>59.569999999999993</v>
      </c>
    </row>
    <row r="467" spans="2:11">
      <c r="D467" s="157" t="s">
        <v>190</v>
      </c>
      <c r="E467" s="184">
        <v>1000</v>
      </c>
      <c r="F467" s="179" t="str">
        <f>F461</f>
        <v>Nos</v>
      </c>
      <c r="J467" s="159" t="s">
        <v>596</v>
      </c>
      <c r="K467" s="176">
        <f>ROUND(K466*1000/E461,2)</f>
        <v>19.86</v>
      </c>
    </row>
    <row r="468" spans="2:11" ht="24.75" customHeight="1">
      <c r="C468" s="177">
        <f>$K$13</f>
        <v>0</v>
      </c>
      <c r="D468" s="1603" t="str">
        <f>CONCATENATE("add overheads and contractors profit at ",$K$13*100, "% on Rs.",)</f>
        <v>add overheads and contractors profit at 0% on Rs.</v>
      </c>
      <c r="E468" s="1603"/>
      <c r="F468" s="1603"/>
      <c r="G468" s="1603"/>
      <c r="H468" s="176">
        <f>K467</f>
        <v>19.86</v>
      </c>
      <c r="J468" s="159" t="s">
        <v>596</v>
      </c>
      <c r="K468" s="176">
        <f>ROUND(C468*H468,2)</f>
        <v>0</v>
      </c>
    </row>
    <row r="469" spans="2:11" s="153" customFormat="1">
      <c r="B469" s="170"/>
      <c r="C469" s="171"/>
      <c r="D469" s="157" t="s">
        <v>191</v>
      </c>
      <c r="E469" s="171"/>
      <c r="F469" s="185">
        <f>E467</f>
        <v>1000</v>
      </c>
      <c r="G469" s="171" t="str">
        <f>F467</f>
        <v>Nos</v>
      </c>
      <c r="H469" s="170"/>
      <c r="I469" s="170"/>
      <c r="J469" s="169" t="s">
        <v>596</v>
      </c>
      <c r="K469" s="181">
        <f>SUM(K467:K468)</f>
        <v>19.86</v>
      </c>
    </row>
    <row r="471" spans="2:11" s="152" customFormat="1" ht="12.3">
      <c r="B471" s="155">
        <v>7</v>
      </c>
      <c r="C471" s="168" t="s">
        <v>80</v>
      </c>
      <c r="D471" s="168"/>
      <c r="E471" s="168"/>
      <c r="F471" s="168"/>
      <c r="G471" s="168"/>
      <c r="H471" s="155"/>
      <c r="I471" s="155"/>
      <c r="J471" s="169"/>
      <c r="K471" s="169"/>
    </row>
    <row r="472" spans="2:11" s="153" customFormat="1" ht="12.3">
      <c r="B472" s="170"/>
      <c r="C472" s="171" t="s">
        <v>543</v>
      </c>
      <c r="D472" s="170" t="s">
        <v>544</v>
      </c>
      <c r="E472" s="182">
        <v>3000</v>
      </c>
      <c r="F472" s="173" t="s">
        <v>327</v>
      </c>
      <c r="G472" s="171"/>
      <c r="H472" s="155" t="s">
        <v>92</v>
      </c>
      <c r="I472" s="155" t="s">
        <v>528</v>
      </c>
      <c r="J472" s="174"/>
      <c r="K472" s="169" t="s">
        <v>151</v>
      </c>
    </row>
    <row r="473" spans="2:11" ht="27.75" customHeight="1">
      <c r="C473" s="175">
        <v>0.05</v>
      </c>
      <c r="D473" s="1603" t="s">
        <v>62</v>
      </c>
      <c r="E473" s="1603"/>
      <c r="F473" s="1603"/>
      <c r="G473" s="1603"/>
      <c r="H473" s="176">
        <f>$F$6</f>
        <v>428.6</v>
      </c>
      <c r="I473" s="156" t="str">
        <f>$K$6</f>
        <v>Hour</v>
      </c>
      <c r="J473" s="159" t="s">
        <v>596</v>
      </c>
      <c r="K473" s="176">
        <f>ROUND(C473*H473,2)</f>
        <v>21.43</v>
      </c>
    </row>
    <row r="474" spans="2:11" ht="27" customHeight="1">
      <c r="C474" s="177">
        <f>C473</f>
        <v>0.05</v>
      </c>
      <c r="D474" s="1603" t="s">
        <v>63</v>
      </c>
      <c r="E474" s="1603"/>
      <c r="F474" s="1603"/>
      <c r="G474" s="1603"/>
      <c r="H474" s="176">
        <f>$G$6</f>
        <v>352.5</v>
      </c>
      <c r="I474" s="156" t="str">
        <f>$K$6</f>
        <v>Hour</v>
      </c>
      <c r="J474" s="159" t="s">
        <v>596</v>
      </c>
      <c r="K474" s="176">
        <f>ROUND(C474*H474,2)</f>
        <v>17.63</v>
      </c>
    </row>
    <row r="475" spans="2:11" ht="27" customHeight="1">
      <c r="C475" s="177">
        <f>C473</f>
        <v>0.05</v>
      </c>
      <c r="D475" s="1603" t="s">
        <v>64</v>
      </c>
      <c r="E475" s="1603"/>
      <c r="F475" s="1603"/>
      <c r="G475" s="1603"/>
      <c r="H475" s="176">
        <f>$H$6</f>
        <v>211.6</v>
      </c>
      <c r="I475" s="156" t="str">
        <f>$K$6</f>
        <v>Hour</v>
      </c>
      <c r="J475" s="159" t="s">
        <v>596</v>
      </c>
      <c r="K475" s="176">
        <f>ROUND(C475*H475,2)</f>
        <v>10.58</v>
      </c>
    </row>
    <row r="476" spans="2:11">
      <c r="C476" s="177">
        <f>MAX($K$9,$K$10,$K$11)</f>
        <v>0</v>
      </c>
      <c r="D476" s="1603" t="str">
        <f>CONCATENATE("add area allowance at ",$K$12*100, "% on Rs.",)</f>
        <v>add area allowance at 0% on Rs.</v>
      </c>
      <c r="E476" s="1603"/>
      <c r="F476" s="1603"/>
      <c r="G476" s="1603"/>
      <c r="H476" s="176">
        <f>K475</f>
        <v>10.58</v>
      </c>
      <c r="J476" s="159" t="s">
        <v>596</v>
      </c>
      <c r="K476" s="176">
        <f>ROUND(C476*H476,2)</f>
        <v>0</v>
      </c>
    </row>
    <row r="477" spans="2:11">
      <c r="D477" s="157" t="s">
        <v>190</v>
      </c>
      <c r="E477" s="183">
        <f>E472</f>
        <v>3000</v>
      </c>
      <c r="F477" s="157" t="str">
        <f>F472</f>
        <v>Nos</v>
      </c>
      <c r="J477" s="159" t="s">
        <v>596</v>
      </c>
      <c r="K477" s="176">
        <f>SUM(K473:K476)</f>
        <v>49.64</v>
      </c>
    </row>
    <row r="478" spans="2:11">
      <c r="D478" s="157" t="s">
        <v>190</v>
      </c>
      <c r="E478" s="184">
        <v>1000</v>
      </c>
      <c r="F478" s="179" t="str">
        <f>F472</f>
        <v>Nos</v>
      </c>
      <c r="J478" s="159" t="s">
        <v>596</v>
      </c>
      <c r="K478" s="176">
        <f>ROUND(K477*1000/E472,2)</f>
        <v>16.55</v>
      </c>
    </row>
    <row r="479" spans="2:11" ht="24.75" customHeight="1">
      <c r="C479" s="177">
        <f>$K$13</f>
        <v>0</v>
      </c>
      <c r="D479" s="1603" t="str">
        <f>CONCATENATE("add overheads and contractors profit at ",$K$13*100, "% on Rs.",)</f>
        <v>add overheads and contractors profit at 0% on Rs.</v>
      </c>
      <c r="E479" s="1603"/>
      <c r="F479" s="1603"/>
      <c r="G479" s="1603"/>
      <c r="H479" s="176">
        <f>K478</f>
        <v>16.55</v>
      </c>
      <c r="J479" s="159" t="s">
        <v>596</v>
      </c>
      <c r="K479" s="176">
        <f>ROUND(C479*H479,2)</f>
        <v>0</v>
      </c>
    </row>
    <row r="480" spans="2:11" s="153" customFormat="1">
      <c r="B480" s="170"/>
      <c r="C480" s="171"/>
      <c r="D480" s="157" t="s">
        <v>191</v>
      </c>
      <c r="E480" s="171"/>
      <c r="F480" s="185">
        <f>E478</f>
        <v>1000</v>
      </c>
      <c r="G480" s="171" t="str">
        <f>F478</f>
        <v>Nos</v>
      </c>
      <c r="H480" s="170"/>
      <c r="I480" s="170"/>
      <c r="J480" s="169" t="s">
        <v>596</v>
      </c>
      <c r="K480" s="181">
        <f>SUM(K478:K479)</f>
        <v>16.55</v>
      </c>
    </row>
    <row r="482" spans="2:11" ht="30.75" customHeight="1">
      <c r="B482" s="1606" t="s">
        <v>456</v>
      </c>
      <c r="C482" s="1606"/>
      <c r="D482" s="1606"/>
      <c r="E482" s="1606"/>
      <c r="F482" s="1606"/>
      <c r="G482" s="1606"/>
      <c r="H482" s="1606"/>
      <c r="I482" s="1606"/>
      <c r="J482" s="1606"/>
      <c r="K482" s="1606"/>
    </row>
    <row r="483" spans="2:11" s="152" customFormat="1" ht="14.25" customHeight="1">
      <c r="B483" s="155" t="s">
        <v>437</v>
      </c>
      <c r="C483" s="1605" t="s">
        <v>574</v>
      </c>
      <c r="D483" s="1605"/>
      <c r="E483" s="1605"/>
      <c r="F483" s="1605"/>
      <c r="G483" s="1605"/>
      <c r="H483" s="1605"/>
      <c r="I483" s="1605"/>
      <c r="J483" s="1605"/>
      <c r="K483" s="1605"/>
    </row>
    <row r="484" spans="2:11" s="152" customFormat="1" ht="12.3">
      <c r="B484" s="155"/>
      <c r="C484" s="168" t="s">
        <v>34</v>
      </c>
      <c r="D484" s="168"/>
      <c r="E484" s="168"/>
      <c r="F484" s="168"/>
      <c r="G484" s="168"/>
      <c r="H484" s="155"/>
      <c r="I484" s="155"/>
      <c r="J484" s="169"/>
      <c r="K484" s="169"/>
    </row>
    <row r="485" spans="2:11" s="153" customFormat="1" ht="12.3">
      <c r="B485" s="170"/>
      <c r="C485" s="171" t="s">
        <v>543</v>
      </c>
      <c r="D485" s="170" t="s">
        <v>544</v>
      </c>
      <c r="E485" s="172">
        <v>5.5</v>
      </c>
      <c r="F485" s="173" t="s">
        <v>465</v>
      </c>
      <c r="G485" s="171"/>
      <c r="H485" s="155" t="s">
        <v>92</v>
      </c>
      <c r="I485" s="155" t="s">
        <v>528</v>
      </c>
      <c r="J485" s="174"/>
      <c r="K485" s="169" t="s">
        <v>151</v>
      </c>
    </row>
    <row r="486" spans="2:11" s="153" customFormat="1" ht="12.3">
      <c r="B486" s="170"/>
      <c r="C486" s="171"/>
      <c r="D486" s="168" t="s">
        <v>35</v>
      </c>
      <c r="E486" s="172"/>
      <c r="F486" s="173"/>
      <c r="G486" s="171"/>
      <c r="H486" s="155"/>
      <c r="I486" s="155"/>
      <c r="J486" s="174"/>
      <c r="K486" s="169"/>
    </row>
    <row r="487" spans="2:11">
      <c r="C487" s="186">
        <v>0.01</v>
      </c>
      <c r="D487" s="1603" t="s">
        <v>36</v>
      </c>
      <c r="E487" s="1603"/>
      <c r="F487" s="1603"/>
      <c r="G487" s="1603"/>
      <c r="H487" s="176" t="e">
        <f>#REF!</f>
        <v>#REF!</v>
      </c>
      <c r="I487" s="187" t="s">
        <v>594</v>
      </c>
      <c r="J487" s="159" t="s">
        <v>596</v>
      </c>
      <c r="K487" s="176" t="e">
        <f>ROUND(C487*H487,2)</f>
        <v>#REF!</v>
      </c>
    </row>
    <row r="488" spans="2:11">
      <c r="C488" s="177">
        <v>0.25</v>
      </c>
      <c r="D488" s="1603" t="s">
        <v>37</v>
      </c>
      <c r="E488" s="1603"/>
      <c r="F488" s="1603"/>
      <c r="G488" s="1603"/>
      <c r="H488" s="176" t="e">
        <f>#REF!</f>
        <v>#REF!</v>
      </c>
      <c r="I488" s="187" t="s">
        <v>594</v>
      </c>
      <c r="J488" s="159" t="s">
        <v>596</v>
      </c>
      <c r="K488" s="176" t="e">
        <f>ROUND(C488*H488,2)</f>
        <v>#REF!</v>
      </c>
    </row>
    <row r="489" spans="2:11">
      <c r="C489" s="177"/>
      <c r="D489" s="160"/>
      <c r="E489" s="160"/>
      <c r="F489" s="160"/>
      <c r="G489" s="160"/>
      <c r="H489" s="176"/>
      <c r="J489" s="159" t="s">
        <v>596</v>
      </c>
      <c r="K489" s="176" t="e">
        <f>SUM(K487:K488)</f>
        <v>#REF!</v>
      </c>
    </row>
    <row r="490" spans="2:11">
      <c r="C490" s="177">
        <f>MAX($K$9,$K$10,$K$11)</f>
        <v>0</v>
      </c>
      <c r="D490" s="1603" t="str">
        <f>CONCATENATE("add area allowance at ",$K$12*100, "% on Rs.",)</f>
        <v>add area allowance at 0% on Rs.</v>
      </c>
      <c r="E490" s="1603"/>
      <c r="F490" s="1603"/>
      <c r="G490" s="1603"/>
      <c r="H490" s="176" t="e">
        <f>K489</f>
        <v>#REF!</v>
      </c>
      <c r="J490" s="159" t="s">
        <v>596</v>
      </c>
      <c r="K490" s="176" t="e">
        <f>ROUND(C490*H490,2)</f>
        <v>#REF!</v>
      </c>
    </row>
    <row r="491" spans="2:11" ht="12.75" customHeight="1">
      <c r="C491" s="177"/>
      <c r="D491" s="157" t="s">
        <v>38</v>
      </c>
      <c r="E491" s="160"/>
      <c r="F491" s="160"/>
      <c r="G491" s="160"/>
      <c r="H491" s="176"/>
      <c r="J491" s="159" t="s">
        <v>596</v>
      </c>
      <c r="K491" s="176" t="e">
        <f>SUM(K489:K490)</f>
        <v>#REF!</v>
      </c>
    </row>
    <row r="492" spans="2:11">
      <c r="D492" s="157" t="s">
        <v>190</v>
      </c>
      <c r="E492" s="188">
        <f>E485</f>
        <v>5.5</v>
      </c>
      <c r="F492" s="157" t="str">
        <f>F485</f>
        <v>Cum</v>
      </c>
      <c r="G492" s="160"/>
      <c r="H492" s="176"/>
      <c r="I492" s="157"/>
      <c r="J492" s="159" t="s">
        <v>596</v>
      </c>
      <c r="K492" s="176" t="e">
        <f>K491</f>
        <v>#REF!</v>
      </c>
    </row>
    <row r="493" spans="2:11">
      <c r="D493" s="157" t="s">
        <v>190</v>
      </c>
      <c r="E493" s="178">
        <v>1</v>
      </c>
      <c r="F493" s="179" t="str">
        <f>F485</f>
        <v>Cum</v>
      </c>
      <c r="J493" s="159" t="s">
        <v>596</v>
      </c>
      <c r="K493" s="156" t="e">
        <f>ROUND(K492/E485,2)</f>
        <v>#REF!</v>
      </c>
    </row>
    <row r="494" spans="2:11" ht="24.75" customHeight="1">
      <c r="C494" s="177">
        <f>$K$13</f>
        <v>0</v>
      </c>
      <c r="D494" s="1603" t="str">
        <f>CONCATENATE("add overheads and contractors profit at ",$K$13*100, "% on Rs.",)</f>
        <v>add overheads and contractors profit at 0% on Rs.</v>
      </c>
      <c r="E494" s="1603"/>
      <c r="F494" s="1603"/>
      <c r="G494" s="1603"/>
      <c r="H494" s="176" t="e">
        <f>K493</f>
        <v>#REF!</v>
      </c>
      <c r="J494" s="159" t="s">
        <v>596</v>
      </c>
      <c r="K494" s="176" t="e">
        <f>ROUND(C494*H494,2)</f>
        <v>#REF!</v>
      </c>
    </row>
    <row r="495" spans="2:11" s="153" customFormat="1">
      <c r="B495" s="170"/>
      <c r="C495" s="171"/>
      <c r="D495" s="157" t="s">
        <v>191</v>
      </c>
      <c r="E495" s="171"/>
      <c r="F495" s="180">
        <f>E493</f>
        <v>1</v>
      </c>
      <c r="G495" s="171" t="str">
        <f>F493</f>
        <v>Cum</v>
      </c>
      <c r="H495" s="170"/>
      <c r="I495" s="170"/>
      <c r="J495" s="169" t="s">
        <v>596</v>
      </c>
      <c r="K495" s="181" t="e">
        <f>SUM(K493:K494)</f>
        <v>#REF!</v>
      </c>
    </row>
    <row r="496" spans="2:11" s="153" customFormat="1">
      <c r="B496" s="170"/>
      <c r="C496" s="171"/>
      <c r="D496" s="157"/>
      <c r="E496" s="171"/>
      <c r="F496" s="180"/>
      <c r="G496" s="171"/>
      <c r="H496" s="170"/>
      <c r="I496" s="170"/>
      <c r="J496" s="169"/>
      <c r="K496" s="181"/>
    </row>
    <row r="497" spans="2:11" s="152" customFormat="1" ht="12.3">
      <c r="B497" s="155"/>
      <c r="C497" s="168" t="s">
        <v>39</v>
      </c>
      <c r="D497" s="168"/>
      <c r="E497" s="168"/>
      <c r="F497" s="168"/>
      <c r="G497" s="168"/>
      <c r="H497" s="155"/>
      <c r="I497" s="155"/>
      <c r="J497" s="169"/>
      <c r="K497" s="169"/>
    </row>
    <row r="498" spans="2:11" s="153" customFormat="1" ht="12.3">
      <c r="B498" s="170"/>
      <c r="C498" s="171" t="s">
        <v>543</v>
      </c>
      <c r="D498" s="170" t="s">
        <v>544</v>
      </c>
      <c r="E498" s="172">
        <v>5.5</v>
      </c>
      <c r="F498" s="173" t="s">
        <v>465</v>
      </c>
      <c r="G498" s="171"/>
      <c r="H498" s="155" t="s">
        <v>92</v>
      </c>
      <c r="I498" s="155" t="s">
        <v>528</v>
      </c>
      <c r="J498" s="174"/>
      <c r="K498" s="169" t="s">
        <v>151</v>
      </c>
    </row>
    <row r="499" spans="2:11" s="153" customFormat="1" ht="12.3">
      <c r="B499" s="170"/>
      <c r="C499" s="171"/>
      <c r="D499" s="168" t="s">
        <v>35</v>
      </c>
      <c r="E499" s="172"/>
      <c r="F499" s="173"/>
      <c r="G499" s="171"/>
      <c r="H499" s="155"/>
      <c r="I499" s="155"/>
      <c r="J499" s="174"/>
      <c r="K499" s="169"/>
    </row>
    <row r="500" spans="2:11">
      <c r="C500" s="189">
        <v>5.0000000000000001E-3</v>
      </c>
      <c r="D500" s="1603" t="s">
        <v>36</v>
      </c>
      <c r="E500" s="1603"/>
      <c r="F500" s="1603"/>
      <c r="G500" s="1603"/>
      <c r="H500" s="176" t="e">
        <f>#REF!</f>
        <v>#REF!</v>
      </c>
      <c r="I500" s="187" t="s">
        <v>594</v>
      </c>
      <c r="J500" s="159" t="s">
        <v>596</v>
      </c>
      <c r="K500" s="176" t="e">
        <f>ROUND(C500*H500,2)</f>
        <v>#REF!</v>
      </c>
    </row>
    <row r="501" spans="2:11">
      <c r="C501" s="190">
        <v>0.125</v>
      </c>
      <c r="D501" s="1603" t="s">
        <v>37</v>
      </c>
      <c r="E501" s="1603"/>
      <c r="F501" s="1603"/>
      <c r="G501" s="1603"/>
      <c r="H501" s="176" t="e">
        <f>#REF!</f>
        <v>#REF!</v>
      </c>
      <c r="I501" s="187" t="s">
        <v>594</v>
      </c>
      <c r="J501" s="159" t="s">
        <v>596</v>
      </c>
      <c r="K501" s="176" t="e">
        <f>ROUND(C501*H501,2)</f>
        <v>#REF!</v>
      </c>
    </row>
    <row r="502" spans="2:11">
      <c r="C502" s="177"/>
      <c r="D502" s="160"/>
      <c r="E502" s="160"/>
      <c r="F502" s="160"/>
      <c r="G502" s="160"/>
      <c r="H502" s="176"/>
      <c r="J502" s="159" t="s">
        <v>596</v>
      </c>
      <c r="K502" s="176" t="e">
        <f>SUM(K500:K501)</f>
        <v>#REF!</v>
      </c>
    </row>
    <row r="503" spans="2:11">
      <c r="C503" s="177">
        <f>MAX($K$9,$K$10,$K$11)</f>
        <v>0</v>
      </c>
      <c r="D503" s="1603" t="str">
        <f>CONCATENATE("add area allowance at ",$K$12*100, "% on Rs.",)</f>
        <v>add area allowance at 0% on Rs.</v>
      </c>
      <c r="E503" s="1603"/>
      <c r="F503" s="1603"/>
      <c r="G503" s="1603"/>
      <c r="H503" s="176" t="e">
        <f>K502</f>
        <v>#REF!</v>
      </c>
      <c r="J503" s="159" t="s">
        <v>596</v>
      </c>
      <c r="K503" s="176" t="e">
        <f>ROUND(C503*H503,2)</f>
        <v>#REF!</v>
      </c>
    </row>
    <row r="504" spans="2:11" ht="12.75" customHeight="1">
      <c r="C504" s="177"/>
      <c r="D504" s="157" t="s">
        <v>38</v>
      </c>
      <c r="E504" s="160"/>
      <c r="F504" s="160"/>
      <c r="G504" s="160"/>
      <c r="H504" s="176"/>
      <c r="J504" s="159" t="s">
        <v>596</v>
      </c>
      <c r="K504" s="176" t="e">
        <f>SUM(K502:K503)</f>
        <v>#REF!</v>
      </c>
    </row>
    <row r="505" spans="2:11">
      <c r="D505" s="157" t="s">
        <v>190</v>
      </c>
      <c r="E505" s="188">
        <f>E498</f>
        <v>5.5</v>
      </c>
      <c r="F505" s="157" t="str">
        <f>F498</f>
        <v>Cum</v>
      </c>
      <c r="G505" s="160"/>
      <c r="H505" s="176"/>
      <c r="I505" s="157"/>
      <c r="J505" s="159" t="s">
        <v>596</v>
      </c>
      <c r="K505" s="176" t="e">
        <f>K504</f>
        <v>#REF!</v>
      </c>
    </row>
    <row r="506" spans="2:11">
      <c r="D506" s="157" t="s">
        <v>190</v>
      </c>
      <c r="E506" s="178">
        <v>1</v>
      </c>
      <c r="F506" s="179" t="str">
        <f>F498</f>
        <v>Cum</v>
      </c>
      <c r="J506" s="159" t="s">
        <v>596</v>
      </c>
      <c r="K506" s="156" t="e">
        <f>ROUND(K505/E498,2)</f>
        <v>#REF!</v>
      </c>
    </row>
    <row r="507" spans="2:11" ht="24.75" customHeight="1">
      <c r="C507" s="177">
        <f>$K$13</f>
        <v>0</v>
      </c>
      <c r="D507" s="1603" t="str">
        <f>CONCATENATE("add overheads and contractors profit at ",$K$13*100, "% on Rs.",)</f>
        <v>add overheads and contractors profit at 0% on Rs.</v>
      </c>
      <c r="E507" s="1603"/>
      <c r="F507" s="1603"/>
      <c r="G507" s="1603"/>
      <c r="H507" s="176" t="e">
        <f>K506</f>
        <v>#REF!</v>
      </c>
      <c r="J507" s="159" t="s">
        <v>596</v>
      </c>
      <c r="K507" s="176" t="e">
        <f>ROUND(C507*H507,2)</f>
        <v>#REF!</v>
      </c>
    </row>
    <row r="508" spans="2:11" s="153" customFormat="1">
      <c r="B508" s="170"/>
      <c r="C508" s="171"/>
      <c r="D508" s="157" t="s">
        <v>191</v>
      </c>
      <c r="E508" s="171"/>
      <c r="F508" s="180">
        <f>E506</f>
        <v>1</v>
      </c>
      <c r="G508" s="171" t="str">
        <f>F506</f>
        <v>Cum</v>
      </c>
      <c r="H508" s="170"/>
      <c r="I508" s="170"/>
      <c r="J508" s="169" t="s">
        <v>596</v>
      </c>
      <c r="K508" s="181" t="e">
        <f>SUM(K506:K507)</f>
        <v>#REF!</v>
      </c>
    </row>
    <row r="509" spans="2:11" s="153" customFormat="1">
      <c r="B509" s="170"/>
      <c r="C509" s="171"/>
      <c r="D509" s="157"/>
      <c r="E509" s="171"/>
      <c r="F509" s="180"/>
      <c r="G509" s="171"/>
      <c r="H509" s="170"/>
      <c r="I509" s="170"/>
      <c r="J509" s="169"/>
      <c r="K509" s="181"/>
    </row>
    <row r="510" spans="2:11" s="152" customFormat="1" ht="30" customHeight="1">
      <c r="B510" s="155" t="s">
        <v>111</v>
      </c>
      <c r="C510" s="1605" t="s">
        <v>575</v>
      </c>
      <c r="D510" s="1605"/>
      <c r="E510" s="1605"/>
      <c r="F510" s="1605"/>
      <c r="G510" s="1605"/>
      <c r="H510" s="1605"/>
      <c r="I510" s="1605"/>
      <c r="J510" s="1605"/>
      <c r="K510" s="1605"/>
    </row>
    <row r="511" spans="2:11" s="152" customFormat="1" ht="12.3">
      <c r="B511" s="155"/>
      <c r="C511" s="168" t="s">
        <v>34</v>
      </c>
      <c r="D511" s="168"/>
      <c r="E511" s="168"/>
      <c r="F511" s="168"/>
      <c r="G511" s="168"/>
      <c r="H511" s="155"/>
      <c r="I511" s="155"/>
      <c r="J511" s="169"/>
      <c r="K511" s="169"/>
    </row>
    <row r="512" spans="2:11" s="153" customFormat="1" ht="12.3">
      <c r="B512" s="170"/>
      <c r="C512" s="171" t="s">
        <v>543</v>
      </c>
      <c r="D512" s="170" t="s">
        <v>544</v>
      </c>
      <c r="E512" s="172">
        <v>5.5</v>
      </c>
      <c r="F512" s="173" t="s">
        <v>465</v>
      </c>
      <c r="G512" s="171"/>
      <c r="H512" s="155" t="s">
        <v>92</v>
      </c>
      <c r="I512" s="155" t="s">
        <v>528</v>
      </c>
      <c r="J512" s="174"/>
      <c r="K512" s="169" t="s">
        <v>151</v>
      </c>
    </row>
    <row r="513" spans="2:11" s="153" customFormat="1" ht="12.3">
      <c r="B513" s="170"/>
      <c r="C513" s="171"/>
      <c r="D513" s="168" t="s">
        <v>35</v>
      </c>
      <c r="E513" s="172"/>
      <c r="F513" s="173"/>
      <c r="G513" s="171"/>
      <c r="H513" s="155"/>
      <c r="I513" s="155"/>
      <c r="J513" s="174"/>
      <c r="K513" s="169"/>
    </row>
    <row r="514" spans="2:11">
      <c r="C514" s="186">
        <v>0.02</v>
      </c>
      <c r="D514" s="1603" t="s">
        <v>36</v>
      </c>
      <c r="E514" s="1603"/>
      <c r="F514" s="1603"/>
      <c r="G514" s="1603"/>
      <c r="H514" s="176" t="e">
        <f>#REF!</f>
        <v>#REF!</v>
      </c>
      <c r="I514" s="187" t="s">
        <v>594</v>
      </c>
      <c r="J514" s="159" t="s">
        <v>596</v>
      </c>
      <c r="K514" s="176" t="e">
        <f>ROUND(C514*H514,2)</f>
        <v>#REF!</v>
      </c>
    </row>
    <row r="515" spans="2:11">
      <c r="C515" s="177">
        <v>0.5</v>
      </c>
      <c r="D515" s="1603" t="s">
        <v>37</v>
      </c>
      <c r="E515" s="1603"/>
      <c r="F515" s="1603"/>
      <c r="G515" s="1603"/>
      <c r="H515" s="176" t="e">
        <f>#REF!</f>
        <v>#REF!</v>
      </c>
      <c r="I515" s="187" t="s">
        <v>594</v>
      </c>
      <c r="J515" s="159" t="s">
        <v>596</v>
      </c>
      <c r="K515" s="176" t="e">
        <f>ROUND(C515*H515,2)</f>
        <v>#REF!</v>
      </c>
    </row>
    <row r="516" spans="2:11">
      <c r="C516" s="177"/>
      <c r="D516" s="160"/>
      <c r="E516" s="160"/>
      <c r="F516" s="160"/>
      <c r="G516" s="160"/>
      <c r="H516" s="176"/>
      <c r="J516" s="159" t="s">
        <v>596</v>
      </c>
      <c r="K516" s="176" t="e">
        <f>SUM(K514:K515)</f>
        <v>#REF!</v>
      </c>
    </row>
    <row r="517" spans="2:11">
      <c r="C517" s="177">
        <f>MAX($K$9,$K$10,$K$11)</f>
        <v>0</v>
      </c>
      <c r="D517" s="1603" t="str">
        <f>CONCATENATE("add area allowance at ",$K$12*100, "% on Rs.",)</f>
        <v>add area allowance at 0% on Rs.</v>
      </c>
      <c r="E517" s="1603"/>
      <c r="F517" s="1603"/>
      <c r="G517" s="1603"/>
      <c r="H517" s="176" t="e">
        <f>K516</f>
        <v>#REF!</v>
      </c>
      <c r="J517" s="159" t="s">
        <v>596</v>
      </c>
      <c r="K517" s="176" t="e">
        <f>ROUND(C517*H517,2)</f>
        <v>#REF!</v>
      </c>
    </row>
    <row r="518" spans="2:11" ht="12.75" customHeight="1">
      <c r="C518" s="177"/>
      <c r="D518" s="157" t="s">
        <v>38</v>
      </c>
      <c r="E518" s="160"/>
      <c r="F518" s="160"/>
      <c r="G518" s="160"/>
      <c r="H518" s="176"/>
      <c r="J518" s="159" t="s">
        <v>596</v>
      </c>
      <c r="K518" s="176" t="e">
        <f>SUM(K516:K517)</f>
        <v>#REF!</v>
      </c>
    </row>
    <row r="519" spans="2:11">
      <c r="D519" s="157" t="s">
        <v>190</v>
      </c>
      <c r="E519" s="188">
        <f>E512</f>
        <v>5.5</v>
      </c>
      <c r="F519" s="157" t="str">
        <f>F512</f>
        <v>Cum</v>
      </c>
      <c r="G519" s="160"/>
      <c r="H519" s="176"/>
      <c r="I519" s="157"/>
      <c r="J519" s="159" t="s">
        <v>596</v>
      </c>
      <c r="K519" s="176" t="e">
        <f>K518</f>
        <v>#REF!</v>
      </c>
    </row>
    <row r="520" spans="2:11">
      <c r="D520" s="157" t="s">
        <v>190</v>
      </c>
      <c r="E520" s="178">
        <v>1</v>
      </c>
      <c r="F520" s="179" t="str">
        <f>F512</f>
        <v>Cum</v>
      </c>
      <c r="J520" s="159" t="s">
        <v>596</v>
      </c>
      <c r="K520" s="156" t="e">
        <f>ROUND(K519/E512,2)</f>
        <v>#REF!</v>
      </c>
    </row>
    <row r="521" spans="2:11" ht="24.75" customHeight="1">
      <c r="C521" s="177">
        <f>$K$13</f>
        <v>0</v>
      </c>
      <c r="D521" s="1603" t="str">
        <f>CONCATENATE("add overheads and contractors profit at ",$K$13*100, "% on Rs.",)</f>
        <v>add overheads and contractors profit at 0% on Rs.</v>
      </c>
      <c r="E521" s="1603"/>
      <c r="F521" s="1603"/>
      <c r="G521" s="1603"/>
      <c r="H521" s="176" t="e">
        <f>K520</f>
        <v>#REF!</v>
      </c>
      <c r="J521" s="159" t="s">
        <v>596</v>
      </c>
      <c r="K521" s="176" t="e">
        <f>ROUND(C521*H521,2)</f>
        <v>#REF!</v>
      </c>
    </row>
    <row r="522" spans="2:11" s="153" customFormat="1">
      <c r="B522" s="170"/>
      <c r="C522" s="171"/>
      <c r="D522" s="157" t="s">
        <v>191</v>
      </c>
      <c r="E522" s="171"/>
      <c r="F522" s="180">
        <f>E520</f>
        <v>1</v>
      </c>
      <c r="G522" s="171" t="str">
        <f>F520</f>
        <v>Cum</v>
      </c>
      <c r="H522" s="170"/>
      <c r="I522" s="170"/>
      <c r="J522" s="169" t="s">
        <v>596</v>
      </c>
      <c r="K522" s="181" t="e">
        <f>SUM(K520:K521)</f>
        <v>#REF!</v>
      </c>
    </row>
    <row r="524" spans="2:11" s="152" customFormat="1" ht="12.3">
      <c r="B524" s="155"/>
      <c r="C524" s="168" t="s">
        <v>39</v>
      </c>
      <c r="D524" s="168"/>
      <c r="E524" s="168"/>
      <c r="F524" s="168"/>
      <c r="G524" s="168"/>
      <c r="H524" s="155"/>
      <c r="I524" s="155"/>
      <c r="J524" s="169"/>
      <c r="K524" s="169"/>
    </row>
    <row r="525" spans="2:11" s="153" customFormat="1" ht="12.3">
      <c r="B525" s="170"/>
      <c r="C525" s="171" t="s">
        <v>543</v>
      </c>
      <c r="D525" s="170" t="s">
        <v>544</v>
      </c>
      <c r="E525" s="172">
        <v>5.5</v>
      </c>
      <c r="F525" s="173" t="s">
        <v>465</v>
      </c>
      <c r="G525" s="171"/>
      <c r="H525" s="155" t="s">
        <v>92</v>
      </c>
      <c r="I525" s="155" t="s">
        <v>528</v>
      </c>
      <c r="J525" s="174"/>
      <c r="K525" s="169" t="s">
        <v>151</v>
      </c>
    </row>
    <row r="526" spans="2:11" s="153" customFormat="1" ht="12.3">
      <c r="B526" s="170"/>
      <c r="C526" s="171"/>
      <c r="D526" s="168" t="s">
        <v>35</v>
      </c>
      <c r="E526" s="172"/>
      <c r="F526" s="173"/>
      <c r="G526" s="171"/>
      <c r="H526" s="155"/>
      <c r="I526" s="155"/>
      <c r="J526" s="174"/>
      <c r="K526" s="169"/>
    </row>
    <row r="527" spans="2:11">
      <c r="C527" s="186">
        <v>0.01</v>
      </c>
      <c r="D527" s="1603" t="s">
        <v>36</v>
      </c>
      <c r="E527" s="1603"/>
      <c r="F527" s="1603"/>
      <c r="G527" s="1603"/>
      <c r="H527" s="176" t="e">
        <f>#REF!</f>
        <v>#REF!</v>
      </c>
      <c r="I527" s="187" t="s">
        <v>594</v>
      </c>
      <c r="J527" s="159" t="s">
        <v>596</v>
      </c>
      <c r="K527" s="176" t="e">
        <f>ROUND(C527*H527,2)</f>
        <v>#REF!</v>
      </c>
    </row>
    <row r="528" spans="2:11">
      <c r="C528" s="177">
        <v>0.25</v>
      </c>
      <c r="D528" s="1603" t="s">
        <v>37</v>
      </c>
      <c r="E528" s="1603"/>
      <c r="F528" s="1603"/>
      <c r="G528" s="1603"/>
      <c r="H528" s="176" t="e">
        <f>#REF!</f>
        <v>#REF!</v>
      </c>
      <c r="I528" s="187" t="s">
        <v>594</v>
      </c>
      <c r="J528" s="159" t="s">
        <v>596</v>
      </c>
      <c r="K528" s="176" t="e">
        <f>ROUND(C528*H528,2)</f>
        <v>#REF!</v>
      </c>
    </row>
    <row r="529" spans="2:11">
      <c r="C529" s="177"/>
      <c r="D529" s="160"/>
      <c r="E529" s="160"/>
      <c r="F529" s="160"/>
      <c r="G529" s="160"/>
      <c r="H529" s="176"/>
      <c r="J529" s="159" t="s">
        <v>596</v>
      </c>
      <c r="K529" s="176" t="e">
        <f>SUM(K527:K528)</f>
        <v>#REF!</v>
      </c>
    </row>
    <row r="530" spans="2:11">
      <c r="C530" s="177">
        <f>MAX($K$9,$K$10,$K$11)</f>
        <v>0</v>
      </c>
      <c r="D530" s="1603" t="str">
        <f>CONCATENATE("add area allowance at ",$K$12*100, "% on Rs.",)</f>
        <v>add area allowance at 0% on Rs.</v>
      </c>
      <c r="E530" s="1603"/>
      <c r="F530" s="1603"/>
      <c r="G530" s="1603"/>
      <c r="H530" s="176" t="e">
        <f>K529</f>
        <v>#REF!</v>
      </c>
      <c r="J530" s="159" t="s">
        <v>596</v>
      </c>
      <c r="K530" s="176" t="e">
        <f>ROUND(C530*H530,2)</f>
        <v>#REF!</v>
      </c>
    </row>
    <row r="531" spans="2:11" ht="12.75" customHeight="1">
      <c r="C531" s="177"/>
      <c r="D531" s="157" t="s">
        <v>38</v>
      </c>
      <c r="E531" s="160"/>
      <c r="F531" s="160"/>
      <c r="G531" s="160"/>
      <c r="H531" s="176"/>
      <c r="J531" s="159" t="s">
        <v>596</v>
      </c>
      <c r="K531" s="176" t="e">
        <f>SUM(K529:K530)</f>
        <v>#REF!</v>
      </c>
    </row>
    <row r="532" spans="2:11">
      <c r="D532" s="157" t="s">
        <v>190</v>
      </c>
      <c r="E532" s="188">
        <f>E525</f>
        <v>5.5</v>
      </c>
      <c r="F532" s="157" t="str">
        <f>F525</f>
        <v>Cum</v>
      </c>
      <c r="G532" s="160"/>
      <c r="H532" s="176"/>
      <c r="I532" s="157"/>
      <c r="J532" s="159" t="s">
        <v>596</v>
      </c>
      <c r="K532" s="176" t="e">
        <f>K531</f>
        <v>#REF!</v>
      </c>
    </row>
    <row r="533" spans="2:11">
      <c r="D533" s="157" t="s">
        <v>190</v>
      </c>
      <c r="E533" s="178">
        <v>1</v>
      </c>
      <c r="F533" s="179" t="str">
        <f>F525</f>
        <v>Cum</v>
      </c>
      <c r="J533" s="159" t="s">
        <v>596</v>
      </c>
      <c r="K533" s="156" t="e">
        <f>ROUND(K532/E525,2)</f>
        <v>#REF!</v>
      </c>
    </row>
    <row r="534" spans="2:11" ht="24.75" customHeight="1">
      <c r="C534" s="177">
        <f>$K$13</f>
        <v>0</v>
      </c>
      <c r="D534" s="1603" t="str">
        <f>CONCATENATE("add overheads and contractors profit at ",$K$13*100, "% on Rs.",)</f>
        <v>add overheads and contractors profit at 0% on Rs.</v>
      </c>
      <c r="E534" s="1603"/>
      <c r="F534" s="1603"/>
      <c r="G534" s="1603"/>
      <c r="H534" s="176" t="e">
        <f>K533</f>
        <v>#REF!</v>
      </c>
      <c r="J534" s="159" t="s">
        <v>596</v>
      </c>
      <c r="K534" s="176" t="e">
        <f>ROUND(C534*H534,2)</f>
        <v>#REF!</v>
      </c>
    </row>
    <row r="535" spans="2:11" s="153" customFormat="1">
      <c r="B535" s="170"/>
      <c r="C535" s="171"/>
      <c r="D535" s="157" t="s">
        <v>191</v>
      </c>
      <c r="E535" s="171"/>
      <c r="F535" s="180">
        <f>E533</f>
        <v>1</v>
      </c>
      <c r="G535" s="171" t="str">
        <f>F533</f>
        <v>Cum</v>
      </c>
      <c r="H535" s="170"/>
      <c r="I535" s="170"/>
      <c r="J535" s="169" t="s">
        <v>596</v>
      </c>
      <c r="K535" s="181" t="e">
        <f>SUM(K533:K534)</f>
        <v>#REF!</v>
      </c>
    </row>
    <row r="537" spans="2:11" s="152" customFormat="1" ht="15" customHeight="1">
      <c r="B537" s="155" t="s">
        <v>549</v>
      </c>
      <c r="C537" s="1605" t="s">
        <v>532</v>
      </c>
      <c r="D537" s="1605"/>
      <c r="E537" s="1605"/>
      <c r="F537" s="1605"/>
      <c r="G537" s="1605"/>
      <c r="H537" s="1605"/>
      <c r="I537" s="1605"/>
      <c r="J537" s="1605"/>
      <c r="K537" s="1605"/>
    </row>
    <row r="538" spans="2:11" s="152" customFormat="1" ht="12.3">
      <c r="B538" s="155"/>
      <c r="C538" s="168" t="s">
        <v>34</v>
      </c>
      <c r="D538" s="168"/>
      <c r="E538" s="168"/>
      <c r="F538" s="168"/>
      <c r="G538" s="168"/>
      <c r="H538" s="155"/>
      <c r="I538" s="155"/>
      <c r="J538" s="169"/>
      <c r="K538" s="169"/>
    </row>
    <row r="539" spans="2:11" s="153" customFormat="1" ht="12.3">
      <c r="B539" s="170"/>
      <c r="C539" s="171" t="s">
        <v>543</v>
      </c>
      <c r="D539" s="170" t="s">
        <v>544</v>
      </c>
      <c r="E539" s="172">
        <v>10</v>
      </c>
      <c r="F539" s="173" t="s">
        <v>50</v>
      </c>
      <c r="G539" s="171"/>
      <c r="H539" s="155" t="s">
        <v>92</v>
      </c>
      <c r="I539" s="155" t="s">
        <v>528</v>
      </c>
      <c r="J539" s="174"/>
      <c r="K539" s="169" t="s">
        <v>151</v>
      </c>
    </row>
    <row r="540" spans="2:11" s="153" customFormat="1" ht="12.3">
      <c r="B540" s="170"/>
      <c r="C540" s="171"/>
      <c r="D540" s="168" t="s">
        <v>35</v>
      </c>
      <c r="E540" s="172"/>
      <c r="F540" s="173"/>
      <c r="G540" s="171"/>
      <c r="H540" s="155"/>
      <c r="I540" s="155"/>
      <c r="J540" s="174"/>
      <c r="K540" s="169"/>
    </row>
    <row r="541" spans="2:11">
      <c r="C541" s="186">
        <v>0.06</v>
      </c>
      <c r="D541" s="1603" t="s">
        <v>36</v>
      </c>
      <c r="E541" s="1603"/>
      <c r="F541" s="1603"/>
      <c r="G541" s="1603"/>
      <c r="H541" s="176" t="e">
        <f>#REF!</f>
        <v>#REF!</v>
      </c>
      <c r="I541" s="187" t="s">
        <v>594</v>
      </c>
      <c r="J541" s="159" t="s">
        <v>596</v>
      </c>
      <c r="K541" s="176" t="e">
        <f>ROUND(C541*H541,2)</f>
        <v>#REF!</v>
      </c>
    </row>
    <row r="542" spans="2:11">
      <c r="C542" s="177">
        <v>1.5</v>
      </c>
      <c r="D542" s="1603" t="s">
        <v>37</v>
      </c>
      <c r="E542" s="1603"/>
      <c r="F542" s="1603"/>
      <c r="G542" s="1603"/>
      <c r="H542" s="176" t="e">
        <f>#REF!</f>
        <v>#REF!</v>
      </c>
      <c r="I542" s="187" t="s">
        <v>594</v>
      </c>
      <c r="J542" s="159" t="s">
        <v>596</v>
      </c>
      <c r="K542" s="176" t="e">
        <f>ROUND(C542*H542,2)</f>
        <v>#REF!</v>
      </c>
    </row>
    <row r="543" spans="2:11">
      <c r="C543" s="177"/>
      <c r="D543" s="160"/>
      <c r="E543" s="160"/>
      <c r="F543" s="160"/>
      <c r="G543" s="160"/>
      <c r="H543" s="176"/>
      <c r="J543" s="159" t="s">
        <v>596</v>
      </c>
      <c r="K543" s="176" t="e">
        <f>SUM(K541:K542)</f>
        <v>#REF!</v>
      </c>
    </row>
    <row r="544" spans="2:11">
      <c r="C544" s="177">
        <f>MAX($K$9,$K$10,$K$11)</f>
        <v>0</v>
      </c>
      <c r="D544" s="1603" t="str">
        <f>CONCATENATE("add area allowance at ",$K$12*100, "% on Rs.",)</f>
        <v>add area allowance at 0% on Rs.</v>
      </c>
      <c r="E544" s="1603"/>
      <c r="F544" s="1603"/>
      <c r="G544" s="1603"/>
      <c r="H544" s="176" t="e">
        <f>K543</f>
        <v>#REF!</v>
      </c>
      <c r="J544" s="159" t="s">
        <v>596</v>
      </c>
      <c r="K544" s="176" t="e">
        <f>ROUND(C544*H544,2)</f>
        <v>#REF!</v>
      </c>
    </row>
    <row r="545" spans="2:11" ht="12.75" customHeight="1">
      <c r="C545" s="177"/>
      <c r="D545" s="157" t="s">
        <v>38</v>
      </c>
      <c r="E545" s="160"/>
      <c r="F545" s="160"/>
      <c r="G545" s="160"/>
      <c r="H545" s="176"/>
      <c r="J545" s="159" t="s">
        <v>596</v>
      </c>
      <c r="K545" s="176" t="e">
        <f>SUM(K543:K544)</f>
        <v>#REF!</v>
      </c>
    </row>
    <row r="546" spans="2:11">
      <c r="D546" s="157" t="s">
        <v>190</v>
      </c>
      <c r="E546" s="188">
        <f>E539</f>
        <v>10</v>
      </c>
      <c r="F546" s="157" t="str">
        <f>F539</f>
        <v>MT</v>
      </c>
      <c r="G546" s="160"/>
      <c r="H546" s="176"/>
      <c r="I546" s="157"/>
      <c r="J546" s="159" t="s">
        <v>596</v>
      </c>
      <c r="K546" s="176" t="e">
        <f>K545</f>
        <v>#REF!</v>
      </c>
    </row>
    <row r="547" spans="2:11">
      <c r="D547" s="157" t="s">
        <v>190</v>
      </c>
      <c r="E547" s="178">
        <v>1</v>
      </c>
      <c r="F547" s="179" t="str">
        <f>F539</f>
        <v>MT</v>
      </c>
      <c r="J547" s="159" t="s">
        <v>596</v>
      </c>
      <c r="K547" s="156" t="e">
        <f>ROUND(K546/E539,2)</f>
        <v>#REF!</v>
      </c>
    </row>
    <row r="548" spans="2:11" ht="24.75" customHeight="1">
      <c r="C548" s="177">
        <f>$K$13</f>
        <v>0</v>
      </c>
      <c r="D548" s="1603" t="str">
        <f>CONCATENATE("add overheads and contractors profit at ",$K$13*100, "% on Rs.",)</f>
        <v>add overheads and contractors profit at 0% on Rs.</v>
      </c>
      <c r="E548" s="1603"/>
      <c r="F548" s="1603"/>
      <c r="G548" s="1603"/>
      <c r="H548" s="176" t="e">
        <f>K547</f>
        <v>#REF!</v>
      </c>
      <c r="J548" s="159" t="s">
        <v>596</v>
      </c>
      <c r="K548" s="176" t="e">
        <f>ROUND(C548*H548,2)</f>
        <v>#REF!</v>
      </c>
    </row>
    <row r="549" spans="2:11" s="153" customFormat="1">
      <c r="B549" s="170"/>
      <c r="C549" s="171"/>
      <c r="D549" s="157" t="s">
        <v>191</v>
      </c>
      <c r="E549" s="171"/>
      <c r="F549" s="180">
        <f>E547</f>
        <v>1</v>
      </c>
      <c r="G549" s="171" t="str">
        <f>F547</f>
        <v>MT</v>
      </c>
      <c r="H549" s="170"/>
      <c r="I549" s="170"/>
      <c r="J549" s="169" t="s">
        <v>596</v>
      </c>
      <c r="K549" s="181" t="e">
        <f>SUM(K547:K548)</f>
        <v>#REF!</v>
      </c>
    </row>
    <row r="551" spans="2:11" s="152" customFormat="1" ht="12.3">
      <c r="B551" s="155"/>
      <c r="C551" s="168" t="s">
        <v>109</v>
      </c>
      <c r="D551" s="168"/>
      <c r="E551" s="168"/>
      <c r="F551" s="168"/>
      <c r="G551" s="168"/>
      <c r="H551" s="155"/>
      <c r="I551" s="155"/>
      <c r="J551" s="169"/>
      <c r="K551" s="169"/>
    </row>
    <row r="552" spans="2:11" s="153" customFormat="1" ht="12.3">
      <c r="B552" s="170"/>
      <c r="C552" s="171" t="s">
        <v>543</v>
      </c>
      <c r="D552" s="170" t="s">
        <v>544</v>
      </c>
      <c r="E552" s="172">
        <v>10</v>
      </c>
      <c r="F552" s="173" t="s">
        <v>50</v>
      </c>
      <c r="G552" s="171"/>
      <c r="H552" s="155" t="s">
        <v>92</v>
      </c>
      <c r="I552" s="155" t="s">
        <v>528</v>
      </c>
      <c r="J552" s="174"/>
      <c r="K552" s="169" t="s">
        <v>151</v>
      </c>
    </row>
    <row r="553" spans="2:11" s="153" customFormat="1" ht="12.3">
      <c r="B553" s="170"/>
      <c r="C553" s="171"/>
      <c r="D553" s="168" t="s">
        <v>35</v>
      </c>
      <c r="E553" s="172"/>
      <c r="F553" s="173"/>
      <c r="G553" s="171"/>
      <c r="H553" s="155"/>
      <c r="I553" s="155"/>
      <c r="J553" s="174"/>
      <c r="K553" s="169"/>
    </row>
    <row r="554" spans="2:11">
      <c r="C554" s="186">
        <v>0.06</v>
      </c>
      <c r="D554" s="1603" t="s">
        <v>36</v>
      </c>
      <c r="E554" s="1603"/>
      <c r="F554" s="1603"/>
      <c r="G554" s="1603"/>
      <c r="H554" s="176" t="e">
        <f>#REF!</f>
        <v>#REF!</v>
      </c>
      <c r="I554" s="187" t="s">
        <v>594</v>
      </c>
      <c r="J554" s="159" t="s">
        <v>596</v>
      </c>
      <c r="K554" s="176" t="e">
        <f>ROUND(C554*H554,2)</f>
        <v>#REF!</v>
      </c>
    </row>
    <row r="555" spans="2:11">
      <c r="C555" s="177">
        <v>1.5</v>
      </c>
      <c r="D555" s="1603" t="s">
        <v>37</v>
      </c>
      <c r="E555" s="1603"/>
      <c r="F555" s="1603"/>
      <c r="G555" s="1603"/>
      <c r="H555" s="176" t="e">
        <f>#REF!</f>
        <v>#REF!</v>
      </c>
      <c r="I555" s="187" t="s">
        <v>594</v>
      </c>
      <c r="J555" s="159" t="s">
        <v>596</v>
      </c>
      <c r="K555" s="176" t="e">
        <f>ROUND(C555*H555,2)</f>
        <v>#REF!</v>
      </c>
    </row>
    <row r="556" spans="2:11">
      <c r="C556" s="177"/>
      <c r="D556" s="160"/>
      <c r="E556" s="160"/>
      <c r="F556" s="160"/>
      <c r="G556" s="160"/>
      <c r="H556" s="176"/>
      <c r="J556" s="159" t="s">
        <v>596</v>
      </c>
      <c r="K556" s="176" t="e">
        <f>SUM(K554:K555)</f>
        <v>#REF!</v>
      </c>
    </row>
    <row r="557" spans="2:11">
      <c r="C557" s="177">
        <f>MAX($K$9,$K$10,$K$11)</f>
        <v>0</v>
      </c>
      <c r="D557" s="1603" t="str">
        <f>CONCATENATE("add area allowance at ",$K$12*100, "% on Rs.",)</f>
        <v>add area allowance at 0% on Rs.</v>
      </c>
      <c r="E557" s="1603"/>
      <c r="F557" s="1603"/>
      <c r="G557" s="1603"/>
      <c r="H557" s="176" t="e">
        <f>K556</f>
        <v>#REF!</v>
      </c>
      <c r="J557" s="159" t="s">
        <v>596</v>
      </c>
      <c r="K557" s="176" t="e">
        <f>ROUND(C557*H557,2)</f>
        <v>#REF!</v>
      </c>
    </row>
    <row r="558" spans="2:11" ht="12.75" customHeight="1">
      <c r="C558" s="177"/>
      <c r="D558" s="157" t="s">
        <v>38</v>
      </c>
      <c r="E558" s="160"/>
      <c r="F558" s="160"/>
      <c r="G558" s="160"/>
      <c r="H558" s="176"/>
      <c r="J558" s="159" t="s">
        <v>596</v>
      </c>
      <c r="K558" s="176" t="e">
        <f>SUM(K556:K557)</f>
        <v>#REF!</v>
      </c>
    </row>
    <row r="559" spans="2:11">
      <c r="D559" s="157" t="s">
        <v>190</v>
      </c>
      <c r="E559" s="188">
        <f>E552</f>
        <v>10</v>
      </c>
      <c r="F559" s="157" t="str">
        <f>F552</f>
        <v>MT</v>
      </c>
      <c r="G559" s="160"/>
      <c r="H559" s="176"/>
      <c r="I559" s="157"/>
      <c r="J559" s="159" t="s">
        <v>596</v>
      </c>
      <c r="K559" s="176" t="e">
        <f>K558</f>
        <v>#REF!</v>
      </c>
    </row>
    <row r="560" spans="2:11">
      <c r="D560" s="157" t="s">
        <v>190</v>
      </c>
      <c r="E560" s="178">
        <v>1</v>
      </c>
      <c r="F560" s="179" t="str">
        <f>F552</f>
        <v>MT</v>
      </c>
      <c r="J560" s="159" t="s">
        <v>596</v>
      </c>
      <c r="K560" s="176" t="e">
        <f>ROUND(K559/E552,2)</f>
        <v>#REF!</v>
      </c>
    </row>
    <row r="561" spans="2:11" ht="24.75" customHeight="1">
      <c r="C561" s="177">
        <f>$K$13</f>
        <v>0</v>
      </c>
      <c r="D561" s="1603" t="str">
        <f>CONCATENATE("add overheads and contractors profit at ",$K$13*100, "% on Rs.",)</f>
        <v>add overheads and contractors profit at 0% on Rs.</v>
      </c>
      <c r="E561" s="1603"/>
      <c r="F561" s="1603"/>
      <c r="G561" s="1603"/>
      <c r="H561" s="176" t="e">
        <f>K560</f>
        <v>#REF!</v>
      </c>
      <c r="J561" s="159" t="s">
        <v>596</v>
      </c>
      <c r="K561" s="176" t="e">
        <f>ROUND(C561*H561,2)</f>
        <v>#REF!</v>
      </c>
    </row>
    <row r="562" spans="2:11" s="153" customFormat="1">
      <c r="B562" s="170"/>
      <c r="C562" s="171"/>
      <c r="D562" s="157" t="s">
        <v>191</v>
      </c>
      <c r="E562" s="171"/>
      <c r="F562" s="180">
        <f>E560</f>
        <v>1</v>
      </c>
      <c r="G562" s="171" t="str">
        <f>F560</f>
        <v>MT</v>
      </c>
      <c r="H562" s="170"/>
      <c r="I562" s="170"/>
      <c r="J562" s="169" t="s">
        <v>596</v>
      </c>
      <c r="K562" s="181" t="e">
        <f>SUM(K560:K561)</f>
        <v>#REF!</v>
      </c>
    </row>
    <row r="564" spans="2:11" s="152" customFormat="1" ht="15" customHeight="1">
      <c r="B564" s="155" t="s">
        <v>551</v>
      </c>
      <c r="C564" s="1605" t="s">
        <v>110</v>
      </c>
      <c r="D564" s="1605"/>
      <c r="E564" s="1605"/>
      <c r="F564" s="1605"/>
      <c r="G564" s="1605"/>
      <c r="H564" s="1605"/>
      <c r="I564" s="1605"/>
      <c r="J564" s="1605"/>
      <c r="K564" s="1605"/>
    </row>
    <row r="565" spans="2:11" s="152" customFormat="1" ht="12.3">
      <c r="B565" s="155"/>
      <c r="C565" s="168" t="s">
        <v>34</v>
      </c>
      <c r="D565" s="168"/>
      <c r="E565" s="168"/>
      <c r="F565" s="168"/>
      <c r="G565" s="168"/>
      <c r="H565" s="155"/>
      <c r="I565" s="155"/>
      <c r="J565" s="169"/>
      <c r="K565" s="169"/>
    </row>
    <row r="566" spans="2:11" s="153" customFormat="1" ht="12.3">
      <c r="B566" s="170"/>
      <c r="C566" s="171" t="s">
        <v>543</v>
      </c>
      <c r="D566" s="170" t="s">
        <v>544</v>
      </c>
      <c r="E566" s="172">
        <v>10</v>
      </c>
      <c r="F566" s="173" t="s">
        <v>50</v>
      </c>
      <c r="G566" s="171"/>
      <c r="H566" s="155" t="s">
        <v>92</v>
      </c>
      <c r="I566" s="155" t="s">
        <v>528</v>
      </c>
      <c r="J566" s="174"/>
      <c r="K566" s="169" t="s">
        <v>151</v>
      </c>
    </row>
    <row r="567" spans="2:11" s="153" customFormat="1" ht="12.3">
      <c r="B567" s="170"/>
      <c r="C567" s="171"/>
      <c r="D567" s="168" t="s">
        <v>35</v>
      </c>
      <c r="E567" s="172"/>
      <c r="F567" s="173"/>
      <c r="G567" s="171"/>
      <c r="H567" s="155"/>
      <c r="I567" s="155"/>
      <c r="J567" s="174"/>
      <c r="K567" s="169"/>
    </row>
    <row r="568" spans="2:11">
      <c r="C568" s="186">
        <v>7.0000000000000007E-2</v>
      </c>
      <c r="D568" s="1603" t="s">
        <v>36</v>
      </c>
      <c r="E568" s="1603"/>
      <c r="F568" s="1603"/>
      <c r="G568" s="1603"/>
      <c r="H568" s="176" t="e">
        <f>#REF!</f>
        <v>#REF!</v>
      </c>
      <c r="I568" s="187" t="s">
        <v>594</v>
      </c>
      <c r="J568" s="159" t="s">
        <v>596</v>
      </c>
      <c r="K568" s="176" t="e">
        <f>ROUND(C568*H568,2)</f>
        <v>#REF!</v>
      </c>
    </row>
    <row r="569" spans="2:11">
      <c r="C569" s="177">
        <v>1.8</v>
      </c>
      <c r="D569" s="1603" t="s">
        <v>37</v>
      </c>
      <c r="E569" s="1603"/>
      <c r="F569" s="1603"/>
      <c r="G569" s="1603"/>
      <c r="H569" s="176" t="e">
        <f>#REF!</f>
        <v>#REF!</v>
      </c>
      <c r="I569" s="187" t="s">
        <v>594</v>
      </c>
      <c r="J569" s="159" t="s">
        <v>596</v>
      </c>
      <c r="K569" s="176" t="e">
        <f>ROUND(C569*H569,2)</f>
        <v>#REF!</v>
      </c>
    </row>
    <row r="570" spans="2:11">
      <c r="C570" s="177"/>
      <c r="D570" s="160"/>
      <c r="E570" s="160"/>
      <c r="F570" s="160"/>
      <c r="G570" s="160"/>
      <c r="H570" s="176"/>
      <c r="J570" s="159" t="s">
        <v>596</v>
      </c>
      <c r="K570" s="176" t="e">
        <f>SUM(K568:K569)</f>
        <v>#REF!</v>
      </c>
    </row>
    <row r="571" spans="2:11">
      <c r="C571" s="177">
        <f>MAX($K$9,$K$10,$K$11)</f>
        <v>0</v>
      </c>
      <c r="D571" s="1603" t="str">
        <f>CONCATENATE("add area allowance at ",$K$12*100, "% on Rs.",)</f>
        <v>add area allowance at 0% on Rs.</v>
      </c>
      <c r="E571" s="1603"/>
      <c r="F571" s="1603"/>
      <c r="G571" s="1603"/>
      <c r="H571" s="176" t="e">
        <f>K570</f>
        <v>#REF!</v>
      </c>
      <c r="J571" s="159" t="s">
        <v>596</v>
      </c>
      <c r="K571" s="176" t="e">
        <f>ROUND(C571*H571,2)</f>
        <v>#REF!</v>
      </c>
    </row>
    <row r="572" spans="2:11" ht="12.75" customHeight="1">
      <c r="C572" s="177"/>
      <c r="D572" s="157" t="s">
        <v>38</v>
      </c>
      <c r="E572" s="160"/>
      <c r="F572" s="160"/>
      <c r="G572" s="160"/>
      <c r="H572" s="176"/>
      <c r="J572" s="159" t="s">
        <v>596</v>
      </c>
      <c r="K572" s="176" t="e">
        <f>SUM(K570:K571)</f>
        <v>#REF!</v>
      </c>
    </row>
    <row r="573" spans="2:11">
      <c r="D573" s="157" t="s">
        <v>190</v>
      </c>
      <c r="E573" s="188">
        <f>E566</f>
        <v>10</v>
      </c>
      <c r="F573" s="157" t="str">
        <f>F566</f>
        <v>MT</v>
      </c>
      <c r="G573" s="160"/>
      <c r="H573" s="176"/>
      <c r="I573" s="157"/>
      <c r="J573" s="159" t="s">
        <v>596</v>
      </c>
      <c r="K573" s="176" t="e">
        <f>K572</f>
        <v>#REF!</v>
      </c>
    </row>
    <row r="574" spans="2:11">
      <c r="D574" s="157" t="s">
        <v>190</v>
      </c>
      <c r="E574" s="178">
        <v>1</v>
      </c>
      <c r="F574" s="179" t="str">
        <f>F566</f>
        <v>MT</v>
      </c>
      <c r="J574" s="159" t="s">
        <v>596</v>
      </c>
      <c r="K574" s="176" t="e">
        <f>ROUND(K573/E566,2)</f>
        <v>#REF!</v>
      </c>
    </row>
    <row r="575" spans="2:11" ht="24.75" customHeight="1">
      <c r="C575" s="177">
        <f>$K$13</f>
        <v>0</v>
      </c>
      <c r="D575" s="1603" t="str">
        <f>CONCATENATE("add overheads and contractors profit at ",$K$13*100, "% on Rs.",)</f>
        <v>add overheads and contractors profit at 0% on Rs.</v>
      </c>
      <c r="E575" s="1603"/>
      <c r="F575" s="1603"/>
      <c r="G575" s="1603"/>
      <c r="H575" s="176" t="e">
        <f>K574</f>
        <v>#REF!</v>
      </c>
      <c r="J575" s="159" t="s">
        <v>596</v>
      </c>
      <c r="K575" s="176" t="e">
        <f>ROUND(C575*H575,2)</f>
        <v>#REF!</v>
      </c>
    </row>
    <row r="576" spans="2:11" s="153" customFormat="1">
      <c r="B576" s="170"/>
      <c r="C576" s="171"/>
      <c r="D576" s="157" t="s">
        <v>191</v>
      </c>
      <c r="E576" s="171"/>
      <c r="F576" s="180">
        <f>E574</f>
        <v>1</v>
      </c>
      <c r="G576" s="171" t="str">
        <f>F574</f>
        <v>MT</v>
      </c>
      <c r="H576" s="170"/>
      <c r="I576" s="170"/>
      <c r="J576" s="169" t="s">
        <v>596</v>
      </c>
      <c r="K576" s="181" t="e">
        <f>SUM(K574:K575)</f>
        <v>#REF!</v>
      </c>
    </row>
    <row r="578" spans="2:11" s="152" customFormat="1" ht="12.3">
      <c r="B578" s="155"/>
      <c r="C578" s="168" t="s">
        <v>109</v>
      </c>
      <c r="D578" s="168"/>
      <c r="E578" s="168"/>
      <c r="F578" s="168"/>
      <c r="G578" s="168"/>
      <c r="H578" s="155"/>
      <c r="I578" s="155"/>
      <c r="J578" s="169"/>
      <c r="K578" s="169"/>
    </row>
    <row r="579" spans="2:11" s="153" customFormat="1" ht="12.3">
      <c r="B579" s="170"/>
      <c r="C579" s="171" t="s">
        <v>543</v>
      </c>
      <c r="D579" s="170" t="s">
        <v>544</v>
      </c>
      <c r="E579" s="172">
        <v>10</v>
      </c>
      <c r="F579" s="173" t="s">
        <v>50</v>
      </c>
      <c r="G579" s="171"/>
      <c r="H579" s="155" t="s">
        <v>92</v>
      </c>
      <c r="I579" s="155" t="s">
        <v>528</v>
      </c>
      <c r="J579" s="174"/>
      <c r="K579" s="169" t="s">
        <v>151</v>
      </c>
    </row>
    <row r="580" spans="2:11" s="153" customFormat="1" ht="12.3">
      <c r="B580" s="170"/>
      <c r="C580" s="171"/>
      <c r="D580" s="168" t="s">
        <v>35</v>
      </c>
      <c r="E580" s="172"/>
      <c r="F580" s="173"/>
      <c r="G580" s="171"/>
      <c r="H580" s="155"/>
      <c r="I580" s="155"/>
      <c r="J580" s="174"/>
      <c r="K580" s="169"/>
    </row>
    <row r="581" spans="2:11">
      <c r="C581" s="186">
        <v>7.0000000000000007E-2</v>
      </c>
      <c r="D581" s="1603" t="s">
        <v>36</v>
      </c>
      <c r="E581" s="1603"/>
      <c r="F581" s="1603"/>
      <c r="G581" s="1603"/>
      <c r="H581" s="176" t="e">
        <f>#REF!</f>
        <v>#REF!</v>
      </c>
      <c r="I581" s="187" t="s">
        <v>594</v>
      </c>
      <c r="J581" s="159" t="s">
        <v>596</v>
      </c>
      <c r="K581" s="176" t="e">
        <f>ROUND(C581*H581,2)</f>
        <v>#REF!</v>
      </c>
    </row>
    <row r="582" spans="2:11">
      <c r="C582" s="177">
        <v>1.8</v>
      </c>
      <c r="D582" s="1603" t="s">
        <v>37</v>
      </c>
      <c r="E582" s="1603"/>
      <c r="F582" s="1603"/>
      <c r="G582" s="1603"/>
      <c r="H582" s="176" t="e">
        <f>#REF!</f>
        <v>#REF!</v>
      </c>
      <c r="I582" s="187" t="s">
        <v>594</v>
      </c>
      <c r="J582" s="159" t="s">
        <v>596</v>
      </c>
      <c r="K582" s="176" t="e">
        <f>ROUND(C582*H582,2)</f>
        <v>#REF!</v>
      </c>
    </row>
    <row r="583" spans="2:11">
      <c r="C583" s="177"/>
      <c r="D583" s="160"/>
      <c r="E583" s="160"/>
      <c r="F583" s="160"/>
      <c r="G583" s="160"/>
      <c r="H583" s="176"/>
      <c r="J583" s="159" t="s">
        <v>596</v>
      </c>
      <c r="K583" s="176" t="e">
        <f>SUM(K581:K582)</f>
        <v>#REF!</v>
      </c>
    </row>
    <row r="584" spans="2:11">
      <c r="C584" s="177">
        <f>MAX($K$9,$K$10,$K$11)</f>
        <v>0</v>
      </c>
      <c r="D584" s="1603" t="str">
        <f>CONCATENATE("add area allowance at ",$K$12*100, "% on Rs.",)</f>
        <v>add area allowance at 0% on Rs.</v>
      </c>
      <c r="E584" s="1603"/>
      <c r="F584" s="1603"/>
      <c r="G584" s="1603"/>
      <c r="H584" s="176" t="e">
        <f>K583</f>
        <v>#REF!</v>
      </c>
      <c r="J584" s="159" t="s">
        <v>596</v>
      </c>
      <c r="K584" s="176" t="e">
        <f>ROUND(C584*H584,2)</f>
        <v>#REF!</v>
      </c>
    </row>
    <row r="585" spans="2:11" ht="12.75" customHeight="1">
      <c r="C585" s="177"/>
      <c r="D585" s="157" t="s">
        <v>38</v>
      </c>
      <c r="E585" s="160"/>
      <c r="F585" s="160"/>
      <c r="G585" s="160"/>
      <c r="H585" s="176"/>
      <c r="J585" s="159" t="s">
        <v>596</v>
      </c>
      <c r="K585" s="176" t="e">
        <f>SUM(K583:K584)</f>
        <v>#REF!</v>
      </c>
    </row>
    <row r="586" spans="2:11">
      <c r="D586" s="157" t="s">
        <v>190</v>
      </c>
      <c r="E586" s="188">
        <f>E579</f>
        <v>10</v>
      </c>
      <c r="F586" s="157" t="str">
        <f>F579</f>
        <v>MT</v>
      </c>
      <c r="G586" s="160"/>
      <c r="H586" s="176"/>
      <c r="I586" s="157"/>
      <c r="J586" s="159" t="s">
        <v>596</v>
      </c>
      <c r="K586" s="176" t="e">
        <f>K585</f>
        <v>#REF!</v>
      </c>
    </row>
    <row r="587" spans="2:11">
      <c r="D587" s="157" t="s">
        <v>190</v>
      </c>
      <c r="E587" s="178">
        <v>1</v>
      </c>
      <c r="F587" s="179" t="str">
        <f>F579</f>
        <v>MT</v>
      </c>
      <c r="J587" s="159" t="s">
        <v>596</v>
      </c>
      <c r="K587" s="176" t="e">
        <f>ROUND(K586/E579,2)</f>
        <v>#REF!</v>
      </c>
    </row>
    <row r="588" spans="2:11" ht="24.75" customHeight="1">
      <c r="C588" s="177">
        <f>$K$13</f>
        <v>0</v>
      </c>
      <c r="D588" s="1603" t="str">
        <f>CONCATENATE("add overheads and contractors profit at ",$K$13*100, "% on Rs.",)</f>
        <v>add overheads and contractors profit at 0% on Rs.</v>
      </c>
      <c r="E588" s="1603"/>
      <c r="F588" s="1603"/>
      <c r="G588" s="1603"/>
      <c r="H588" s="176" t="e">
        <f>K587</f>
        <v>#REF!</v>
      </c>
      <c r="J588" s="159" t="s">
        <v>596</v>
      </c>
      <c r="K588" s="176" t="e">
        <f>ROUND(C588*H588,2)</f>
        <v>#REF!</v>
      </c>
    </row>
    <row r="589" spans="2:11" s="153" customFormat="1">
      <c r="B589" s="170"/>
      <c r="C589" s="171"/>
      <c r="D589" s="157" t="s">
        <v>191</v>
      </c>
      <c r="E589" s="171"/>
      <c r="F589" s="180">
        <f>E587</f>
        <v>1</v>
      </c>
      <c r="G589" s="171" t="str">
        <f>F587</f>
        <v>MT</v>
      </c>
      <c r="H589" s="170"/>
      <c r="I589" s="170"/>
      <c r="J589" s="169" t="s">
        <v>596</v>
      </c>
      <c r="K589" s="181" t="e">
        <f>SUM(K587:K588)</f>
        <v>#REF!</v>
      </c>
    </row>
    <row r="591" spans="2:11" s="152" customFormat="1" ht="15" customHeight="1">
      <c r="B591" s="155" t="s">
        <v>553</v>
      </c>
      <c r="C591" s="1605" t="s">
        <v>613</v>
      </c>
      <c r="D591" s="1605"/>
      <c r="E591" s="1605"/>
      <c r="F591" s="1605"/>
      <c r="G591" s="1605"/>
      <c r="H591" s="1605"/>
      <c r="I591" s="1605"/>
      <c r="J591" s="1605"/>
      <c r="K591" s="1605"/>
    </row>
    <row r="592" spans="2:11" s="152" customFormat="1" ht="12.3">
      <c r="B592" s="155"/>
      <c r="C592" s="168" t="s">
        <v>34</v>
      </c>
      <c r="D592" s="168"/>
      <c r="E592" s="168"/>
      <c r="F592" s="168"/>
      <c r="G592" s="168"/>
      <c r="H592" s="155"/>
      <c r="I592" s="155"/>
      <c r="J592" s="169"/>
      <c r="K592" s="169"/>
    </row>
    <row r="593" spans="2:11" s="153" customFormat="1" ht="12.3">
      <c r="B593" s="170"/>
      <c r="C593" s="171" t="s">
        <v>543</v>
      </c>
      <c r="D593" s="170" t="s">
        <v>544</v>
      </c>
      <c r="E593" s="172">
        <v>2000</v>
      </c>
      <c r="F593" s="173" t="s">
        <v>327</v>
      </c>
      <c r="G593" s="171"/>
      <c r="H593" s="155" t="s">
        <v>92</v>
      </c>
      <c r="I593" s="155" t="s">
        <v>528</v>
      </c>
      <c r="J593" s="174"/>
      <c r="K593" s="169" t="s">
        <v>151</v>
      </c>
    </row>
    <row r="594" spans="2:11" s="153" customFormat="1" ht="12.3">
      <c r="B594" s="170"/>
      <c r="C594" s="171"/>
      <c r="D594" s="168" t="s">
        <v>35</v>
      </c>
      <c r="E594" s="172"/>
      <c r="F594" s="173"/>
      <c r="G594" s="171"/>
      <c r="H594" s="155"/>
      <c r="I594" s="155"/>
      <c r="J594" s="174"/>
      <c r="K594" s="169"/>
    </row>
    <row r="595" spans="2:11">
      <c r="C595" s="186">
        <v>0.01</v>
      </c>
      <c r="D595" s="1603" t="s">
        <v>36</v>
      </c>
      <c r="E595" s="1603"/>
      <c r="F595" s="1603"/>
      <c r="G595" s="1603"/>
      <c r="H595" s="176" t="e">
        <f>#REF!</f>
        <v>#REF!</v>
      </c>
      <c r="I595" s="187" t="s">
        <v>594</v>
      </c>
      <c r="J595" s="159" t="s">
        <v>596</v>
      </c>
      <c r="K595" s="176" t="e">
        <f>ROUND(C595*H595,2)</f>
        <v>#REF!</v>
      </c>
    </row>
    <row r="596" spans="2:11">
      <c r="C596" s="177">
        <v>0.25</v>
      </c>
      <c r="D596" s="1603" t="s">
        <v>37</v>
      </c>
      <c r="E596" s="1603"/>
      <c r="F596" s="1603"/>
      <c r="G596" s="1603"/>
      <c r="H596" s="176" t="e">
        <f>#REF!</f>
        <v>#REF!</v>
      </c>
      <c r="I596" s="187" t="s">
        <v>594</v>
      </c>
      <c r="J596" s="159" t="s">
        <v>596</v>
      </c>
      <c r="K596" s="176" t="e">
        <f>ROUND(C596*H596,2)</f>
        <v>#REF!</v>
      </c>
    </row>
    <row r="597" spans="2:11">
      <c r="C597" s="177"/>
      <c r="D597" s="160"/>
      <c r="E597" s="160"/>
      <c r="F597" s="160"/>
      <c r="G597" s="160"/>
      <c r="H597" s="176"/>
      <c r="J597" s="159" t="s">
        <v>596</v>
      </c>
      <c r="K597" s="176" t="e">
        <f>SUM(K595:K596)</f>
        <v>#REF!</v>
      </c>
    </row>
    <row r="598" spans="2:11">
      <c r="C598" s="177">
        <f>MAX($K$9,$K$10,$K$11)</f>
        <v>0</v>
      </c>
      <c r="D598" s="1603" t="str">
        <f>CONCATENATE("add area allowance at ",$K$12*100, "% on Rs.",)</f>
        <v>add area allowance at 0% on Rs.</v>
      </c>
      <c r="E598" s="1603"/>
      <c r="F598" s="1603"/>
      <c r="G598" s="1603"/>
      <c r="H598" s="176" t="e">
        <f>K597</f>
        <v>#REF!</v>
      </c>
      <c r="J598" s="159" t="s">
        <v>596</v>
      </c>
      <c r="K598" s="176" t="e">
        <f>ROUND(C598*H598,2)</f>
        <v>#REF!</v>
      </c>
    </row>
    <row r="599" spans="2:11" ht="12.75" customHeight="1">
      <c r="C599" s="177"/>
      <c r="D599" s="157" t="s">
        <v>38</v>
      </c>
      <c r="E599" s="160"/>
      <c r="F599" s="160"/>
      <c r="G599" s="160"/>
      <c r="H599" s="176"/>
      <c r="J599" s="159" t="s">
        <v>596</v>
      </c>
      <c r="K599" s="176" t="e">
        <f>SUM(K597:K598)</f>
        <v>#REF!</v>
      </c>
    </row>
    <row r="600" spans="2:11">
      <c r="D600" s="157" t="s">
        <v>190</v>
      </c>
      <c r="E600" s="191">
        <f>E593</f>
        <v>2000</v>
      </c>
      <c r="F600" s="157" t="str">
        <f>F593</f>
        <v>Nos</v>
      </c>
      <c r="G600" s="160"/>
      <c r="H600" s="176"/>
      <c r="I600" s="157"/>
      <c r="J600" s="159" t="s">
        <v>596</v>
      </c>
      <c r="K600" s="176" t="e">
        <f>K599</f>
        <v>#REF!</v>
      </c>
    </row>
    <row r="601" spans="2:11">
      <c r="D601" s="157" t="s">
        <v>190</v>
      </c>
      <c r="E601" s="184">
        <v>1000</v>
      </c>
      <c r="F601" s="179" t="str">
        <f>F593</f>
        <v>Nos</v>
      </c>
      <c r="J601" s="159" t="s">
        <v>596</v>
      </c>
      <c r="K601" s="176" t="e">
        <f>ROUND(K600*1000/E593,2)</f>
        <v>#REF!</v>
      </c>
    </row>
    <row r="602" spans="2:11" ht="24.75" customHeight="1">
      <c r="C602" s="177">
        <f>$K$13</f>
        <v>0</v>
      </c>
      <c r="D602" s="1603" t="str">
        <f>CONCATENATE("add overheads and contractors profit at ",$K$13*100, "% on Rs.",)</f>
        <v>add overheads and contractors profit at 0% on Rs.</v>
      </c>
      <c r="E602" s="1603"/>
      <c r="F602" s="1603"/>
      <c r="G602" s="1603"/>
      <c r="H602" s="176" t="e">
        <f>K601</f>
        <v>#REF!</v>
      </c>
      <c r="J602" s="159" t="s">
        <v>596</v>
      </c>
      <c r="K602" s="176" t="e">
        <f>ROUND(C602*H602,2)</f>
        <v>#REF!</v>
      </c>
    </row>
    <row r="603" spans="2:11" s="153" customFormat="1">
      <c r="B603" s="170"/>
      <c r="C603" s="171"/>
      <c r="D603" s="157" t="s">
        <v>191</v>
      </c>
      <c r="E603" s="171"/>
      <c r="F603" s="185">
        <f>E601</f>
        <v>1000</v>
      </c>
      <c r="G603" s="171" t="str">
        <f>F601</f>
        <v>Nos</v>
      </c>
      <c r="H603" s="170"/>
      <c r="I603" s="170"/>
      <c r="J603" s="169" t="s">
        <v>596</v>
      </c>
      <c r="K603" s="181" t="e">
        <f>SUM(K601:K602)</f>
        <v>#REF!</v>
      </c>
    </row>
    <row r="605" spans="2:11" s="152" customFormat="1" ht="12.3">
      <c r="B605" s="155"/>
      <c r="C605" s="168" t="s">
        <v>109</v>
      </c>
      <c r="D605" s="168"/>
      <c r="E605" s="168"/>
      <c r="F605" s="168"/>
      <c r="G605" s="168"/>
      <c r="H605" s="155"/>
      <c r="I605" s="155"/>
      <c r="J605" s="169"/>
      <c r="K605" s="169"/>
    </row>
    <row r="606" spans="2:11" s="153" customFormat="1" ht="12.3">
      <c r="B606" s="170"/>
      <c r="C606" s="171" t="s">
        <v>543</v>
      </c>
      <c r="D606" s="170" t="s">
        <v>544</v>
      </c>
      <c r="E606" s="172">
        <v>2000</v>
      </c>
      <c r="F606" s="173" t="s">
        <v>327</v>
      </c>
      <c r="G606" s="171"/>
      <c r="H606" s="155" t="s">
        <v>92</v>
      </c>
      <c r="I606" s="155" t="s">
        <v>528</v>
      </c>
      <c r="J606" s="174"/>
      <c r="K606" s="169" t="s">
        <v>151</v>
      </c>
    </row>
    <row r="607" spans="2:11" s="153" customFormat="1" ht="12.3">
      <c r="B607" s="170"/>
      <c r="C607" s="171"/>
      <c r="D607" s="168" t="s">
        <v>35</v>
      </c>
      <c r="E607" s="172"/>
      <c r="F607" s="173"/>
      <c r="G607" s="171"/>
      <c r="H607" s="155"/>
      <c r="I607" s="155"/>
      <c r="J607" s="174"/>
      <c r="K607" s="169"/>
    </row>
    <row r="608" spans="2:11">
      <c r="C608" s="186">
        <v>0.01</v>
      </c>
      <c r="D608" s="1603" t="s">
        <v>36</v>
      </c>
      <c r="E608" s="1603"/>
      <c r="F608" s="1603"/>
      <c r="G608" s="1603"/>
      <c r="H608" s="176" t="e">
        <f>#REF!</f>
        <v>#REF!</v>
      </c>
      <c r="I608" s="187" t="s">
        <v>594</v>
      </c>
      <c r="J608" s="159" t="s">
        <v>596</v>
      </c>
      <c r="K608" s="176" t="e">
        <f>ROUND(C608*H608,2)</f>
        <v>#REF!</v>
      </c>
    </row>
    <row r="609" spans="2:11">
      <c r="C609" s="177">
        <v>0.25</v>
      </c>
      <c r="D609" s="1603" t="s">
        <v>37</v>
      </c>
      <c r="E609" s="1603"/>
      <c r="F609" s="1603"/>
      <c r="G609" s="1603"/>
      <c r="H609" s="176" t="e">
        <f>#REF!</f>
        <v>#REF!</v>
      </c>
      <c r="I609" s="187" t="s">
        <v>594</v>
      </c>
      <c r="J609" s="159" t="s">
        <v>596</v>
      </c>
      <c r="K609" s="176" t="e">
        <f>ROUND(C609*H609,2)</f>
        <v>#REF!</v>
      </c>
    </row>
    <row r="610" spans="2:11">
      <c r="C610" s="177"/>
      <c r="D610" s="160"/>
      <c r="E610" s="160"/>
      <c r="F610" s="160"/>
      <c r="G610" s="160"/>
      <c r="H610" s="176"/>
      <c r="J610" s="159" t="s">
        <v>596</v>
      </c>
      <c r="K610" s="176" t="e">
        <f>SUM(K608:K609)</f>
        <v>#REF!</v>
      </c>
    </row>
    <row r="611" spans="2:11">
      <c r="C611" s="177">
        <f>MAX($K$9,$K$10,$K$11)</f>
        <v>0</v>
      </c>
      <c r="D611" s="1603" t="str">
        <f>CONCATENATE("add area allowance at ",$K$12*100, "% on Rs.",)</f>
        <v>add area allowance at 0% on Rs.</v>
      </c>
      <c r="E611" s="1603"/>
      <c r="F611" s="1603"/>
      <c r="G611" s="1603"/>
      <c r="H611" s="176" t="e">
        <f>K610</f>
        <v>#REF!</v>
      </c>
      <c r="J611" s="159" t="s">
        <v>596</v>
      </c>
      <c r="K611" s="176" t="e">
        <f>ROUND(C611*H611,2)</f>
        <v>#REF!</v>
      </c>
    </row>
    <row r="612" spans="2:11" ht="12.75" customHeight="1">
      <c r="C612" s="177"/>
      <c r="D612" s="157" t="s">
        <v>38</v>
      </c>
      <c r="E612" s="160"/>
      <c r="F612" s="160"/>
      <c r="G612" s="160"/>
      <c r="H612" s="176"/>
      <c r="J612" s="159" t="s">
        <v>596</v>
      </c>
      <c r="K612" s="176" t="e">
        <f>SUM(K610:K611)</f>
        <v>#REF!</v>
      </c>
    </row>
    <row r="613" spans="2:11">
      <c r="D613" s="157" t="s">
        <v>190</v>
      </c>
      <c r="E613" s="191">
        <f>E606</f>
        <v>2000</v>
      </c>
      <c r="F613" s="157" t="str">
        <f>F606</f>
        <v>Nos</v>
      </c>
      <c r="G613" s="160"/>
      <c r="H613" s="176"/>
      <c r="I613" s="157"/>
      <c r="J613" s="159" t="s">
        <v>596</v>
      </c>
      <c r="K613" s="176" t="e">
        <f>K612</f>
        <v>#REF!</v>
      </c>
    </row>
    <row r="614" spans="2:11">
      <c r="D614" s="157" t="s">
        <v>190</v>
      </c>
      <c r="E614" s="184">
        <v>1000</v>
      </c>
      <c r="F614" s="179" t="str">
        <f>F606</f>
        <v>Nos</v>
      </c>
      <c r="J614" s="159" t="s">
        <v>596</v>
      </c>
      <c r="K614" s="176" t="e">
        <f>ROUND(K613*1000/E606,2)</f>
        <v>#REF!</v>
      </c>
    </row>
    <row r="615" spans="2:11" ht="24.75" customHeight="1">
      <c r="C615" s="177">
        <f>$K$13</f>
        <v>0</v>
      </c>
      <c r="D615" s="1603" t="str">
        <f>CONCATENATE("add overheads and contractors profit at ",$K$13*100, "% on Rs.",)</f>
        <v>add overheads and contractors profit at 0% on Rs.</v>
      </c>
      <c r="E615" s="1603"/>
      <c r="F615" s="1603"/>
      <c r="G615" s="1603"/>
      <c r="H615" s="176" t="e">
        <f>K614</f>
        <v>#REF!</v>
      </c>
      <c r="J615" s="159" t="s">
        <v>596</v>
      </c>
      <c r="K615" s="176" t="e">
        <f>ROUND(C615*H615,2)</f>
        <v>#REF!</v>
      </c>
    </row>
    <row r="616" spans="2:11" s="153" customFormat="1">
      <c r="B616" s="170"/>
      <c r="C616" s="171"/>
      <c r="D616" s="157" t="s">
        <v>191</v>
      </c>
      <c r="E616" s="171"/>
      <c r="F616" s="185">
        <f>E614</f>
        <v>1000</v>
      </c>
      <c r="G616" s="171" t="str">
        <f>F614</f>
        <v>Nos</v>
      </c>
      <c r="H616" s="170"/>
      <c r="I616" s="170"/>
      <c r="J616" s="169" t="s">
        <v>596</v>
      </c>
      <c r="K616" s="181" t="e">
        <f>SUM(K614:K615)</f>
        <v>#REF!</v>
      </c>
    </row>
    <row r="618" spans="2:11" ht="30.75" customHeight="1">
      <c r="B618" s="1606" t="s">
        <v>614</v>
      </c>
      <c r="C618" s="1606"/>
      <c r="D618" s="1606"/>
      <c r="E618" s="1606"/>
      <c r="F618" s="1606"/>
      <c r="G618" s="1606"/>
      <c r="H618" s="1606"/>
      <c r="I618" s="1606"/>
      <c r="J618" s="1606"/>
      <c r="K618" s="1606"/>
    </row>
    <row r="619" spans="2:11" s="152" customFormat="1" ht="14.25" customHeight="1">
      <c r="B619" s="155" t="s">
        <v>437</v>
      </c>
      <c r="C619" s="1605" t="s">
        <v>574</v>
      </c>
      <c r="D619" s="1605"/>
      <c r="E619" s="1605"/>
      <c r="F619" s="1605"/>
      <c r="G619" s="1605"/>
      <c r="H619" s="1605"/>
      <c r="I619" s="1605"/>
      <c r="J619" s="1605"/>
      <c r="K619" s="1605"/>
    </row>
    <row r="620" spans="2:11" s="152" customFormat="1" ht="12.3">
      <c r="B620" s="155"/>
      <c r="C620" s="168" t="s">
        <v>34</v>
      </c>
      <c r="D620" s="168"/>
      <c r="E620" s="168"/>
      <c r="F620" s="168"/>
      <c r="G620" s="168"/>
      <c r="H620" s="155"/>
      <c r="I620" s="155"/>
      <c r="J620" s="169"/>
      <c r="K620" s="169"/>
    </row>
    <row r="621" spans="2:11" s="153" customFormat="1" ht="12.3">
      <c r="B621" s="170"/>
      <c r="C621" s="171" t="s">
        <v>543</v>
      </c>
      <c r="D621" s="170" t="s">
        <v>544</v>
      </c>
      <c r="E621" s="172">
        <v>5.5</v>
      </c>
      <c r="F621" s="173" t="s">
        <v>465</v>
      </c>
      <c r="G621" s="171"/>
      <c r="H621" s="155" t="s">
        <v>92</v>
      </c>
      <c r="I621" s="155" t="s">
        <v>528</v>
      </c>
      <c r="J621" s="174"/>
      <c r="K621" s="169" t="s">
        <v>151</v>
      </c>
    </row>
    <row r="622" spans="2:11" s="153" customFormat="1" ht="12.3">
      <c r="B622" s="170"/>
      <c r="C622" s="171"/>
      <c r="D622" s="168" t="s">
        <v>35</v>
      </c>
      <c r="E622" s="172"/>
      <c r="F622" s="173"/>
      <c r="G622" s="171"/>
      <c r="H622" s="155"/>
      <c r="I622" s="155"/>
      <c r="J622" s="174"/>
      <c r="K622" s="169"/>
    </row>
    <row r="623" spans="2:11">
      <c r="C623" s="186">
        <v>0.01</v>
      </c>
      <c r="D623" s="1603" t="s">
        <v>36</v>
      </c>
      <c r="E623" s="1603"/>
      <c r="F623" s="1603"/>
      <c r="G623" s="1603"/>
      <c r="H623" s="176" t="e">
        <f>#REF!</f>
        <v>#REF!</v>
      </c>
      <c r="I623" s="187" t="s">
        <v>594</v>
      </c>
      <c r="J623" s="159" t="s">
        <v>596</v>
      </c>
      <c r="K623" s="176" t="e">
        <f>ROUND(C623*H623,2)</f>
        <v>#REF!</v>
      </c>
    </row>
    <row r="624" spans="2:11">
      <c r="C624" s="177">
        <v>0.25</v>
      </c>
      <c r="D624" s="1603" t="s">
        <v>37</v>
      </c>
      <c r="E624" s="1603"/>
      <c r="F624" s="1603"/>
      <c r="G624" s="1603"/>
      <c r="H624" s="176" t="e">
        <f>#REF!</f>
        <v>#REF!</v>
      </c>
      <c r="I624" s="187" t="s">
        <v>594</v>
      </c>
      <c r="J624" s="159" t="s">
        <v>596</v>
      </c>
      <c r="K624" s="176" t="e">
        <f>ROUND(C624*H624,2)</f>
        <v>#REF!</v>
      </c>
    </row>
    <row r="625" spans="2:11">
      <c r="C625" s="177"/>
      <c r="D625" s="160"/>
      <c r="E625" s="160"/>
      <c r="F625" s="160"/>
      <c r="G625" s="160"/>
      <c r="H625" s="176"/>
      <c r="J625" s="159" t="s">
        <v>596</v>
      </c>
      <c r="K625" s="176" t="e">
        <f>SUM(K623:K624)</f>
        <v>#REF!</v>
      </c>
    </row>
    <row r="626" spans="2:11">
      <c r="C626" s="177">
        <f>MAX($K$9,$K$10,$K$11)</f>
        <v>0</v>
      </c>
      <c r="D626" s="1603" t="str">
        <f>CONCATENATE("add area allowance at ",$K$12*100, "% on Rs.",)</f>
        <v>add area allowance at 0% on Rs.</v>
      </c>
      <c r="E626" s="1603"/>
      <c r="F626" s="1603"/>
      <c r="G626" s="1603"/>
      <c r="H626" s="176" t="e">
        <f>K625</f>
        <v>#REF!</v>
      </c>
      <c r="J626" s="159" t="s">
        <v>596</v>
      </c>
      <c r="K626" s="176" t="e">
        <f>ROUND(C626*H626,2)</f>
        <v>#REF!</v>
      </c>
    </row>
    <row r="627" spans="2:11" ht="12.75" customHeight="1">
      <c r="C627" s="177"/>
      <c r="D627" s="157" t="s">
        <v>38</v>
      </c>
      <c r="E627" s="160"/>
      <c r="F627" s="160"/>
      <c r="G627" s="160"/>
      <c r="H627" s="176"/>
      <c r="J627" s="159" t="s">
        <v>596</v>
      </c>
      <c r="K627" s="176" t="e">
        <f>SUM(K625:K626)</f>
        <v>#REF!</v>
      </c>
    </row>
    <row r="628" spans="2:11">
      <c r="D628" s="168" t="s">
        <v>615</v>
      </c>
      <c r="E628" s="160"/>
      <c r="F628" s="160"/>
      <c r="G628" s="160"/>
      <c r="H628" s="176"/>
      <c r="K628" s="176"/>
    </row>
    <row r="629" spans="2:11" ht="27.75" customHeight="1">
      <c r="C629" s="175">
        <v>0.5</v>
      </c>
      <c r="D629" s="1603" t="s">
        <v>62</v>
      </c>
      <c r="E629" s="1603"/>
      <c r="F629" s="1603"/>
      <c r="G629" s="1603"/>
      <c r="H629" s="176">
        <f>$F$6</f>
        <v>428.6</v>
      </c>
      <c r="I629" s="156" t="str">
        <f>$K$6</f>
        <v>Hour</v>
      </c>
      <c r="J629" s="159" t="s">
        <v>596</v>
      </c>
      <c r="K629" s="176">
        <f>ROUND(C629*H629,2)</f>
        <v>214.3</v>
      </c>
    </row>
    <row r="630" spans="2:11" ht="27" customHeight="1">
      <c r="C630" s="177">
        <f>C629</f>
        <v>0.5</v>
      </c>
      <c r="D630" s="1603" t="s">
        <v>63</v>
      </c>
      <c r="E630" s="1603"/>
      <c r="F630" s="1603"/>
      <c r="G630" s="1603"/>
      <c r="H630" s="176">
        <f>$G$6</f>
        <v>352.5</v>
      </c>
      <c r="I630" s="156" t="str">
        <f>$K$6</f>
        <v>Hour</v>
      </c>
      <c r="J630" s="159" t="s">
        <v>596</v>
      </c>
      <c r="K630" s="176">
        <f>ROUND(C630*H630,2)</f>
        <v>176.25</v>
      </c>
    </row>
    <row r="631" spans="2:11" ht="27" customHeight="1">
      <c r="C631" s="177">
        <f>C629</f>
        <v>0.5</v>
      </c>
      <c r="D631" s="1603" t="s">
        <v>64</v>
      </c>
      <c r="E631" s="1603"/>
      <c r="F631" s="1603"/>
      <c r="G631" s="1603"/>
      <c r="H631" s="176">
        <f>$H$6</f>
        <v>211.6</v>
      </c>
      <c r="I631" s="156" t="str">
        <f>$K$6</f>
        <v>Hour</v>
      </c>
      <c r="J631" s="159" t="s">
        <v>596</v>
      </c>
      <c r="K631" s="176">
        <f>ROUND(C631*H631,2)</f>
        <v>105.8</v>
      </c>
    </row>
    <row r="632" spans="2:11">
      <c r="C632" s="177">
        <f>MAX($K$9,$K$10,$K$11)</f>
        <v>0</v>
      </c>
      <c r="D632" s="1603" t="str">
        <f>CONCATENATE("add area allowance at ",$K$12*100, "% on Rs.",)</f>
        <v>add area allowance at 0% on Rs.</v>
      </c>
      <c r="E632" s="1603"/>
      <c r="F632" s="1603"/>
      <c r="G632" s="1603"/>
      <c r="H632" s="176">
        <f>K631</f>
        <v>105.8</v>
      </c>
      <c r="J632" s="159" t="s">
        <v>596</v>
      </c>
      <c r="K632" s="176">
        <f>ROUND(C632*H632,2)</f>
        <v>0</v>
      </c>
    </row>
    <row r="633" spans="2:11">
      <c r="D633" s="157" t="s">
        <v>616</v>
      </c>
      <c r="E633" s="160"/>
      <c r="F633" s="160"/>
      <c r="G633" s="160"/>
      <c r="H633" s="176"/>
      <c r="J633" s="159" t="s">
        <v>596</v>
      </c>
      <c r="K633" s="176">
        <f>SUM(K629:K632)</f>
        <v>496.35</v>
      </c>
    </row>
    <row r="634" spans="2:11">
      <c r="D634" s="157" t="s">
        <v>617</v>
      </c>
      <c r="E634" s="160"/>
      <c r="F634" s="160"/>
      <c r="G634" s="160"/>
      <c r="H634" s="157"/>
      <c r="I634" s="157"/>
      <c r="J634" s="159" t="s">
        <v>596</v>
      </c>
      <c r="K634" s="176" t="e">
        <f>K627+K633</f>
        <v>#REF!</v>
      </c>
    </row>
    <row r="635" spans="2:11">
      <c r="D635" s="157" t="s">
        <v>190</v>
      </c>
      <c r="E635" s="188">
        <f>E621</f>
        <v>5.5</v>
      </c>
      <c r="F635" s="157" t="str">
        <f>F621</f>
        <v>Cum</v>
      </c>
      <c r="G635" s="160"/>
      <c r="H635" s="176"/>
      <c r="I635" s="157"/>
      <c r="J635" s="159" t="s">
        <v>596</v>
      </c>
      <c r="K635" s="176" t="e">
        <f>K634</f>
        <v>#REF!</v>
      </c>
    </row>
    <row r="636" spans="2:11">
      <c r="D636" s="157" t="s">
        <v>190</v>
      </c>
      <c r="E636" s="178">
        <v>1</v>
      </c>
      <c r="F636" s="179" t="str">
        <f>F621</f>
        <v>Cum</v>
      </c>
      <c r="J636" s="159" t="s">
        <v>596</v>
      </c>
      <c r="K636" s="156" t="e">
        <f>ROUND(K635/E621,2)</f>
        <v>#REF!</v>
      </c>
    </row>
    <row r="637" spans="2:11" ht="24.75" customHeight="1">
      <c r="C637" s="177">
        <f>$K$13</f>
        <v>0</v>
      </c>
      <c r="D637" s="1603" t="str">
        <f>CONCATENATE("add overheads and contractors profit at ",$K$13*100, "% on Rs.",)</f>
        <v>add overheads and contractors profit at 0% on Rs.</v>
      </c>
      <c r="E637" s="1603"/>
      <c r="F637" s="1603"/>
      <c r="G637" s="1603"/>
      <c r="H637" s="176" t="e">
        <f>K636</f>
        <v>#REF!</v>
      </c>
      <c r="J637" s="159" t="s">
        <v>596</v>
      </c>
      <c r="K637" s="176" t="e">
        <f>ROUND(C637*H637,2)</f>
        <v>#REF!</v>
      </c>
    </row>
    <row r="638" spans="2:11" s="153" customFormat="1">
      <c r="B638" s="170"/>
      <c r="C638" s="171"/>
      <c r="D638" s="157" t="s">
        <v>191</v>
      </c>
      <c r="E638" s="171"/>
      <c r="F638" s="180">
        <f>E636</f>
        <v>1</v>
      </c>
      <c r="G638" s="171" t="str">
        <f>F636</f>
        <v>Cum</v>
      </c>
      <c r="H638" s="170"/>
      <c r="I638" s="170"/>
      <c r="J638" s="169" t="s">
        <v>596</v>
      </c>
      <c r="K638" s="181" t="e">
        <f>SUM(K636:K637)</f>
        <v>#REF!</v>
      </c>
    </row>
    <row r="639" spans="2:11" s="153" customFormat="1">
      <c r="B639" s="170"/>
      <c r="C639" s="171"/>
      <c r="D639" s="157"/>
      <c r="E639" s="171"/>
      <c r="F639" s="180"/>
      <c r="G639" s="171"/>
      <c r="H639" s="170"/>
      <c r="I639" s="170"/>
      <c r="J639" s="169"/>
      <c r="K639" s="181"/>
    </row>
    <row r="640" spans="2:11" s="152" customFormat="1" ht="12.3">
      <c r="B640" s="155"/>
      <c r="C640" s="168" t="s">
        <v>39</v>
      </c>
      <c r="D640" s="168"/>
      <c r="E640" s="168"/>
      <c r="F640" s="168"/>
      <c r="G640" s="168"/>
      <c r="H640" s="155"/>
      <c r="I640" s="155"/>
      <c r="J640" s="169"/>
      <c r="K640" s="169"/>
    </row>
    <row r="641" spans="2:11" s="153" customFormat="1" ht="12.3">
      <c r="B641" s="170"/>
      <c r="C641" s="171" t="s">
        <v>543</v>
      </c>
      <c r="D641" s="170" t="s">
        <v>544</v>
      </c>
      <c r="E641" s="172">
        <v>5.5</v>
      </c>
      <c r="F641" s="173" t="s">
        <v>465</v>
      </c>
      <c r="G641" s="171"/>
      <c r="H641" s="155" t="s">
        <v>92</v>
      </c>
      <c r="I641" s="155" t="s">
        <v>528</v>
      </c>
      <c r="J641" s="174"/>
      <c r="K641" s="169" t="s">
        <v>151</v>
      </c>
    </row>
    <row r="642" spans="2:11" s="153" customFormat="1" ht="12.3">
      <c r="B642" s="170"/>
      <c r="C642" s="171"/>
      <c r="D642" s="168" t="s">
        <v>35</v>
      </c>
      <c r="E642" s="172"/>
      <c r="F642" s="173"/>
      <c r="G642" s="171"/>
      <c r="H642" s="155"/>
      <c r="I642" s="155"/>
      <c r="J642" s="174"/>
      <c r="K642" s="169"/>
    </row>
    <row r="643" spans="2:11">
      <c r="C643" s="189">
        <v>5.0000000000000001E-3</v>
      </c>
      <c r="D643" s="1603" t="s">
        <v>36</v>
      </c>
      <c r="E643" s="1603"/>
      <c r="F643" s="1603"/>
      <c r="G643" s="1603"/>
      <c r="H643" s="176" t="e">
        <f>#REF!</f>
        <v>#REF!</v>
      </c>
      <c r="I643" s="187" t="s">
        <v>594</v>
      </c>
      <c r="J643" s="159" t="s">
        <v>596</v>
      </c>
      <c r="K643" s="176" t="e">
        <f>ROUND(C643*H643,2)</f>
        <v>#REF!</v>
      </c>
    </row>
    <row r="644" spans="2:11">
      <c r="C644" s="190">
        <v>0.125</v>
      </c>
      <c r="D644" s="1603" t="s">
        <v>37</v>
      </c>
      <c r="E644" s="1603"/>
      <c r="F644" s="1603"/>
      <c r="G644" s="1603"/>
      <c r="H644" s="176" t="e">
        <f>#REF!</f>
        <v>#REF!</v>
      </c>
      <c r="I644" s="187" t="s">
        <v>594</v>
      </c>
      <c r="J644" s="159" t="s">
        <v>596</v>
      </c>
      <c r="K644" s="176" t="e">
        <f>ROUND(C644*H644,2)</f>
        <v>#REF!</v>
      </c>
    </row>
    <row r="645" spans="2:11">
      <c r="C645" s="177"/>
      <c r="D645" s="160"/>
      <c r="E645" s="160"/>
      <c r="F645" s="160"/>
      <c r="G645" s="160"/>
      <c r="H645" s="176"/>
      <c r="J645" s="159" t="s">
        <v>596</v>
      </c>
      <c r="K645" s="176" t="e">
        <f>SUM(K643:K644)</f>
        <v>#REF!</v>
      </c>
    </row>
    <row r="646" spans="2:11">
      <c r="C646" s="177">
        <f>MAX($K$9,$K$10,$K$11)</f>
        <v>0</v>
      </c>
      <c r="D646" s="1603" t="str">
        <f>CONCATENATE("add area allowance at ",$K$12*100, "% on Rs.",)</f>
        <v>add area allowance at 0% on Rs.</v>
      </c>
      <c r="E646" s="1603"/>
      <c r="F646" s="1603"/>
      <c r="G646" s="1603"/>
      <c r="H646" s="176" t="e">
        <f>K645</f>
        <v>#REF!</v>
      </c>
      <c r="J646" s="159" t="s">
        <v>596</v>
      </c>
      <c r="K646" s="176" t="e">
        <f>ROUND(C646*H646,2)</f>
        <v>#REF!</v>
      </c>
    </row>
    <row r="647" spans="2:11" ht="12.75" customHeight="1">
      <c r="C647" s="177"/>
      <c r="D647" s="157" t="s">
        <v>38</v>
      </c>
      <c r="E647" s="160"/>
      <c r="F647" s="160"/>
      <c r="G647" s="160"/>
      <c r="H647" s="176"/>
      <c r="J647" s="159" t="s">
        <v>596</v>
      </c>
      <c r="K647" s="176" t="e">
        <f>SUM(K645:K646)</f>
        <v>#REF!</v>
      </c>
    </row>
    <row r="648" spans="2:11">
      <c r="D648" s="168" t="s">
        <v>615</v>
      </c>
      <c r="E648" s="160"/>
      <c r="F648" s="160"/>
      <c r="G648" s="160"/>
      <c r="H648" s="176"/>
      <c r="K648" s="176"/>
    </row>
    <row r="649" spans="2:11" ht="27.75" customHeight="1">
      <c r="C649" s="192">
        <v>0.16600000000000001</v>
      </c>
      <c r="D649" s="1603" t="s">
        <v>62</v>
      </c>
      <c r="E649" s="1603"/>
      <c r="F649" s="1603"/>
      <c r="G649" s="1603"/>
      <c r="H649" s="176">
        <f>$F$6</f>
        <v>428.6</v>
      </c>
      <c r="I649" s="156" t="str">
        <f>$K$6</f>
        <v>Hour</v>
      </c>
      <c r="J649" s="159" t="s">
        <v>596</v>
      </c>
      <c r="K649" s="176">
        <f>ROUND(C649*H649,2)</f>
        <v>71.150000000000006</v>
      </c>
    </row>
    <row r="650" spans="2:11" ht="27" customHeight="1">
      <c r="C650" s="190">
        <f>C649</f>
        <v>0.16600000000000001</v>
      </c>
      <c r="D650" s="1603" t="s">
        <v>63</v>
      </c>
      <c r="E650" s="1603"/>
      <c r="F650" s="1603"/>
      <c r="G650" s="1603"/>
      <c r="H650" s="176">
        <f>$G$6</f>
        <v>352.5</v>
      </c>
      <c r="I650" s="156" t="str">
        <f>$K$6</f>
        <v>Hour</v>
      </c>
      <c r="J650" s="159" t="s">
        <v>596</v>
      </c>
      <c r="K650" s="176">
        <f>ROUND(C650*H650,2)</f>
        <v>58.52</v>
      </c>
    </row>
    <row r="651" spans="2:11" ht="27" customHeight="1">
      <c r="C651" s="190">
        <f>C649</f>
        <v>0.16600000000000001</v>
      </c>
      <c r="D651" s="1603" t="s">
        <v>64</v>
      </c>
      <c r="E651" s="1603"/>
      <c r="F651" s="1603"/>
      <c r="G651" s="1603"/>
      <c r="H651" s="176">
        <f>$H$6</f>
        <v>211.6</v>
      </c>
      <c r="I651" s="156" t="str">
        <f>$K$6</f>
        <v>Hour</v>
      </c>
      <c r="J651" s="159" t="s">
        <v>596</v>
      </c>
      <c r="K651" s="176">
        <f>ROUND(C651*H651,2)</f>
        <v>35.130000000000003</v>
      </c>
    </row>
    <row r="652" spans="2:11">
      <c r="C652" s="177">
        <f>MAX($K$9,$K$10,$K$11)</f>
        <v>0</v>
      </c>
      <c r="D652" s="1603" t="str">
        <f>CONCATENATE("add area allowance at ",$K$12*100, "% on Rs.",)</f>
        <v>add area allowance at 0% on Rs.</v>
      </c>
      <c r="E652" s="1603"/>
      <c r="F652" s="1603"/>
      <c r="G652" s="1603"/>
      <c r="H652" s="176">
        <f>K651</f>
        <v>35.130000000000003</v>
      </c>
      <c r="J652" s="159" t="s">
        <v>596</v>
      </c>
      <c r="K652" s="176">
        <f>ROUND(C652*H652,2)</f>
        <v>0</v>
      </c>
    </row>
    <row r="653" spans="2:11">
      <c r="D653" s="157" t="s">
        <v>616</v>
      </c>
      <c r="E653" s="160"/>
      <c r="F653" s="160"/>
      <c r="G653" s="160"/>
      <c r="H653" s="176"/>
      <c r="J653" s="159" t="s">
        <v>596</v>
      </c>
      <c r="K653" s="176">
        <f>SUM(K649:K652)</f>
        <v>164.8</v>
      </c>
    </row>
    <row r="654" spans="2:11">
      <c r="D654" s="157" t="s">
        <v>617</v>
      </c>
      <c r="E654" s="160"/>
      <c r="F654" s="160"/>
      <c r="G654" s="160"/>
      <c r="H654" s="157"/>
      <c r="I654" s="157"/>
      <c r="J654" s="159" t="s">
        <v>596</v>
      </c>
      <c r="K654" s="176" t="e">
        <f>K647+K653</f>
        <v>#REF!</v>
      </c>
    </row>
    <row r="655" spans="2:11">
      <c r="D655" s="157" t="s">
        <v>190</v>
      </c>
      <c r="E655" s="188">
        <f>E641</f>
        <v>5.5</v>
      </c>
      <c r="F655" s="157" t="str">
        <f>F641</f>
        <v>Cum</v>
      </c>
      <c r="G655" s="160"/>
      <c r="H655" s="176"/>
      <c r="I655" s="157"/>
      <c r="J655" s="159" t="s">
        <v>596</v>
      </c>
      <c r="K655" s="176" t="e">
        <f>K654</f>
        <v>#REF!</v>
      </c>
    </row>
    <row r="656" spans="2:11">
      <c r="D656" s="157" t="s">
        <v>190</v>
      </c>
      <c r="E656" s="178">
        <v>1</v>
      </c>
      <c r="F656" s="179" t="str">
        <f>F641</f>
        <v>Cum</v>
      </c>
      <c r="J656" s="159" t="s">
        <v>596</v>
      </c>
      <c r="K656" s="156" t="e">
        <f>ROUND(K655/E641,2)</f>
        <v>#REF!</v>
      </c>
    </row>
    <row r="657" spans="2:11" ht="24.75" customHeight="1">
      <c r="C657" s="177">
        <f>$K$13</f>
        <v>0</v>
      </c>
      <c r="D657" s="1603" t="str">
        <f>CONCATENATE("add overheads and contractors profit at ",$K$13*100, "% on Rs.",)</f>
        <v>add overheads and contractors profit at 0% on Rs.</v>
      </c>
      <c r="E657" s="1603"/>
      <c r="F657" s="1603"/>
      <c r="G657" s="1603"/>
      <c r="H657" s="176" t="e">
        <f>K656</f>
        <v>#REF!</v>
      </c>
      <c r="J657" s="159" t="s">
        <v>596</v>
      </c>
      <c r="K657" s="176" t="e">
        <f>ROUND(C657*H657,2)</f>
        <v>#REF!</v>
      </c>
    </row>
    <row r="658" spans="2:11" s="153" customFormat="1">
      <c r="B658" s="170"/>
      <c r="C658" s="171"/>
      <c r="D658" s="157" t="s">
        <v>191</v>
      </c>
      <c r="E658" s="171"/>
      <c r="F658" s="180">
        <f>E656</f>
        <v>1</v>
      </c>
      <c r="G658" s="171" t="str">
        <f>F656</f>
        <v>Cum</v>
      </c>
      <c r="H658" s="170"/>
      <c r="I658" s="170"/>
      <c r="J658" s="169" t="s">
        <v>596</v>
      </c>
      <c r="K658" s="181" t="e">
        <f>SUM(K656:K657)</f>
        <v>#REF!</v>
      </c>
    </row>
    <row r="659" spans="2:11" s="153" customFormat="1">
      <c r="B659" s="170"/>
      <c r="C659" s="171"/>
      <c r="D659" s="157"/>
      <c r="E659" s="171"/>
      <c r="F659" s="180"/>
      <c r="G659" s="171"/>
      <c r="H659" s="170"/>
      <c r="I659" s="170"/>
      <c r="J659" s="169"/>
      <c r="K659" s="181"/>
    </row>
    <row r="660" spans="2:11" s="152" customFormat="1" ht="30" customHeight="1">
      <c r="B660" s="155" t="s">
        <v>111</v>
      </c>
      <c r="C660" s="1605" t="s">
        <v>618</v>
      </c>
      <c r="D660" s="1605"/>
      <c r="E660" s="1605"/>
      <c r="F660" s="1605"/>
      <c r="G660" s="1605"/>
      <c r="H660" s="1605"/>
      <c r="I660" s="1605"/>
      <c r="J660" s="1605"/>
      <c r="K660" s="1605"/>
    </row>
    <row r="661" spans="2:11" s="152" customFormat="1" ht="12.3">
      <c r="B661" s="155"/>
      <c r="C661" s="168" t="s">
        <v>34</v>
      </c>
      <c r="D661" s="168"/>
      <c r="E661" s="168"/>
      <c r="F661" s="168"/>
      <c r="G661" s="168"/>
      <c r="H661" s="155"/>
      <c r="I661" s="155"/>
      <c r="J661" s="169"/>
      <c r="K661" s="169"/>
    </row>
    <row r="662" spans="2:11" s="153" customFormat="1" ht="12.3">
      <c r="B662" s="170"/>
      <c r="C662" s="171" t="s">
        <v>543</v>
      </c>
      <c r="D662" s="170" t="s">
        <v>544</v>
      </c>
      <c r="E662" s="172">
        <v>5.5</v>
      </c>
      <c r="F662" s="173" t="s">
        <v>465</v>
      </c>
      <c r="G662" s="171"/>
      <c r="H662" s="155" t="s">
        <v>92</v>
      </c>
      <c r="I662" s="155" t="s">
        <v>528</v>
      </c>
      <c r="J662" s="174"/>
      <c r="K662" s="169" t="s">
        <v>151</v>
      </c>
    </row>
    <row r="663" spans="2:11" s="153" customFormat="1" ht="12.3">
      <c r="B663" s="170"/>
      <c r="C663" s="171"/>
      <c r="D663" s="168" t="s">
        <v>35</v>
      </c>
      <c r="E663" s="172"/>
      <c r="F663" s="173"/>
      <c r="G663" s="171"/>
      <c r="H663" s="155"/>
      <c r="I663" s="155"/>
      <c r="J663" s="174"/>
      <c r="K663" s="169"/>
    </row>
    <row r="664" spans="2:11">
      <c r="C664" s="186">
        <v>0.02</v>
      </c>
      <c r="D664" s="1603" t="s">
        <v>36</v>
      </c>
      <c r="E664" s="1603"/>
      <c r="F664" s="1603"/>
      <c r="G664" s="1603"/>
      <c r="H664" s="176" t="e">
        <f>#REF!</f>
        <v>#REF!</v>
      </c>
      <c r="I664" s="187" t="s">
        <v>594</v>
      </c>
      <c r="J664" s="159" t="s">
        <v>596</v>
      </c>
      <c r="K664" s="176" t="e">
        <f>ROUND(C664*H664,2)</f>
        <v>#REF!</v>
      </c>
    </row>
    <row r="665" spans="2:11">
      <c r="C665" s="177">
        <v>0.5</v>
      </c>
      <c r="D665" s="1603" t="s">
        <v>37</v>
      </c>
      <c r="E665" s="1603"/>
      <c r="F665" s="1603"/>
      <c r="G665" s="1603"/>
      <c r="H665" s="176" t="e">
        <f>#REF!</f>
        <v>#REF!</v>
      </c>
      <c r="I665" s="187" t="s">
        <v>594</v>
      </c>
      <c r="J665" s="159" t="s">
        <v>596</v>
      </c>
      <c r="K665" s="176" t="e">
        <f>ROUND(C665*H665,2)</f>
        <v>#REF!</v>
      </c>
    </row>
    <row r="666" spans="2:11">
      <c r="C666" s="177"/>
      <c r="D666" s="160"/>
      <c r="E666" s="160"/>
      <c r="F666" s="160"/>
      <c r="G666" s="160"/>
      <c r="H666" s="176"/>
      <c r="J666" s="159" t="s">
        <v>596</v>
      </c>
      <c r="K666" s="176" t="e">
        <f>SUM(K664:K665)</f>
        <v>#REF!</v>
      </c>
    </row>
    <row r="667" spans="2:11">
      <c r="C667" s="177">
        <f>MAX($K$9,$K$10,$K$11)</f>
        <v>0</v>
      </c>
      <c r="D667" s="1603" t="str">
        <f>CONCATENATE("add area allowance at ",$K$12*100, "% on Rs.",)</f>
        <v>add area allowance at 0% on Rs.</v>
      </c>
      <c r="E667" s="1603"/>
      <c r="F667" s="1603"/>
      <c r="G667" s="1603"/>
      <c r="H667" s="176" t="e">
        <f>K666</f>
        <v>#REF!</v>
      </c>
      <c r="J667" s="159" t="s">
        <v>596</v>
      </c>
      <c r="K667" s="176" t="e">
        <f>ROUND(C667*H667,2)</f>
        <v>#REF!</v>
      </c>
    </row>
    <row r="668" spans="2:11" ht="12.75" customHeight="1">
      <c r="C668" s="177"/>
      <c r="D668" s="157" t="s">
        <v>38</v>
      </c>
      <c r="E668" s="160"/>
      <c r="F668" s="160"/>
      <c r="G668" s="160"/>
      <c r="H668" s="176"/>
      <c r="J668" s="159" t="s">
        <v>596</v>
      </c>
      <c r="K668" s="176" t="e">
        <f>SUM(K666:K667)</f>
        <v>#REF!</v>
      </c>
    </row>
    <row r="669" spans="2:11">
      <c r="D669" s="168" t="s">
        <v>615</v>
      </c>
      <c r="E669" s="160"/>
      <c r="F669" s="160"/>
      <c r="G669" s="160"/>
      <c r="H669" s="176"/>
      <c r="K669" s="176"/>
    </row>
    <row r="670" spans="2:11" ht="27.75" customHeight="1">
      <c r="C670" s="175">
        <v>0.5</v>
      </c>
      <c r="D670" s="1603" t="s">
        <v>62</v>
      </c>
      <c r="E670" s="1603"/>
      <c r="F670" s="1603"/>
      <c r="G670" s="1603"/>
      <c r="H670" s="176">
        <f>$F$6</f>
        <v>428.6</v>
      </c>
      <c r="I670" s="156" t="str">
        <f>$K$6</f>
        <v>Hour</v>
      </c>
      <c r="J670" s="159" t="s">
        <v>596</v>
      </c>
      <c r="K670" s="176">
        <f>ROUND(C670*H670,2)</f>
        <v>214.3</v>
      </c>
    </row>
    <row r="671" spans="2:11" ht="27" customHeight="1">
      <c r="C671" s="177">
        <f>C670</f>
        <v>0.5</v>
      </c>
      <c r="D671" s="1603" t="s">
        <v>63</v>
      </c>
      <c r="E671" s="1603"/>
      <c r="F671" s="1603"/>
      <c r="G671" s="1603"/>
      <c r="H671" s="176">
        <f>$G$6</f>
        <v>352.5</v>
      </c>
      <c r="I671" s="156" t="str">
        <f>$K$6</f>
        <v>Hour</v>
      </c>
      <c r="J671" s="159" t="s">
        <v>596</v>
      </c>
      <c r="K671" s="176">
        <f>ROUND(C671*H671,2)</f>
        <v>176.25</v>
      </c>
    </row>
    <row r="672" spans="2:11" ht="27" customHeight="1">
      <c r="C672" s="177">
        <f>C670</f>
        <v>0.5</v>
      </c>
      <c r="D672" s="1603" t="s">
        <v>64</v>
      </c>
      <c r="E672" s="1603"/>
      <c r="F672" s="1603"/>
      <c r="G672" s="1603"/>
      <c r="H672" s="176">
        <f>$H$6</f>
        <v>211.6</v>
      </c>
      <c r="I672" s="156" t="str">
        <f>$K$6</f>
        <v>Hour</v>
      </c>
      <c r="J672" s="159" t="s">
        <v>596</v>
      </c>
      <c r="K672" s="176">
        <f>ROUND(C672*H672,2)</f>
        <v>105.8</v>
      </c>
    </row>
    <row r="673" spans="2:11">
      <c r="C673" s="177">
        <f>MAX($K$9,$K$10,$K$11)</f>
        <v>0</v>
      </c>
      <c r="D673" s="1603" t="str">
        <f>CONCATENATE("add area allowance at ",$K$12*100, "% on Rs.",)</f>
        <v>add area allowance at 0% on Rs.</v>
      </c>
      <c r="E673" s="1603"/>
      <c r="F673" s="1603"/>
      <c r="G673" s="1603"/>
      <c r="H673" s="176">
        <f>K672</f>
        <v>105.8</v>
      </c>
      <c r="J673" s="159" t="s">
        <v>596</v>
      </c>
      <c r="K673" s="176">
        <f>ROUND(C673*H673,2)</f>
        <v>0</v>
      </c>
    </row>
    <row r="674" spans="2:11">
      <c r="D674" s="157" t="s">
        <v>616</v>
      </c>
      <c r="E674" s="160"/>
      <c r="F674" s="160"/>
      <c r="G674" s="160"/>
      <c r="H674" s="176"/>
      <c r="J674" s="159" t="s">
        <v>596</v>
      </c>
      <c r="K674" s="176">
        <f>SUM(K670:K673)</f>
        <v>496.35</v>
      </c>
    </row>
    <row r="675" spans="2:11">
      <c r="D675" s="157" t="s">
        <v>617</v>
      </c>
      <c r="E675" s="160"/>
      <c r="F675" s="160"/>
      <c r="G675" s="160"/>
      <c r="H675" s="157"/>
      <c r="I675" s="157"/>
      <c r="J675" s="159" t="s">
        <v>596</v>
      </c>
      <c r="K675" s="176" t="e">
        <f>K668+K674</f>
        <v>#REF!</v>
      </c>
    </row>
    <row r="676" spans="2:11">
      <c r="D676" s="157" t="s">
        <v>190</v>
      </c>
      <c r="E676" s="188">
        <f>E662</f>
        <v>5.5</v>
      </c>
      <c r="F676" s="157" t="str">
        <f>F662</f>
        <v>Cum</v>
      </c>
      <c r="G676" s="160"/>
      <c r="H676" s="176"/>
      <c r="I676" s="157"/>
      <c r="J676" s="159" t="s">
        <v>596</v>
      </c>
      <c r="K676" s="176" t="e">
        <f>K675</f>
        <v>#REF!</v>
      </c>
    </row>
    <row r="677" spans="2:11">
      <c r="D677" s="157" t="s">
        <v>190</v>
      </c>
      <c r="E677" s="178">
        <v>1</v>
      </c>
      <c r="F677" s="179" t="str">
        <f>F662</f>
        <v>Cum</v>
      </c>
      <c r="J677" s="159" t="s">
        <v>596</v>
      </c>
      <c r="K677" s="156" t="e">
        <f>ROUND(K676/E662,2)</f>
        <v>#REF!</v>
      </c>
    </row>
    <row r="678" spans="2:11" ht="24.75" customHeight="1">
      <c r="C678" s="177">
        <f>$K$13</f>
        <v>0</v>
      </c>
      <c r="D678" s="1603" t="str">
        <f>CONCATENATE("add overheads and contractors profit at ",$K$13*100, "% on Rs.",)</f>
        <v>add overheads and contractors profit at 0% on Rs.</v>
      </c>
      <c r="E678" s="1603"/>
      <c r="F678" s="1603"/>
      <c r="G678" s="1603"/>
      <c r="H678" s="176" t="e">
        <f>K677</f>
        <v>#REF!</v>
      </c>
      <c r="J678" s="159" t="s">
        <v>596</v>
      </c>
      <c r="K678" s="176" t="e">
        <f>ROUND(C678*H678,2)</f>
        <v>#REF!</v>
      </c>
    </row>
    <row r="679" spans="2:11" s="153" customFormat="1">
      <c r="B679" s="170"/>
      <c r="C679" s="171"/>
      <c r="D679" s="157" t="s">
        <v>191</v>
      </c>
      <c r="E679" s="171"/>
      <c r="F679" s="180">
        <f>E677</f>
        <v>1</v>
      </c>
      <c r="G679" s="171" t="str">
        <f>F677</f>
        <v>Cum</v>
      </c>
      <c r="H679" s="170"/>
      <c r="I679" s="170"/>
      <c r="J679" s="169" t="s">
        <v>596</v>
      </c>
      <c r="K679" s="181" t="e">
        <f>SUM(K677:K678)</f>
        <v>#REF!</v>
      </c>
    </row>
    <row r="681" spans="2:11" s="152" customFormat="1" ht="12.3">
      <c r="B681" s="155"/>
      <c r="C681" s="168" t="s">
        <v>39</v>
      </c>
      <c r="D681" s="168"/>
      <c r="E681" s="168"/>
      <c r="F681" s="168"/>
      <c r="G681" s="168"/>
      <c r="H681" s="155"/>
      <c r="I681" s="155"/>
      <c r="J681" s="169"/>
      <c r="K681" s="169"/>
    </row>
    <row r="682" spans="2:11" s="153" customFormat="1" ht="12.3">
      <c r="B682" s="170"/>
      <c r="C682" s="171" t="s">
        <v>543</v>
      </c>
      <c r="D682" s="170" t="s">
        <v>544</v>
      </c>
      <c r="E682" s="172">
        <v>5.5</v>
      </c>
      <c r="F682" s="173" t="s">
        <v>465</v>
      </c>
      <c r="G682" s="171"/>
      <c r="H682" s="155" t="s">
        <v>92</v>
      </c>
      <c r="I682" s="155" t="s">
        <v>528</v>
      </c>
      <c r="J682" s="174"/>
      <c r="K682" s="169" t="s">
        <v>151</v>
      </c>
    </row>
    <row r="683" spans="2:11" s="153" customFormat="1" ht="12.3">
      <c r="B683" s="170"/>
      <c r="C683" s="171"/>
      <c r="D683" s="168" t="s">
        <v>35</v>
      </c>
      <c r="E683" s="172"/>
      <c r="F683" s="173"/>
      <c r="G683" s="171"/>
      <c r="H683" s="155"/>
      <c r="I683" s="155"/>
      <c r="J683" s="174"/>
      <c r="K683" s="169"/>
    </row>
    <row r="684" spans="2:11">
      <c r="C684" s="186">
        <v>0.01</v>
      </c>
      <c r="D684" s="1603" t="s">
        <v>36</v>
      </c>
      <c r="E684" s="1603"/>
      <c r="F684" s="1603"/>
      <c r="G684" s="1603"/>
      <c r="H684" s="176" t="e">
        <f>#REF!</f>
        <v>#REF!</v>
      </c>
      <c r="I684" s="187" t="s">
        <v>594</v>
      </c>
      <c r="J684" s="159" t="s">
        <v>596</v>
      </c>
      <c r="K684" s="176" t="e">
        <f>ROUND(C684*H684,2)</f>
        <v>#REF!</v>
      </c>
    </row>
    <row r="685" spans="2:11">
      <c r="C685" s="177">
        <v>0.25</v>
      </c>
      <c r="D685" s="1603" t="s">
        <v>37</v>
      </c>
      <c r="E685" s="1603"/>
      <c r="F685" s="1603"/>
      <c r="G685" s="1603"/>
      <c r="H685" s="176" t="e">
        <f>#REF!</f>
        <v>#REF!</v>
      </c>
      <c r="I685" s="187" t="s">
        <v>594</v>
      </c>
      <c r="J685" s="159" t="s">
        <v>596</v>
      </c>
      <c r="K685" s="176" t="e">
        <f>ROUND(C685*H685,2)</f>
        <v>#REF!</v>
      </c>
    </row>
    <row r="686" spans="2:11">
      <c r="C686" s="177"/>
      <c r="D686" s="160"/>
      <c r="E686" s="160"/>
      <c r="F686" s="160"/>
      <c r="G686" s="160"/>
      <c r="H686" s="176"/>
      <c r="J686" s="159" t="s">
        <v>596</v>
      </c>
      <c r="K686" s="176" t="e">
        <f>SUM(K684:K685)</f>
        <v>#REF!</v>
      </c>
    </row>
    <row r="687" spans="2:11">
      <c r="C687" s="177">
        <f>MAX($K$9,$K$10,$K$11)</f>
        <v>0</v>
      </c>
      <c r="D687" s="1603" t="str">
        <f>CONCATENATE("add area allowance at ",$K$12*100, "% on Rs.",)</f>
        <v>add area allowance at 0% on Rs.</v>
      </c>
      <c r="E687" s="1603"/>
      <c r="F687" s="1603"/>
      <c r="G687" s="1603"/>
      <c r="H687" s="176" t="e">
        <f>K686</f>
        <v>#REF!</v>
      </c>
      <c r="J687" s="159" t="s">
        <v>596</v>
      </c>
      <c r="K687" s="176" t="e">
        <f>ROUND(C687*H687,2)</f>
        <v>#REF!</v>
      </c>
    </row>
    <row r="688" spans="2:11" ht="12.75" customHeight="1">
      <c r="C688" s="177"/>
      <c r="D688" s="157" t="s">
        <v>38</v>
      </c>
      <c r="E688" s="160"/>
      <c r="F688" s="160"/>
      <c r="G688" s="160"/>
      <c r="H688" s="176"/>
      <c r="J688" s="159" t="s">
        <v>596</v>
      </c>
      <c r="K688" s="176" t="e">
        <f>SUM(K686:K687)</f>
        <v>#REF!</v>
      </c>
    </row>
    <row r="689" spans="2:11">
      <c r="D689" s="168" t="s">
        <v>615</v>
      </c>
      <c r="E689" s="160"/>
      <c r="F689" s="160"/>
      <c r="G689" s="160"/>
      <c r="H689" s="176"/>
      <c r="K689" s="176"/>
    </row>
    <row r="690" spans="2:11" ht="27.75" customHeight="1">
      <c r="C690" s="175">
        <v>0.25</v>
      </c>
      <c r="D690" s="1603" t="s">
        <v>62</v>
      </c>
      <c r="E690" s="1603"/>
      <c r="F690" s="1603"/>
      <c r="G690" s="1603"/>
      <c r="H690" s="176">
        <f>$F$6</f>
        <v>428.6</v>
      </c>
      <c r="I690" s="156" t="str">
        <f>$K$6</f>
        <v>Hour</v>
      </c>
      <c r="J690" s="159" t="s">
        <v>596</v>
      </c>
      <c r="K690" s="176">
        <f>ROUND(C690*H690,2)</f>
        <v>107.15</v>
      </c>
    </row>
    <row r="691" spans="2:11" ht="27" customHeight="1">
      <c r="C691" s="177">
        <f>C690</f>
        <v>0.25</v>
      </c>
      <c r="D691" s="1603" t="s">
        <v>63</v>
      </c>
      <c r="E691" s="1603"/>
      <c r="F691" s="1603"/>
      <c r="G691" s="1603"/>
      <c r="H691" s="176">
        <f>$G$6</f>
        <v>352.5</v>
      </c>
      <c r="I691" s="156" t="str">
        <f>$K$6</f>
        <v>Hour</v>
      </c>
      <c r="J691" s="159" t="s">
        <v>596</v>
      </c>
      <c r="K691" s="176">
        <f>ROUND(C691*H691,2)</f>
        <v>88.13</v>
      </c>
    </row>
    <row r="692" spans="2:11" ht="27" customHeight="1">
      <c r="C692" s="177">
        <f>C690</f>
        <v>0.25</v>
      </c>
      <c r="D692" s="1603" t="s">
        <v>64</v>
      </c>
      <c r="E692" s="1603"/>
      <c r="F692" s="1603"/>
      <c r="G692" s="1603"/>
      <c r="H692" s="176">
        <f>$H$6</f>
        <v>211.6</v>
      </c>
      <c r="I692" s="156" t="str">
        <f>$K$6</f>
        <v>Hour</v>
      </c>
      <c r="J692" s="159" t="s">
        <v>596</v>
      </c>
      <c r="K692" s="176">
        <f>ROUND(C692*H692,2)</f>
        <v>52.9</v>
      </c>
    </row>
    <row r="693" spans="2:11">
      <c r="C693" s="177">
        <f>MAX($K$9,$K$10,$K$11)</f>
        <v>0</v>
      </c>
      <c r="D693" s="1603" t="str">
        <f>CONCATENATE("add area allowance at ",$K$12*100, "% on Rs.",)</f>
        <v>add area allowance at 0% on Rs.</v>
      </c>
      <c r="E693" s="1603"/>
      <c r="F693" s="1603"/>
      <c r="G693" s="1603"/>
      <c r="H693" s="176">
        <f>K692</f>
        <v>52.9</v>
      </c>
      <c r="J693" s="159" t="s">
        <v>596</v>
      </c>
      <c r="K693" s="176">
        <f>ROUND(C693*H693,2)</f>
        <v>0</v>
      </c>
    </row>
    <row r="694" spans="2:11">
      <c r="D694" s="157" t="s">
        <v>616</v>
      </c>
      <c r="E694" s="160"/>
      <c r="F694" s="160"/>
      <c r="G694" s="160"/>
      <c r="H694" s="176"/>
      <c r="J694" s="159" t="s">
        <v>596</v>
      </c>
      <c r="K694" s="176">
        <f>SUM(K690:K693)</f>
        <v>248.18</v>
      </c>
    </row>
    <row r="695" spans="2:11">
      <c r="D695" s="157" t="s">
        <v>617</v>
      </c>
      <c r="E695" s="160"/>
      <c r="F695" s="160"/>
      <c r="G695" s="160"/>
      <c r="H695" s="157"/>
      <c r="I695" s="157"/>
      <c r="J695" s="159" t="s">
        <v>596</v>
      </c>
      <c r="K695" s="176" t="e">
        <f>K688+K694</f>
        <v>#REF!</v>
      </c>
    </row>
    <row r="696" spans="2:11">
      <c r="D696" s="157" t="s">
        <v>190</v>
      </c>
      <c r="E696" s="188">
        <f>E682</f>
        <v>5.5</v>
      </c>
      <c r="F696" s="157" t="str">
        <f>F682</f>
        <v>Cum</v>
      </c>
      <c r="G696" s="160"/>
      <c r="H696" s="176"/>
      <c r="I696" s="157"/>
      <c r="J696" s="159" t="s">
        <v>596</v>
      </c>
      <c r="K696" s="176" t="e">
        <f>K695</f>
        <v>#REF!</v>
      </c>
    </row>
    <row r="697" spans="2:11">
      <c r="D697" s="157" t="s">
        <v>190</v>
      </c>
      <c r="E697" s="178">
        <v>1</v>
      </c>
      <c r="F697" s="179" t="str">
        <f>F682</f>
        <v>Cum</v>
      </c>
      <c r="J697" s="159" t="s">
        <v>596</v>
      </c>
      <c r="K697" s="156" t="e">
        <f>ROUND(K696/E682,2)</f>
        <v>#REF!</v>
      </c>
    </row>
    <row r="698" spans="2:11" ht="24.75" customHeight="1">
      <c r="C698" s="177">
        <f>$K$13</f>
        <v>0</v>
      </c>
      <c r="D698" s="1603" t="str">
        <f>CONCATENATE("add overheads and contractors profit at ",$K$13*100, "% on Rs.",)</f>
        <v>add overheads and contractors profit at 0% on Rs.</v>
      </c>
      <c r="E698" s="1603"/>
      <c r="F698" s="1603"/>
      <c r="G698" s="1603"/>
      <c r="H698" s="176" t="e">
        <f>K697</f>
        <v>#REF!</v>
      </c>
      <c r="J698" s="159" t="s">
        <v>596</v>
      </c>
      <c r="K698" s="176" t="e">
        <f>ROUND(C698*H698,2)</f>
        <v>#REF!</v>
      </c>
    </row>
    <row r="699" spans="2:11" s="153" customFormat="1">
      <c r="B699" s="170"/>
      <c r="C699" s="171"/>
      <c r="D699" s="157" t="s">
        <v>191</v>
      </c>
      <c r="E699" s="171"/>
      <c r="F699" s="180">
        <f>E697</f>
        <v>1</v>
      </c>
      <c r="G699" s="171" t="str">
        <f>F697</f>
        <v>Cum</v>
      </c>
      <c r="H699" s="170"/>
      <c r="I699" s="170"/>
      <c r="J699" s="169" t="s">
        <v>596</v>
      </c>
      <c r="K699" s="181" t="e">
        <f>SUM(K697:K698)</f>
        <v>#REF!</v>
      </c>
    </row>
    <row r="701" spans="2:11" s="152" customFormat="1" ht="15" customHeight="1">
      <c r="B701" s="155" t="s">
        <v>549</v>
      </c>
      <c r="C701" s="1605" t="s">
        <v>532</v>
      </c>
      <c r="D701" s="1605"/>
      <c r="E701" s="1605"/>
      <c r="F701" s="1605"/>
      <c r="G701" s="1605"/>
      <c r="H701" s="1605"/>
      <c r="I701" s="1605"/>
      <c r="J701" s="1605"/>
      <c r="K701" s="1605"/>
    </row>
    <row r="702" spans="2:11" s="152" customFormat="1" ht="12.3">
      <c r="B702" s="155"/>
      <c r="C702" s="168" t="s">
        <v>34</v>
      </c>
      <c r="D702" s="168"/>
      <c r="E702" s="168"/>
      <c r="F702" s="168"/>
      <c r="G702" s="168"/>
      <c r="H702" s="155"/>
      <c r="I702" s="155"/>
      <c r="J702" s="169"/>
      <c r="K702" s="169"/>
    </row>
    <row r="703" spans="2:11" s="153" customFormat="1" ht="12.3">
      <c r="B703" s="170"/>
      <c r="C703" s="171" t="s">
        <v>543</v>
      </c>
      <c r="D703" s="170" t="s">
        <v>544</v>
      </c>
      <c r="E703" s="172">
        <v>10</v>
      </c>
      <c r="F703" s="173" t="s">
        <v>50</v>
      </c>
      <c r="G703" s="171"/>
      <c r="H703" s="155" t="s">
        <v>92</v>
      </c>
      <c r="I703" s="155" t="s">
        <v>528</v>
      </c>
      <c r="J703" s="174"/>
      <c r="K703" s="169" t="s">
        <v>151</v>
      </c>
    </row>
    <row r="704" spans="2:11" s="153" customFormat="1" ht="12.3">
      <c r="B704" s="170"/>
      <c r="C704" s="171"/>
      <c r="D704" s="168" t="s">
        <v>35</v>
      </c>
      <c r="E704" s="172"/>
      <c r="F704" s="173"/>
      <c r="G704" s="171"/>
      <c r="H704" s="155"/>
      <c r="I704" s="155"/>
      <c r="J704" s="174"/>
      <c r="K704" s="169"/>
    </row>
    <row r="705" spans="2:11">
      <c r="C705" s="186">
        <v>0.06</v>
      </c>
      <c r="D705" s="1603" t="s">
        <v>36</v>
      </c>
      <c r="E705" s="1603"/>
      <c r="F705" s="1603"/>
      <c r="G705" s="1603"/>
      <c r="H705" s="176" t="e">
        <f>#REF!</f>
        <v>#REF!</v>
      </c>
      <c r="I705" s="187" t="s">
        <v>594</v>
      </c>
      <c r="J705" s="159" t="s">
        <v>596</v>
      </c>
      <c r="K705" s="176" t="e">
        <f>ROUND(C705*H705,2)</f>
        <v>#REF!</v>
      </c>
    </row>
    <row r="706" spans="2:11">
      <c r="C706" s="177">
        <v>1.5</v>
      </c>
      <c r="D706" s="1603" t="s">
        <v>37</v>
      </c>
      <c r="E706" s="1603"/>
      <c r="F706" s="1603"/>
      <c r="G706" s="1603"/>
      <c r="H706" s="176" t="e">
        <f>#REF!</f>
        <v>#REF!</v>
      </c>
      <c r="I706" s="187" t="s">
        <v>594</v>
      </c>
      <c r="J706" s="159" t="s">
        <v>596</v>
      </c>
      <c r="K706" s="176" t="e">
        <f>ROUND(C706*H706,2)</f>
        <v>#REF!</v>
      </c>
    </row>
    <row r="707" spans="2:11">
      <c r="C707" s="177"/>
      <c r="D707" s="160"/>
      <c r="E707" s="160"/>
      <c r="F707" s="160"/>
      <c r="G707" s="160"/>
      <c r="H707" s="176"/>
      <c r="J707" s="159" t="s">
        <v>596</v>
      </c>
      <c r="K707" s="176" t="e">
        <f>SUM(K705:K706)</f>
        <v>#REF!</v>
      </c>
    </row>
    <row r="708" spans="2:11">
      <c r="C708" s="177">
        <f>MAX($K$9,$K$10,$K$11)</f>
        <v>0</v>
      </c>
      <c r="D708" s="1603" t="str">
        <f>CONCATENATE("add area allowance at ",$K$12*100, "% on Rs.",)</f>
        <v>add area allowance at 0% on Rs.</v>
      </c>
      <c r="E708" s="1603"/>
      <c r="F708" s="1603"/>
      <c r="G708" s="1603"/>
      <c r="H708" s="176" t="e">
        <f>K707</f>
        <v>#REF!</v>
      </c>
      <c r="J708" s="159" t="s">
        <v>596</v>
      </c>
      <c r="K708" s="176" t="e">
        <f>ROUND(C708*H708,2)</f>
        <v>#REF!</v>
      </c>
    </row>
    <row r="709" spans="2:11" ht="12.75" customHeight="1">
      <c r="C709" s="177"/>
      <c r="D709" s="157" t="s">
        <v>38</v>
      </c>
      <c r="E709" s="160"/>
      <c r="F709" s="160"/>
      <c r="G709" s="160"/>
      <c r="H709" s="176"/>
      <c r="J709" s="159" t="s">
        <v>596</v>
      </c>
      <c r="K709" s="176" t="e">
        <f>SUM(K707:K708)</f>
        <v>#REF!</v>
      </c>
    </row>
    <row r="710" spans="2:11">
      <c r="D710" s="168" t="s">
        <v>615</v>
      </c>
      <c r="E710" s="160"/>
      <c r="F710" s="160"/>
      <c r="G710" s="160"/>
      <c r="H710" s="176"/>
      <c r="K710" s="176"/>
    </row>
    <row r="711" spans="2:11" ht="27.75" customHeight="1">
      <c r="C711" s="175">
        <v>1</v>
      </c>
      <c r="D711" s="1603" t="s">
        <v>62</v>
      </c>
      <c r="E711" s="1603"/>
      <c r="F711" s="1603"/>
      <c r="G711" s="1603"/>
      <c r="H711" s="176">
        <f>$F$6</f>
        <v>428.6</v>
      </c>
      <c r="I711" s="156" t="str">
        <f>$K$6</f>
        <v>Hour</v>
      </c>
      <c r="J711" s="159" t="s">
        <v>596</v>
      </c>
      <c r="K711" s="176">
        <f>ROUND(C711*H711,2)</f>
        <v>428.6</v>
      </c>
    </row>
    <row r="712" spans="2:11" ht="27" customHeight="1">
      <c r="C712" s="177">
        <f>C711</f>
        <v>1</v>
      </c>
      <c r="D712" s="1603" t="s">
        <v>63</v>
      </c>
      <c r="E712" s="1603"/>
      <c r="F712" s="1603"/>
      <c r="G712" s="1603"/>
      <c r="H712" s="176">
        <f>$G$6</f>
        <v>352.5</v>
      </c>
      <c r="I712" s="156" t="str">
        <f>$K$6</f>
        <v>Hour</v>
      </c>
      <c r="J712" s="159" t="s">
        <v>596</v>
      </c>
      <c r="K712" s="176">
        <f>ROUND(C712*H712,2)</f>
        <v>352.5</v>
      </c>
    </row>
    <row r="713" spans="2:11" ht="27" customHeight="1">
      <c r="C713" s="177">
        <f>C711</f>
        <v>1</v>
      </c>
      <c r="D713" s="1603" t="s">
        <v>64</v>
      </c>
      <c r="E713" s="1603"/>
      <c r="F713" s="1603"/>
      <c r="G713" s="1603"/>
      <c r="H713" s="176">
        <f>$H$6</f>
        <v>211.6</v>
      </c>
      <c r="I713" s="156" t="str">
        <f>$K$6</f>
        <v>Hour</v>
      </c>
      <c r="J713" s="159" t="s">
        <v>596</v>
      </c>
      <c r="K713" s="176">
        <f>ROUND(C713*H713,2)</f>
        <v>211.6</v>
      </c>
    </row>
    <row r="714" spans="2:11">
      <c r="C714" s="177">
        <f>MAX($K$9,$K$10,$K$11)</f>
        <v>0</v>
      </c>
      <c r="D714" s="1603" t="str">
        <f>CONCATENATE("add area allowance at ",$K$12*100, "% on Rs.",)</f>
        <v>add area allowance at 0% on Rs.</v>
      </c>
      <c r="E714" s="1603"/>
      <c r="F714" s="1603"/>
      <c r="G714" s="1603"/>
      <c r="H714" s="176">
        <f>K713</f>
        <v>211.6</v>
      </c>
      <c r="J714" s="159" t="s">
        <v>596</v>
      </c>
      <c r="K714" s="176">
        <f>ROUND(C714*H714,2)</f>
        <v>0</v>
      </c>
    </row>
    <row r="715" spans="2:11">
      <c r="D715" s="157" t="s">
        <v>616</v>
      </c>
      <c r="E715" s="160"/>
      <c r="F715" s="160"/>
      <c r="G715" s="160"/>
      <c r="H715" s="176"/>
      <c r="J715" s="159" t="s">
        <v>596</v>
      </c>
      <c r="K715" s="176">
        <f>SUM(K711:K714)</f>
        <v>992.7</v>
      </c>
    </row>
    <row r="716" spans="2:11">
      <c r="D716" s="157" t="s">
        <v>617</v>
      </c>
      <c r="E716" s="160"/>
      <c r="F716" s="160"/>
      <c r="G716" s="160"/>
      <c r="H716" s="157"/>
      <c r="I716" s="157"/>
      <c r="J716" s="159" t="s">
        <v>596</v>
      </c>
      <c r="K716" s="176" t="e">
        <f>K709+K715</f>
        <v>#REF!</v>
      </c>
    </row>
    <row r="717" spans="2:11">
      <c r="D717" s="157" t="s">
        <v>190</v>
      </c>
      <c r="E717" s="188">
        <f>E703</f>
        <v>10</v>
      </c>
      <c r="F717" s="157" t="str">
        <f>F703</f>
        <v>MT</v>
      </c>
      <c r="G717" s="160"/>
      <c r="H717" s="176"/>
      <c r="I717" s="157"/>
      <c r="J717" s="159" t="s">
        <v>596</v>
      </c>
      <c r="K717" s="176" t="e">
        <f>K716</f>
        <v>#REF!</v>
      </c>
    </row>
    <row r="718" spans="2:11">
      <c r="D718" s="157" t="s">
        <v>190</v>
      </c>
      <c r="E718" s="178">
        <v>1</v>
      </c>
      <c r="F718" s="179" t="str">
        <f>F703</f>
        <v>MT</v>
      </c>
      <c r="J718" s="159" t="s">
        <v>596</v>
      </c>
      <c r="K718" s="156" t="e">
        <f>ROUND(K717/E703,2)</f>
        <v>#REF!</v>
      </c>
    </row>
    <row r="719" spans="2:11" ht="24.75" customHeight="1">
      <c r="C719" s="177">
        <f>$K$13</f>
        <v>0</v>
      </c>
      <c r="D719" s="1603" t="str">
        <f>CONCATENATE("add overheads and contractors profit at ",$K$13*100, "% on Rs.",)</f>
        <v>add overheads and contractors profit at 0% on Rs.</v>
      </c>
      <c r="E719" s="1603"/>
      <c r="F719" s="1603"/>
      <c r="G719" s="1603"/>
      <c r="H719" s="176" t="e">
        <f>K718</f>
        <v>#REF!</v>
      </c>
      <c r="J719" s="159" t="s">
        <v>596</v>
      </c>
      <c r="K719" s="176" t="e">
        <f>ROUND(C719*H719,2)</f>
        <v>#REF!</v>
      </c>
    </row>
    <row r="720" spans="2:11" s="153" customFormat="1">
      <c r="B720" s="170"/>
      <c r="C720" s="171"/>
      <c r="D720" s="157" t="s">
        <v>191</v>
      </c>
      <c r="E720" s="171"/>
      <c r="F720" s="180">
        <f>E718</f>
        <v>1</v>
      </c>
      <c r="G720" s="171" t="str">
        <f>F718</f>
        <v>MT</v>
      </c>
      <c r="H720" s="170"/>
      <c r="I720" s="170"/>
      <c r="J720" s="169" t="s">
        <v>596</v>
      </c>
      <c r="K720" s="181" t="e">
        <f>SUM(K718:K719)</f>
        <v>#REF!</v>
      </c>
    </row>
    <row r="722" spans="2:11" s="152" customFormat="1" ht="12.3">
      <c r="B722" s="155"/>
      <c r="C722" s="168" t="s">
        <v>109</v>
      </c>
      <c r="D722" s="168"/>
      <c r="E722" s="168"/>
      <c r="F722" s="168"/>
      <c r="G722" s="168"/>
      <c r="H722" s="155"/>
      <c r="I722" s="155"/>
      <c r="J722" s="169"/>
      <c r="K722" s="169"/>
    </row>
    <row r="723" spans="2:11" s="153" customFormat="1" ht="12.3">
      <c r="B723" s="170"/>
      <c r="C723" s="171" t="s">
        <v>543</v>
      </c>
      <c r="D723" s="170" t="s">
        <v>544</v>
      </c>
      <c r="E723" s="172">
        <v>10</v>
      </c>
      <c r="F723" s="173" t="s">
        <v>50</v>
      </c>
      <c r="G723" s="171"/>
      <c r="H723" s="155" t="s">
        <v>92</v>
      </c>
      <c r="I723" s="155" t="s">
        <v>528</v>
      </c>
      <c r="J723" s="174"/>
      <c r="K723" s="169" t="s">
        <v>151</v>
      </c>
    </row>
    <row r="724" spans="2:11" s="153" customFormat="1" ht="12.3">
      <c r="B724" s="170"/>
      <c r="C724" s="171"/>
      <c r="D724" s="168" t="s">
        <v>35</v>
      </c>
      <c r="E724" s="172"/>
      <c r="F724" s="173"/>
      <c r="G724" s="171"/>
      <c r="H724" s="155"/>
      <c r="I724" s="155"/>
      <c r="J724" s="174"/>
      <c r="K724" s="169"/>
    </row>
    <row r="725" spans="2:11">
      <c r="C725" s="186">
        <v>7.0000000000000007E-2</v>
      </c>
      <c r="D725" s="1603" t="s">
        <v>36</v>
      </c>
      <c r="E725" s="1603"/>
      <c r="F725" s="1603"/>
      <c r="G725" s="1603"/>
      <c r="H725" s="176" t="e">
        <f>#REF!</f>
        <v>#REF!</v>
      </c>
      <c r="I725" s="187" t="s">
        <v>594</v>
      </c>
      <c r="J725" s="159" t="s">
        <v>596</v>
      </c>
      <c r="K725" s="176" t="e">
        <f>ROUND(C725*H725,2)</f>
        <v>#REF!</v>
      </c>
    </row>
    <row r="726" spans="2:11">
      <c r="C726" s="177">
        <v>1.8</v>
      </c>
      <c r="D726" s="1603" t="s">
        <v>37</v>
      </c>
      <c r="E726" s="1603"/>
      <c r="F726" s="1603"/>
      <c r="G726" s="1603"/>
      <c r="H726" s="176" t="e">
        <f>#REF!</f>
        <v>#REF!</v>
      </c>
      <c r="I726" s="187" t="s">
        <v>594</v>
      </c>
      <c r="J726" s="159" t="s">
        <v>596</v>
      </c>
      <c r="K726" s="176" t="e">
        <f>ROUND(C726*H726,2)</f>
        <v>#REF!</v>
      </c>
    </row>
    <row r="727" spans="2:11">
      <c r="C727" s="177"/>
      <c r="D727" s="160"/>
      <c r="E727" s="160"/>
      <c r="F727" s="160"/>
      <c r="G727" s="160"/>
      <c r="H727" s="176"/>
      <c r="J727" s="159" t="s">
        <v>596</v>
      </c>
      <c r="K727" s="176" t="e">
        <f>SUM(K725:K726)</f>
        <v>#REF!</v>
      </c>
    </row>
    <row r="728" spans="2:11">
      <c r="C728" s="177">
        <f>MAX($K$9,$K$10,$K$11)</f>
        <v>0</v>
      </c>
      <c r="D728" s="1603" t="str">
        <f>CONCATENATE("add area allowance at ",$K$12*100, "% on Rs.",)</f>
        <v>add area allowance at 0% on Rs.</v>
      </c>
      <c r="E728" s="1603"/>
      <c r="F728" s="1603"/>
      <c r="G728" s="1603"/>
      <c r="H728" s="176" t="e">
        <f>K727</f>
        <v>#REF!</v>
      </c>
      <c r="J728" s="159" t="s">
        <v>596</v>
      </c>
      <c r="K728" s="176" t="e">
        <f>ROUND(C728*H728,2)</f>
        <v>#REF!</v>
      </c>
    </row>
    <row r="729" spans="2:11" ht="12.75" customHeight="1">
      <c r="C729" s="177"/>
      <c r="D729" s="157" t="s">
        <v>38</v>
      </c>
      <c r="E729" s="160"/>
      <c r="F729" s="160"/>
      <c r="G729" s="160"/>
      <c r="H729" s="176"/>
      <c r="J729" s="159" t="s">
        <v>596</v>
      </c>
      <c r="K729" s="176" t="e">
        <f>SUM(K727:K728)</f>
        <v>#REF!</v>
      </c>
    </row>
    <row r="730" spans="2:11">
      <c r="D730" s="168" t="s">
        <v>615</v>
      </c>
      <c r="E730" s="160"/>
      <c r="F730" s="160"/>
      <c r="G730" s="160"/>
      <c r="H730" s="176"/>
      <c r="K730" s="176"/>
    </row>
    <row r="731" spans="2:11" ht="27.75" customHeight="1">
      <c r="C731" s="175">
        <v>1</v>
      </c>
      <c r="D731" s="1603" t="s">
        <v>62</v>
      </c>
      <c r="E731" s="1603"/>
      <c r="F731" s="1603"/>
      <c r="G731" s="1603"/>
      <c r="H731" s="176">
        <f>$F$6</f>
        <v>428.6</v>
      </c>
      <c r="I731" s="156" t="str">
        <f>$K$6</f>
        <v>Hour</v>
      </c>
      <c r="J731" s="159" t="s">
        <v>596</v>
      </c>
      <c r="K731" s="176">
        <f>ROUND(C731*H731,2)</f>
        <v>428.6</v>
      </c>
    </row>
    <row r="732" spans="2:11" ht="27" customHeight="1">
      <c r="C732" s="177">
        <f>C731</f>
        <v>1</v>
      </c>
      <c r="D732" s="1603" t="s">
        <v>63</v>
      </c>
      <c r="E732" s="1603"/>
      <c r="F732" s="1603"/>
      <c r="G732" s="1603"/>
      <c r="H732" s="176">
        <f>$G$6</f>
        <v>352.5</v>
      </c>
      <c r="I732" s="156" t="str">
        <f>$K$6</f>
        <v>Hour</v>
      </c>
      <c r="J732" s="159" t="s">
        <v>596</v>
      </c>
      <c r="K732" s="176">
        <f>ROUND(C732*H732,2)</f>
        <v>352.5</v>
      </c>
    </row>
    <row r="733" spans="2:11" ht="27" customHeight="1">
      <c r="C733" s="177">
        <f>C731</f>
        <v>1</v>
      </c>
      <c r="D733" s="1603" t="s">
        <v>64</v>
      </c>
      <c r="E733" s="1603"/>
      <c r="F733" s="1603"/>
      <c r="G733" s="1603"/>
      <c r="H733" s="176">
        <f>$H$6</f>
        <v>211.6</v>
      </c>
      <c r="I733" s="156" t="str">
        <f>$K$6</f>
        <v>Hour</v>
      </c>
      <c r="J733" s="159" t="s">
        <v>596</v>
      </c>
      <c r="K733" s="176">
        <f>ROUND(C733*H733,2)</f>
        <v>211.6</v>
      </c>
    </row>
    <row r="734" spans="2:11">
      <c r="C734" s="177">
        <f>MAX($K$9,$K$10,$K$11)</f>
        <v>0</v>
      </c>
      <c r="D734" s="1603" t="str">
        <f>CONCATENATE("add area allowance at ",$K$12*100, "% on Rs.",)</f>
        <v>add area allowance at 0% on Rs.</v>
      </c>
      <c r="E734" s="1603"/>
      <c r="F734" s="1603"/>
      <c r="G734" s="1603"/>
      <c r="H734" s="176">
        <f>K733</f>
        <v>211.6</v>
      </c>
      <c r="J734" s="159" t="s">
        <v>596</v>
      </c>
      <c r="K734" s="176">
        <f>ROUND(C734*H734,2)</f>
        <v>0</v>
      </c>
    </row>
    <row r="735" spans="2:11">
      <c r="D735" s="157" t="s">
        <v>616</v>
      </c>
      <c r="E735" s="160"/>
      <c r="F735" s="160"/>
      <c r="G735" s="160"/>
      <c r="H735" s="176"/>
      <c r="J735" s="159" t="s">
        <v>596</v>
      </c>
      <c r="K735" s="176">
        <f>SUM(K731:K734)</f>
        <v>992.7</v>
      </c>
    </row>
    <row r="736" spans="2:11">
      <c r="D736" s="157" t="s">
        <v>617</v>
      </c>
      <c r="E736" s="160"/>
      <c r="F736" s="160"/>
      <c r="G736" s="160"/>
      <c r="H736" s="157"/>
      <c r="I736" s="157"/>
      <c r="J736" s="159" t="s">
        <v>596</v>
      </c>
      <c r="K736" s="176" t="e">
        <f>K729+K735</f>
        <v>#REF!</v>
      </c>
    </row>
    <row r="737" spans="2:11">
      <c r="D737" s="157" t="s">
        <v>190</v>
      </c>
      <c r="E737" s="188">
        <f>E723</f>
        <v>10</v>
      </c>
      <c r="F737" s="157" t="str">
        <f>F723</f>
        <v>MT</v>
      </c>
      <c r="G737" s="160"/>
      <c r="H737" s="176"/>
      <c r="I737" s="157"/>
      <c r="J737" s="159" t="s">
        <v>596</v>
      </c>
      <c r="K737" s="176" t="e">
        <f>K736</f>
        <v>#REF!</v>
      </c>
    </row>
    <row r="738" spans="2:11">
      <c r="D738" s="157" t="s">
        <v>190</v>
      </c>
      <c r="E738" s="178">
        <v>1</v>
      </c>
      <c r="F738" s="179" t="str">
        <f>F723</f>
        <v>MT</v>
      </c>
      <c r="J738" s="159" t="s">
        <v>596</v>
      </c>
      <c r="K738" s="176" t="e">
        <f>ROUND(K737/E723,2)</f>
        <v>#REF!</v>
      </c>
    </row>
    <row r="739" spans="2:11" ht="24.75" customHeight="1">
      <c r="C739" s="177">
        <f>$K$13</f>
        <v>0</v>
      </c>
      <c r="D739" s="1603" t="str">
        <f>CONCATENATE("add overheads and contractors profit at ",$K$13*100, "% on Rs.",)</f>
        <v>add overheads and contractors profit at 0% on Rs.</v>
      </c>
      <c r="E739" s="1603"/>
      <c r="F739" s="1603"/>
      <c r="G739" s="1603"/>
      <c r="H739" s="176" t="e">
        <f>K738</f>
        <v>#REF!</v>
      </c>
      <c r="J739" s="159" t="s">
        <v>596</v>
      </c>
      <c r="K739" s="176" t="e">
        <f>ROUND(C739*H739,2)</f>
        <v>#REF!</v>
      </c>
    </row>
    <row r="740" spans="2:11" s="153" customFormat="1">
      <c r="B740" s="170"/>
      <c r="C740" s="171"/>
      <c r="D740" s="157" t="s">
        <v>191</v>
      </c>
      <c r="E740" s="171"/>
      <c r="F740" s="180">
        <f>E738</f>
        <v>1</v>
      </c>
      <c r="G740" s="171" t="str">
        <f>F738</f>
        <v>MT</v>
      </c>
      <c r="H740" s="170"/>
      <c r="I740" s="170"/>
      <c r="J740" s="169" t="s">
        <v>596</v>
      </c>
      <c r="K740" s="181" t="e">
        <f>SUM(K738:K739)</f>
        <v>#REF!</v>
      </c>
    </row>
    <row r="742" spans="2:11" s="152" customFormat="1" ht="15" customHeight="1">
      <c r="B742" s="155" t="s">
        <v>551</v>
      </c>
      <c r="C742" s="1605" t="s">
        <v>110</v>
      </c>
      <c r="D742" s="1605"/>
      <c r="E742" s="1605"/>
      <c r="F742" s="1605"/>
      <c r="G742" s="1605"/>
      <c r="H742" s="1605"/>
      <c r="I742" s="1605"/>
      <c r="J742" s="1605"/>
      <c r="K742" s="1605"/>
    </row>
    <row r="743" spans="2:11" s="152" customFormat="1" ht="12.3">
      <c r="B743" s="155"/>
      <c r="C743" s="168" t="s">
        <v>34</v>
      </c>
      <c r="D743" s="168"/>
      <c r="E743" s="168"/>
      <c r="F743" s="168"/>
      <c r="G743" s="168"/>
      <c r="H743" s="155"/>
      <c r="I743" s="155"/>
      <c r="J743" s="169"/>
      <c r="K743" s="169"/>
    </row>
    <row r="744" spans="2:11" s="153" customFormat="1" ht="12.3">
      <c r="B744" s="170"/>
      <c r="C744" s="171" t="s">
        <v>543</v>
      </c>
      <c r="D744" s="170" t="s">
        <v>544</v>
      </c>
      <c r="E744" s="172">
        <v>10</v>
      </c>
      <c r="F744" s="173" t="s">
        <v>50</v>
      </c>
      <c r="G744" s="171"/>
      <c r="H744" s="155" t="s">
        <v>92</v>
      </c>
      <c r="I744" s="155" t="s">
        <v>528</v>
      </c>
      <c r="J744" s="174"/>
      <c r="K744" s="169" t="s">
        <v>151</v>
      </c>
    </row>
    <row r="745" spans="2:11" s="153" customFormat="1" ht="12.3">
      <c r="B745" s="170"/>
      <c r="C745" s="171"/>
      <c r="D745" s="168" t="s">
        <v>35</v>
      </c>
      <c r="E745" s="172"/>
      <c r="F745" s="173"/>
      <c r="G745" s="171"/>
      <c r="H745" s="155"/>
      <c r="I745" s="155"/>
      <c r="J745" s="174"/>
      <c r="K745" s="169"/>
    </row>
    <row r="746" spans="2:11">
      <c r="C746" s="186">
        <v>7.0000000000000007E-2</v>
      </c>
      <c r="D746" s="1603" t="s">
        <v>36</v>
      </c>
      <c r="E746" s="1603"/>
      <c r="F746" s="1603"/>
      <c r="G746" s="1603"/>
      <c r="H746" s="176" t="e">
        <f>#REF!</f>
        <v>#REF!</v>
      </c>
      <c r="I746" s="187" t="s">
        <v>594</v>
      </c>
      <c r="J746" s="159" t="s">
        <v>596</v>
      </c>
      <c r="K746" s="176" t="e">
        <f>ROUND(C746*H746,2)</f>
        <v>#REF!</v>
      </c>
    </row>
    <row r="747" spans="2:11">
      <c r="C747" s="177">
        <v>1.8</v>
      </c>
      <c r="D747" s="1603" t="s">
        <v>37</v>
      </c>
      <c r="E747" s="1603"/>
      <c r="F747" s="1603"/>
      <c r="G747" s="1603"/>
      <c r="H747" s="176" t="e">
        <f>#REF!</f>
        <v>#REF!</v>
      </c>
      <c r="I747" s="187" t="s">
        <v>594</v>
      </c>
      <c r="J747" s="159" t="s">
        <v>596</v>
      </c>
      <c r="K747" s="176" t="e">
        <f>ROUND(C747*H747,2)</f>
        <v>#REF!</v>
      </c>
    </row>
    <row r="748" spans="2:11">
      <c r="C748" s="177"/>
      <c r="D748" s="160"/>
      <c r="E748" s="160"/>
      <c r="F748" s="160"/>
      <c r="G748" s="160"/>
      <c r="H748" s="176"/>
      <c r="J748" s="159" t="s">
        <v>596</v>
      </c>
      <c r="K748" s="176" t="e">
        <f>SUM(K746:K747)</f>
        <v>#REF!</v>
      </c>
    </row>
    <row r="749" spans="2:11">
      <c r="C749" s="177">
        <f>MAX($K$9,$K$10,$K$11)</f>
        <v>0</v>
      </c>
      <c r="D749" s="1603" t="str">
        <f>CONCATENATE("add area allowance at ",$K$12*100, "% on Rs.",)</f>
        <v>add area allowance at 0% on Rs.</v>
      </c>
      <c r="E749" s="1603"/>
      <c r="F749" s="1603"/>
      <c r="G749" s="1603"/>
      <c r="H749" s="176" t="e">
        <f>K748</f>
        <v>#REF!</v>
      </c>
      <c r="J749" s="159" t="s">
        <v>596</v>
      </c>
      <c r="K749" s="176" t="e">
        <f>ROUND(C749*H749,2)</f>
        <v>#REF!</v>
      </c>
    </row>
    <row r="750" spans="2:11" ht="12.75" customHeight="1">
      <c r="C750" s="177"/>
      <c r="D750" s="157" t="s">
        <v>38</v>
      </c>
      <c r="E750" s="160"/>
      <c r="F750" s="160"/>
      <c r="G750" s="160"/>
      <c r="H750" s="176"/>
      <c r="J750" s="159" t="s">
        <v>596</v>
      </c>
      <c r="K750" s="176" t="e">
        <f>SUM(K748:K749)</f>
        <v>#REF!</v>
      </c>
    </row>
    <row r="751" spans="2:11">
      <c r="D751" s="168" t="s">
        <v>615</v>
      </c>
      <c r="E751" s="160"/>
      <c r="F751" s="160"/>
      <c r="G751" s="160"/>
      <c r="H751" s="176"/>
      <c r="K751" s="176"/>
    </row>
    <row r="752" spans="2:11" ht="27.75" customHeight="1">
      <c r="C752" s="175">
        <v>1</v>
      </c>
      <c r="D752" s="1603" t="s">
        <v>62</v>
      </c>
      <c r="E752" s="1603"/>
      <c r="F752" s="1603"/>
      <c r="G752" s="1603"/>
      <c r="H752" s="176">
        <f>$F$6</f>
        <v>428.6</v>
      </c>
      <c r="I752" s="156" t="str">
        <f>$K$6</f>
        <v>Hour</v>
      </c>
      <c r="J752" s="159" t="s">
        <v>596</v>
      </c>
      <c r="K752" s="176">
        <f>ROUND(C752*H752,2)</f>
        <v>428.6</v>
      </c>
    </row>
    <row r="753" spans="2:11" ht="27" customHeight="1">
      <c r="C753" s="177">
        <f>C752</f>
        <v>1</v>
      </c>
      <c r="D753" s="1603" t="s">
        <v>63</v>
      </c>
      <c r="E753" s="1603"/>
      <c r="F753" s="1603"/>
      <c r="G753" s="1603"/>
      <c r="H753" s="176">
        <f>$G$6</f>
        <v>352.5</v>
      </c>
      <c r="I753" s="156" t="str">
        <f>$K$6</f>
        <v>Hour</v>
      </c>
      <c r="J753" s="159" t="s">
        <v>596</v>
      </c>
      <c r="K753" s="176">
        <f>ROUND(C753*H753,2)</f>
        <v>352.5</v>
      </c>
    </row>
    <row r="754" spans="2:11" ht="27" customHeight="1">
      <c r="C754" s="177">
        <f>C752</f>
        <v>1</v>
      </c>
      <c r="D754" s="1603" t="s">
        <v>64</v>
      </c>
      <c r="E754" s="1603"/>
      <c r="F754" s="1603"/>
      <c r="G754" s="1603"/>
      <c r="H754" s="176">
        <f>$H$6</f>
        <v>211.6</v>
      </c>
      <c r="I754" s="156" t="str">
        <f>$K$6</f>
        <v>Hour</v>
      </c>
      <c r="J754" s="159" t="s">
        <v>596</v>
      </c>
      <c r="K754" s="176">
        <f>ROUND(C754*H754,2)</f>
        <v>211.6</v>
      </c>
    </row>
    <row r="755" spans="2:11">
      <c r="C755" s="177">
        <f>MAX($K$9,$K$10,$K$11)</f>
        <v>0</v>
      </c>
      <c r="D755" s="1603" t="str">
        <f>CONCATENATE("add area allowance at ",$K$12*100, "% on Rs.",)</f>
        <v>add area allowance at 0% on Rs.</v>
      </c>
      <c r="E755" s="1603"/>
      <c r="F755" s="1603"/>
      <c r="G755" s="1603"/>
      <c r="H755" s="176">
        <f>K754</f>
        <v>211.6</v>
      </c>
      <c r="J755" s="159" t="s">
        <v>596</v>
      </c>
      <c r="K755" s="176">
        <f>ROUND(C755*H755,2)</f>
        <v>0</v>
      </c>
    </row>
    <row r="756" spans="2:11">
      <c r="D756" s="157" t="s">
        <v>616</v>
      </c>
      <c r="E756" s="160"/>
      <c r="F756" s="160"/>
      <c r="G756" s="160"/>
      <c r="H756" s="176"/>
      <c r="J756" s="159" t="s">
        <v>596</v>
      </c>
      <c r="K756" s="176">
        <f>SUM(K752:K755)</f>
        <v>992.7</v>
      </c>
    </row>
    <row r="757" spans="2:11">
      <c r="D757" s="157" t="s">
        <v>617</v>
      </c>
      <c r="E757" s="160"/>
      <c r="F757" s="160"/>
      <c r="G757" s="160"/>
      <c r="H757" s="157"/>
      <c r="I757" s="157"/>
      <c r="J757" s="159" t="s">
        <v>596</v>
      </c>
      <c r="K757" s="176" t="e">
        <f>K750+K756</f>
        <v>#REF!</v>
      </c>
    </row>
    <row r="758" spans="2:11">
      <c r="D758" s="157" t="s">
        <v>190</v>
      </c>
      <c r="E758" s="188">
        <f>E744</f>
        <v>10</v>
      </c>
      <c r="F758" s="157" t="str">
        <f>F744</f>
        <v>MT</v>
      </c>
      <c r="G758" s="160"/>
      <c r="H758" s="176"/>
      <c r="I758" s="157"/>
      <c r="J758" s="159" t="s">
        <v>596</v>
      </c>
      <c r="K758" s="176" t="e">
        <f>K757</f>
        <v>#REF!</v>
      </c>
    </row>
    <row r="759" spans="2:11">
      <c r="D759" s="157" t="s">
        <v>190</v>
      </c>
      <c r="E759" s="178">
        <v>1</v>
      </c>
      <c r="F759" s="179" t="str">
        <f>F744</f>
        <v>MT</v>
      </c>
      <c r="J759" s="159" t="s">
        <v>596</v>
      </c>
      <c r="K759" s="176" t="e">
        <f>ROUND(K758/E744,2)</f>
        <v>#REF!</v>
      </c>
    </row>
    <row r="760" spans="2:11" ht="24.75" customHeight="1">
      <c r="C760" s="177">
        <f>$K$13</f>
        <v>0</v>
      </c>
      <c r="D760" s="1603" t="str">
        <f>CONCATENATE("add overheads and contractors profit at ",$K$13*100, "% on Rs.",)</f>
        <v>add overheads and contractors profit at 0% on Rs.</v>
      </c>
      <c r="E760" s="1603"/>
      <c r="F760" s="1603"/>
      <c r="G760" s="1603"/>
      <c r="H760" s="176" t="e">
        <f>K759</f>
        <v>#REF!</v>
      </c>
      <c r="J760" s="159" t="s">
        <v>596</v>
      </c>
      <c r="K760" s="176" t="e">
        <f>ROUND(C760*H760,2)</f>
        <v>#REF!</v>
      </c>
    </row>
    <row r="761" spans="2:11" s="153" customFormat="1">
      <c r="B761" s="170"/>
      <c r="C761" s="171"/>
      <c r="D761" s="157" t="s">
        <v>191</v>
      </c>
      <c r="E761" s="171"/>
      <c r="F761" s="180">
        <f>E759</f>
        <v>1</v>
      </c>
      <c r="G761" s="171" t="str">
        <f>F759</f>
        <v>MT</v>
      </c>
      <c r="H761" s="170"/>
      <c r="I761" s="170"/>
      <c r="J761" s="169" t="s">
        <v>596</v>
      </c>
      <c r="K761" s="181" t="e">
        <f>SUM(K759:K760)</f>
        <v>#REF!</v>
      </c>
    </row>
    <row r="763" spans="2:11" s="152" customFormat="1" ht="12.3">
      <c r="B763" s="155"/>
      <c r="C763" s="168" t="s">
        <v>109</v>
      </c>
      <c r="D763" s="168"/>
      <c r="E763" s="168"/>
      <c r="F763" s="168"/>
      <c r="G763" s="168"/>
      <c r="H763" s="155"/>
      <c r="I763" s="155"/>
      <c r="J763" s="169"/>
      <c r="K763" s="169"/>
    </row>
    <row r="764" spans="2:11" s="153" customFormat="1" ht="12.3">
      <c r="B764" s="170"/>
      <c r="C764" s="171" t="s">
        <v>543</v>
      </c>
      <c r="D764" s="170" t="s">
        <v>544</v>
      </c>
      <c r="E764" s="172">
        <v>10</v>
      </c>
      <c r="F764" s="173" t="s">
        <v>50</v>
      </c>
      <c r="G764" s="171"/>
      <c r="H764" s="155" t="s">
        <v>92</v>
      </c>
      <c r="I764" s="155" t="s">
        <v>528</v>
      </c>
      <c r="J764" s="174"/>
      <c r="K764" s="169" t="s">
        <v>151</v>
      </c>
    </row>
    <row r="765" spans="2:11" s="153" customFormat="1" ht="12.3">
      <c r="B765" s="170"/>
      <c r="C765" s="171"/>
      <c r="D765" s="168" t="s">
        <v>35</v>
      </c>
      <c r="E765" s="172"/>
      <c r="F765" s="173"/>
      <c r="G765" s="171"/>
      <c r="H765" s="155"/>
      <c r="I765" s="155"/>
      <c r="J765" s="174"/>
      <c r="K765" s="169"/>
    </row>
    <row r="766" spans="2:11">
      <c r="C766" s="186">
        <v>7.0000000000000007E-2</v>
      </c>
      <c r="D766" s="1603" t="s">
        <v>36</v>
      </c>
      <c r="E766" s="1603"/>
      <c r="F766" s="1603"/>
      <c r="G766" s="1603"/>
      <c r="H766" s="176" t="e">
        <f>#REF!</f>
        <v>#REF!</v>
      </c>
      <c r="I766" s="187" t="s">
        <v>594</v>
      </c>
      <c r="J766" s="159" t="s">
        <v>596</v>
      </c>
      <c r="K766" s="176" t="e">
        <f>ROUND(C766*H766,2)</f>
        <v>#REF!</v>
      </c>
    </row>
    <row r="767" spans="2:11">
      <c r="C767" s="177">
        <v>1.8</v>
      </c>
      <c r="D767" s="1603" t="s">
        <v>37</v>
      </c>
      <c r="E767" s="1603"/>
      <c r="F767" s="1603"/>
      <c r="G767" s="1603"/>
      <c r="H767" s="176" t="e">
        <f>#REF!</f>
        <v>#REF!</v>
      </c>
      <c r="I767" s="187" t="s">
        <v>594</v>
      </c>
      <c r="J767" s="159" t="s">
        <v>596</v>
      </c>
      <c r="K767" s="176" t="e">
        <f>ROUND(C767*H767,2)</f>
        <v>#REF!</v>
      </c>
    </row>
    <row r="768" spans="2:11">
      <c r="C768" s="177"/>
      <c r="D768" s="160"/>
      <c r="E768" s="160"/>
      <c r="F768" s="160"/>
      <c r="G768" s="160"/>
      <c r="H768" s="176"/>
      <c r="J768" s="159" t="s">
        <v>596</v>
      </c>
      <c r="K768" s="176" t="e">
        <f>SUM(K766:K767)</f>
        <v>#REF!</v>
      </c>
    </row>
    <row r="769" spans="2:11">
      <c r="C769" s="177">
        <f>MAX($K$9,$K$10,$K$11)</f>
        <v>0</v>
      </c>
      <c r="D769" s="1603" t="str">
        <f>CONCATENATE("add area allowance at ",$K$12*100, "% on Rs.",)</f>
        <v>add area allowance at 0% on Rs.</v>
      </c>
      <c r="E769" s="1603"/>
      <c r="F769" s="1603"/>
      <c r="G769" s="1603"/>
      <c r="H769" s="176" t="e">
        <f>K768</f>
        <v>#REF!</v>
      </c>
      <c r="J769" s="159" t="s">
        <v>596</v>
      </c>
      <c r="K769" s="176" t="e">
        <f>ROUND(C769*H769,2)</f>
        <v>#REF!</v>
      </c>
    </row>
    <row r="770" spans="2:11" ht="12.75" customHeight="1">
      <c r="C770" s="177"/>
      <c r="D770" s="157" t="s">
        <v>38</v>
      </c>
      <c r="E770" s="160"/>
      <c r="F770" s="160"/>
      <c r="G770" s="160"/>
      <c r="H770" s="176"/>
      <c r="J770" s="159" t="s">
        <v>596</v>
      </c>
      <c r="K770" s="176" t="e">
        <f>SUM(K768:K769)</f>
        <v>#REF!</v>
      </c>
    </row>
    <row r="771" spans="2:11">
      <c r="D771" s="168" t="s">
        <v>615</v>
      </c>
      <c r="E771" s="160"/>
      <c r="F771" s="160"/>
      <c r="G771" s="160"/>
      <c r="H771" s="176"/>
      <c r="K771" s="176"/>
    </row>
    <row r="772" spans="2:11" ht="27.75" customHeight="1">
      <c r="C772" s="175">
        <v>1</v>
      </c>
      <c r="D772" s="1603" t="s">
        <v>62</v>
      </c>
      <c r="E772" s="1603"/>
      <c r="F772" s="1603"/>
      <c r="G772" s="1603"/>
      <c r="H772" s="176">
        <f>$F$6</f>
        <v>428.6</v>
      </c>
      <c r="I772" s="156" t="str">
        <f>$K$6</f>
        <v>Hour</v>
      </c>
      <c r="J772" s="159" t="s">
        <v>596</v>
      </c>
      <c r="K772" s="176">
        <f>ROUND(C772*H772,2)</f>
        <v>428.6</v>
      </c>
    </row>
    <row r="773" spans="2:11" ht="27" customHeight="1">
      <c r="C773" s="177">
        <f>C772</f>
        <v>1</v>
      </c>
      <c r="D773" s="1603" t="s">
        <v>63</v>
      </c>
      <c r="E773" s="1603"/>
      <c r="F773" s="1603"/>
      <c r="G773" s="1603"/>
      <c r="H773" s="176">
        <f>$G$6</f>
        <v>352.5</v>
      </c>
      <c r="I773" s="156" t="str">
        <f>$K$6</f>
        <v>Hour</v>
      </c>
      <c r="J773" s="159" t="s">
        <v>596</v>
      </c>
      <c r="K773" s="176">
        <f>ROUND(C773*H773,2)</f>
        <v>352.5</v>
      </c>
    </row>
    <row r="774" spans="2:11" ht="27" customHeight="1">
      <c r="C774" s="177">
        <f>C772</f>
        <v>1</v>
      </c>
      <c r="D774" s="1603" t="s">
        <v>64</v>
      </c>
      <c r="E774" s="1603"/>
      <c r="F774" s="1603"/>
      <c r="G774" s="1603"/>
      <c r="H774" s="176">
        <f>$H$6</f>
        <v>211.6</v>
      </c>
      <c r="I774" s="156" t="str">
        <f>$K$6</f>
        <v>Hour</v>
      </c>
      <c r="J774" s="159" t="s">
        <v>596</v>
      </c>
      <c r="K774" s="176">
        <f>ROUND(C774*H774,2)</f>
        <v>211.6</v>
      </c>
    </row>
    <row r="775" spans="2:11">
      <c r="C775" s="177">
        <f>MAX($K$9,$K$10,$K$11)</f>
        <v>0</v>
      </c>
      <c r="D775" s="1603" t="str">
        <f>CONCATENATE("add area allowance at ",$K$12*100, "% on Rs.",)</f>
        <v>add area allowance at 0% on Rs.</v>
      </c>
      <c r="E775" s="1603"/>
      <c r="F775" s="1603"/>
      <c r="G775" s="1603"/>
      <c r="H775" s="176">
        <f>K774</f>
        <v>211.6</v>
      </c>
      <c r="J775" s="159" t="s">
        <v>596</v>
      </c>
      <c r="K775" s="176">
        <f>ROUND(C775*H775,2)</f>
        <v>0</v>
      </c>
    </row>
    <row r="776" spans="2:11">
      <c r="D776" s="157" t="s">
        <v>616</v>
      </c>
      <c r="E776" s="160"/>
      <c r="F776" s="160"/>
      <c r="G776" s="160"/>
      <c r="H776" s="176"/>
      <c r="J776" s="159" t="s">
        <v>596</v>
      </c>
      <c r="K776" s="176">
        <f>SUM(K772:K775)</f>
        <v>992.7</v>
      </c>
    </row>
    <row r="777" spans="2:11">
      <c r="D777" s="157" t="s">
        <v>617</v>
      </c>
      <c r="E777" s="160"/>
      <c r="F777" s="160"/>
      <c r="G777" s="160"/>
      <c r="H777" s="157"/>
      <c r="I777" s="157"/>
      <c r="J777" s="159" t="s">
        <v>596</v>
      </c>
      <c r="K777" s="176" t="e">
        <f>K770+K776</f>
        <v>#REF!</v>
      </c>
    </row>
    <row r="778" spans="2:11">
      <c r="D778" s="157" t="s">
        <v>190</v>
      </c>
      <c r="E778" s="188">
        <f>E764</f>
        <v>10</v>
      </c>
      <c r="F778" s="157" t="str">
        <f>F764</f>
        <v>MT</v>
      </c>
      <c r="G778" s="160"/>
      <c r="H778" s="176"/>
      <c r="I778" s="157"/>
      <c r="J778" s="159" t="s">
        <v>596</v>
      </c>
      <c r="K778" s="176" t="e">
        <f>K777</f>
        <v>#REF!</v>
      </c>
    </row>
    <row r="779" spans="2:11">
      <c r="D779" s="157" t="s">
        <v>190</v>
      </c>
      <c r="E779" s="178">
        <v>1</v>
      </c>
      <c r="F779" s="179" t="str">
        <f>F764</f>
        <v>MT</v>
      </c>
      <c r="J779" s="159" t="s">
        <v>596</v>
      </c>
      <c r="K779" s="176" t="e">
        <f>ROUND(K778/E764,2)</f>
        <v>#REF!</v>
      </c>
    </row>
    <row r="780" spans="2:11" ht="24.75" customHeight="1">
      <c r="C780" s="177">
        <f>$K$13</f>
        <v>0</v>
      </c>
      <c r="D780" s="1603" t="str">
        <f>CONCATENATE("add overheads and contractors profit at ",$K$13*100, "% on Rs.",)</f>
        <v>add overheads and contractors profit at 0% on Rs.</v>
      </c>
      <c r="E780" s="1603"/>
      <c r="F780" s="1603"/>
      <c r="G780" s="1603"/>
      <c r="H780" s="176" t="e">
        <f>K779</f>
        <v>#REF!</v>
      </c>
      <c r="J780" s="159" t="s">
        <v>596</v>
      </c>
      <c r="K780" s="176" t="e">
        <f>ROUND(C780*H780,2)</f>
        <v>#REF!</v>
      </c>
    </row>
    <row r="781" spans="2:11" s="153" customFormat="1">
      <c r="B781" s="170"/>
      <c r="C781" s="171"/>
      <c r="D781" s="157" t="s">
        <v>191</v>
      </c>
      <c r="E781" s="171"/>
      <c r="F781" s="180">
        <f>E779</f>
        <v>1</v>
      </c>
      <c r="G781" s="171" t="str">
        <f>F779</f>
        <v>MT</v>
      </c>
      <c r="H781" s="170"/>
      <c r="I781" s="170"/>
      <c r="J781" s="169" t="s">
        <v>596</v>
      </c>
      <c r="K781" s="181" t="e">
        <f>SUM(K779:K780)</f>
        <v>#REF!</v>
      </c>
    </row>
    <row r="783" spans="2:11" s="152" customFormat="1" ht="15" customHeight="1">
      <c r="B783" s="155" t="s">
        <v>553</v>
      </c>
      <c r="C783" s="1605" t="s">
        <v>613</v>
      </c>
      <c r="D783" s="1605"/>
      <c r="E783" s="1605"/>
      <c r="F783" s="1605"/>
      <c r="G783" s="1605"/>
      <c r="H783" s="1605"/>
      <c r="I783" s="1605"/>
      <c r="J783" s="1605"/>
      <c r="K783" s="1605"/>
    </row>
    <row r="784" spans="2:11" s="152" customFormat="1" ht="12.3">
      <c r="B784" s="155"/>
      <c r="C784" s="168" t="s">
        <v>34</v>
      </c>
      <c r="D784" s="168"/>
      <c r="E784" s="168"/>
      <c r="F784" s="168"/>
      <c r="G784" s="168"/>
      <c r="H784" s="155"/>
      <c r="I784" s="155"/>
      <c r="J784" s="169"/>
      <c r="K784" s="169"/>
    </row>
    <row r="785" spans="2:11" s="153" customFormat="1" ht="12.3">
      <c r="B785" s="170"/>
      <c r="C785" s="171" t="s">
        <v>543</v>
      </c>
      <c r="D785" s="170" t="s">
        <v>544</v>
      </c>
      <c r="E785" s="172">
        <v>2000</v>
      </c>
      <c r="F785" s="173" t="s">
        <v>327</v>
      </c>
      <c r="G785" s="171"/>
      <c r="H785" s="155" t="s">
        <v>92</v>
      </c>
      <c r="I785" s="155" t="s">
        <v>528</v>
      </c>
      <c r="J785" s="174"/>
      <c r="K785" s="169" t="s">
        <v>151</v>
      </c>
    </row>
    <row r="786" spans="2:11" s="153" customFormat="1" ht="12.3">
      <c r="B786" s="170"/>
      <c r="C786" s="171"/>
      <c r="D786" s="168" t="s">
        <v>35</v>
      </c>
      <c r="E786" s="172"/>
      <c r="F786" s="173"/>
      <c r="G786" s="171"/>
      <c r="H786" s="155"/>
      <c r="I786" s="155"/>
      <c r="J786" s="174"/>
      <c r="K786" s="169"/>
    </row>
    <row r="787" spans="2:11">
      <c r="C787" s="186">
        <v>0.01</v>
      </c>
      <c r="D787" s="1603" t="s">
        <v>36</v>
      </c>
      <c r="E787" s="1603"/>
      <c r="F787" s="1603"/>
      <c r="G787" s="1603"/>
      <c r="H787" s="176" t="e">
        <f>#REF!</f>
        <v>#REF!</v>
      </c>
      <c r="I787" s="187" t="s">
        <v>594</v>
      </c>
      <c r="J787" s="159" t="s">
        <v>596</v>
      </c>
      <c r="K787" s="176" t="e">
        <f>ROUND(C787*H787,2)</f>
        <v>#REF!</v>
      </c>
    </row>
    <row r="788" spans="2:11">
      <c r="C788" s="177">
        <v>0.25</v>
      </c>
      <c r="D788" s="1603" t="s">
        <v>37</v>
      </c>
      <c r="E788" s="1603"/>
      <c r="F788" s="1603"/>
      <c r="G788" s="1603"/>
      <c r="H788" s="176" t="e">
        <f>#REF!</f>
        <v>#REF!</v>
      </c>
      <c r="I788" s="187" t="s">
        <v>594</v>
      </c>
      <c r="J788" s="159" t="s">
        <v>596</v>
      </c>
      <c r="K788" s="176" t="e">
        <f>ROUND(C788*H788,2)</f>
        <v>#REF!</v>
      </c>
    </row>
    <row r="789" spans="2:11">
      <c r="C789" s="177"/>
      <c r="D789" s="160"/>
      <c r="E789" s="160"/>
      <c r="F789" s="160"/>
      <c r="G789" s="160"/>
      <c r="H789" s="176"/>
      <c r="J789" s="159" t="s">
        <v>596</v>
      </c>
      <c r="K789" s="176" t="e">
        <f>SUM(K787:K788)</f>
        <v>#REF!</v>
      </c>
    </row>
    <row r="790" spans="2:11">
      <c r="C790" s="177">
        <f>MAX($K$9,$K$10,$K$11)</f>
        <v>0</v>
      </c>
      <c r="D790" s="1603" t="str">
        <f>CONCATENATE("add area allowance at ",$K$12*100, "% on Rs.",)</f>
        <v>add area allowance at 0% on Rs.</v>
      </c>
      <c r="E790" s="1603"/>
      <c r="F790" s="1603"/>
      <c r="G790" s="1603"/>
      <c r="H790" s="176" t="e">
        <f>K789</f>
        <v>#REF!</v>
      </c>
      <c r="J790" s="159" t="s">
        <v>596</v>
      </c>
      <c r="K790" s="176" t="e">
        <f>ROUND(C790*H790,2)</f>
        <v>#REF!</v>
      </c>
    </row>
    <row r="791" spans="2:11" ht="12.75" customHeight="1">
      <c r="C791" s="177"/>
      <c r="D791" s="157" t="s">
        <v>38</v>
      </c>
      <c r="E791" s="160"/>
      <c r="F791" s="160"/>
      <c r="G791" s="160"/>
      <c r="H791" s="176"/>
      <c r="J791" s="159" t="s">
        <v>596</v>
      </c>
      <c r="K791" s="176" t="e">
        <f>SUM(K789:K790)</f>
        <v>#REF!</v>
      </c>
    </row>
    <row r="792" spans="2:11">
      <c r="D792" s="168" t="s">
        <v>615</v>
      </c>
      <c r="E792" s="160"/>
      <c r="F792" s="160"/>
      <c r="G792" s="160"/>
      <c r="H792" s="176"/>
      <c r="K792" s="176"/>
    </row>
    <row r="793" spans="2:11" ht="27.75" customHeight="1">
      <c r="C793" s="175">
        <v>0.33</v>
      </c>
      <c r="D793" s="1603" t="s">
        <v>62</v>
      </c>
      <c r="E793" s="1603"/>
      <c r="F793" s="1603"/>
      <c r="G793" s="1603"/>
      <c r="H793" s="176">
        <f>$F$6</f>
        <v>428.6</v>
      </c>
      <c r="I793" s="156" t="str">
        <f>$K$6</f>
        <v>Hour</v>
      </c>
      <c r="J793" s="159" t="s">
        <v>596</v>
      </c>
      <c r="K793" s="176">
        <f>ROUND(C793*H793,2)</f>
        <v>141.44</v>
      </c>
    </row>
    <row r="794" spans="2:11" ht="27" customHeight="1">
      <c r="C794" s="177">
        <f>C793</f>
        <v>0.33</v>
      </c>
      <c r="D794" s="1603" t="s">
        <v>63</v>
      </c>
      <c r="E794" s="1603"/>
      <c r="F794" s="1603"/>
      <c r="G794" s="1603"/>
      <c r="H794" s="176">
        <f>$G$6</f>
        <v>352.5</v>
      </c>
      <c r="I794" s="156" t="str">
        <f>$K$6</f>
        <v>Hour</v>
      </c>
      <c r="J794" s="159" t="s">
        <v>596</v>
      </c>
      <c r="K794" s="176">
        <f>ROUND(C794*H794,2)</f>
        <v>116.33</v>
      </c>
    </row>
    <row r="795" spans="2:11" ht="27" customHeight="1">
      <c r="C795" s="177">
        <f>C793</f>
        <v>0.33</v>
      </c>
      <c r="D795" s="1603" t="s">
        <v>64</v>
      </c>
      <c r="E795" s="1603"/>
      <c r="F795" s="1603"/>
      <c r="G795" s="1603"/>
      <c r="H795" s="176">
        <f>$H$6</f>
        <v>211.6</v>
      </c>
      <c r="I795" s="156" t="str">
        <f>$K$6</f>
        <v>Hour</v>
      </c>
      <c r="J795" s="159" t="s">
        <v>596</v>
      </c>
      <c r="K795" s="176">
        <f>ROUND(C795*H795,2)</f>
        <v>69.83</v>
      </c>
    </row>
    <row r="796" spans="2:11">
      <c r="C796" s="177">
        <f>MAX($K$9,$K$10,$K$11)</f>
        <v>0</v>
      </c>
      <c r="D796" s="1603" t="str">
        <f>CONCATENATE("add area allowance at ",$K$12*100, "% on Rs.",)</f>
        <v>add area allowance at 0% on Rs.</v>
      </c>
      <c r="E796" s="1603"/>
      <c r="F796" s="1603"/>
      <c r="G796" s="1603"/>
      <c r="H796" s="176">
        <f>K795</f>
        <v>69.83</v>
      </c>
      <c r="J796" s="159" t="s">
        <v>596</v>
      </c>
      <c r="K796" s="176">
        <f>ROUND(C796*H796,2)</f>
        <v>0</v>
      </c>
    </row>
    <row r="797" spans="2:11">
      <c r="D797" s="157" t="s">
        <v>616</v>
      </c>
      <c r="E797" s="160"/>
      <c r="F797" s="160"/>
      <c r="G797" s="160"/>
      <c r="H797" s="176"/>
      <c r="J797" s="159" t="s">
        <v>596</v>
      </c>
      <c r="K797" s="176">
        <f>SUM(K793:K796)</f>
        <v>327.59999999999997</v>
      </c>
    </row>
    <row r="798" spans="2:11">
      <c r="D798" s="157" t="s">
        <v>617</v>
      </c>
      <c r="E798" s="160"/>
      <c r="F798" s="160"/>
      <c r="G798" s="160"/>
      <c r="H798" s="157"/>
      <c r="I798" s="157"/>
      <c r="J798" s="159" t="s">
        <v>596</v>
      </c>
      <c r="K798" s="176" t="e">
        <f>K791+K797</f>
        <v>#REF!</v>
      </c>
    </row>
    <row r="799" spans="2:11">
      <c r="D799" s="157" t="s">
        <v>190</v>
      </c>
      <c r="E799" s="191">
        <f>E785</f>
        <v>2000</v>
      </c>
      <c r="F799" s="157" t="str">
        <f>F785</f>
        <v>Nos</v>
      </c>
      <c r="G799" s="160"/>
      <c r="H799" s="176"/>
      <c r="I799" s="157"/>
      <c r="J799" s="159" t="s">
        <v>596</v>
      </c>
      <c r="K799" s="176" t="e">
        <f>K798</f>
        <v>#REF!</v>
      </c>
    </row>
    <row r="800" spans="2:11">
      <c r="D800" s="157" t="s">
        <v>190</v>
      </c>
      <c r="E800" s="184">
        <v>1000</v>
      </c>
      <c r="F800" s="179" t="str">
        <f>F785</f>
        <v>Nos</v>
      </c>
      <c r="J800" s="159" t="s">
        <v>596</v>
      </c>
      <c r="K800" s="176" t="e">
        <f>ROUND(K799*1000/E785,2)</f>
        <v>#REF!</v>
      </c>
    </row>
    <row r="801" spans="2:11" ht="24.75" customHeight="1">
      <c r="C801" s="177">
        <f>$K$13</f>
        <v>0</v>
      </c>
      <c r="D801" s="1603" t="str">
        <f>CONCATENATE("add overheads and contractors profit at ",$K$13*100, "% on Rs.",)</f>
        <v>add overheads and contractors profit at 0% on Rs.</v>
      </c>
      <c r="E801" s="1603"/>
      <c r="F801" s="1603"/>
      <c r="G801" s="1603"/>
      <c r="H801" s="176" t="e">
        <f>K800</f>
        <v>#REF!</v>
      </c>
      <c r="J801" s="159" t="s">
        <v>596</v>
      </c>
      <c r="K801" s="176" t="e">
        <f>ROUND(C801*H801,2)</f>
        <v>#REF!</v>
      </c>
    </row>
    <row r="802" spans="2:11" s="153" customFormat="1">
      <c r="B802" s="170"/>
      <c r="C802" s="171"/>
      <c r="D802" s="157" t="s">
        <v>191</v>
      </c>
      <c r="E802" s="171"/>
      <c r="F802" s="185">
        <f>E800</f>
        <v>1000</v>
      </c>
      <c r="G802" s="171" t="str">
        <f>F800</f>
        <v>Nos</v>
      </c>
      <c r="H802" s="170"/>
      <c r="I802" s="170"/>
      <c r="J802" s="169" t="s">
        <v>596</v>
      </c>
      <c r="K802" s="181" t="e">
        <f>SUM(K800:K801)</f>
        <v>#REF!</v>
      </c>
    </row>
    <row r="804" spans="2:11" s="152" customFormat="1" ht="12.3">
      <c r="B804" s="155"/>
      <c r="C804" s="168" t="s">
        <v>109</v>
      </c>
      <c r="D804" s="168"/>
      <c r="E804" s="168"/>
      <c r="F804" s="168"/>
      <c r="G804" s="168"/>
      <c r="H804" s="155"/>
      <c r="I804" s="155"/>
      <c r="J804" s="169"/>
      <c r="K804" s="169"/>
    </row>
    <row r="805" spans="2:11" s="153" customFormat="1" ht="12.3">
      <c r="B805" s="170"/>
      <c r="C805" s="171" t="s">
        <v>543</v>
      </c>
      <c r="D805" s="170" t="s">
        <v>544</v>
      </c>
      <c r="E805" s="172">
        <v>2000</v>
      </c>
      <c r="F805" s="173" t="s">
        <v>327</v>
      </c>
      <c r="G805" s="171"/>
      <c r="H805" s="155" t="s">
        <v>92</v>
      </c>
      <c r="I805" s="155" t="s">
        <v>528</v>
      </c>
      <c r="J805" s="174"/>
      <c r="K805" s="169" t="s">
        <v>151</v>
      </c>
    </row>
    <row r="806" spans="2:11" s="153" customFormat="1" ht="12.3">
      <c r="B806" s="170"/>
      <c r="C806" s="171"/>
      <c r="D806" s="168" t="s">
        <v>35</v>
      </c>
      <c r="E806" s="172"/>
      <c r="F806" s="173"/>
      <c r="G806" s="171"/>
      <c r="H806" s="155"/>
      <c r="I806" s="155"/>
      <c r="J806" s="174"/>
      <c r="K806" s="169"/>
    </row>
    <row r="807" spans="2:11">
      <c r="C807" s="186">
        <v>0.06</v>
      </c>
      <c r="D807" s="1603" t="s">
        <v>36</v>
      </c>
      <c r="E807" s="1603"/>
      <c r="F807" s="1603"/>
      <c r="G807" s="1603"/>
      <c r="H807" s="176" t="e">
        <f>#REF!</f>
        <v>#REF!</v>
      </c>
      <c r="I807" s="187" t="s">
        <v>594</v>
      </c>
      <c r="J807" s="159" t="s">
        <v>596</v>
      </c>
      <c r="K807" s="176" t="e">
        <f>ROUND(C807*H807,2)</f>
        <v>#REF!</v>
      </c>
    </row>
    <row r="808" spans="2:11">
      <c r="C808" s="177">
        <v>1.5</v>
      </c>
      <c r="D808" s="1603" t="s">
        <v>37</v>
      </c>
      <c r="E808" s="1603"/>
      <c r="F808" s="1603"/>
      <c r="G808" s="1603"/>
      <c r="H808" s="176" t="e">
        <f>#REF!</f>
        <v>#REF!</v>
      </c>
      <c r="I808" s="187" t="s">
        <v>594</v>
      </c>
      <c r="J808" s="159" t="s">
        <v>596</v>
      </c>
      <c r="K808" s="176" t="e">
        <f>ROUND(C808*H808,2)</f>
        <v>#REF!</v>
      </c>
    </row>
    <row r="809" spans="2:11">
      <c r="C809" s="177"/>
      <c r="D809" s="160"/>
      <c r="E809" s="160"/>
      <c r="F809" s="160"/>
      <c r="G809" s="160"/>
      <c r="H809" s="176"/>
      <c r="J809" s="159" t="s">
        <v>596</v>
      </c>
      <c r="K809" s="176" t="e">
        <f>SUM(K807:K808)</f>
        <v>#REF!</v>
      </c>
    </row>
    <row r="810" spans="2:11">
      <c r="C810" s="177">
        <f>MAX($K$9,$K$10,$K$11)</f>
        <v>0</v>
      </c>
      <c r="D810" s="1603" t="str">
        <f>CONCATENATE("add area allowance at ",$K$12*100, "% on Rs.",)</f>
        <v>add area allowance at 0% on Rs.</v>
      </c>
      <c r="E810" s="1603"/>
      <c r="F810" s="1603"/>
      <c r="G810" s="1603"/>
      <c r="H810" s="176" t="e">
        <f>K809</f>
        <v>#REF!</v>
      </c>
      <c r="J810" s="159" t="s">
        <v>596</v>
      </c>
      <c r="K810" s="176" t="e">
        <f>ROUND(C810*H810,2)</f>
        <v>#REF!</v>
      </c>
    </row>
    <row r="811" spans="2:11" ht="12.75" customHeight="1">
      <c r="C811" s="177"/>
      <c r="D811" s="157" t="s">
        <v>38</v>
      </c>
      <c r="E811" s="160"/>
      <c r="F811" s="160"/>
      <c r="G811" s="160"/>
      <c r="H811" s="176"/>
      <c r="J811" s="159" t="s">
        <v>596</v>
      </c>
      <c r="K811" s="176" t="e">
        <f>SUM(K809:K810)</f>
        <v>#REF!</v>
      </c>
    </row>
    <row r="812" spans="2:11">
      <c r="D812" s="168" t="s">
        <v>615</v>
      </c>
      <c r="E812" s="160"/>
      <c r="F812" s="160"/>
      <c r="G812" s="160"/>
      <c r="H812" s="176"/>
      <c r="K812" s="176"/>
    </row>
    <row r="813" spans="2:11" ht="27.75" customHeight="1">
      <c r="C813" s="175">
        <v>1</v>
      </c>
      <c r="D813" s="1603" t="s">
        <v>62</v>
      </c>
      <c r="E813" s="1603"/>
      <c r="F813" s="1603"/>
      <c r="G813" s="1603"/>
      <c r="H813" s="176">
        <f>$F$6</f>
        <v>428.6</v>
      </c>
      <c r="I813" s="156" t="str">
        <f>$K$6</f>
        <v>Hour</v>
      </c>
      <c r="J813" s="159" t="s">
        <v>596</v>
      </c>
      <c r="K813" s="176">
        <f>ROUND(C813*H813,2)</f>
        <v>428.6</v>
      </c>
    </row>
    <row r="814" spans="2:11" ht="27" customHeight="1">
      <c r="C814" s="177">
        <f>C813</f>
        <v>1</v>
      </c>
      <c r="D814" s="1603" t="s">
        <v>63</v>
      </c>
      <c r="E814" s="1603"/>
      <c r="F814" s="1603"/>
      <c r="G814" s="1603"/>
      <c r="H814" s="176">
        <f>$G$6</f>
        <v>352.5</v>
      </c>
      <c r="I814" s="156" t="str">
        <f>$K$6</f>
        <v>Hour</v>
      </c>
      <c r="J814" s="159" t="s">
        <v>596</v>
      </c>
      <c r="K814" s="176">
        <f>ROUND(C814*H814,2)</f>
        <v>352.5</v>
      </c>
    </row>
    <row r="815" spans="2:11" ht="27" customHeight="1">
      <c r="C815" s="177">
        <f>C813</f>
        <v>1</v>
      </c>
      <c r="D815" s="1603" t="s">
        <v>64</v>
      </c>
      <c r="E815" s="1603"/>
      <c r="F815" s="1603"/>
      <c r="G815" s="1603"/>
      <c r="H815" s="176">
        <f>$H$6</f>
        <v>211.6</v>
      </c>
      <c r="I815" s="156" t="str">
        <f>$K$6</f>
        <v>Hour</v>
      </c>
      <c r="J815" s="159" t="s">
        <v>596</v>
      </c>
      <c r="K815" s="176">
        <f>ROUND(C815*H815,2)</f>
        <v>211.6</v>
      </c>
    </row>
    <row r="816" spans="2:11">
      <c r="C816" s="177">
        <f>MAX($K$9,$K$10,$K$11)</f>
        <v>0</v>
      </c>
      <c r="D816" s="1603" t="str">
        <f>CONCATENATE("add area allowance at ",$K$12*100, "% on Rs.",)</f>
        <v>add area allowance at 0% on Rs.</v>
      </c>
      <c r="E816" s="1603"/>
      <c r="F816" s="1603"/>
      <c r="G816" s="1603"/>
      <c r="H816" s="176">
        <f>K815</f>
        <v>211.6</v>
      </c>
      <c r="J816" s="159" t="s">
        <v>596</v>
      </c>
      <c r="K816" s="176">
        <f>ROUND(C816*H816,2)</f>
        <v>0</v>
      </c>
    </row>
    <row r="817" spans="2:11">
      <c r="D817" s="157" t="s">
        <v>616</v>
      </c>
      <c r="E817" s="160"/>
      <c r="F817" s="160"/>
      <c r="G817" s="160"/>
      <c r="H817" s="176"/>
      <c r="J817" s="159" t="s">
        <v>596</v>
      </c>
      <c r="K817" s="176">
        <f>SUM(K813:K816)</f>
        <v>992.7</v>
      </c>
    </row>
    <row r="818" spans="2:11">
      <c r="D818" s="157" t="s">
        <v>617</v>
      </c>
      <c r="E818" s="160"/>
      <c r="F818" s="160"/>
      <c r="G818" s="160"/>
      <c r="H818" s="157"/>
      <c r="I818" s="157"/>
      <c r="J818" s="159" t="s">
        <v>596</v>
      </c>
      <c r="K818" s="176" t="e">
        <f>K811+K817</f>
        <v>#REF!</v>
      </c>
    </row>
    <row r="819" spans="2:11">
      <c r="D819" s="157" t="s">
        <v>190</v>
      </c>
      <c r="E819" s="191">
        <f>E805</f>
        <v>2000</v>
      </c>
      <c r="F819" s="157" t="str">
        <f>F805</f>
        <v>Nos</v>
      </c>
      <c r="G819" s="160"/>
      <c r="H819" s="176"/>
      <c r="I819" s="157"/>
      <c r="J819" s="159" t="s">
        <v>596</v>
      </c>
      <c r="K819" s="176" t="e">
        <f>K818</f>
        <v>#REF!</v>
      </c>
    </row>
    <row r="820" spans="2:11">
      <c r="D820" s="157" t="s">
        <v>190</v>
      </c>
      <c r="E820" s="184">
        <v>1000</v>
      </c>
      <c r="F820" s="179" t="str">
        <f>F805</f>
        <v>Nos</v>
      </c>
      <c r="J820" s="159" t="s">
        <v>596</v>
      </c>
      <c r="K820" s="156" t="e">
        <f>ROUND(K819*1000/E805,2)</f>
        <v>#REF!</v>
      </c>
    </row>
    <row r="821" spans="2:11" ht="24.75" customHeight="1">
      <c r="C821" s="177">
        <f>$K$13</f>
        <v>0</v>
      </c>
      <c r="D821" s="1603" t="str">
        <f>CONCATENATE("add overheads and contractors profit at ",$K$13*100, "% on Rs.",)</f>
        <v>add overheads and contractors profit at 0% on Rs.</v>
      </c>
      <c r="E821" s="1603"/>
      <c r="F821" s="1603"/>
      <c r="G821" s="1603"/>
      <c r="H821" s="176" t="e">
        <f>K820</f>
        <v>#REF!</v>
      </c>
      <c r="J821" s="159" t="s">
        <v>596</v>
      </c>
      <c r="K821" s="176" t="e">
        <f>ROUND(C821*H821,2)</f>
        <v>#REF!</v>
      </c>
    </row>
    <row r="822" spans="2:11" s="153" customFormat="1">
      <c r="B822" s="170"/>
      <c r="C822" s="171"/>
      <c r="D822" s="157" t="s">
        <v>191</v>
      </c>
      <c r="E822" s="171"/>
      <c r="F822" s="185">
        <f>E820</f>
        <v>1000</v>
      </c>
      <c r="G822" s="171" t="str">
        <f>F820</f>
        <v>Nos</v>
      </c>
      <c r="H822" s="170"/>
      <c r="I822" s="170"/>
      <c r="J822" s="169" t="s">
        <v>596</v>
      </c>
      <c r="K822" s="181" t="e">
        <f>SUM(K820:K821)</f>
        <v>#REF!</v>
      </c>
    </row>
    <row r="824" spans="2:11" ht="30.75" customHeight="1">
      <c r="B824" s="1606" t="s">
        <v>619</v>
      </c>
      <c r="C824" s="1606"/>
      <c r="D824" s="1606"/>
      <c r="E824" s="1606"/>
      <c r="F824" s="1606"/>
      <c r="G824" s="1606"/>
      <c r="H824" s="1606"/>
      <c r="I824" s="1606"/>
      <c r="J824" s="1606"/>
      <c r="K824" s="1606"/>
    </row>
    <row r="825" spans="2:11" s="152" customFormat="1" ht="14.25" customHeight="1">
      <c r="B825" s="155" t="s">
        <v>437</v>
      </c>
      <c r="C825" s="1605" t="s">
        <v>574</v>
      </c>
      <c r="D825" s="1605"/>
      <c r="E825" s="1605"/>
      <c r="F825" s="1605"/>
      <c r="G825" s="1605"/>
      <c r="H825" s="1605"/>
      <c r="I825" s="1605"/>
      <c r="J825" s="1605"/>
      <c r="K825" s="1605"/>
    </row>
    <row r="826" spans="2:11" s="152" customFormat="1" ht="12.3">
      <c r="B826" s="155"/>
      <c r="C826" s="168" t="s">
        <v>34</v>
      </c>
      <c r="D826" s="168"/>
      <c r="E826" s="168"/>
      <c r="F826" s="168"/>
      <c r="G826" s="168"/>
      <c r="H826" s="155"/>
      <c r="I826" s="155"/>
      <c r="J826" s="169"/>
      <c r="K826" s="169"/>
    </row>
    <row r="827" spans="2:11" s="153" customFormat="1" ht="12.3">
      <c r="B827" s="170"/>
      <c r="C827" s="171" t="s">
        <v>543</v>
      </c>
      <c r="D827" s="170" t="s">
        <v>544</v>
      </c>
      <c r="E827" s="172">
        <v>5.5</v>
      </c>
      <c r="F827" s="173" t="s">
        <v>465</v>
      </c>
      <c r="G827" s="171"/>
      <c r="H827" s="155" t="s">
        <v>92</v>
      </c>
      <c r="I827" s="155" t="s">
        <v>528</v>
      </c>
      <c r="J827" s="174"/>
      <c r="K827" s="169" t="s">
        <v>151</v>
      </c>
    </row>
    <row r="828" spans="2:11">
      <c r="D828" s="168" t="s">
        <v>620</v>
      </c>
      <c r="E828" s="160"/>
      <c r="F828" s="160"/>
      <c r="G828" s="160"/>
      <c r="H828" s="176"/>
      <c r="K828" s="176"/>
    </row>
    <row r="829" spans="2:11" ht="27.75" customHeight="1">
      <c r="C829" s="175">
        <v>0.11</v>
      </c>
      <c r="D829" s="1603" t="s">
        <v>57</v>
      </c>
      <c r="E829" s="1603"/>
      <c r="F829" s="1603"/>
      <c r="G829" s="1603"/>
      <c r="H829" s="176">
        <f>$F$4</f>
        <v>471.6</v>
      </c>
      <c r="I829" s="156" t="str">
        <f>$K$4</f>
        <v>Hour</v>
      </c>
      <c r="J829" s="159" t="s">
        <v>596</v>
      </c>
      <c r="K829" s="176">
        <f t="shared" ref="K829:K835" si="8">ROUND(C829*H829,2)</f>
        <v>51.88</v>
      </c>
    </row>
    <row r="830" spans="2:11" ht="27" customHeight="1">
      <c r="C830" s="177">
        <f>C829</f>
        <v>0.11</v>
      </c>
      <c r="D830" s="1603" t="s">
        <v>58</v>
      </c>
      <c r="E830" s="1603"/>
      <c r="F830" s="1603"/>
      <c r="G830" s="1603"/>
      <c r="H830" s="176">
        <f>$G$4</f>
        <v>352.5</v>
      </c>
      <c r="I830" s="156" t="str">
        <f>$K$4</f>
        <v>Hour</v>
      </c>
      <c r="J830" s="159" t="s">
        <v>596</v>
      </c>
      <c r="K830" s="176">
        <f t="shared" si="8"/>
        <v>38.78</v>
      </c>
    </row>
    <row r="831" spans="2:11" ht="27" customHeight="1">
      <c r="C831" s="177">
        <f>C829</f>
        <v>0.11</v>
      </c>
      <c r="D831" s="1603" t="s">
        <v>59</v>
      </c>
      <c r="E831" s="1603"/>
      <c r="F831" s="1603"/>
      <c r="G831" s="1603"/>
      <c r="H831" s="176">
        <f>$H$4</f>
        <v>211.6</v>
      </c>
      <c r="I831" s="156" t="str">
        <f>$K$4</f>
        <v>Hour</v>
      </c>
      <c r="J831" s="159" t="s">
        <v>596</v>
      </c>
      <c r="K831" s="176">
        <f t="shared" si="8"/>
        <v>23.28</v>
      </c>
    </row>
    <row r="832" spans="2:11" ht="27.75" customHeight="1">
      <c r="C832" s="175">
        <v>0.06</v>
      </c>
      <c r="D832" s="1603" t="s">
        <v>60</v>
      </c>
      <c r="E832" s="1603"/>
      <c r="F832" s="1603"/>
      <c r="G832" s="1603"/>
      <c r="H832" s="176">
        <f>$F$7</f>
        <v>1279.42</v>
      </c>
      <c r="I832" s="156" t="str">
        <f>$K$7</f>
        <v>Hour</v>
      </c>
      <c r="J832" s="159" t="s">
        <v>596</v>
      </c>
      <c r="K832" s="176">
        <f t="shared" si="8"/>
        <v>76.77</v>
      </c>
    </row>
    <row r="833" spans="2:11" ht="27" customHeight="1">
      <c r="C833" s="177">
        <f>C832</f>
        <v>0.06</v>
      </c>
      <c r="D833" s="1603" t="s">
        <v>87</v>
      </c>
      <c r="E833" s="1603"/>
      <c r="F833" s="1603"/>
      <c r="G833" s="1603"/>
      <c r="H833" s="176">
        <f>$G$7</f>
        <v>352.5</v>
      </c>
      <c r="I833" s="156" t="str">
        <f>$K$7</f>
        <v>Hour</v>
      </c>
      <c r="J833" s="159" t="s">
        <v>596</v>
      </c>
      <c r="K833" s="176">
        <f t="shared" si="8"/>
        <v>21.15</v>
      </c>
    </row>
    <row r="834" spans="2:11" ht="27" customHeight="1">
      <c r="C834" s="177">
        <f>C832</f>
        <v>0.06</v>
      </c>
      <c r="D834" s="1603" t="s">
        <v>88</v>
      </c>
      <c r="E834" s="1603"/>
      <c r="F834" s="1603"/>
      <c r="G834" s="1603"/>
      <c r="H834" s="176">
        <f>$H$7</f>
        <v>211.6</v>
      </c>
      <c r="I834" s="156" t="str">
        <f>$K$7</f>
        <v>Hour</v>
      </c>
      <c r="J834" s="159" t="s">
        <v>596</v>
      </c>
      <c r="K834" s="176">
        <f t="shared" si="8"/>
        <v>12.7</v>
      </c>
    </row>
    <row r="835" spans="2:11">
      <c r="C835" s="177">
        <f>MAX($K$9,$K$10,$K$11)</f>
        <v>0</v>
      </c>
      <c r="D835" s="1603" t="str">
        <f>CONCATENATE("add area allowance at ",$K$12*100, "% on Rs.",)</f>
        <v>add area allowance at 0% on Rs.</v>
      </c>
      <c r="E835" s="1603"/>
      <c r="F835" s="1603"/>
      <c r="G835" s="1603"/>
      <c r="H835" s="176">
        <f>K831+K834</f>
        <v>35.980000000000004</v>
      </c>
      <c r="J835" s="159" t="s">
        <v>596</v>
      </c>
      <c r="K835" s="176">
        <f t="shared" si="8"/>
        <v>0</v>
      </c>
    </row>
    <row r="836" spans="2:11">
      <c r="D836" s="157" t="s">
        <v>616</v>
      </c>
      <c r="E836" s="160"/>
      <c r="F836" s="160"/>
      <c r="G836" s="160"/>
      <c r="H836" s="176"/>
      <c r="J836" s="159" t="s">
        <v>596</v>
      </c>
      <c r="K836" s="176">
        <f>SUM(K829:K835)</f>
        <v>224.55999999999997</v>
      </c>
    </row>
    <row r="837" spans="2:11">
      <c r="D837" s="157" t="s">
        <v>190</v>
      </c>
      <c r="E837" s="188">
        <f>E827</f>
        <v>5.5</v>
      </c>
      <c r="F837" s="157" t="str">
        <f>F827</f>
        <v>Cum</v>
      </c>
      <c r="G837" s="160"/>
      <c r="H837" s="176"/>
      <c r="I837" s="157"/>
      <c r="J837" s="159" t="s">
        <v>596</v>
      </c>
      <c r="K837" s="176">
        <f>K836</f>
        <v>224.55999999999997</v>
      </c>
    </row>
    <row r="838" spans="2:11">
      <c r="D838" s="157" t="s">
        <v>190</v>
      </c>
      <c r="E838" s="178">
        <v>1</v>
      </c>
      <c r="F838" s="179" t="str">
        <f>F827</f>
        <v>Cum</v>
      </c>
      <c r="J838" s="159" t="s">
        <v>596</v>
      </c>
      <c r="K838" s="156">
        <f>ROUND(K837/E827,2)</f>
        <v>40.83</v>
      </c>
    </row>
    <row r="839" spans="2:11" ht="24.75" customHeight="1">
      <c r="C839" s="177">
        <f>$K$13</f>
        <v>0</v>
      </c>
      <c r="D839" s="1603" t="str">
        <f>CONCATENATE("add overheads and contractors profit at ",$K$13*100, "% on Rs.",)</f>
        <v>add overheads and contractors profit at 0% on Rs.</v>
      </c>
      <c r="E839" s="1603"/>
      <c r="F839" s="1603"/>
      <c r="G839" s="1603"/>
      <c r="H839" s="176">
        <f>K838</f>
        <v>40.83</v>
      </c>
      <c r="J839" s="159" t="s">
        <v>596</v>
      </c>
      <c r="K839" s="176">
        <f>ROUND(C839*H839,2)</f>
        <v>0</v>
      </c>
    </row>
    <row r="840" spans="2:11" s="153" customFormat="1">
      <c r="B840" s="170"/>
      <c r="C840" s="171"/>
      <c r="D840" s="157" t="s">
        <v>191</v>
      </c>
      <c r="E840" s="171"/>
      <c r="F840" s="180">
        <f>E838</f>
        <v>1</v>
      </c>
      <c r="G840" s="171" t="str">
        <f>F838</f>
        <v>Cum</v>
      </c>
      <c r="H840" s="170"/>
      <c r="I840" s="170"/>
      <c r="J840" s="169" t="s">
        <v>596</v>
      </c>
      <c r="K840" s="181">
        <f>SUM(K838:K839)</f>
        <v>40.83</v>
      </c>
    </row>
    <row r="841" spans="2:11" s="153" customFormat="1">
      <c r="B841" s="170"/>
      <c r="C841" s="193"/>
      <c r="D841" s="157"/>
      <c r="E841" s="171"/>
      <c r="F841" s="180"/>
      <c r="G841" s="171"/>
      <c r="H841" s="170"/>
      <c r="I841" s="170"/>
      <c r="J841" s="169"/>
      <c r="K841" s="181"/>
    </row>
    <row r="842" spans="2:11" s="152" customFormat="1" ht="12.3">
      <c r="B842" s="155"/>
      <c r="C842" s="168" t="s">
        <v>39</v>
      </c>
      <c r="D842" s="168"/>
      <c r="E842" s="168"/>
      <c r="F842" s="168"/>
      <c r="G842" s="168"/>
      <c r="H842" s="155"/>
      <c r="I842" s="155"/>
      <c r="J842" s="169"/>
      <c r="K842" s="169"/>
    </row>
    <row r="843" spans="2:11" s="153" customFormat="1" ht="12.3">
      <c r="B843" s="170"/>
      <c r="C843" s="171" t="s">
        <v>543</v>
      </c>
      <c r="D843" s="170" t="s">
        <v>544</v>
      </c>
      <c r="E843" s="172">
        <v>5.5</v>
      </c>
      <c r="F843" s="173" t="s">
        <v>465</v>
      </c>
      <c r="G843" s="171"/>
      <c r="H843" s="155" t="s">
        <v>92</v>
      </c>
      <c r="I843" s="155" t="s">
        <v>528</v>
      </c>
      <c r="J843" s="174"/>
      <c r="K843" s="169" t="s">
        <v>151</v>
      </c>
    </row>
    <row r="844" spans="2:11">
      <c r="D844" s="168" t="s">
        <v>620</v>
      </c>
      <c r="E844" s="160"/>
      <c r="F844" s="160"/>
      <c r="G844" s="160"/>
      <c r="H844" s="176"/>
      <c r="K844" s="176"/>
    </row>
    <row r="845" spans="2:11" ht="27.75" customHeight="1">
      <c r="C845" s="175">
        <v>0.08</v>
      </c>
      <c r="D845" s="1603" t="s">
        <v>57</v>
      </c>
      <c r="E845" s="1603"/>
      <c r="F845" s="1603"/>
      <c r="G845" s="1603"/>
      <c r="H845" s="176">
        <f>$F$4</f>
        <v>471.6</v>
      </c>
      <c r="I845" s="156" t="str">
        <f>$K$4</f>
        <v>Hour</v>
      </c>
      <c r="J845" s="159" t="s">
        <v>596</v>
      </c>
      <c r="K845" s="176">
        <f>ROUND(C845*H845,2)</f>
        <v>37.729999999999997</v>
      </c>
    </row>
    <row r="846" spans="2:11" ht="27" customHeight="1">
      <c r="C846" s="177">
        <f>C845</f>
        <v>0.08</v>
      </c>
      <c r="D846" s="1603" t="s">
        <v>58</v>
      </c>
      <c r="E846" s="1603"/>
      <c r="F846" s="1603"/>
      <c r="G846" s="1603"/>
      <c r="H846" s="176">
        <f>$G$4</f>
        <v>352.5</v>
      </c>
      <c r="I846" s="156" t="str">
        <f>$K$4</f>
        <v>Hour</v>
      </c>
      <c r="J846" s="159" t="s">
        <v>596</v>
      </c>
      <c r="K846" s="176">
        <f>ROUND(C846*H846,2)</f>
        <v>28.2</v>
      </c>
    </row>
    <row r="847" spans="2:11" ht="27" customHeight="1">
      <c r="C847" s="177">
        <f>C845</f>
        <v>0.08</v>
      </c>
      <c r="D847" s="1603" t="s">
        <v>59</v>
      </c>
      <c r="E847" s="1603"/>
      <c r="F847" s="1603"/>
      <c r="G847" s="1603"/>
      <c r="H847" s="176">
        <f>$H$4</f>
        <v>211.6</v>
      </c>
      <c r="I847" s="156" t="str">
        <f>$K$4</f>
        <v>Hour</v>
      </c>
      <c r="J847" s="159" t="s">
        <v>596</v>
      </c>
      <c r="K847" s="176">
        <f>ROUND(C847*H847,2)</f>
        <v>16.93</v>
      </c>
    </row>
    <row r="848" spans="2:11">
      <c r="C848" s="177">
        <f>MAX($K$9,$K$10,$K$11)</f>
        <v>0</v>
      </c>
      <c r="D848" s="1603" t="str">
        <f>CONCATENATE("add area allowance at ",$K$12*100, "% on Rs.",)</f>
        <v>add area allowance at 0% on Rs.</v>
      </c>
      <c r="E848" s="1603"/>
      <c r="F848" s="1603"/>
      <c r="G848" s="1603"/>
      <c r="H848" s="176">
        <f>K847</f>
        <v>16.93</v>
      </c>
      <c r="J848" s="159" t="s">
        <v>596</v>
      </c>
      <c r="K848" s="176">
        <f>ROUND(C848*H848,2)</f>
        <v>0</v>
      </c>
    </row>
    <row r="849" spans="2:11">
      <c r="D849" s="157" t="s">
        <v>616</v>
      </c>
      <c r="E849" s="160"/>
      <c r="F849" s="160"/>
      <c r="G849" s="160"/>
      <c r="H849" s="176"/>
      <c r="J849" s="159" t="s">
        <v>596</v>
      </c>
      <c r="K849" s="176">
        <f>SUM(K845:K848)</f>
        <v>82.859999999999985</v>
      </c>
    </row>
    <row r="850" spans="2:11">
      <c r="D850" s="157" t="s">
        <v>190</v>
      </c>
      <c r="E850" s="188">
        <f>E843</f>
        <v>5.5</v>
      </c>
      <c r="F850" s="157" t="str">
        <f>F843</f>
        <v>Cum</v>
      </c>
      <c r="G850" s="160"/>
      <c r="H850" s="176"/>
      <c r="I850" s="157"/>
      <c r="J850" s="159" t="s">
        <v>596</v>
      </c>
      <c r="K850" s="176">
        <f>K849</f>
        <v>82.859999999999985</v>
      </c>
    </row>
    <row r="851" spans="2:11">
      <c r="D851" s="157" t="s">
        <v>190</v>
      </c>
      <c r="E851" s="178">
        <v>1</v>
      </c>
      <c r="F851" s="179" t="str">
        <f>F843</f>
        <v>Cum</v>
      </c>
      <c r="J851" s="159" t="s">
        <v>596</v>
      </c>
      <c r="K851" s="156">
        <f>ROUND(K850/E843,2)</f>
        <v>15.07</v>
      </c>
    </row>
    <row r="852" spans="2:11" ht="24.75" customHeight="1">
      <c r="C852" s="177">
        <f>$K$13</f>
        <v>0</v>
      </c>
      <c r="D852" s="1603" t="str">
        <f>CONCATENATE("add overheads and contractors profit at ",$K$13*100, "% on Rs.",)</f>
        <v>add overheads and contractors profit at 0% on Rs.</v>
      </c>
      <c r="E852" s="1603"/>
      <c r="F852" s="1603"/>
      <c r="G852" s="1603"/>
      <c r="H852" s="176">
        <f>K851</f>
        <v>15.07</v>
      </c>
      <c r="J852" s="159" t="s">
        <v>596</v>
      </c>
      <c r="K852" s="176">
        <f>ROUND(C852*H852,2)</f>
        <v>0</v>
      </c>
    </row>
    <row r="853" spans="2:11" s="153" customFormat="1">
      <c r="B853" s="170"/>
      <c r="C853" s="171"/>
      <c r="D853" s="157" t="s">
        <v>191</v>
      </c>
      <c r="E853" s="171"/>
      <c r="F853" s="180">
        <f>E851</f>
        <v>1</v>
      </c>
      <c r="G853" s="171" t="str">
        <f>F851</f>
        <v>Cum</v>
      </c>
      <c r="H853" s="170"/>
      <c r="I853" s="170"/>
      <c r="J853" s="169" t="s">
        <v>596</v>
      </c>
      <c r="K853" s="181">
        <f>SUM(K851:K852)</f>
        <v>15.07</v>
      </c>
    </row>
    <row r="854" spans="2:11" s="153" customFormat="1">
      <c r="B854" s="170"/>
      <c r="C854" s="171"/>
      <c r="D854" s="157"/>
      <c r="E854" s="171"/>
      <c r="F854" s="180"/>
      <c r="G854" s="171"/>
      <c r="H854" s="170"/>
      <c r="I854" s="170"/>
      <c r="J854" s="169"/>
      <c r="K854" s="181"/>
    </row>
    <row r="855" spans="2:11" s="152" customFormat="1" ht="30" customHeight="1">
      <c r="B855" s="155" t="s">
        <v>111</v>
      </c>
      <c r="C855" s="1605" t="s">
        <v>618</v>
      </c>
      <c r="D855" s="1605"/>
      <c r="E855" s="1605"/>
      <c r="F855" s="1605"/>
      <c r="G855" s="1605"/>
      <c r="H855" s="1605"/>
      <c r="I855" s="1605"/>
      <c r="J855" s="1605"/>
      <c r="K855" s="1605"/>
    </row>
    <row r="856" spans="2:11" s="152" customFormat="1" ht="12.3">
      <c r="B856" s="155"/>
      <c r="C856" s="168" t="s">
        <v>34</v>
      </c>
      <c r="D856" s="168"/>
      <c r="E856" s="168"/>
      <c r="F856" s="168"/>
      <c r="G856" s="168"/>
      <c r="H856" s="155"/>
      <c r="I856" s="155"/>
      <c r="J856" s="169"/>
      <c r="K856" s="169"/>
    </row>
    <row r="857" spans="2:11" s="153" customFormat="1" ht="12.3">
      <c r="B857" s="170"/>
      <c r="C857" s="171" t="s">
        <v>543</v>
      </c>
      <c r="D857" s="170" t="s">
        <v>544</v>
      </c>
      <c r="E857" s="172">
        <v>5.5</v>
      </c>
      <c r="F857" s="173" t="s">
        <v>465</v>
      </c>
      <c r="G857" s="171"/>
      <c r="H857" s="155" t="s">
        <v>92</v>
      </c>
      <c r="I857" s="155" t="s">
        <v>528</v>
      </c>
      <c r="J857" s="174"/>
      <c r="K857" s="169" t="s">
        <v>151</v>
      </c>
    </row>
    <row r="858" spans="2:11">
      <c r="D858" s="168" t="s">
        <v>620</v>
      </c>
      <c r="E858" s="160"/>
      <c r="F858" s="160"/>
      <c r="G858" s="160"/>
      <c r="H858" s="176"/>
      <c r="K858" s="176"/>
    </row>
    <row r="859" spans="2:11" ht="27.75" customHeight="1">
      <c r="C859" s="175">
        <v>0.17</v>
      </c>
      <c r="D859" s="1603" t="s">
        <v>57</v>
      </c>
      <c r="E859" s="1603"/>
      <c r="F859" s="1603"/>
      <c r="G859" s="1603"/>
      <c r="H859" s="176">
        <f>$F$4</f>
        <v>471.6</v>
      </c>
      <c r="I859" s="156" t="str">
        <f>$K$4</f>
        <v>Hour</v>
      </c>
      <c r="J859" s="159" t="s">
        <v>596</v>
      </c>
      <c r="K859" s="176">
        <f t="shared" ref="K859:K865" si="9">ROUND(C859*H859,2)</f>
        <v>80.17</v>
      </c>
    </row>
    <row r="860" spans="2:11" ht="27" customHeight="1">
      <c r="C860" s="177">
        <f>C859</f>
        <v>0.17</v>
      </c>
      <c r="D860" s="1603" t="s">
        <v>58</v>
      </c>
      <c r="E860" s="1603"/>
      <c r="F860" s="1603"/>
      <c r="G860" s="1603"/>
      <c r="H860" s="176">
        <f>$G$4</f>
        <v>352.5</v>
      </c>
      <c r="I860" s="156" t="str">
        <f>$K$4</f>
        <v>Hour</v>
      </c>
      <c r="J860" s="159" t="s">
        <v>596</v>
      </c>
      <c r="K860" s="176">
        <f t="shared" si="9"/>
        <v>59.93</v>
      </c>
    </row>
    <row r="861" spans="2:11" ht="27" customHeight="1">
      <c r="C861" s="177">
        <f>C859</f>
        <v>0.17</v>
      </c>
      <c r="D861" s="1603" t="s">
        <v>59</v>
      </c>
      <c r="E861" s="1603"/>
      <c r="F861" s="1603"/>
      <c r="G861" s="1603"/>
      <c r="H861" s="176">
        <f>$H$4</f>
        <v>211.6</v>
      </c>
      <c r="I861" s="156" t="str">
        <f>$K$4</f>
        <v>Hour</v>
      </c>
      <c r="J861" s="159" t="s">
        <v>596</v>
      </c>
      <c r="K861" s="176">
        <f t="shared" si="9"/>
        <v>35.97</v>
      </c>
    </row>
    <row r="862" spans="2:11" ht="27.75" customHeight="1">
      <c r="C862" s="175">
        <v>0.12</v>
      </c>
      <c r="D862" s="1603" t="s">
        <v>60</v>
      </c>
      <c r="E862" s="1603"/>
      <c r="F862" s="1603"/>
      <c r="G862" s="1603"/>
      <c r="H862" s="176">
        <f>$F$7</f>
        <v>1279.42</v>
      </c>
      <c r="I862" s="156" t="str">
        <f>$K$7</f>
        <v>Hour</v>
      </c>
      <c r="J862" s="159" t="s">
        <v>596</v>
      </c>
      <c r="K862" s="176">
        <f t="shared" si="9"/>
        <v>153.53</v>
      </c>
    </row>
    <row r="863" spans="2:11" ht="27" customHeight="1">
      <c r="C863" s="177">
        <f>C862</f>
        <v>0.12</v>
      </c>
      <c r="D863" s="1603" t="s">
        <v>87</v>
      </c>
      <c r="E863" s="1603"/>
      <c r="F863" s="1603"/>
      <c r="G863" s="1603"/>
      <c r="H863" s="176">
        <f>$G$7</f>
        <v>352.5</v>
      </c>
      <c r="I863" s="156" t="str">
        <f>$K$7</f>
        <v>Hour</v>
      </c>
      <c r="J863" s="159" t="s">
        <v>596</v>
      </c>
      <c r="K863" s="176">
        <f t="shared" si="9"/>
        <v>42.3</v>
      </c>
    </row>
    <row r="864" spans="2:11" ht="27" customHeight="1">
      <c r="C864" s="177">
        <f>C862</f>
        <v>0.12</v>
      </c>
      <c r="D864" s="1603" t="s">
        <v>88</v>
      </c>
      <c r="E864" s="1603"/>
      <c r="F864" s="1603"/>
      <c r="G864" s="1603"/>
      <c r="H864" s="176">
        <f>$H$7</f>
        <v>211.6</v>
      </c>
      <c r="I864" s="156" t="str">
        <f>$K$7</f>
        <v>Hour</v>
      </c>
      <c r="J864" s="159" t="s">
        <v>596</v>
      </c>
      <c r="K864" s="176">
        <f t="shared" si="9"/>
        <v>25.39</v>
      </c>
    </row>
    <row r="865" spans="1:11">
      <c r="C865" s="177">
        <f>MAX($K$9,$K$10,$K$11)</f>
        <v>0</v>
      </c>
      <c r="D865" s="1603" t="str">
        <f>CONCATENATE("add area allowance at ",$K$12*100, "% on Rs.",)</f>
        <v>add area allowance at 0% on Rs.</v>
      </c>
      <c r="E865" s="1603"/>
      <c r="F865" s="1603"/>
      <c r="G865" s="1603"/>
      <c r="H865" s="176">
        <f>K861+K864</f>
        <v>61.36</v>
      </c>
      <c r="J865" s="159" t="s">
        <v>596</v>
      </c>
      <c r="K865" s="176">
        <f t="shared" si="9"/>
        <v>0</v>
      </c>
    </row>
    <row r="866" spans="1:11">
      <c r="D866" s="157" t="s">
        <v>616</v>
      </c>
      <c r="E866" s="160"/>
      <c r="F866" s="160"/>
      <c r="G866" s="160"/>
      <c r="H866" s="176"/>
      <c r="J866" s="159" t="s">
        <v>596</v>
      </c>
      <c r="K866" s="176">
        <f>SUM(K859:K865)</f>
        <v>397.29</v>
      </c>
    </row>
    <row r="867" spans="1:11">
      <c r="D867" s="157" t="s">
        <v>190</v>
      </c>
      <c r="E867" s="188">
        <f>E857</f>
        <v>5.5</v>
      </c>
      <c r="F867" s="157" t="str">
        <f>F857</f>
        <v>Cum</v>
      </c>
      <c r="G867" s="160"/>
      <c r="H867" s="176"/>
      <c r="I867" s="157"/>
      <c r="J867" s="159" t="s">
        <v>596</v>
      </c>
      <c r="K867" s="176">
        <f>K866</f>
        <v>397.29</v>
      </c>
    </row>
    <row r="868" spans="1:11">
      <c r="D868" s="157" t="s">
        <v>190</v>
      </c>
      <c r="E868" s="178">
        <v>1</v>
      </c>
      <c r="F868" s="179" t="str">
        <f>F857</f>
        <v>Cum</v>
      </c>
      <c r="J868" s="159" t="s">
        <v>596</v>
      </c>
      <c r="K868" s="156">
        <f>ROUND(K867/E857,2)</f>
        <v>72.23</v>
      </c>
    </row>
    <row r="869" spans="1:11" ht="24.75" customHeight="1">
      <c r="C869" s="177">
        <f>$K$13</f>
        <v>0</v>
      </c>
      <c r="D869" s="1603" t="str">
        <f>CONCATENATE("add overheads and contractors profit at ",$K$13*100, "% on Rs.",)</f>
        <v>add overheads and contractors profit at 0% on Rs.</v>
      </c>
      <c r="E869" s="1603"/>
      <c r="F869" s="1603"/>
      <c r="G869" s="1603"/>
      <c r="H869" s="176">
        <f>K868</f>
        <v>72.23</v>
      </c>
      <c r="J869" s="159" t="s">
        <v>596</v>
      </c>
      <c r="K869" s="176">
        <f>ROUND(C869*H869,2)</f>
        <v>0</v>
      </c>
    </row>
    <row r="870" spans="1:11" s="153" customFormat="1">
      <c r="B870" s="222"/>
      <c r="C870" s="223"/>
      <c r="D870" s="224" t="s">
        <v>191</v>
      </c>
      <c r="E870" s="223"/>
      <c r="F870" s="225">
        <f>E868</f>
        <v>1</v>
      </c>
      <c r="G870" s="223" t="str">
        <f>F868</f>
        <v>Cum</v>
      </c>
      <c r="H870" s="222"/>
      <c r="I870" s="222"/>
      <c r="J870" s="226" t="s">
        <v>596</v>
      </c>
      <c r="K870" s="227">
        <f>SUM(K868:K869)</f>
        <v>72.23</v>
      </c>
    </row>
    <row r="871" spans="1:11" s="153" customFormat="1">
      <c r="A871" s="228"/>
      <c r="B871" s="229"/>
      <c r="C871" s="230"/>
      <c r="D871" s="231"/>
      <c r="E871" s="228"/>
      <c r="F871" s="232"/>
      <c r="G871" s="228"/>
      <c r="H871" s="229"/>
      <c r="I871" s="229"/>
      <c r="J871" s="233"/>
      <c r="K871" s="234"/>
    </row>
    <row r="872" spans="1:11">
      <c r="A872" s="231"/>
      <c r="B872" s="235"/>
      <c r="C872" s="231"/>
      <c r="D872" s="231"/>
      <c r="E872" s="231"/>
      <c r="F872" s="231"/>
      <c r="G872" s="231"/>
      <c r="H872" s="235"/>
      <c r="I872" s="235"/>
      <c r="J872" s="236"/>
      <c r="K872" s="236"/>
    </row>
    <row r="873" spans="1:11">
      <c r="A873" s="231"/>
      <c r="B873" s="235"/>
      <c r="C873" s="231"/>
      <c r="D873" s="231"/>
      <c r="E873" s="231"/>
      <c r="F873" s="231"/>
      <c r="G873" s="231"/>
      <c r="H873" s="235"/>
      <c r="I873" s="235"/>
      <c r="J873" s="236"/>
      <c r="K873" s="236"/>
    </row>
    <row r="874" spans="1:11">
      <c r="A874" s="231"/>
      <c r="B874" s="235"/>
      <c r="C874" s="231"/>
      <c r="D874" s="231"/>
      <c r="E874" s="231"/>
      <c r="F874" s="231"/>
      <c r="G874" s="231"/>
      <c r="H874" s="235"/>
      <c r="I874" s="235"/>
      <c r="J874" s="236"/>
      <c r="K874" s="236"/>
    </row>
    <row r="875" spans="1:11" ht="43.5" customHeight="1">
      <c r="A875" s="231"/>
    </row>
    <row r="876" spans="1:11" ht="15" customHeight="1">
      <c r="A876" s="231"/>
    </row>
    <row r="877" spans="1:11">
      <c r="A877" s="231"/>
    </row>
    <row r="878" spans="1:11">
      <c r="A878" s="231"/>
      <c r="B878" s="235"/>
      <c r="C878" s="231"/>
      <c r="D878" s="231"/>
      <c r="E878" s="231"/>
      <c r="F878" s="231"/>
      <c r="G878" s="231"/>
      <c r="H878" s="235"/>
      <c r="I878" s="235"/>
      <c r="J878" s="236"/>
      <c r="K878" s="236"/>
    </row>
    <row r="879" spans="1:11">
      <c r="A879" s="231"/>
      <c r="B879" s="235"/>
      <c r="C879" s="231"/>
      <c r="D879" s="231"/>
      <c r="E879" s="231"/>
      <c r="F879" s="231"/>
      <c r="G879" s="231"/>
      <c r="H879" s="235"/>
      <c r="I879" s="235"/>
      <c r="J879" s="236"/>
      <c r="K879" s="236"/>
    </row>
    <row r="880" spans="1:11">
      <c r="A880" s="231"/>
      <c r="B880" s="235"/>
      <c r="C880" s="231"/>
      <c r="D880" s="231"/>
      <c r="E880" s="231"/>
      <c r="F880" s="231"/>
      <c r="G880" s="231"/>
      <c r="H880" s="235"/>
      <c r="I880" s="235"/>
      <c r="J880" s="236"/>
      <c r="K880" s="236"/>
    </row>
    <row r="881" spans="1:11">
      <c r="A881" s="231"/>
      <c r="B881" s="235"/>
      <c r="C881" s="231"/>
      <c r="D881" s="231"/>
      <c r="E881" s="231"/>
      <c r="F881" s="231"/>
      <c r="G881" s="231"/>
      <c r="H881" s="235"/>
      <c r="I881" s="235"/>
      <c r="J881" s="236"/>
      <c r="K881" s="236"/>
    </row>
    <row r="882" spans="1:11">
      <c r="A882" s="231"/>
      <c r="B882" s="235"/>
      <c r="C882" s="231"/>
      <c r="D882" s="231"/>
      <c r="E882" s="231"/>
      <c r="F882" s="231"/>
      <c r="G882" s="231"/>
      <c r="H882" s="235"/>
      <c r="I882" s="235"/>
      <c r="J882" s="236"/>
      <c r="K882" s="236"/>
    </row>
    <row r="883" spans="1:11">
      <c r="A883" s="231"/>
      <c r="B883" s="235"/>
      <c r="C883" s="231"/>
      <c r="D883" s="231"/>
      <c r="E883" s="231"/>
      <c r="F883" s="231"/>
      <c r="G883" s="231"/>
      <c r="H883" s="235"/>
      <c r="I883" s="235"/>
      <c r="J883" s="236"/>
      <c r="K883" s="236"/>
    </row>
    <row r="884" spans="1:11">
      <c r="A884" s="231"/>
      <c r="B884" s="235"/>
      <c r="C884" s="231"/>
      <c r="D884" s="231"/>
      <c r="E884" s="231"/>
      <c r="F884" s="231"/>
      <c r="G884" s="231"/>
      <c r="H884" s="235"/>
      <c r="I884" s="235"/>
      <c r="J884" s="236"/>
      <c r="K884" s="236"/>
    </row>
    <row r="885" spans="1:11">
      <c r="A885" s="231"/>
      <c r="B885" s="235"/>
      <c r="C885" s="231"/>
      <c r="D885" s="231"/>
      <c r="E885" s="231"/>
      <c r="F885" s="231"/>
      <c r="G885" s="231"/>
      <c r="H885" s="235"/>
      <c r="I885" s="235"/>
      <c r="J885" s="236"/>
      <c r="K885" s="236"/>
    </row>
    <row r="886" spans="1:11">
      <c r="A886" s="231"/>
      <c r="B886" s="235"/>
      <c r="C886" s="231"/>
      <c r="D886" s="231"/>
      <c r="E886" s="231"/>
      <c r="F886" s="231"/>
      <c r="G886" s="231"/>
      <c r="H886" s="235"/>
      <c r="I886" s="235"/>
      <c r="J886" s="236"/>
      <c r="K886" s="236"/>
    </row>
    <row r="887" spans="1:11">
      <c r="A887" s="231"/>
      <c r="B887" s="235"/>
      <c r="C887" s="231"/>
      <c r="D887" s="231"/>
      <c r="E887" s="231"/>
      <c r="F887" s="231"/>
      <c r="G887" s="231"/>
      <c r="H887" s="235"/>
      <c r="I887" s="235"/>
      <c r="J887" s="236"/>
      <c r="K887" s="236"/>
    </row>
    <row r="888" spans="1:11">
      <c r="A888" s="231"/>
      <c r="B888" s="235"/>
      <c r="C888" s="231"/>
      <c r="D888" s="231"/>
      <c r="E888" s="231"/>
      <c r="F888" s="231"/>
      <c r="G888" s="231"/>
      <c r="H888" s="235"/>
      <c r="I888" s="235"/>
      <c r="J888" s="236"/>
      <c r="K888" s="236"/>
    </row>
    <row r="889" spans="1:11">
      <c r="A889" s="231"/>
      <c r="B889" s="235"/>
      <c r="C889" s="231"/>
      <c r="D889" s="231"/>
      <c r="E889" s="231"/>
      <c r="F889" s="231"/>
      <c r="G889" s="231"/>
      <c r="H889" s="235"/>
      <c r="I889" s="235"/>
      <c r="J889" s="236"/>
      <c r="K889" s="236"/>
    </row>
    <row r="890" spans="1:11">
      <c r="A890" s="231"/>
      <c r="B890" s="235"/>
      <c r="C890" s="231"/>
      <c r="D890" s="231"/>
      <c r="E890" s="231"/>
      <c r="F890" s="231"/>
      <c r="G890" s="231"/>
      <c r="H890" s="235"/>
      <c r="I890" s="235"/>
      <c r="J890" s="236"/>
      <c r="K890" s="236"/>
    </row>
    <row r="891" spans="1:11">
      <c r="A891" s="231"/>
      <c r="B891" s="235"/>
      <c r="C891" s="231"/>
      <c r="D891" s="231"/>
      <c r="E891" s="231"/>
      <c r="F891" s="231"/>
      <c r="G891" s="231"/>
      <c r="H891" s="235"/>
      <c r="I891" s="235"/>
      <c r="J891" s="236"/>
      <c r="K891" s="236"/>
    </row>
    <row r="892" spans="1:11">
      <c r="A892" s="231"/>
      <c r="B892" s="235"/>
      <c r="C892" s="231"/>
      <c r="D892" s="231"/>
      <c r="E892" s="231"/>
      <c r="F892" s="231"/>
      <c r="G892" s="231"/>
      <c r="H892" s="235"/>
      <c r="I892" s="235"/>
      <c r="J892" s="236"/>
      <c r="K892" s="236"/>
    </row>
    <row r="893" spans="1:11">
      <c r="A893" s="231"/>
      <c r="B893" s="235"/>
      <c r="C893" s="231"/>
      <c r="D893" s="231"/>
      <c r="E893" s="231"/>
      <c r="F893" s="231"/>
      <c r="G893" s="231"/>
      <c r="H893" s="235"/>
      <c r="I893" s="235"/>
      <c r="J893" s="236"/>
      <c r="K893" s="236"/>
    </row>
    <row r="894" spans="1:11">
      <c r="A894" s="231"/>
      <c r="B894" s="235"/>
      <c r="C894" s="231"/>
      <c r="D894" s="231"/>
      <c r="E894" s="231"/>
      <c r="F894" s="231"/>
      <c r="G894" s="231"/>
      <c r="H894" s="235"/>
      <c r="I894" s="235"/>
      <c r="J894" s="236"/>
      <c r="K894" s="236"/>
    </row>
    <row r="895" spans="1:11">
      <c r="A895" s="231"/>
      <c r="B895" s="235"/>
      <c r="C895" s="231"/>
      <c r="D895" s="231"/>
      <c r="E895" s="231"/>
      <c r="F895" s="231"/>
      <c r="G895" s="231"/>
      <c r="H895" s="235"/>
      <c r="I895" s="235"/>
      <c r="J895" s="236"/>
      <c r="K895" s="236"/>
    </row>
    <row r="896" spans="1:11">
      <c r="A896" s="231"/>
      <c r="B896" s="235"/>
      <c r="C896" s="231"/>
      <c r="D896" s="231"/>
      <c r="E896" s="231"/>
      <c r="F896" s="231"/>
      <c r="G896" s="231"/>
      <c r="H896" s="235"/>
      <c r="I896" s="235"/>
      <c r="J896" s="236"/>
      <c r="K896" s="236"/>
    </row>
    <row r="897" spans="1:11">
      <c r="A897" s="231"/>
      <c r="B897" s="235"/>
      <c r="C897" s="231"/>
      <c r="D897" s="231"/>
      <c r="E897" s="231"/>
      <c r="F897" s="231"/>
      <c r="G897" s="231"/>
      <c r="H897" s="235"/>
      <c r="I897" s="235"/>
      <c r="J897" s="236"/>
      <c r="K897" s="236"/>
    </row>
    <row r="898" spans="1:11">
      <c r="A898" s="231"/>
      <c r="B898" s="235"/>
      <c r="C898" s="231"/>
      <c r="D898" s="231"/>
      <c r="E898" s="231"/>
      <c r="F898" s="231"/>
      <c r="G898" s="231"/>
      <c r="H898" s="235"/>
      <c r="I898" s="235"/>
      <c r="J898" s="236"/>
      <c r="K898" s="236"/>
    </row>
    <row r="899" spans="1:11">
      <c r="A899" s="231"/>
      <c r="B899" s="235"/>
      <c r="C899" s="231"/>
      <c r="D899" s="231"/>
      <c r="E899" s="231"/>
      <c r="F899" s="231"/>
      <c r="G899" s="231"/>
      <c r="H899" s="235"/>
      <c r="I899" s="235"/>
      <c r="J899" s="236"/>
      <c r="K899" s="236"/>
    </row>
    <row r="900" spans="1:11">
      <c r="A900" s="231"/>
      <c r="B900" s="235"/>
      <c r="C900" s="231"/>
      <c r="D900" s="231"/>
      <c r="E900" s="231"/>
      <c r="F900" s="231"/>
      <c r="G900" s="231"/>
      <c r="H900" s="235"/>
      <c r="I900" s="235"/>
      <c r="J900" s="236"/>
      <c r="K900" s="236"/>
    </row>
    <row r="901" spans="1:11">
      <c r="A901" s="231"/>
      <c r="B901" s="235"/>
      <c r="C901" s="231"/>
      <c r="D901" s="231"/>
      <c r="E901" s="231"/>
      <c r="F901" s="231"/>
      <c r="G901" s="231"/>
      <c r="H901" s="235"/>
      <c r="I901" s="235"/>
      <c r="J901" s="236"/>
      <c r="K901" s="236"/>
    </row>
    <row r="902" spans="1:11">
      <c r="A902" s="231"/>
      <c r="B902" s="235"/>
      <c r="C902" s="231"/>
      <c r="D902" s="231"/>
      <c r="E902" s="231"/>
      <c r="F902" s="231"/>
      <c r="G902" s="231"/>
      <c r="H902" s="235"/>
      <c r="I902" s="235"/>
      <c r="J902" s="236"/>
      <c r="K902" s="236"/>
    </row>
    <row r="903" spans="1:11">
      <c r="A903" s="231"/>
      <c r="B903" s="235"/>
      <c r="C903" s="231"/>
      <c r="D903" s="231"/>
      <c r="E903" s="231"/>
      <c r="F903" s="231"/>
      <c r="G903" s="231"/>
      <c r="H903" s="235"/>
      <c r="I903" s="235"/>
      <c r="J903" s="236"/>
      <c r="K903" s="236"/>
    </row>
    <row r="904" spans="1:11">
      <c r="A904" s="231"/>
      <c r="B904" s="235"/>
      <c r="C904" s="231"/>
      <c r="D904" s="231"/>
      <c r="E904" s="231"/>
      <c r="F904" s="231"/>
      <c r="G904" s="231"/>
      <c r="H904" s="235"/>
      <c r="I904" s="235"/>
      <c r="J904" s="236"/>
      <c r="K904" s="236"/>
    </row>
    <row r="905" spans="1:11">
      <c r="A905" s="231"/>
      <c r="B905" s="235"/>
      <c r="C905" s="231"/>
      <c r="D905" s="231"/>
      <c r="E905" s="231"/>
      <c r="F905" s="231"/>
      <c r="G905" s="231"/>
      <c r="H905" s="235"/>
      <c r="I905" s="235"/>
      <c r="J905" s="236"/>
      <c r="K905" s="236"/>
    </row>
    <row r="906" spans="1:11">
      <c r="A906" s="231"/>
      <c r="B906" s="235"/>
      <c r="C906" s="231"/>
      <c r="D906" s="231"/>
      <c r="E906" s="231"/>
      <c r="F906" s="231"/>
      <c r="G906" s="231"/>
      <c r="H906" s="235"/>
      <c r="I906" s="235"/>
      <c r="J906" s="236"/>
      <c r="K906" s="236"/>
    </row>
    <row r="907" spans="1:11">
      <c r="A907" s="231"/>
      <c r="B907" s="235"/>
      <c r="C907" s="231"/>
      <c r="D907" s="231"/>
      <c r="E907" s="231"/>
      <c r="F907" s="231"/>
      <c r="G907" s="231"/>
      <c r="H907" s="235"/>
      <c r="I907" s="235"/>
      <c r="J907" s="236"/>
      <c r="K907" s="236"/>
    </row>
    <row r="908" spans="1:11">
      <c r="A908" s="231"/>
      <c r="B908" s="235"/>
      <c r="C908" s="231"/>
      <c r="D908" s="231"/>
      <c r="E908" s="231"/>
      <c r="F908" s="231"/>
      <c r="G908" s="231"/>
      <c r="H908" s="235"/>
      <c r="I908" s="235"/>
      <c r="J908" s="236"/>
      <c r="K908" s="236"/>
    </row>
    <row r="909" spans="1:11">
      <c r="A909" s="231"/>
      <c r="B909" s="235"/>
      <c r="C909" s="231"/>
      <c r="D909" s="231"/>
      <c r="E909" s="231"/>
      <c r="F909" s="231"/>
      <c r="G909" s="231"/>
      <c r="H909" s="235"/>
      <c r="I909" s="235"/>
      <c r="J909" s="236"/>
      <c r="K909" s="236"/>
    </row>
    <row r="910" spans="1:11">
      <c r="A910" s="231"/>
      <c r="B910" s="235"/>
      <c r="C910" s="231"/>
      <c r="D910" s="231"/>
      <c r="E910" s="231"/>
      <c r="F910" s="231"/>
      <c r="G910" s="231"/>
      <c r="H910" s="235"/>
      <c r="I910" s="235"/>
      <c r="J910" s="236"/>
      <c r="K910" s="236"/>
    </row>
    <row r="911" spans="1:11">
      <c r="A911" s="231"/>
      <c r="B911" s="235"/>
      <c r="C911" s="231"/>
      <c r="D911" s="231"/>
      <c r="E911" s="231"/>
      <c r="F911" s="231"/>
      <c r="G911" s="231"/>
      <c r="H911" s="235"/>
      <c r="I911" s="235"/>
      <c r="J911" s="236"/>
      <c r="K911" s="236"/>
    </row>
    <row r="912" spans="1:11">
      <c r="A912" s="231"/>
      <c r="B912" s="235"/>
      <c r="C912" s="231"/>
      <c r="D912" s="231"/>
      <c r="E912" s="231"/>
      <c r="F912" s="231"/>
      <c r="G912" s="231"/>
      <c r="H912" s="235"/>
      <c r="I912" s="235"/>
      <c r="J912" s="236"/>
      <c r="K912" s="236"/>
    </row>
    <row r="913" spans="1:11">
      <c r="A913" s="231"/>
      <c r="B913" s="235"/>
      <c r="C913" s="231"/>
      <c r="D913" s="231"/>
      <c r="E913" s="231"/>
      <c r="F913" s="231"/>
      <c r="G913" s="231"/>
      <c r="H913" s="235"/>
      <c r="I913" s="235"/>
      <c r="J913" s="236"/>
      <c r="K913" s="236"/>
    </row>
    <row r="914" spans="1:11">
      <c r="A914" s="231"/>
      <c r="B914" s="235"/>
      <c r="C914" s="231"/>
      <c r="D914" s="231"/>
      <c r="E914" s="231"/>
      <c r="F914" s="231"/>
      <c r="G914" s="231"/>
      <c r="H914" s="235"/>
      <c r="I914" s="235"/>
      <c r="J914" s="236"/>
      <c r="K914" s="236"/>
    </row>
    <row r="915" spans="1:11">
      <c r="A915" s="231"/>
      <c r="B915" s="235"/>
      <c r="C915" s="231"/>
      <c r="D915" s="231"/>
      <c r="E915" s="231"/>
      <c r="F915" s="231"/>
      <c r="G915" s="231"/>
      <c r="H915" s="235"/>
      <c r="I915" s="235"/>
      <c r="J915" s="236"/>
      <c r="K915" s="236"/>
    </row>
    <row r="916" spans="1:11">
      <c r="A916" s="231"/>
      <c r="B916" s="235"/>
      <c r="C916" s="231"/>
      <c r="D916" s="231"/>
      <c r="E916" s="231"/>
      <c r="F916" s="231"/>
      <c r="G916" s="231"/>
      <c r="H916" s="235"/>
      <c r="I916" s="235"/>
      <c r="J916" s="236"/>
      <c r="K916" s="236"/>
    </row>
    <row r="917" spans="1:11">
      <c r="A917" s="231"/>
      <c r="B917" s="235"/>
      <c r="C917" s="231"/>
      <c r="D917" s="231"/>
      <c r="E917" s="231"/>
      <c r="F917" s="231"/>
      <c r="G917" s="231"/>
      <c r="H917" s="235"/>
      <c r="I917" s="235"/>
      <c r="J917" s="236"/>
      <c r="K917" s="236"/>
    </row>
    <row r="918" spans="1:11">
      <c r="A918" s="231"/>
      <c r="B918" s="235"/>
      <c r="C918" s="231"/>
      <c r="D918" s="231"/>
      <c r="E918" s="231"/>
      <c r="F918" s="231"/>
      <c r="G918" s="231"/>
      <c r="H918" s="235"/>
      <c r="I918" s="235"/>
      <c r="J918" s="236"/>
      <c r="K918" s="236"/>
    </row>
    <row r="919" spans="1:11">
      <c r="A919" s="231"/>
      <c r="B919" s="235"/>
      <c r="C919" s="231"/>
      <c r="D919" s="231"/>
      <c r="E919" s="231"/>
      <c r="F919" s="231"/>
      <c r="G919" s="231"/>
      <c r="H919" s="235"/>
      <c r="I919" s="235"/>
      <c r="J919" s="236"/>
      <c r="K919" s="236"/>
    </row>
    <row r="920" spans="1:11">
      <c r="A920" s="231"/>
      <c r="B920" s="235"/>
      <c r="C920" s="231"/>
      <c r="D920" s="231"/>
      <c r="E920" s="231"/>
      <c r="F920" s="231"/>
      <c r="G920" s="231"/>
      <c r="H920" s="235"/>
      <c r="I920" s="235"/>
      <c r="J920" s="236"/>
      <c r="K920" s="236"/>
    </row>
    <row r="921" spans="1:11">
      <c r="A921" s="231"/>
      <c r="B921" s="235"/>
      <c r="C921" s="231"/>
      <c r="D921" s="231"/>
      <c r="E921" s="231"/>
      <c r="F921" s="231"/>
      <c r="G921" s="231"/>
      <c r="H921" s="235"/>
      <c r="I921" s="235"/>
      <c r="J921" s="236"/>
      <c r="K921" s="236"/>
    </row>
    <row r="922" spans="1:11">
      <c r="A922" s="231"/>
      <c r="B922" s="235"/>
      <c r="C922" s="231"/>
      <c r="D922" s="231"/>
      <c r="E922" s="231"/>
      <c r="F922" s="231"/>
      <c r="G922" s="231"/>
      <c r="H922" s="235"/>
      <c r="I922" s="235"/>
      <c r="J922" s="236"/>
      <c r="K922" s="236"/>
    </row>
    <row r="923" spans="1:11">
      <c r="A923" s="231"/>
      <c r="B923" s="235"/>
      <c r="C923" s="231"/>
      <c r="D923" s="231"/>
      <c r="E923" s="231"/>
      <c r="F923" s="231"/>
      <c r="G923" s="231"/>
      <c r="H923" s="235"/>
      <c r="I923" s="235"/>
      <c r="J923" s="236"/>
      <c r="K923" s="236"/>
    </row>
    <row r="924" spans="1:11">
      <c r="A924" s="231"/>
      <c r="B924" s="235"/>
      <c r="C924" s="231"/>
      <c r="D924" s="231"/>
      <c r="E924" s="231"/>
      <c r="F924" s="231"/>
      <c r="G924" s="231"/>
      <c r="H924" s="235"/>
      <c r="I924" s="235"/>
      <c r="J924" s="236"/>
      <c r="K924" s="236"/>
    </row>
    <row r="925" spans="1:11">
      <c r="A925" s="231"/>
      <c r="B925" s="235"/>
      <c r="C925" s="231"/>
      <c r="D925" s="231"/>
      <c r="E925" s="231"/>
      <c r="F925" s="231"/>
      <c r="G925" s="231"/>
      <c r="H925" s="235"/>
      <c r="I925" s="235"/>
      <c r="J925" s="236"/>
      <c r="K925" s="236"/>
    </row>
    <row r="926" spans="1:11">
      <c r="A926" s="231"/>
      <c r="B926" s="235"/>
      <c r="C926" s="231"/>
      <c r="D926" s="231"/>
      <c r="E926" s="231"/>
      <c r="F926" s="231"/>
      <c r="G926" s="231"/>
      <c r="H926" s="235"/>
      <c r="I926" s="235"/>
      <c r="J926" s="236"/>
      <c r="K926" s="236"/>
    </row>
    <row r="927" spans="1:11">
      <c r="A927" s="231"/>
      <c r="B927" s="235"/>
      <c r="C927" s="231"/>
      <c r="D927" s="231"/>
      <c r="E927" s="231"/>
      <c r="F927" s="231"/>
      <c r="G927" s="231"/>
      <c r="H927" s="235"/>
      <c r="I927" s="235"/>
      <c r="J927" s="236"/>
      <c r="K927" s="236"/>
    </row>
    <row r="928" spans="1:11">
      <c r="A928" s="231"/>
      <c r="B928" s="235"/>
      <c r="C928" s="231"/>
      <c r="D928" s="231"/>
      <c r="E928" s="231"/>
      <c r="F928" s="231"/>
      <c r="G928" s="231"/>
      <c r="H928" s="235"/>
      <c r="I928" s="235"/>
      <c r="J928" s="236"/>
      <c r="K928" s="236"/>
    </row>
    <row r="929" spans="1:11">
      <c r="A929" s="231"/>
      <c r="B929" s="235"/>
      <c r="C929" s="231"/>
      <c r="D929" s="231"/>
      <c r="E929" s="231"/>
      <c r="F929" s="231"/>
      <c r="G929" s="231"/>
      <c r="H929" s="235"/>
      <c r="I929" s="235"/>
      <c r="J929" s="236"/>
      <c r="K929" s="236"/>
    </row>
    <row r="930" spans="1:11">
      <c r="A930" s="231"/>
      <c r="B930" s="235"/>
      <c r="C930" s="231"/>
      <c r="D930" s="231"/>
      <c r="E930" s="231"/>
      <c r="F930" s="231"/>
      <c r="G930" s="231"/>
      <c r="H930" s="235"/>
      <c r="I930" s="235"/>
      <c r="J930" s="236"/>
      <c r="K930" s="236"/>
    </row>
    <row r="931" spans="1:11">
      <c r="A931" s="231"/>
      <c r="B931" s="235"/>
      <c r="C931" s="231"/>
      <c r="D931" s="231"/>
      <c r="E931" s="231"/>
      <c r="F931" s="231"/>
      <c r="G931" s="231"/>
      <c r="H931" s="235"/>
      <c r="I931" s="235"/>
      <c r="J931" s="236"/>
      <c r="K931" s="236"/>
    </row>
    <row r="932" spans="1:11">
      <c r="A932" s="231"/>
      <c r="B932" s="235"/>
      <c r="C932" s="231"/>
      <c r="D932" s="231"/>
      <c r="E932" s="231"/>
      <c r="F932" s="231"/>
      <c r="G932" s="231"/>
      <c r="H932" s="235"/>
      <c r="I932" s="235"/>
      <c r="J932" s="236"/>
      <c r="K932" s="236"/>
    </row>
    <row r="933" spans="1:11">
      <c r="A933" s="231"/>
      <c r="B933" s="235"/>
      <c r="C933" s="231"/>
      <c r="D933" s="231"/>
      <c r="E933" s="231"/>
      <c r="F933" s="231"/>
      <c r="G933" s="231"/>
      <c r="H933" s="235"/>
      <c r="I933" s="235"/>
      <c r="J933" s="236"/>
      <c r="K933" s="236"/>
    </row>
    <row r="934" spans="1:11">
      <c r="A934" s="231"/>
      <c r="B934" s="235"/>
      <c r="C934" s="231"/>
      <c r="D934" s="231"/>
      <c r="E934" s="231"/>
      <c r="F934" s="231"/>
      <c r="G934" s="231"/>
      <c r="H934" s="235"/>
      <c r="I934" s="235"/>
      <c r="J934" s="236"/>
      <c r="K934" s="236"/>
    </row>
    <row r="935" spans="1:11">
      <c r="A935" s="231"/>
      <c r="B935" s="235"/>
      <c r="C935" s="231"/>
      <c r="D935" s="231"/>
      <c r="E935" s="231"/>
      <c r="F935" s="231"/>
      <c r="G935" s="231"/>
      <c r="H935" s="235"/>
      <c r="I935" s="235"/>
      <c r="J935" s="236"/>
      <c r="K935" s="236"/>
    </row>
    <row r="936" spans="1:11">
      <c r="A936" s="231"/>
      <c r="B936" s="235"/>
      <c r="C936" s="231"/>
      <c r="D936" s="231"/>
      <c r="E936" s="231"/>
      <c r="F936" s="231"/>
      <c r="G936" s="231"/>
      <c r="H936" s="235"/>
      <c r="I936" s="235"/>
      <c r="J936" s="236"/>
      <c r="K936" s="236"/>
    </row>
    <row r="937" spans="1:11">
      <c r="A937" s="231"/>
      <c r="B937" s="235"/>
      <c r="C937" s="231"/>
      <c r="D937" s="231"/>
      <c r="E937" s="231"/>
      <c r="F937" s="231"/>
      <c r="G937" s="231"/>
      <c r="H937" s="235"/>
      <c r="I937" s="235"/>
      <c r="J937" s="236"/>
      <c r="K937" s="236"/>
    </row>
    <row r="938" spans="1:11">
      <c r="A938" s="231"/>
      <c r="B938" s="235"/>
      <c r="C938" s="231"/>
      <c r="D938" s="231"/>
      <c r="E938" s="231"/>
      <c r="F938" s="231"/>
      <c r="G938" s="231"/>
      <c r="H938" s="235"/>
      <c r="I938" s="235"/>
      <c r="J938" s="236"/>
      <c r="K938" s="236"/>
    </row>
    <row r="939" spans="1:11">
      <c r="A939" s="231"/>
      <c r="B939" s="235"/>
      <c r="C939" s="231"/>
      <c r="D939" s="231"/>
      <c r="E939" s="231"/>
      <c r="F939" s="231"/>
      <c r="G939" s="231"/>
      <c r="H939" s="235"/>
      <c r="I939" s="235"/>
      <c r="J939" s="236"/>
      <c r="K939" s="236"/>
    </row>
    <row r="940" spans="1:11">
      <c r="A940" s="231"/>
      <c r="B940" s="235"/>
      <c r="C940" s="231"/>
      <c r="D940" s="231"/>
      <c r="E940" s="231"/>
      <c r="F940" s="231"/>
      <c r="G940" s="231"/>
      <c r="H940" s="235"/>
      <c r="I940" s="235"/>
      <c r="J940" s="236"/>
      <c r="K940" s="236"/>
    </row>
    <row r="941" spans="1:11">
      <c r="A941" s="231"/>
      <c r="B941" s="235"/>
      <c r="C941" s="231"/>
      <c r="D941" s="231"/>
      <c r="E941" s="231"/>
      <c r="F941" s="231"/>
      <c r="G941" s="231"/>
      <c r="H941" s="235"/>
      <c r="I941" s="235"/>
      <c r="J941" s="236"/>
      <c r="K941" s="236"/>
    </row>
    <row r="942" spans="1:11">
      <c r="A942" s="231"/>
      <c r="B942" s="235"/>
      <c r="C942" s="231"/>
      <c r="D942" s="231"/>
      <c r="E942" s="231"/>
      <c r="F942" s="231"/>
      <c r="G942" s="231"/>
      <c r="H942" s="235"/>
      <c r="I942" s="235"/>
      <c r="J942" s="236"/>
      <c r="K942" s="236"/>
    </row>
    <row r="943" spans="1:11">
      <c r="A943" s="231"/>
      <c r="B943" s="235"/>
      <c r="C943" s="231"/>
      <c r="D943" s="231"/>
      <c r="E943" s="231"/>
      <c r="F943" s="231"/>
      <c r="G943" s="231"/>
      <c r="H943" s="235"/>
      <c r="I943" s="235"/>
      <c r="J943" s="236"/>
      <c r="K943" s="236"/>
    </row>
    <row r="944" spans="1:11">
      <c r="A944" s="231"/>
      <c r="B944" s="235"/>
      <c r="C944" s="231"/>
      <c r="D944" s="231"/>
      <c r="E944" s="231"/>
      <c r="F944" s="231"/>
      <c r="G944" s="231"/>
      <c r="H944" s="235"/>
      <c r="I944" s="235"/>
      <c r="J944" s="236"/>
      <c r="K944" s="236"/>
    </row>
    <row r="945" spans="1:11">
      <c r="A945" s="231"/>
      <c r="B945" s="235"/>
      <c r="C945" s="231"/>
      <c r="D945" s="231"/>
      <c r="E945" s="231"/>
      <c r="F945" s="231"/>
      <c r="G945" s="231"/>
      <c r="H945" s="235"/>
      <c r="I945" s="235"/>
      <c r="J945" s="236"/>
      <c r="K945" s="236"/>
    </row>
    <row r="946" spans="1:11">
      <c r="A946" s="231"/>
      <c r="B946" s="235"/>
      <c r="C946" s="231"/>
      <c r="D946" s="231"/>
      <c r="E946" s="231"/>
      <c r="F946" s="231"/>
      <c r="G946" s="231"/>
      <c r="H946" s="235"/>
      <c r="I946" s="235"/>
      <c r="J946" s="236"/>
      <c r="K946" s="236"/>
    </row>
    <row r="947" spans="1:11">
      <c r="A947" s="231"/>
      <c r="B947" s="235"/>
      <c r="C947" s="231"/>
      <c r="D947" s="231"/>
      <c r="E947" s="231"/>
      <c r="F947" s="231"/>
      <c r="G947" s="231"/>
      <c r="H947" s="235"/>
      <c r="I947" s="235"/>
      <c r="J947" s="236"/>
      <c r="K947" s="236"/>
    </row>
    <row r="948" spans="1:11">
      <c r="A948" s="231"/>
      <c r="B948" s="235"/>
      <c r="C948" s="231"/>
      <c r="D948" s="231"/>
      <c r="E948" s="231"/>
      <c r="F948" s="231"/>
      <c r="G948" s="231"/>
      <c r="H948" s="235"/>
      <c r="I948" s="235"/>
      <c r="J948" s="236"/>
      <c r="K948" s="236"/>
    </row>
    <row r="949" spans="1:11">
      <c r="A949" s="231"/>
      <c r="B949" s="235"/>
      <c r="C949" s="231"/>
      <c r="D949" s="231"/>
      <c r="E949" s="231"/>
      <c r="F949" s="231"/>
      <c r="G949" s="231"/>
      <c r="H949" s="235"/>
      <c r="I949" s="235"/>
      <c r="J949" s="236"/>
      <c r="K949" s="236"/>
    </row>
    <row r="950" spans="1:11">
      <c r="A950" s="231"/>
      <c r="B950" s="235"/>
      <c r="C950" s="231"/>
      <c r="D950" s="231"/>
      <c r="E950" s="231"/>
      <c r="F950" s="231"/>
      <c r="G950" s="231"/>
      <c r="H950" s="235"/>
      <c r="I950" s="235"/>
      <c r="J950" s="236"/>
      <c r="K950" s="236"/>
    </row>
    <row r="951" spans="1:11">
      <c r="A951" s="231"/>
      <c r="B951" s="235"/>
      <c r="C951" s="231"/>
      <c r="D951" s="231"/>
      <c r="E951" s="231"/>
      <c r="F951" s="231"/>
      <c r="G951" s="231"/>
      <c r="H951" s="235"/>
      <c r="I951" s="235"/>
      <c r="J951" s="236"/>
      <c r="K951" s="236"/>
    </row>
    <row r="952" spans="1:11">
      <c r="A952" s="231"/>
      <c r="B952" s="235"/>
      <c r="C952" s="231"/>
      <c r="D952" s="231"/>
      <c r="E952" s="231"/>
      <c r="F952" s="231"/>
      <c r="G952" s="231"/>
      <c r="H952" s="235"/>
      <c r="I952" s="235"/>
      <c r="J952" s="236"/>
      <c r="K952" s="236"/>
    </row>
    <row r="953" spans="1:11">
      <c r="A953" s="231"/>
      <c r="B953" s="235"/>
      <c r="C953" s="231"/>
      <c r="D953" s="231"/>
      <c r="E953" s="231"/>
      <c r="F953" s="231"/>
      <c r="G953" s="231"/>
      <c r="H953" s="235"/>
      <c r="I953" s="235"/>
      <c r="J953" s="236"/>
      <c r="K953" s="236"/>
    </row>
    <row r="954" spans="1:11">
      <c r="A954" s="231"/>
      <c r="B954" s="235"/>
      <c r="C954" s="231"/>
      <c r="D954" s="231"/>
      <c r="E954" s="231"/>
      <c r="F954" s="231"/>
      <c r="G954" s="231"/>
      <c r="H954" s="235"/>
      <c r="I954" s="235"/>
      <c r="J954" s="236"/>
      <c r="K954" s="236"/>
    </row>
    <row r="955" spans="1:11">
      <c r="A955" s="231"/>
      <c r="B955" s="235"/>
      <c r="C955" s="231"/>
      <c r="D955" s="231"/>
      <c r="E955" s="231"/>
      <c r="F955" s="231"/>
      <c r="G955" s="231"/>
      <c r="H955" s="235"/>
      <c r="I955" s="235"/>
      <c r="J955" s="236"/>
      <c r="K955" s="236"/>
    </row>
    <row r="956" spans="1:11">
      <c r="A956" s="231"/>
      <c r="B956" s="235"/>
      <c r="C956" s="231"/>
      <c r="D956" s="231"/>
      <c r="E956" s="231"/>
      <c r="F956" s="231"/>
      <c r="G956" s="231"/>
      <c r="H956" s="235"/>
      <c r="I956" s="235"/>
      <c r="J956" s="236"/>
      <c r="K956" s="236"/>
    </row>
    <row r="957" spans="1:11">
      <c r="A957" s="231"/>
      <c r="B957" s="235"/>
      <c r="C957" s="231"/>
      <c r="D957" s="231"/>
      <c r="E957" s="231"/>
      <c r="F957" s="231"/>
      <c r="G957" s="231"/>
      <c r="H957" s="235"/>
      <c r="I957" s="235"/>
      <c r="J957" s="236"/>
      <c r="K957" s="236"/>
    </row>
    <row r="958" spans="1:11">
      <c r="A958" s="231"/>
      <c r="B958" s="235"/>
      <c r="C958" s="231"/>
      <c r="D958" s="231"/>
      <c r="E958" s="231"/>
      <c r="F958" s="231"/>
      <c r="G958" s="231"/>
      <c r="H958" s="235"/>
      <c r="I958" s="235"/>
      <c r="J958" s="236"/>
      <c r="K958" s="236"/>
    </row>
    <row r="959" spans="1:11">
      <c r="A959" s="231"/>
      <c r="B959" s="235"/>
      <c r="C959" s="231"/>
      <c r="D959" s="231"/>
      <c r="E959" s="231"/>
      <c r="F959" s="231"/>
      <c r="G959" s="231"/>
      <c r="H959" s="235"/>
      <c r="I959" s="235"/>
      <c r="J959" s="236"/>
      <c r="K959" s="236"/>
    </row>
    <row r="960" spans="1:11">
      <c r="A960" s="231"/>
      <c r="B960" s="235"/>
      <c r="C960" s="231"/>
      <c r="D960" s="231"/>
      <c r="E960" s="231"/>
      <c r="F960" s="231"/>
      <c r="G960" s="231"/>
      <c r="H960" s="235"/>
      <c r="I960" s="235"/>
      <c r="J960" s="236"/>
      <c r="K960" s="236"/>
    </row>
    <row r="961" spans="1:11">
      <c r="A961" s="231"/>
      <c r="B961" s="235"/>
      <c r="C961" s="231"/>
      <c r="D961" s="231"/>
      <c r="E961" s="231"/>
      <c r="F961" s="231"/>
      <c r="G961" s="231"/>
      <c r="H961" s="235"/>
      <c r="I961" s="235"/>
      <c r="J961" s="236"/>
      <c r="K961" s="236"/>
    </row>
    <row r="962" spans="1:11">
      <c r="A962" s="231"/>
      <c r="B962" s="235"/>
      <c r="C962" s="231"/>
      <c r="D962" s="231"/>
      <c r="E962" s="231"/>
      <c r="F962" s="231"/>
      <c r="G962" s="231"/>
      <c r="H962" s="235"/>
      <c r="I962" s="235"/>
      <c r="J962" s="236"/>
      <c r="K962" s="236"/>
    </row>
    <row r="963" spans="1:11">
      <c r="A963" s="231"/>
      <c r="B963" s="235"/>
      <c r="C963" s="231"/>
      <c r="D963" s="231"/>
      <c r="E963" s="231"/>
      <c r="F963" s="231"/>
      <c r="G963" s="231"/>
      <c r="H963" s="235"/>
      <c r="I963" s="235"/>
      <c r="J963" s="236"/>
      <c r="K963" s="236"/>
    </row>
    <row r="964" spans="1:11">
      <c r="A964" s="231"/>
      <c r="B964" s="235"/>
      <c r="C964" s="231"/>
      <c r="D964" s="231"/>
      <c r="E964" s="231"/>
      <c r="F964" s="231"/>
      <c r="G964" s="231"/>
      <c r="H964" s="235"/>
      <c r="I964" s="235"/>
      <c r="J964" s="236"/>
      <c r="K964" s="236"/>
    </row>
    <row r="965" spans="1:11">
      <c r="A965" s="231"/>
      <c r="B965" s="235"/>
      <c r="C965" s="231"/>
      <c r="D965" s="231"/>
      <c r="E965" s="231"/>
      <c r="F965" s="231"/>
      <c r="G965" s="231"/>
      <c r="H965" s="235"/>
      <c r="I965" s="235"/>
      <c r="J965" s="236"/>
      <c r="K965" s="236"/>
    </row>
    <row r="966" spans="1:11">
      <c r="A966" s="231"/>
      <c r="B966" s="235"/>
      <c r="C966" s="231"/>
      <c r="D966" s="231"/>
      <c r="E966" s="231"/>
      <c r="F966" s="231"/>
      <c r="G966" s="231"/>
      <c r="H966" s="235"/>
      <c r="I966" s="235"/>
      <c r="J966" s="236"/>
      <c r="K966" s="236"/>
    </row>
    <row r="967" spans="1:11">
      <c r="A967" s="231"/>
      <c r="B967" s="235"/>
      <c r="C967" s="231"/>
      <c r="D967" s="231"/>
      <c r="E967" s="231"/>
      <c r="F967" s="231"/>
      <c r="G967" s="231"/>
      <c r="H967" s="235"/>
      <c r="I967" s="235"/>
      <c r="J967" s="236"/>
      <c r="K967" s="236"/>
    </row>
    <row r="968" spans="1:11">
      <c r="A968" s="231"/>
      <c r="B968" s="235"/>
      <c r="C968" s="231"/>
      <c r="D968" s="231"/>
      <c r="E968" s="231"/>
      <c r="F968" s="231"/>
      <c r="G968" s="231"/>
      <c r="H968" s="235"/>
      <c r="I968" s="235"/>
      <c r="J968" s="236"/>
      <c r="K968" s="236"/>
    </row>
    <row r="969" spans="1:11">
      <c r="A969" s="231"/>
      <c r="B969" s="235"/>
      <c r="C969" s="231"/>
      <c r="D969" s="231"/>
      <c r="E969" s="231"/>
      <c r="F969" s="231"/>
      <c r="G969" s="231"/>
      <c r="H969" s="235"/>
      <c r="I969" s="235"/>
      <c r="J969" s="236"/>
      <c r="K969" s="236"/>
    </row>
    <row r="970" spans="1:11">
      <c r="A970" s="231"/>
      <c r="B970" s="235"/>
      <c r="C970" s="231"/>
      <c r="D970" s="231"/>
      <c r="E970" s="231"/>
      <c r="F970" s="231"/>
      <c r="G970" s="231"/>
      <c r="H970" s="235"/>
      <c r="I970" s="235"/>
      <c r="J970" s="236"/>
      <c r="K970" s="236"/>
    </row>
    <row r="971" spans="1:11">
      <c r="A971" s="231"/>
      <c r="B971" s="235"/>
      <c r="C971" s="231"/>
      <c r="D971" s="231"/>
      <c r="E971" s="231"/>
      <c r="F971" s="231"/>
      <c r="G971" s="231"/>
      <c r="H971" s="235"/>
      <c r="I971" s="235"/>
      <c r="J971" s="236"/>
      <c r="K971" s="236"/>
    </row>
    <row r="972" spans="1:11">
      <c r="A972" s="231"/>
      <c r="B972" s="235"/>
      <c r="C972" s="231"/>
      <c r="D972" s="231"/>
      <c r="E972" s="231"/>
      <c r="F972" s="231"/>
      <c r="G972" s="231"/>
      <c r="H972" s="235"/>
      <c r="I972" s="235"/>
      <c r="J972" s="236"/>
      <c r="K972" s="236"/>
    </row>
    <row r="973" spans="1:11">
      <c r="A973" s="231"/>
      <c r="B973" s="235"/>
      <c r="C973" s="231"/>
      <c r="D973" s="231"/>
      <c r="E973" s="231"/>
      <c r="F973" s="231"/>
      <c r="G973" s="231"/>
      <c r="H973" s="235"/>
      <c r="I973" s="235"/>
      <c r="J973" s="236"/>
      <c r="K973" s="236"/>
    </row>
    <row r="974" spans="1:11">
      <c r="A974" s="231"/>
      <c r="B974" s="235"/>
      <c r="C974" s="231"/>
      <c r="D974" s="231"/>
      <c r="E974" s="231"/>
      <c r="F974" s="231"/>
      <c r="G974" s="231"/>
      <c r="H974" s="235"/>
      <c r="I974" s="235"/>
      <c r="J974" s="236"/>
      <c r="K974" s="236"/>
    </row>
    <row r="975" spans="1:11">
      <c r="A975" s="231"/>
      <c r="B975" s="235"/>
      <c r="C975" s="231"/>
      <c r="D975" s="231"/>
      <c r="E975" s="231"/>
      <c r="F975" s="231"/>
      <c r="G975" s="231"/>
      <c r="H975" s="235"/>
      <c r="I975" s="235"/>
      <c r="J975" s="236"/>
      <c r="K975" s="236"/>
    </row>
    <row r="976" spans="1:11">
      <c r="A976" s="231"/>
      <c r="B976" s="235"/>
      <c r="C976" s="231"/>
      <c r="D976" s="231"/>
      <c r="E976" s="231"/>
      <c r="F976" s="231"/>
      <c r="G976" s="231"/>
      <c r="H976" s="235"/>
      <c r="I976" s="235"/>
      <c r="J976" s="236"/>
      <c r="K976" s="236"/>
    </row>
    <row r="977" spans="1:11">
      <c r="A977" s="231"/>
      <c r="B977" s="235"/>
      <c r="C977" s="231"/>
      <c r="D977" s="231"/>
      <c r="E977" s="231"/>
      <c r="F977" s="231"/>
      <c r="G977" s="231"/>
      <c r="H977" s="235"/>
      <c r="I977" s="235"/>
      <c r="J977" s="236"/>
      <c r="K977" s="236"/>
    </row>
    <row r="978" spans="1:11">
      <c r="A978" s="231"/>
      <c r="B978" s="235"/>
      <c r="C978" s="231"/>
      <c r="D978" s="231"/>
      <c r="E978" s="231"/>
      <c r="F978" s="231"/>
      <c r="G978" s="231"/>
      <c r="H978" s="235"/>
      <c r="I978" s="235"/>
      <c r="J978" s="236"/>
      <c r="K978" s="236"/>
    </row>
    <row r="979" spans="1:11">
      <c r="A979" s="231"/>
      <c r="B979" s="235"/>
      <c r="C979" s="231"/>
      <c r="D979" s="231"/>
      <c r="E979" s="231"/>
      <c r="F979" s="231"/>
      <c r="G979" s="231"/>
      <c r="H979" s="235"/>
      <c r="I979" s="235"/>
      <c r="J979" s="236"/>
      <c r="K979" s="236"/>
    </row>
    <row r="980" spans="1:11">
      <c r="A980" s="231"/>
      <c r="B980" s="235"/>
      <c r="C980" s="231"/>
      <c r="D980" s="231"/>
      <c r="E980" s="231"/>
      <c r="F980" s="231"/>
      <c r="G980" s="231"/>
      <c r="H980" s="235"/>
      <c r="I980" s="235"/>
      <c r="J980" s="236"/>
      <c r="K980" s="236"/>
    </row>
    <row r="981" spans="1:11">
      <c r="A981" s="231"/>
      <c r="B981" s="235"/>
      <c r="C981" s="231"/>
      <c r="D981" s="231"/>
      <c r="E981" s="231"/>
      <c r="F981" s="231"/>
      <c r="G981" s="231"/>
      <c r="H981" s="235"/>
      <c r="I981" s="235"/>
      <c r="J981" s="236"/>
      <c r="K981" s="236"/>
    </row>
    <row r="982" spans="1:11">
      <c r="A982" s="231"/>
      <c r="B982" s="235"/>
      <c r="C982" s="231"/>
      <c r="D982" s="231"/>
      <c r="E982" s="231"/>
      <c r="F982" s="231"/>
      <c r="G982" s="231"/>
      <c r="H982" s="235"/>
      <c r="I982" s="235"/>
      <c r="J982" s="236"/>
      <c r="K982" s="236"/>
    </row>
    <row r="983" spans="1:11">
      <c r="A983" s="231"/>
      <c r="B983" s="235"/>
      <c r="C983" s="231"/>
      <c r="D983" s="231"/>
      <c r="E983" s="231"/>
      <c r="F983" s="231"/>
      <c r="G983" s="231"/>
      <c r="H983" s="235"/>
      <c r="I983" s="235"/>
      <c r="J983" s="236"/>
      <c r="K983" s="236"/>
    </row>
    <row r="984" spans="1:11">
      <c r="A984" s="231"/>
      <c r="B984" s="235"/>
      <c r="C984" s="231"/>
      <c r="D984" s="231"/>
      <c r="E984" s="231"/>
      <c r="F984" s="231"/>
      <c r="G984" s="231"/>
      <c r="H984" s="235"/>
      <c r="I984" s="235"/>
      <c r="J984" s="236"/>
      <c r="K984" s="236"/>
    </row>
    <row r="985" spans="1:11">
      <c r="A985" s="231"/>
      <c r="B985" s="235"/>
      <c r="C985" s="231"/>
      <c r="D985" s="231"/>
      <c r="E985" s="231"/>
      <c r="F985" s="231"/>
      <c r="G985" s="231"/>
      <c r="H985" s="235"/>
      <c r="I985" s="235"/>
      <c r="J985" s="236"/>
      <c r="K985" s="236"/>
    </row>
    <row r="986" spans="1:11">
      <c r="A986" s="231"/>
      <c r="B986" s="235"/>
      <c r="C986" s="231"/>
      <c r="D986" s="231"/>
      <c r="E986" s="231"/>
      <c r="F986" s="231"/>
      <c r="G986" s="231"/>
      <c r="H986" s="235"/>
      <c r="I986" s="235"/>
      <c r="J986" s="236"/>
      <c r="K986" s="236"/>
    </row>
    <row r="987" spans="1:11">
      <c r="A987" s="231"/>
      <c r="B987" s="235"/>
      <c r="C987" s="231"/>
      <c r="D987" s="231"/>
      <c r="E987" s="231"/>
      <c r="F987" s="231"/>
      <c r="G987" s="231"/>
      <c r="H987" s="235"/>
      <c r="I987" s="235"/>
      <c r="J987" s="236"/>
      <c r="K987" s="236"/>
    </row>
    <row r="988" spans="1:11">
      <c r="A988" s="231"/>
      <c r="B988" s="235"/>
      <c r="C988" s="231"/>
      <c r="D988" s="231"/>
      <c r="E988" s="231"/>
      <c r="F988" s="231"/>
      <c r="G988" s="231"/>
      <c r="H988" s="235"/>
      <c r="I988" s="235"/>
      <c r="J988" s="236"/>
      <c r="K988" s="236"/>
    </row>
    <row r="989" spans="1:11">
      <c r="A989" s="231"/>
      <c r="B989" s="235"/>
      <c r="C989" s="231"/>
      <c r="D989" s="231"/>
      <c r="E989" s="231"/>
      <c r="F989" s="231"/>
      <c r="G989" s="231"/>
      <c r="H989" s="235"/>
      <c r="I989" s="235"/>
      <c r="J989" s="236"/>
      <c r="K989" s="236"/>
    </row>
    <row r="990" spans="1:11">
      <c r="A990" s="231"/>
      <c r="B990" s="235"/>
      <c r="C990" s="231"/>
      <c r="D990" s="231"/>
      <c r="E990" s="231"/>
      <c r="F990" s="231"/>
      <c r="G990" s="231"/>
      <c r="H990" s="235"/>
      <c r="I990" s="235"/>
      <c r="J990" s="236"/>
      <c r="K990" s="236"/>
    </row>
    <row r="991" spans="1:11">
      <c r="A991" s="231"/>
      <c r="B991" s="235"/>
      <c r="C991" s="231"/>
      <c r="D991" s="231"/>
      <c r="E991" s="231"/>
      <c r="F991" s="231"/>
      <c r="G991" s="231"/>
      <c r="H991" s="235"/>
      <c r="I991" s="235"/>
      <c r="J991" s="236"/>
      <c r="K991" s="236"/>
    </row>
    <row r="992" spans="1:11">
      <c r="A992" s="231"/>
      <c r="B992" s="235"/>
      <c r="C992" s="231"/>
      <c r="D992" s="231"/>
      <c r="E992" s="231"/>
      <c r="F992" s="231"/>
      <c r="G992" s="231"/>
      <c r="H992" s="235"/>
      <c r="I992" s="235"/>
      <c r="J992" s="236"/>
      <c r="K992" s="236"/>
    </row>
    <row r="993" spans="1:11">
      <c r="A993" s="231"/>
      <c r="B993" s="235"/>
      <c r="C993" s="231"/>
      <c r="D993" s="231"/>
      <c r="E993" s="231"/>
      <c r="F993" s="231"/>
      <c r="G993" s="231"/>
      <c r="H993" s="235"/>
      <c r="I993" s="235"/>
      <c r="J993" s="236"/>
      <c r="K993" s="236"/>
    </row>
    <row r="994" spans="1:11">
      <c r="A994" s="231"/>
      <c r="B994" s="235"/>
      <c r="C994" s="231"/>
      <c r="D994" s="231"/>
      <c r="E994" s="231"/>
      <c r="F994" s="231"/>
      <c r="G994" s="231"/>
      <c r="H994" s="235"/>
      <c r="I994" s="235"/>
      <c r="J994" s="236"/>
      <c r="K994" s="236"/>
    </row>
    <row r="995" spans="1:11">
      <c r="A995" s="231"/>
      <c r="B995" s="235"/>
      <c r="C995" s="231"/>
      <c r="D995" s="231"/>
      <c r="E995" s="231"/>
      <c r="F995" s="231"/>
      <c r="G995" s="231"/>
      <c r="H995" s="235"/>
      <c r="I995" s="235"/>
      <c r="J995" s="236"/>
      <c r="K995" s="236"/>
    </row>
    <row r="996" spans="1:11">
      <c r="A996" s="231"/>
      <c r="B996" s="235"/>
      <c r="C996" s="231"/>
      <c r="D996" s="231"/>
      <c r="E996" s="231"/>
      <c r="F996" s="231"/>
      <c r="G996" s="231"/>
      <c r="H996" s="235"/>
      <c r="I996" s="235"/>
      <c r="J996" s="236"/>
      <c r="K996" s="236"/>
    </row>
    <row r="997" spans="1:11">
      <c r="A997" s="231"/>
      <c r="B997" s="235"/>
      <c r="C997" s="231"/>
      <c r="D997" s="231"/>
      <c r="E997" s="231"/>
      <c r="F997" s="231"/>
      <c r="G997" s="231"/>
      <c r="H997" s="235"/>
      <c r="I997" s="235"/>
      <c r="J997" s="236"/>
      <c r="K997" s="236"/>
    </row>
    <row r="998" spans="1:11">
      <c r="A998" s="231"/>
      <c r="B998" s="235"/>
      <c r="C998" s="231"/>
      <c r="D998" s="231"/>
      <c r="E998" s="231"/>
      <c r="F998" s="231"/>
      <c r="G998" s="231"/>
      <c r="H998" s="235"/>
      <c r="I998" s="235"/>
      <c r="J998" s="236"/>
      <c r="K998" s="236"/>
    </row>
    <row r="999" spans="1:11">
      <c r="A999" s="231"/>
      <c r="B999" s="235"/>
      <c r="C999" s="231"/>
      <c r="D999" s="231"/>
      <c r="E999" s="231"/>
      <c r="F999" s="231"/>
      <c r="G999" s="231"/>
      <c r="H999" s="235"/>
      <c r="I999" s="235"/>
      <c r="J999" s="236"/>
      <c r="K999" s="236"/>
    </row>
    <row r="1000" spans="1:11">
      <c r="A1000" s="231"/>
      <c r="B1000" s="235"/>
      <c r="C1000" s="231"/>
      <c r="D1000" s="231"/>
      <c r="E1000" s="231"/>
      <c r="F1000" s="231"/>
      <c r="G1000" s="231"/>
      <c r="H1000" s="235"/>
      <c r="I1000" s="235"/>
      <c r="J1000" s="236"/>
      <c r="K1000" s="236"/>
    </row>
    <row r="1001" spans="1:11">
      <c r="A1001" s="231"/>
      <c r="B1001" s="235"/>
      <c r="C1001" s="231"/>
      <c r="D1001" s="231"/>
      <c r="E1001" s="231"/>
      <c r="F1001" s="231"/>
      <c r="G1001" s="231"/>
      <c r="H1001" s="235"/>
      <c r="I1001" s="235"/>
      <c r="J1001" s="236"/>
      <c r="K1001" s="236"/>
    </row>
    <row r="1002" spans="1:11">
      <c r="A1002" s="231"/>
      <c r="B1002" s="235"/>
      <c r="C1002" s="231"/>
      <c r="D1002" s="231"/>
      <c r="E1002" s="231"/>
      <c r="F1002" s="231"/>
      <c r="G1002" s="231"/>
      <c r="H1002" s="235"/>
      <c r="I1002" s="235"/>
      <c r="J1002" s="236"/>
      <c r="K1002" s="236"/>
    </row>
    <row r="1003" spans="1:11">
      <c r="A1003" s="231"/>
      <c r="B1003" s="235"/>
      <c r="C1003" s="231"/>
      <c r="D1003" s="231"/>
      <c r="E1003" s="231"/>
      <c r="F1003" s="231"/>
      <c r="G1003" s="231"/>
      <c r="H1003" s="235"/>
      <c r="I1003" s="235"/>
      <c r="J1003" s="236"/>
      <c r="K1003" s="236"/>
    </row>
    <row r="1004" spans="1:11">
      <c r="A1004" s="231"/>
      <c r="B1004" s="235"/>
      <c r="C1004" s="231"/>
      <c r="D1004" s="231"/>
      <c r="E1004" s="231"/>
      <c r="F1004" s="231"/>
      <c r="G1004" s="231"/>
      <c r="H1004" s="235"/>
      <c r="I1004" s="235"/>
      <c r="J1004" s="236"/>
      <c r="K1004" s="236"/>
    </row>
    <row r="1005" spans="1:11">
      <c r="A1005" s="231"/>
      <c r="B1005" s="235"/>
      <c r="C1005" s="231"/>
      <c r="D1005" s="231"/>
      <c r="E1005" s="231"/>
      <c r="F1005" s="231"/>
      <c r="G1005" s="231"/>
      <c r="H1005" s="235"/>
      <c r="I1005" s="235"/>
      <c r="J1005" s="236"/>
      <c r="K1005" s="236"/>
    </row>
    <row r="1006" spans="1:11">
      <c r="A1006" s="231"/>
      <c r="B1006" s="235"/>
      <c r="C1006" s="231"/>
      <c r="D1006" s="231"/>
      <c r="E1006" s="231"/>
      <c r="F1006" s="231"/>
      <c r="G1006" s="231"/>
      <c r="H1006" s="235"/>
      <c r="I1006" s="235"/>
      <c r="J1006" s="236"/>
      <c r="K1006" s="236"/>
    </row>
    <row r="1007" spans="1:11">
      <c r="A1007" s="231"/>
      <c r="B1007" s="235"/>
      <c r="C1007" s="231"/>
      <c r="D1007" s="231"/>
      <c r="E1007" s="231"/>
      <c r="F1007" s="231"/>
      <c r="G1007" s="231"/>
      <c r="H1007" s="235"/>
      <c r="I1007" s="235"/>
      <c r="J1007" s="236"/>
      <c r="K1007" s="236"/>
    </row>
    <row r="1008" spans="1:11">
      <c r="A1008" s="231"/>
      <c r="B1008" s="235"/>
      <c r="C1008" s="231"/>
      <c r="D1008" s="231"/>
      <c r="E1008" s="231"/>
      <c r="F1008" s="231"/>
      <c r="G1008" s="231"/>
      <c r="H1008" s="235"/>
      <c r="I1008" s="235"/>
      <c r="J1008" s="236"/>
      <c r="K1008" s="236"/>
    </row>
    <row r="1009" spans="1:11">
      <c r="A1009" s="231"/>
      <c r="B1009" s="235"/>
      <c r="C1009" s="231"/>
      <c r="D1009" s="231"/>
      <c r="E1009" s="231"/>
      <c r="F1009" s="231"/>
      <c r="G1009" s="231"/>
      <c r="H1009" s="235"/>
      <c r="I1009" s="235"/>
      <c r="J1009" s="236"/>
      <c r="K1009" s="236"/>
    </row>
    <row r="1010" spans="1:11">
      <c r="A1010" s="231"/>
      <c r="B1010" s="235"/>
      <c r="C1010" s="231"/>
      <c r="D1010" s="231"/>
      <c r="E1010" s="231"/>
      <c r="F1010" s="231"/>
      <c r="G1010" s="231"/>
      <c r="H1010" s="235"/>
      <c r="I1010" s="235"/>
      <c r="J1010" s="236"/>
      <c r="K1010" s="236"/>
    </row>
    <row r="1011" spans="1:11">
      <c r="A1011" s="231"/>
      <c r="B1011" s="235"/>
      <c r="C1011" s="231"/>
      <c r="D1011" s="231"/>
      <c r="E1011" s="231"/>
      <c r="F1011" s="231"/>
      <c r="G1011" s="231"/>
      <c r="H1011" s="235"/>
      <c r="I1011" s="235"/>
      <c r="J1011" s="236"/>
      <c r="K1011" s="236"/>
    </row>
    <row r="1012" spans="1:11">
      <c r="A1012" s="231"/>
      <c r="B1012" s="235"/>
      <c r="C1012" s="231"/>
      <c r="D1012" s="231"/>
      <c r="E1012" s="231"/>
      <c r="F1012" s="231"/>
      <c r="G1012" s="231"/>
      <c r="H1012" s="235"/>
      <c r="I1012" s="235"/>
      <c r="J1012" s="236"/>
      <c r="K1012" s="236"/>
    </row>
    <row r="1013" spans="1:11">
      <c r="A1013" s="231"/>
      <c r="B1013" s="235"/>
      <c r="C1013" s="231"/>
      <c r="D1013" s="231"/>
      <c r="E1013" s="231"/>
      <c r="F1013" s="231"/>
      <c r="G1013" s="231"/>
      <c r="H1013" s="235"/>
      <c r="I1013" s="235"/>
      <c r="J1013" s="236"/>
      <c r="K1013" s="236"/>
    </row>
    <row r="1014" spans="1:11">
      <c r="A1014" s="231"/>
      <c r="B1014" s="235"/>
      <c r="C1014" s="231"/>
      <c r="D1014" s="231"/>
      <c r="E1014" s="231"/>
      <c r="F1014" s="231"/>
      <c r="G1014" s="231"/>
      <c r="H1014" s="235"/>
      <c r="I1014" s="235"/>
      <c r="J1014" s="236"/>
      <c r="K1014" s="236"/>
    </row>
    <row r="1015" spans="1:11">
      <c r="A1015" s="231"/>
      <c r="B1015" s="235"/>
      <c r="C1015" s="231"/>
      <c r="D1015" s="231"/>
      <c r="E1015" s="231"/>
      <c r="F1015" s="231"/>
      <c r="G1015" s="231"/>
      <c r="H1015" s="235"/>
      <c r="I1015" s="235"/>
      <c r="J1015" s="236"/>
      <c r="K1015" s="236"/>
    </row>
    <row r="1016" spans="1:11">
      <c r="A1016" s="231"/>
      <c r="B1016" s="235"/>
      <c r="C1016" s="231"/>
      <c r="D1016" s="231"/>
      <c r="E1016" s="231"/>
      <c r="F1016" s="231"/>
      <c r="G1016" s="231"/>
      <c r="H1016" s="235"/>
      <c r="I1016" s="235"/>
      <c r="J1016" s="236"/>
      <c r="K1016" s="236"/>
    </row>
    <row r="1017" spans="1:11">
      <c r="A1017" s="231"/>
      <c r="B1017" s="235"/>
      <c r="C1017" s="231"/>
      <c r="D1017" s="231"/>
      <c r="E1017" s="231"/>
      <c r="F1017" s="231"/>
      <c r="G1017" s="231"/>
      <c r="H1017" s="235"/>
      <c r="I1017" s="235"/>
      <c r="J1017" s="236"/>
      <c r="K1017" s="236"/>
    </row>
    <row r="1018" spans="1:11">
      <c r="A1018" s="231"/>
      <c r="B1018" s="235"/>
      <c r="C1018" s="231"/>
      <c r="D1018" s="231"/>
      <c r="E1018" s="231"/>
      <c r="F1018" s="231"/>
      <c r="G1018" s="231"/>
      <c r="H1018" s="235"/>
      <c r="I1018" s="235"/>
      <c r="J1018" s="236"/>
      <c r="K1018" s="236"/>
    </row>
    <row r="1019" spans="1:11">
      <c r="A1019" s="231"/>
      <c r="B1019" s="235"/>
      <c r="C1019" s="231"/>
      <c r="D1019" s="231"/>
      <c r="E1019" s="231"/>
      <c r="F1019" s="231"/>
      <c r="G1019" s="231"/>
      <c r="H1019" s="235"/>
      <c r="I1019" s="235"/>
      <c r="J1019" s="236"/>
      <c r="K1019" s="236"/>
    </row>
    <row r="1020" spans="1:11">
      <c r="A1020" s="231"/>
      <c r="B1020" s="235"/>
      <c r="C1020" s="231"/>
      <c r="D1020" s="231"/>
      <c r="E1020" s="231"/>
      <c r="F1020" s="231"/>
      <c r="G1020" s="231"/>
      <c r="H1020" s="235"/>
      <c r="I1020" s="235"/>
      <c r="J1020" s="236"/>
      <c r="K1020" s="236"/>
    </row>
    <row r="1021" spans="1:11">
      <c r="A1021" s="231"/>
      <c r="B1021" s="235"/>
      <c r="C1021" s="231"/>
      <c r="D1021" s="231"/>
      <c r="E1021" s="231"/>
      <c r="F1021" s="231"/>
      <c r="G1021" s="231"/>
      <c r="H1021" s="235"/>
      <c r="I1021" s="235"/>
      <c r="J1021" s="236"/>
      <c r="K1021" s="236"/>
    </row>
    <row r="1022" spans="1:11">
      <c r="A1022" s="231"/>
      <c r="B1022" s="235"/>
      <c r="C1022" s="231"/>
      <c r="D1022" s="231"/>
      <c r="E1022" s="231"/>
      <c r="F1022" s="231"/>
      <c r="G1022" s="231"/>
      <c r="H1022" s="235"/>
      <c r="I1022" s="235"/>
      <c r="J1022" s="236"/>
      <c r="K1022" s="236"/>
    </row>
    <row r="1023" spans="1:11">
      <c r="A1023" s="231"/>
      <c r="B1023" s="235"/>
      <c r="C1023" s="231"/>
      <c r="D1023" s="231"/>
      <c r="E1023" s="231"/>
      <c r="F1023" s="231"/>
      <c r="G1023" s="231"/>
      <c r="H1023" s="235"/>
      <c r="I1023" s="235"/>
      <c r="J1023" s="236"/>
      <c r="K1023" s="236"/>
    </row>
    <row r="1024" spans="1:11">
      <c r="A1024" s="231"/>
      <c r="B1024" s="235"/>
      <c r="C1024" s="231"/>
      <c r="D1024" s="231"/>
      <c r="E1024" s="231"/>
      <c r="F1024" s="231"/>
      <c r="G1024" s="231"/>
      <c r="H1024" s="235"/>
      <c r="I1024" s="235"/>
      <c r="J1024" s="236"/>
      <c r="K1024" s="236"/>
    </row>
    <row r="1025" spans="1:11">
      <c r="A1025" s="231"/>
      <c r="B1025" s="235"/>
      <c r="C1025" s="231"/>
      <c r="D1025" s="231"/>
      <c r="E1025" s="231"/>
      <c r="F1025" s="231"/>
      <c r="G1025" s="231"/>
      <c r="H1025" s="235"/>
      <c r="I1025" s="235"/>
      <c r="J1025" s="236"/>
      <c r="K1025" s="236"/>
    </row>
    <row r="1026" spans="1:11">
      <c r="A1026" s="231"/>
      <c r="B1026" s="235"/>
      <c r="C1026" s="231"/>
      <c r="D1026" s="231"/>
      <c r="E1026" s="231"/>
      <c r="F1026" s="231"/>
      <c r="G1026" s="231"/>
      <c r="H1026" s="235"/>
      <c r="I1026" s="235"/>
      <c r="J1026" s="236"/>
      <c r="K1026" s="236"/>
    </row>
    <row r="1027" spans="1:11">
      <c r="A1027" s="231"/>
      <c r="B1027" s="235"/>
      <c r="C1027" s="231"/>
      <c r="D1027" s="231"/>
      <c r="E1027" s="231"/>
      <c r="F1027" s="231"/>
      <c r="G1027" s="231"/>
      <c r="H1027" s="235"/>
      <c r="I1027" s="235"/>
      <c r="J1027" s="236"/>
      <c r="K1027" s="236"/>
    </row>
    <row r="1028" spans="1:11">
      <c r="A1028" s="231"/>
      <c r="B1028" s="235"/>
      <c r="C1028" s="231"/>
      <c r="D1028" s="231"/>
      <c r="E1028" s="231"/>
      <c r="F1028" s="231"/>
      <c r="G1028" s="231"/>
      <c r="H1028" s="235"/>
      <c r="I1028" s="235"/>
      <c r="J1028" s="236"/>
      <c r="K1028" s="236"/>
    </row>
    <row r="1029" spans="1:11">
      <c r="A1029" s="231"/>
      <c r="B1029" s="235"/>
      <c r="C1029" s="231"/>
      <c r="D1029" s="231"/>
      <c r="E1029" s="231"/>
      <c r="F1029" s="231"/>
      <c r="G1029" s="231"/>
      <c r="H1029" s="235"/>
      <c r="I1029" s="235"/>
      <c r="J1029" s="236"/>
      <c r="K1029" s="236"/>
    </row>
    <row r="1030" spans="1:11">
      <c r="A1030" s="231"/>
      <c r="B1030" s="235"/>
      <c r="C1030" s="231"/>
      <c r="D1030" s="231"/>
      <c r="E1030" s="231"/>
      <c r="F1030" s="231"/>
      <c r="G1030" s="231"/>
      <c r="H1030" s="235"/>
      <c r="I1030" s="235"/>
      <c r="J1030" s="236"/>
      <c r="K1030" s="236"/>
    </row>
    <row r="1031" spans="1:11">
      <c r="A1031" s="231"/>
      <c r="B1031" s="235"/>
      <c r="C1031" s="231"/>
      <c r="D1031" s="231"/>
      <c r="E1031" s="231"/>
      <c r="F1031" s="231"/>
      <c r="G1031" s="231"/>
      <c r="H1031" s="235"/>
      <c r="I1031" s="235"/>
      <c r="J1031" s="236"/>
      <c r="K1031" s="236"/>
    </row>
    <row r="1032" spans="1:11">
      <c r="A1032" s="231"/>
      <c r="B1032" s="235"/>
      <c r="C1032" s="231"/>
      <c r="D1032" s="231"/>
      <c r="E1032" s="231"/>
      <c r="F1032" s="231"/>
      <c r="G1032" s="231"/>
      <c r="H1032" s="235"/>
      <c r="I1032" s="235"/>
      <c r="J1032" s="236"/>
      <c r="K1032" s="236"/>
    </row>
    <row r="1033" spans="1:11">
      <c r="A1033" s="231"/>
      <c r="B1033" s="235"/>
      <c r="C1033" s="231"/>
      <c r="D1033" s="231"/>
      <c r="E1033" s="231"/>
      <c r="F1033" s="231"/>
      <c r="G1033" s="231"/>
      <c r="H1033" s="235"/>
      <c r="I1033" s="235"/>
      <c r="J1033" s="236"/>
      <c r="K1033" s="236"/>
    </row>
    <row r="1034" spans="1:11">
      <c r="A1034" s="231"/>
      <c r="B1034" s="235"/>
      <c r="C1034" s="231"/>
      <c r="D1034" s="231"/>
      <c r="E1034" s="231"/>
      <c r="F1034" s="231"/>
      <c r="G1034" s="231"/>
      <c r="H1034" s="235"/>
      <c r="I1034" s="235"/>
      <c r="J1034" s="236"/>
      <c r="K1034" s="236"/>
    </row>
    <row r="1035" spans="1:11">
      <c r="A1035" s="231"/>
      <c r="B1035" s="235"/>
      <c r="C1035" s="231"/>
      <c r="D1035" s="231"/>
      <c r="E1035" s="231"/>
      <c r="F1035" s="231"/>
      <c r="G1035" s="231"/>
      <c r="H1035" s="235"/>
      <c r="I1035" s="235"/>
      <c r="J1035" s="236"/>
      <c r="K1035" s="236"/>
    </row>
    <row r="1036" spans="1:11">
      <c r="A1036" s="231"/>
      <c r="B1036" s="235"/>
      <c r="C1036" s="231"/>
      <c r="D1036" s="231"/>
      <c r="E1036" s="231"/>
      <c r="F1036" s="231"/>
      <c r="G1036" s="231"/>
      <c r="H1036" s="235"/>
      <c r="I1036" s="235"/>
      <c r="J1036" s="236"/>
      <c r="K1036" s="236"/>
    </row>
    <row r="1037" spans="1:11">
      <c r="A1037" s="231"/>
      <c r="B1037" s="235"/>
      <c r="C1037" s="231"/>
      <c r="D1037" s="231"/>
      <c r="E1037" s="231"/>
      <c r="F1037" s="231"/>
      <c r="G1037" s="231"/>
      <c r="H1037" s="235"/>
      <c r="I1037" s="235"/>
      <c r="J1037" s="236"/>
      <c r="K1037" s="236"/>
    </row>
    <row r="1038" spans="1:11">
      <c r="A1038" s="231"/>
      <c r="B1038" s="235"/>
      <c r="C1038" s="231"/>
      <c r="D1038" s="231"/>
      <c r="E1038" s="231"/>
      <c r="F1038" s="231"/>
      <c r="G1038" s="231"/>
      <c r="H1038" s="235"/>
      <c r="I1038" s="235"/>
      <c r="J1038" s="236"/>
      <c r="K1038" s="236"/>
    </row>
    <row r="1039" spans="1:11">
      <c r="A1039" s="231"/>
      <c r="B1039" s="235"/>
      <c r="C1039" s="231"/>
      <c r="D1039" s="231"/>
      <c r="E1039" s="231"/>
      <c r="F1039" s="231"/>
      <c r="G1039" s="231"/>
      <c r="H1039" s="235"/>
      <c r="I1039" s="235"/>
      <c r="J1039" s="236"/>
      <c r="K1039" s="236"/>
    </row>
    <row r="1040" spans="1:11">
      <c r="A1040" s="231"/>
      <c r="B1040" s="235"/>
      <c r="C1040" s="231"/>
      <c r="D1040" s="231"/>
      <c r="E1040" s="231"/>
      <c r="F1040" s="231"/>
      <c r="G1040" s="231"/>
      <c r="H1040" s="235"/>
      <c r="I1040" s="235"/>
      <c r="J1040" s="236"/>
      <c r="K1040" s="236"/>
    </row>
    <row r="1041" spans="1:11">
      <c r="A1041" s="231"/>
      <c r="B1041" s="235"/>
      <c r="C1041" s="231"/>
      <c r="D1041" s="231"/>
      <c r="E1041" s="231"/>
      <c r="F1041" s="231"/>
      <c r="G1041" s="231"/>
      <c r="H1041" s="235"/>
      <c r="I1041" s="235"/>
      <c r="J1041" s="236"/>
      <c r="K1041" s="236"/>
    </row>
    <row r="1042" spans="1:11">
      <c r="A1042" s="231"/>
      <c r="B1042" s="235"/>
      <c r="C1042" s="231"/>
      <c r="D1042" s="231"/>
      <c r="E1042" s="231"/>
      <c r="F1042" s="231"/>
      <c r="G1042" s="231"/>
      <c r="H1042" s="235"/>
      <c r="I1042" s="235"/>
      <c r="J1042" s="236"/>
      <c r="K1042" s="236"/>
    </row>
    <row r="1043" spans="1:11">
      <c r="A1043" s="231"/>
      <c r="B1043" s="235"/>
      <c r="C1043" s="231"/>
      <c r="D1043" s="231"/>
      <c r="E1043" s="231"/>
      <c r="F1043" s="231"/>
      <c r="G1043" s="231"/>
      <c r="H1043" s="235"/>
      <c r="I1043" s="235"/>
      <c r="J1043" s="236"/>
      <c r="K1043" s="236"/>
    </row>
    <row r="1044" spans="1:11">
      <c r="A1044" s="231"/>
      <c r="B1044" s="235"/>
      <c r="C1044" s="231"/>
      <c r="D1044" s="231"/>
      <c r="E1044" s="231"/>
      <c r="F1044" s="231"/>
      <c r="G1044" s="231"/>
      <c r="H1044" s="235"/>
      <c r="I1044" s="235"/>
      <c r="J1044" s="236"/>
      <c r="K1044" s="236"/>
    </row>
    <row r="1045" spans="1:11">
      <c r="A1045" s="231"/>
      <c r="B1045" s="235"/>
      <c r="C1045" s="231"/>
      <c r="D1045" s="231"/>
      <c r="E1045" s="231"/>
      <c r="F1045" s="231"/>
      <c r="G1045" s="231"/>
      <c r="H1045" s="235"/>
      <c r="I1045" s="235"/>
      <c r="J1045" s="236"/>
      <c r="K1045" s="236"/>
    </row>
    <row r="1046" spans="1:11">
      <c r="A1046" s="231"/>
      <c r="B1046" s="235"/>
      <c r="C1046" s="231"/>
      <c r="D1046" s="231"/>
      <c r="E1046" s="231"/>
      <c r="F1046" s="231"/>
      <c r="G1046" s="231"/>
      <c r="H1046" s="235"/>
      <c r="I1046" s="235"/>
      <c r="J1046" s="236"/>
      <c r="K1046" s="236"/>
    </row>
    <row r="1047" spans="1:11">
      <c r="A1047" s="231"/>
      <c r="B1047" s="235"/>
      <c r="C1047" s="231"/>
      <c r="D1047" s="231"/>
      <c r="E1047" s="231"/>
      <c r="F1047" s="231"/>
      <c r="G1047" s="231"/>
      <c r="H1047" s="235"/>
      <c r="I1047" s="235"/>
      <c r="J1047" s="236"/>
      <c r="K1047" s="236"/>
    </row>
    <row r="1048" spans="1:11">
      <c r="A1048" s="231"/>
      <c r="B1048" s="235"/>
      <c r="C1048" s="231"/>
      <c r="D1048" s="231"/>
      <c r="E1048" s="231"/>
      <c r="F1048" s="231"/>
      <c r="G1048" s="231"/>
      <c r="H1048" s="235"/>
      <c r="I1048" s="235"/>
      <c r="J1048" s="236"/>
      <c r="K1048" s="236"/>
    </row>
    <row r="1049" spans="1:11">
      <c r="A1049" s="231"/>
      <c r="B1049" s="235"/>
      <c r="C1049" s="231"/>
      <c r="D1049" s="231"/>
      <c r="E1049" s="231"/>
      <c r="F1049" s="231"/>
      <c r="G1049" s="231"/>
      <c r="H1049" s="235"/>
      <c r="I1049" s="235"/>
      <c r="J1049" s="236"/>
      <c r="K1049" s="236"/>
    </row>
    <row r="1050" spans="1:11">
      <c r="A1050" s="231"/>
      <c r="B1050" s="235"/>
      <c r="C1050" s="231"/>
      <c r="D1050" s="231"/>
      <c r="E1050" s="231"/>
      <c r="F1050" s="231"/>
      <c r="G1050" s="231"/>
      <c r="H1050" s="235"/>
      <c r="I1050" s="235"/>
      <c r="J1050" s="236"/>
      <c r="K1050" s="236"/>
    </row>
    <row r="1051" spans="1:11">
      <c r="A1051" s="231"/>
      <c r="B1051" s="235"/>
      <c r="C1051" s="231"/>
      <c r="D1051" s="231"/>
      <c r="E1051" s="231"/>
      <c r="F1051" s="231"/>
      <c r="G1051" s="231"/>
      <c r="H1051" s="235"/>
      <c r="I1051" s="235"/>
      <c r="J1051" s="236"/>
      <c r="K1051" s="236"/>
    </row>
    <row r="1052" spans="1:11">
      <c r="A1052" s="231"/>
      <c r="B1052" s="235"/>
      <c r="C1052" s="231"/>
      <c r="D1052" s="231"/>
      <c r="E1052" s="231"/>
      <c r="F1052" s="231"/>
      <c r="G1052" s="231"/>
      <c r="H1052" s="235"/>
      <c r="I1052" s="235"/>
      <c r="J1052" s="236"/>
      <c r="K1052" s="236"/>
    </row>
    <row r="1053" spans="1:11">
      <c r="A1053" s="231"/>
      <c r="B1053" s="235"/>
      <c r="C1053" s="231"/>
      <c r="D1053" s="231"/>
      <c r="E1053" s="231"/>
      <c r="F1053" s="231"/>
      <c r="G1053" s="231"/>
      <c r="H1053" s="235"/>
      <c r="I1053" s="235"/>
      <c r="J1053" s="236"/>
      <c r="K1053" s="236"/>
    </row>
    <row r="1054" spans="1:11">
      <c r="A1054" s="231"/>
      <c r="B1054" s="235"/>
      <c r="C1054" s="231"/>
      <c r="D1054" s="231"/>
      <c r="E1054" s="231"/>
      <c r="F1054" s="231"/>
      <c r="G1054" s="231"/>
      <c r="H1054" s="235"/>
      <c r="I1054" s="235"/>
      <c r="J1054" s="236"/>
      <c r="K1054" s="236"/>
    </row>
    <row r="1055" spans="1:11">
      <c r="A1055" s="231"/>
      <c r="B1055" s="235"/>
      <c r="C1055" s="231"/>
      <c r="D1055" s="231"/>
      <c r="E1055" s="231"/>
      <c r="F1055" s="231"/>
      <c r="G1055" s="231"/>
      <c r="H1055" s="235"/>
      <c r="I1055" s="235"/>
      <c r="J1055" s="236"/>
      <c r="K1055" s="236"/>
    </row>
    <row r="1056" spans="1:11">
      <c r="A1056" s="231"/>
      <c r="B1056" s="235"/>
      <c r="C1056" s="231"/>
      <c r="D1056" s="231"/>
      <c r="E1056" s="231"/>
      <c r="F1056" s="231"/>
      <c r="G1056" s="231"/>
      <c r="H1056" s="235"/>
      <c r="I1056" s="235"/>
      <c r="J1056" s="236"/>
      <c r="K1056" s="236"/>
    </row>
    <row r="1057" spans="1:11">
      <c r="A1057" s="231"/>
      <c r="B1057" s="235"/>
      <c r="C1057" s="231"/>
      <c r="D1057" s="231"/>
      <c r="E1057" s="231"/>
      <c r="F1057" s="231"/>
      <c r="G1057" s="231"/>
      <c r="H1057" s="235"/>
      <c r="I1057" s="235"/>
      <c r="J1057" s="236"/>
      <c r="K1057" s="236"/>
    </row>
    <row r="1058" spans="1:11">
      <c r="A1058" s="231"/>
      <c r="B1058" s="235"/>
      <c r="C1058" s="231"/>
      <c r="D1058" s="231"/>
      <c r="E1058" s="231"/>
      <c r="F1058" s="231"/>
      <c r="G1058" s="231"/>
      <c r="H1058" s="235"/>
      <c r="I1058" s="235"/>
      <c r="J1058" s="236"/>
      <c r="K1058" s="236"/>
    </row>
    <row r="1059" spans="1:11">
      <c r="A1059" s="231"/>
      <c r="B1059" s="235"/>
      <c r="C1059" s="231"/>
      <c r="D1059" s="231"/>
      <c r="E1059" s="231"/>
      <c r="F1059" s="231"/>
      <c r="G1059" s="231"/>
      <c r="H1059" s="235"/>
      <c r="I1059" s="235"/>
      <c r="J1059" s="236"/>
      <c r="K1059" s="236"/>
    </row>
    <row r="1060" spans="1:11">
      <c r="A1060" s="231"/>
      <c r="B1060" s="235"/>
      <c r="C1060" s="231"/>
      <c r="D1060" s="231"/>
      <c r="E1060" s="231"/>
      <c r="F1060" s="231"/>
      <c r="G1060" s="231"/>
      <c r="H1060" s="235"/>
      <c r="I1060" s="235"/>
      <c r="J1060" s="236"/>
      <c r="K1060" s="236"/>
    </row>
    <row r="1061" spans="1:11">
      <c r="A1061" s="231"/>
      <c r="B1061" s="235"/>
      <c r="C1061" s="231"/>
      <c r="D1061" s="231"/>
      <c r="E1061" s="231"/>
      <c r="F1061" s="231"/>
      <c r="G1061" s="231"/>
      <c r="H1061" s="235"/>
      <c r="I1061" s="235"/>
      <c r="J1061" s="236"/>
      <c r="K1061" s="236"/>
    </row>
    <row r="1062" spans="1:11">
      <c r="A1062" s="231"/>
      <c r="B1062" s="235"/>
      <c r="C1062" s="231"/>
      <c r="D1062" s="231"/>
      <c r="E1062" s="231"/>
      <c r="F1062" s="231"/>
      <c r="G1062" s="231"/>
      <c r="H1062" s="235"/>
      <c r="I1062" s="235"/>
      <c r="J1062" s="236"/>
      <c r="K1062" s="236"/>
    </row>
    <row r="1063" spans="1:11">
      <c r="A1063" s="231"/>
      <c r="B1063" s="235"/>
      <c r="C1063" s="231"/>
      <c r="D1063" s="231"/>
      <c r="E1063" s="231"/>
      <c r="F1063" s="231"/>
      <c r="G1063" s="231"/>
      <c r="H1063" s="235"/>
      <c r="I1063" s="235"/>
      <c r="J1063" s="236"/>
      <c r="K1063" s="236"/>
    </row>
    <row r="1064" spans="1:11">
      <c r="A1064" s="231"/>
      <c r="B1064" s="235"/>
      <c r="C1064" s="231"/>
      <c r="D1064" s="231"/>
      <c r="E1064" s="231"/>
      <c r="F1064" s="231"/>
      <c r="G1064" s="231"/>
      <c r="H1064" s="235"/>
      <c r="I1064" s="235"/>
      <c r="J1064" s="236"/>
      <c r="K1064" s="236"/>
    </row>
    <row r="1065" spans="1:11">
      <c r="A1065" s="231"/>
      <c r="B1065" s="235"/>
      <c r="C1065" s="231"/>
      <c r="D1065" s="231"/>
      <c r="E1065" s="231"/>
      <c r="F1065" s="231"/>
      <c r="G1065" s="231"/>
      <c r="H1065" s="235"/>
      <c r="I1065" s="235"/>
      <c r="J1065" s="236"/>
      <c r="K1065" s="236"/>
    </row>
    <row r="1066" spans="1:11">
      <c r="A1066" s="231"/>
      <c r="B1066" s="235"/>
      <c r="C1066" s="231"/>
      <c r="D1066" s="231"/>
      <c r="E1066" s="231"/>
      <c r="F1066" s="231"/>
      <c r="G1066" s="231"/>
      <c r="H1066" s="235"/>
      <c r="I1066" s="235"/>
      <c r="J1066" s="236"/>
      <c r="K1066" s="236"/>
    </row>
    <row r="1067" spans="1:11">
      <c r="A1067" s="231"/>
      <c r="B1067" s="235"/>
      <c r="C1067" s="231"/>
      <c r="D1067" s="231"/>
      <c r="E1067" s="231"/>
      <c r="F1067" s="231"/>
      <c r="G1067" s="231"/>
      <c r="H1067" s="235"/>
      <c r="I1067" s="235"/>
      <c r="J1067" s="236"/>
      <c r="K1067" s="236"/>
    </row>
    <row r="1068" spans="1:11">
      <c r="A1068" s="231"/>
      <c r="B1068" s="235"/>
      <c r="C1068" s="231"/>
      <c r="D1068" s="231"/>
      <c r="E1068" s="231"/>
      <c r="F1068" s="231"/>
      <c r="G1068" s="231"/>
      <c r="H1068" s="235"/>
      <c r="I1068" s="235"/>
      <c r="J1068" s="236"/>
      <c r="K1068" s="236"/>
    </row>
    <row r="1069" spans="1:11">
      <c r="A1069" s="231"/>
      <c r="B1069" s="235"/>
      <c r="C1069" s="231"/>
      <c r="D1069" s="231"/>
      <c r="E1069" s="231"/>
      <c r="F1069" s="231"/>
      <c r="G1069" s="231"/>
      <c r="H1069" s="235"/>
      <c r="I1069" s="235"/>
      <c r="J1069" s="236"/>
      <c r="K1069" s="236"/>
    </row>
    <row r="1070" spans="1:11">
      <c r="A1070" s="231"/>
      <c r="B1070" s="235"/>
      <c r="C1070" s="231"/>
      <c r="D1070" s="231"/>
      <c r="E1070" s="231"/>
      <c r="F1070" s="231"/>
      <c r="G1070" s="231"/>
      <c r="H1070" s="235"/>
      <c r="I1070" s="235"/>
      <c r="J1070" s="236"/>
      <c r="K1070" s="236"/>
    </row>
    <row r="1071" spans="1:11">
      <c r="A1071" s="231"/>
      <c r="B1071" s="235"/>
      <c r="C1071" s="231"/>
      <c r="D1071" s="231"/>
      <c r="E1071" s="231"/>
      <c r="F1071" s="231"/>
      <c r="G1071" s="231"/>
      <c r="H1071" s="235"/>
      <c r="I1071" s="235"/>
      <c r="J1071" s="236"/>
      <c r="K1071" s="236"/>
    </row>
    <row r="1072" spans="1:11">
      <c r="A1072" s="231"/>
      <c r="B1072" s="235"/>
      <c r="C1072" s="231"/>
      <c r="D1072" s="231"/>
      <c r="E1072" s="231"/>
      <c r="F1072" s="231"/>
      <c r="G1072" s="231"/>
      <c r="H1072" s="235"/>
      <c r="I1072" s="235"/>
      <c r="J1072" s="236"/>
      <c r="K1072" s="236"/>
    </row>
    <row r="1073" spans="1:11">
      <c r="A1073" s="231"/>
      <c r="B1073" s="235"/>
      <c r="C1073" s="231"/>
      <c r="D1073" s="231"/>
      <c r="E1073" s="231"/>
      <c r="F1073" s="231"/>
      <c r="G1073" s="231"/>
      <c r="H1073" s="235"/>
      <c r="I1073" s="235"/>
      <c r="J1073" s="236"/>
      <c r="K1073" s="236"/>
    </row>
    <row r="1074" spans="1:11">
      <c r="A1074" s="231"/>
      <c r="B1074" s="235"/>
      <c r="C1074" s="231"/>
      <c r="D1074" s="231"/>
      <c r="E1074" s="231"/>
      <c r="F1074" s="231"/>
      <c r="G1074" s="231"/>
      <c r="H1074" s="235"/>
      <c r="I1074" s="235"/>
      <c r="J1074" s="236"/>
      <c r="K1074" s="236"/>
    </row>
    <row r="1075" spans="1:11">
      <c r="A1075" s="231"/>
      <c r="B1075" s="235"/>
      <c r="C1075" s="231"/>
      <c r="D1075" s="231"/>
      <c r="E1075" s="231"/>
      <c r="F1075" s="231"/>
      <c r="G1075" s="231"/>
      <c r="H1075" s="235"/>
      <c r="I1075" s="235"/>
      <c r="J1075" s="236"/>
      <c r="K1075" s="236"/>
    </row>
    <row r="1076" spans="1:11">
      <c r="A1076" s="231"/>
      <c r="B1076" s="235"/>
      <c r="C1076" s="231"/>
      <c r="D1076" s="231"/>
      <c r="E1076" s="231"/>
      <c r="F1076" s="231"/>
      <c r="G1076" s="231"/>
      <c r="H1076" s="235"/>
      <c r="I1076" s="235"/>
      <c r="J1076" s="236"/>
      <c r="K1076" s="236"/>
    </row>
    <row r="1077" spans="1:11">
      <c r="A1077" s="231"/>
      <c r="B1077" s="235"/>
      <c r="C1077" s="231"/>
      <c r="D1077" s="231"/>
      <c r="E1077" s="231"/>
      <c r="F1077" s="231"/>
      <c r="G1077" s="231"/>
      <c r="H1077" s="235"/>
      <c r="I1077" s="235"/>
      <c r="J1077" s="236"/>
      <c r="K1077" s="236"/>
    </row>
    <row r="1078" spans="1:11">
      <c r="A1078" s="231"/>
      <c r="B1078" s="235"/>
      <c r="C1078" s="231"/>
      <c r="D1078" s="231"/>
      <c r="E1078" s="231"/>
      <c r="F1078" s="231"/>
      <c r="G1078" s="231"/>
      <c r="H1078" s="235"/>
      <c r="I1078" s="235"/>
      <c r="J1078" s="236"/>
      <c r="K1078" s="236"/>
    </row>
    <row r="1079" spans="1:11">
      <c r="A1079" s="231"/>
      <c r="B1079" s="235"/>
      <c r="C1079" s="231"/>
      <c r="D1079" s="231"/>
      <c r="E1079" s="231"/>
      <c r="F1079" s="231"/>
      <c r="G1079" s="231"/>
      <c r="H1079" s="235"/>
      <c r="I1079" s="235"/>
      <c r="J1079" s="236"/>
      <c r="K1079" s="236"/>
    </row>
    <row r="1080" spans="1:11">
      <c r="A1080" s="231"/>
      <c r="B1080" s="235"/>
      <c r="C1080" s="231"/>
      <c r="D1080" s="231"/>
      <c r="E1080" s="231"/>
      <c r="F1080" s="231"/>
      <c r="G1080" s="231"/>
      <c r="H1080" s="235"/>
      <c r="I1080" s="235"/>
      <c r="J1080" s="236"/>
      <c r="K1080" s="236"/>
    </row>
    <row r="1081" spans="1:11">
      <c r="A1081" s="231"/>
      <c r="B1081" s="235"/>
      <c r="C1081" s="231"/>
      <c r="D1081" s="231"/>
      <c r="E1081" s="231"/>
      <c r="F1081" s="231"/>
      <c r="G1081" s="231"/>
      <c r="H1081" s="235"/>
      <c r="I1081" s="235"/>
      <c r="J1081" s="236"/>
      <c r="K1081" s="236"/>
    </row>
    <row r="1082" spans="1:11">
      <c r="A1082" s="231"/>
      <c r="B1082" s="235"/>
      <c r="C1082" s="231"/>
      <c r="D1082" s="231"/>
      <c r="E1082" s="231"/>
      <c r="F1082" s="231"/>
      <c r="G1082" s="231"/>
      <c r="H1082" s="235"/>
      <c r="I1082" s="235"/>
      <c r="J1082" s="236"/>
      <c r="K1082" s="236"/>
    </row>
    <row r="1083" spans="1:11">
      <c r="A1083" s="231"/>
      <c r="B1083" s="235"/>
      <c r="C1083" s="231"/>
      <c r="D1083" s="231"/>
      <c r="E1083" s="231"/>
      <c r="F1083" s="231"/>
      <c r="G1083" s="231"/>
      <c r="H1083" s="235"/>
      <c r="I1083" s="235"/>
      <c r="J1083" s="236"/>
      <c r="K1083" s="236"/>
    </row>
    <row r="1084" spans="1:11">
      <c r="A1084" s="231"/>
      <c r="B1084" s="235"/>
      <c r="C1084" s="231"/>
      <c r="D1084" s="231"/>
      <c r="E1084" s="231"/>
      <c r="F1084" s="231"/>
      <c r="G1084" s="231"/>
      <c r="H1084" s="235"/>
      <c r="I1084" s="235"/>
      <c r="J1084" s="236"/>
      <c r="K1084" s="236"/>
    </row>
    <row r="1085" spans="1:11">
      <c r="A1085" s="231"/>
      <c r="B1085" s="235"/>
      <c r="C1085" s="231"/>
      <c r="D1085" s="231"/>
      <c r="E1085" s="231"/>
      <c r="F1085" s="231"/>
      <c r="G1085" s="231"/>
      <c r="H1085" s="235"/>
      <c r="I1085" s="235"/>
      <c r="J1085" s="236"/>
      <c r="K1085" s="236"/>
    </row>
    <row r="1086" spans="1:11">
      <c r="A1086" s="231"/>
      <c r="B1086" s="235"/>
      <c r="C1086" s="231"/>
      <c r="D1086" s="231"/>
      <c r="E1086" s="231"/>
      <c r="F1086" s="231"/>
      <c r="G1086" s="231"/>
      <c r="H1086" s="235"/>
      <c r="I1086" s="235"/>
      <c r="J1086" s="236"/>
      <c r="K1086" s="236"/>
    </row>
    <row r="1087" spans="1:11">
      <c r="A1087" s="231"/>
      <c r="B1087" s="235"/>
      <c r="C1087" s="231"/>
      <c r="D1087" s="231"/>
      <c r="E1087" s="231"/>
      <c r="F1087" s="231"/>
      <c r="G1087" s="231"/>
      <c r="H1087" s="235"/>
      <c r="I1087" s="235"/>
      <c r="J1087" s="236"/>
      <c r="K1087" s="236"/>
    </row>
    <row r="1088" spans="1:11">
      <c r="A1088" s="231"/>
      <c r="B1088" s="235"/>
      <c r="C1088" s="231"/>
      <c r="D1088" s="231"/>
      <c r="E1088" s="231"/>
      <c r="F1088" s="231"/>
      <c r="G1088" s="231"/>
      <c r="H1088" s="235"/>
      <c r="I1088" s="235"/>
      <c r="J1088" s="236"/>
      <c r="K1088" s="236"/>
    </row>
    <row r="1089" spans="1:11">
      <c r="A1089" s="231"/>
      <c r="B1089" s="235"/>
      <c r="C1089" s="231"/>
      <c r="D1089" s="231"/>
      <c r="E1089" s="231"/>
      <c r="F1089" s="231"/>
      <c r="G1089" s="231"/>
      <c r="H1089" s="235"/>
      <c r="I1089" s="235"/>
      <c r="J1089" s="236"/>
      <c r="K1089" s="236"/>
    </row>
    <row r="1090" spans="1:11">
      <c r="A1090" s="231"/>
      <c r="B1090" s="235"/>
      <c r="C1090" s="231"/>
      <c r="D1090" s="231"/>
      <c r="E1090" s="231"/>
      <c r="F1090" s="231"/>
      <c r="G1090" s="231"/>
      <c r="H1090" s="235"/>
      <c r="I1090" s="235"/>
      <c r="J1090" s="236"/>
      <c r="K1090" s="236"/>
    </row>
    <row r="1091" spans="1:11">
      <c r="A1091" s="231"/>
      <c r="B1091" s="235"/>
      <c r="C1091" s="231"/>
      <c r="D1091" s="231"/>
      <c r="E1091" s="231"/>
      <c r="F1091" s="231"/>
      <c r="G1091" s="231"/>
      <c r="H1091" s="235"/>
      <c r="I1091" s="235"/>
      <c r="J1091" s="236"/>
      <c r="K1091" s="236"/>
    </row>
    <row r="1092" spans="1:11">
      <c r="A1092" s="231"/>
      <c r="B1092" s="235"/>
      <c r="C1092" s="231"/>
      <c r="D1092" s="231"/>
      <c r="E1092" s="231"/>
      <c r="F1092" s="231"/>
      <c r="G1092" s="231"/>
      <c r="H1092" s="235"/>
      <c r="I1092" s="235"/>
      <c r="J1092" s="236"/>
      <c r="K1092" s="236"/>
    </row>
    <row r="1093" spans="1:11">
      <c r="A1093" s="231"/>
      <c r="B1093" s="235"/>
      <c r="C1093" s="231"/>
      <c r="D1093" s="231"/>
      <c r="E1093" s="231"/>
      <c r="F1093" s="231"/>
      <c r="G1093" s="231"/>
      <c r="H1093" s="235"/>
      <c r="I1093" s="235"/>
      <c r="J1093" s="236"/>
      <c r="K1093" s="236"/>
    </row>
    <row r="1094" spans="1:11">
      <c r="A1094" s="231"/>
      <c r="B1094" s="235"/>
      <c r="C1094" s="231"/>
      <c r="D1094" s="231"/>
      <c r="E1094" s="231"/>
      <c r="F1094" s="231"/>
      <c r="G1094" s="231"/>
      <c r="H1094" s="235"/>
      <c r="I1094" s="235"/>
      <c r="J1094" s="236"/>
      <c r="K1094" s="236"/>
    </row>
    <row r="1095" spans="1:11">
      <c r="A1095" s="231"/>
      <c r="B1095" s="235"/>
      <c r="C1095" s="231"/>
      <c r="D1095" s="231"/>
      <c r="E1095" s="231"/>
      <c r="F1095" s="231"/>
      <c r="G1095" s="231"/>
      <c r="H1095" s="235"/>
      <c r="I1095" s="235"/>
      <c r="J1095" s="236"/>
      <c r="K1095" s="236"/>
    </row>
    <row r="1096" spans="1:11">
      <c r="A1096" s="231"/>
      <c r="B1096" s="235"/>
      <c r="C1096" s="231"/>
      <c r="D1096" s="231"/>
      <c r="E1096" s="231"/>
      <c r="F1096" s="231"/>
      <c r="G1096" s="231"/>
      <c r="H1096" s="235"/>
      <c r="I1096" s="235"/>
      <c r="J1096" s="236"/>
      <c r="K1096" s="236"/>
    </row>
    <row r="1097" spans="1:11">
      <c r="A1097" s="231"/>
      <c r="B1097" s="235"/>
      <c r="C1097" s="231"/>
      <c r="D1097" s="231"/>
      <c r="E1097" s="231"/>
      <c r="F1097" s="231"/>
      <c r="G1097" s="231"/>
      <c r="H1097" s="235"/>
      <c r="I1097" s="235"/>
      <c r="J1097" s="236"/>
      <c r="K1097" s="236"/>
    </row>
    <row r="1098" spans="1:11">
      <c r="A1098" s="231"/>
      <c r="B1098" s="235"/>
      <c r="C1098" s="231"/>
      <c r="D1098" s="231"/>
      <c r="E1098" s="231"/>
      <c r="F1098" s="231"/>
      <c r="G1098" s="231"/>
      <c r="H1098" s="235"/>
      <c r="I1098" s="235"/>
      <c r="J1098" s="236"/>
      <c r="K1098" s="236"/>
    </row>
    <row r="1099" spans="1:11">
      <c r="A1099" s="231"/>
      <c r="B1099" s="235"/>
      <c r="C1099" s="231"/>
      <c r="D1099" s="231"/>
      <c r="E1099" s="231"/>
      <c r="F1099" s="231"/>
      <c r="G1099" s="231"/>
      <c r="H1099" s="235"/>
      <c r="I1099" s="235"/>
      <c r="J1099" s="236"/>
      <c r="K1099" s="236"/>
    </row>
    <row r="1100" spans="1:11">
      <c r="A1100" s="231"/>
      <c r="B1100" s="235"/>
      <c r="C1100" s="231"/>
      <c r="D1100" s="231"/>
      <c r="E1100" s="231"/>
      <c r="F1100" s="231"/>
      <c r="G1100" s="231"/>
      <c r="H1100" s="235"/>
      <c r="I1100" s="235"/>
      <c r="J1100" s="236"/>
      <c r="K1100" s="236"/>
    </row>
    <row r="1101" spans="1:11">
      <c r="A1101" s="231"/>
      <c r="B1101" s="235"/>
      <c r="C1101" s="231"/>
      <c r="D1101" s="231"/>
      <c r="E1101" s="231"/>
      <c r="F1101" s="231"/>
      <c r="G1101" s="231"/>
      <c r="H1101" s="235"/>
      <c r="I1101" s="235"/>
      <c r="J1101" s="236"/>
      <c r="K1101" s="236"/>
    </row>
    <row r="1102" spans="1:11">
      <c r="A1102" s="231"/>
      <c r="B1102" s="235"/>
      <c r="C1102" s="231"/>
      <c r="D1102" s="231"/>
      <c r="E1102" s="231"/>
      <c r="F1102" s="231"/>
      <c r="G1102" s="231"/>
      <c r="H1102" s="235"/>
      <c r="I1102" s="235"/>
      <c r="J1102" s="236"/>
      <c r="K1102" s="236"/>
    </row>
    <row r="1103" spans="1:11">
      <c r="A1103" s="231"/>
      <c r="B1103" s="235"/>
      <c r="C1103" s="231"/>
      <c r="D1103" s="231"/>
      <c r="E1103" s="231"/>
      <c r="F1103" s="231"/>
      <c r="G1103" s="231"/>
      <c r="H1103" s="235"/>
      <c r="I1103" s="235"/>
      <c r="J1103" s="236"/>
      <c r="K1103" s="236"/>
    </row>
    <row r="1104" spans="1:11">
      <c r="A1104" s="231"/>
      <c r="B1104" s="235"/>
      <c r="C1104" s="231"/>
      <c r="D1104" s="231"/>
      <c r="E1104" s="231"/>
      <c r="F1104" s="231"/>
      <c r="G1104" s="231"/>
      <c r="H1104" s="235"/>
      <c r="I1104" s="235"/>
      <c r="J1104" s="236"/>
      <c r="K1104" s="236"/>
    </row>
    <row r="1105" spans="1:11">
      <c r="A1105" s="231"/>
      <c r="B1105" s="235"/>
      <c r="C1105" s="231"/>
      <c r="D1105" s="231"/>
      <c r="E1105" s="231"/>
      <c r="F1105" s="231"/>
      <c r="G1105" s="231"/>
      <c r="H1105" s="235"/>
      <c r="I1105" s="235"/>
      <c r="J1105" s="236"/>
      <c r="K1105" s="236"/>
    </row>
    <row r="1106" spans="1:11">
      <c r="A1106" s="231"/>
      <c r="B1106" s="235"/>
      <c r="C1106" s="231"/>
      <c r="D1106" s="231"/>
      <c r="E1106" s="231"/>
      <c r="F1106" s="231"/>
      <c r="G1106" s="231"/>
      <c r="H1106" s="235"/>
      <c r="I1106" s="235"/>
      <c r="J1106" s="236"/>
      <c r="K1106" s="236"/>
    </row>
    <row r="1107" spans="1:11">
      <c r="A1107" s="231"/>
      <c r="B1107" s="235"/>
      <c r="C1107" s="231"/>
      <c r="D1107" s="231"/>
      <c r="E1107" s="231"/>
      <c r="F1107" s="231"/>
      <c r="G1107" s="231"/>
      <c r="H1107" s="235"/>
      <c r="I1107" s="235"/>
      <c r="J1107" s="236"/>
      <c r="K1107" s="236"/>
    </row>
    <row r="1108" spans="1:11">
      <c r="A1108" s="231"/>
      <c r="B1108" s="235"/>
      <c r="C1108" s="231"/>
      <c r="D1108" s="231"/>
      <c r="E1108" s="231"/>
      <c r="F1108" s="231"/>
      <c r="G1108" s="231"/>
      <c r="H1108" s="235"/>
      <c r="I1108" s="235"/>
      <c r="J1108" s="236"/>
      <c r="K1108" s="236"/>
    </row>
    <row r="1109" spans="1:11">
      <c r="A1109" s="231"/>
      <c r="B1109" s="235"/>
      <c r="C1109" s="231"/>
      <c r="D1109" s="231"/>
      <c r="E1109" s="231"/>
      <c r="F1109" s="231"/>
      <c r="G1109" s="231"/>
      <c r="H1109" s="235"/>
      <c r="I1109" s="235"/>
      <c r="J1109" s="236"/>
      <c r="K1109" s="236"/>
    </row>
    <row r="1110" spans="1:11">
      <c r="A1110" s="231"/>
      <c r="B1110" s="235"/>
      <c r="C1110" s="231"/>
      <c r="D1110" s="231"/>
      <c r="E1110" s="231"/>
      <c r="F1110" s="231"/>
      <c r="G1110" s="231"/>
      <c r="H1110" s="235"/>
      <c r="I1110" s="235"/>
      <c r="J1110" s="236"/>
      <c r="K1110" s="236"/>
    </row>
    <row r="1111" spans="1:11">
      <c r="A1111" s="231"/>
      <c r="B1111" s="235"/>
      <c r="C1111" s="231"/>
      <c r="D1111" s="231"/>
      <c r="E1111" s="231"/>
      <c r="F1111" s="231"/>
      <c r="G1111" s="231"/>
      <c r="H1111" s="235"/>
      <c r="I1111" s="235"/>
      <c r="J1111" s="236"/>
      <c r="K1111" s="236"/>
    </row>
    <row r="1112" spans="1:11">
      <c r="A1112" s="231"/>
      <c r="B1112" s="235"/>
      <c r="C1112" s="231"/>
      <c r="D1112" s="231"/>
      <c r="E1112" s="231"/>
      <c r="F1112" s="231"/>
      <c r="G1112" s="231"/>
      <c r="H1112" s="235"/>
      <c r="I1112" s="235"/>
      <c r="J1112" s="236"/>
      <c r="K1112" s="236"/>
    </row>
    <row r="1113" spans="1:11">
      <c r="A1113" s="231"/>
      <c r="B1113" s="235"/>
      <c r="C1113" s="231"/>
      <c r="D1113" s="231"/>
      <c r="E1113" s="231"/>
      <c r="F1113" s="231"/>
      <c r="G1113" s="231"/>
      <c r="H1113" s="235"/>
      <c r="I1113" s="235"/>
      <c r="J1113" s="236"/>
      <c r="K1113" s="236"/>
    </row>
    <row r="1114" spans="1:11">
      <c r="A1114" s="231"/>
      <c r="B1114" s="235"/>
      <c r="C1114" s="231"/>
      <c r="D1114" s="231"/>
      <c r="E1114" s="231"/>
      <c r="F1114" s="231"/>
      <c r="G1114" s="231"/>
      <c r="H1114" s="235"/>
      <c r="I1114" s="235"/>
      <c r="J1114" s="236"/>
      <c r="K1114" s="236"/>
    </row>
    <row r="1115" spans="1:11">
      <c r="A1115" s="231"/>
      <c r="B1115" s="235"/>
      <c r="C1115" s="231"/>
      <c r="D1115" s="231"/>
      <c r="E1115" s="231"/>
      <c r="F1115" s="231"/>
      <c r="G1115" s="231"/>
      <c r="H1115" s="235"/>
      <c r="I1115" s="235"/>
      <c r="J1115" s="236"/>
      <c r="K1115" s="236"/>
    </row>
    <row r="1116" spans="1:11">
      <c r="A1116" s="231"/>
      <c r="B1116" s="235"/>
      <c r="C1116" s="231"/>
      <c r="D1116" s="231"/>
      <c r="E1116" s="231"/>
      <c r="F1116" s="231"/>
      <c r="G1116" s="231"/>
      <c r="H1116" s="235"/>
      <c r="I1116" s="235"/>
      <c r="J1116" s="236"/>
      <c r="K1116" s="236"/>
    </row>
    <row r="1117" spans="1:11">
      <c r="A1117" s="231"/>
      <c r="B1117" s="235"/>
      <c r="C1117" s="231"/>
      <c r="D1117" s="231"/>
      <c r="E1117" s="231"/>
      <c r="F1117" s="231"/>
      <c r="G1117" s="231"/>
      <c r="H1117" s="235"/>
      <c r="I1117" s="235"/>
      <c r="J1117" s="236"/>
      <c r="K1117" s="236"/>
    </row>
    <row r="1118" spans="1:11">
      <c r="A1118" s="231"/>
      <c r="B1118" s="235"/>
      <c r="C1118" s="231"/>
      <c r="D1118" s="231"/>
      <c r="E1118" s="231"/>
      <c r="F1118" s="231"/>
      <c r="G1118" s="231"/>
      <c r="H1118" s="235"/>
      <c r="I1118" s="235"/>
      <c r="J1118" s="236"/>
      <c r="K1118" s="236"/>
    </row>
    <row r="1119" spans="1:11">
      <c r="A1119" s="231"/>
      <c r="B1119" s="235"/>
      <c r="C1119" s="231"/>
      <c r="D1119" s="231"/>
      <c r="E1119" s="231"/>
      <c r="F1119" s="231"/>
      <c r="G1119" s="231"/>
      <c r="H1119" s="235"/>
      <c r="I1119" s="235"/>
      <c r="J1119" s="236"/>
      <c r="K1119" s="236"/>
    </row>
    <row r="1120" spans="1:11">
      <c r="A1120" s="231"/>
      <c r="B1120" s="235"/>
      <c r="C1120" s="231"/>
      <c r="D1120" s="231"/>
      <c r="E1120" s="231"/>
      <c r="F1120" s="231"/>
      <c r="G1120" s="231"/>
      <c r="H1120" s="235"/>
      <c r="I1120" s="235"/>
      <c r="J1120" s="236"/>
      <c r="K1120" s="236"/>
    </row>
    <row r="1121" spans="1:11">
      <c r="A1121" s="231"/>
      <c r="B1121" s="235"/>
      <c r="C1121" s="231"/>
      <c r="D1121" s="231"/>
      <c r="E1121" s="231"/>
      <c r="F1121" s="231"/>
      <c r="G1121" s="231"/>
      <c r="H1121" s="235"/>
      <c r="I1121" s="235"/>
      <c r="J1121" s="236"/>
      <c r="K1121" s="236"/>
    </row>
    <row r="1122" spans="1:11">
      <c r="A1122" s="231"/>
      <c r="B1122" s="235"/>
      <c r="C1122" s="231"/>
      <c r="D1122" s="231"/>
      <c r="E1122" s="231"/>
      <c r="F1122" s="231"/>
      <c r="G1122" s="231"/>
      <c r="H1122" s="235"/>
      <c r="I1122" s="235"/>
      <c r="J1122" s="236"/>
      <c r="K1122" s="236"/>
    </row>
    <row r="1123" spans="1:11">
      <c r="A1123" s="231"/>
      <c r="B1123" s="235"/>
      <c r="C1123" s="231"/>
      <c r="D1123" s="231"/>
      <c r="E1123" s="231"/>
      <c r="F1123" s="231"/>
      <c r="G1123" s="231"/>
      <c r="H1123" s="235"/>
      <c r="I1123" s="235"/>
      <c r="J1123" s="236"/>
      <c r="K1123" s="236"/>
    </row>
    <row r="1124" spans="1:11">
      <c r="A1124" s="231"/>
      <c r="B1124" s="235"/>
      <c r="C1124" s="231"/>
      <c r="D1124" s="231"/>
      <c r="E1124" s="231"/>
      <c r="F1124" s="231"/>
      <c r="G1124" s="231"/>
      <c r="H1124" s="235"/>
      <c r="I1124" s="235"/>
      <c r="J1124" s="236"/>
      <c r="K1124" s="236"/>
    </row>
    <row r="1125" spans="1:11">
      <c r="A1125" s="231"/>
      <c r="B1125" s="235"/>
      <c r="C1125" s="231"/>
      <c r="D1125" s="231"/>
      <c r="E1125" s="231"/>
      <c r="F1125" s="231"/>
      <c r="G1125" s="231"/>
      <c r="H1125" s="235"/>
      <c r="I1125" s="235"/>
      <c r="J1125" s="236"/>
      <c r="K1125" s="236"/>
    </row>
    <row r="1126" spans="1:11">
      <c r="A1126" s="231"/>
      <c r="B1126" s="235"/>
      <c r="C1126" s="231"/>
      <c r="D1126" s="231"/>
      <c r="E1126" s="231"/>
      <c r="F1126" s="231"/>
      <c r="G1126" s="231"/>
      <c r="H1126" s="235"/>
      <c r="I1126" s="235"/>
      <c r="J1126" s="236"/>
      <c r="K1126" s="236"/>
    </row>
    <row r="1127" spans="1:11">
      <c r="A1127" s="231"/>
      <c r="B1127" s="235"/>
      <c r="C1127" s="231"/>
      <c r="D1127" s="231"/>
      <c r="E1127" s="231"/>
      <c r="F1127" s="231"/>
      <c r="G1127" s="231"/>
      <c r="H1127" s="235"/>
      <c r="I1127" s="235"/>
      <c r="J1127" s="236"/>
      <c r="K1127" s="236"/>
    </row>
    <row r="1128" spans="1:11">
      <c r="A1128" s="231"/>
      <c r="B1128" s="235"/>
      <c r="C1128" s="231"/>
      <c r="D1128" s="231"/>
      <c r="E1128" s="231"/>
      <c r="F1128" s="231"/>
      <c r="G1128" s="231"/>
      <c r="H1128" s="235"/>
      <c r="I1128" s="235"/>
      <c r="J1128" s="236"/>
      <c r="K1128" s="236"/>
    </row>
    <row r="1129" spans="1:11">
      <c r="A1129" s="231"/>
      <c r="B1129" s="235"/>
      <c r="C1129" s="231"/>
      <c r="D1129" s="231"/>
      <c r="E1129" s="231"/>
      <c r="F1129" s="231"/>
      <c r="G1129" s="231"/>
      <c r="H1129" s="235"/>
      <c r="I1129" s="235"/>
      <c r="J1129" s="236"/>
      <c r="K1129" s="236"/>
    </row>
    <row r="1130" spans="1:11">
      <c r="A1130" s="231"/>
      <c r="B1130" s="235"/>
      <c r="C1130" s="231"/>
      <c r="D1130" s="231"/>
      <c r="E1130" s="231"/>
      <c r="F1130" s="231"/>
      <c r="G1130" s="231"/>
      <c r="H1130" s="235"/>
      <c r="I1130" s="235"/>
      <c r="J1130" s="236"/>
      <c r="K1130" s="236"/>
    </row>
    <row r="1131" spans="1:11">
      <c r="A1131" s="231"/>
      <c r="B1131" s="235"/>
      <c r="C1131" s="231"/>
      <c r="D1131" s="231"/>
      <c r="E1131" s="231"/>
      <c r="F1131" s="231"/>
      <c r="G1131" s="231"/>
      <c r="H1131" s="235"/>
      <c r="I1131" s="235"/>
      <c r="J1131" s="236"/>
      <c r="K1131" s="236"/>
    </row>
    <row r="1132" spans="1:11">
      <c r="A1132" s="231"/>
      <c r="B1132" s="235"/>
      <c r="C1132" s="231"/>
      <c r="D1132" s="231"/>
      <c r="E1132" s="231"/>
      <c r="F1132" s="231"/>
      <c r="G1132" s="231"/>
      <c r="H1132" s="235"/>
      <c r="I1132" s="235"/>
      <c r="J1132" s="236"/>
      <c r="K1132" s="236"/>
    </row>
    <row r="1133" spans="1:11">
      <c r="A1133" s="231"/>
      <c r="B1133" s="235"/>
      <c r="C1133" s="231"/>
      <c r="D1133" s="231"/>
      <c r="E1133" s="231"/>
      <c r="F1133" s="231"/>
      <c r="G1133" s="231"/>
      <c r="H1133" s="235"/>
      <c r="I1133" s="235"/>
      <c r="J1133" s="236"/>
      <c r="K1133" s="236"/>
    </row>
    <row r="1134" spans="1:11">
      <c r="A1134" s="231"/>
      <c r="B1134" s="235"/>
      <c r="C1134" s="231"/>
      <c r="D1134" s="231"/>
      <c r="E1134" s="231"/>
      <c r="F1134" s="231"/>
      <c r="G1134" s="231"/>
      <c r="H1134" s="235"/>
      <c r="I1134" s="235"/>
      <c r="J1134" s="236"/>
      <c r="K1134" s="236"/>
    </row>
    <row r="1135" spans="1:11">
      <c r="A1135" s="231"/>
      <c r="B1135" s="235"/>
      <c r="C1135" s="231"/>
      <c r="D1135" s="231"/>
      <c r="E1135" s="231"/>
      <c r="F1135" s="231"/>
      <c r="G1135" s="231"/>
      <c r="H1135" s="235"/>
      <c r="I1135" s="235"/>
      <c r="J1135" s="236"/>
      <c r="K1135" s="236"/>
    </row>
    <row r="1136" spans="1:11">
      <c r="A1136" s="231"/>
      <c r="B1136" s="235"/>
      <c r="C1136" s="231"/>
      <c r="D1136" s="231"/>
      <c r="E1136" s="231"/>
      <c r="F1136" s="231"/>
      <c r="G1136" s="231"/>
      <c r="H1136" s="235"/>
      <c r="I1136" s="235"/>
      <c r="J1136" s="236"/>
      <c r="K1136" s="236"/>
    </row>
    <row r="1137" spans="1:11">
      <c r="A1137" s="231"/>
      <c r="B1137" s="235"/>
      <c r="C1137" s="231"/>
      <c r="D1137" s="231"/>
      <c r="E1137" s="231"/>
      <c r="F1137" s="231"/>
      <c r="G1137" s="231"/>
      <c r="H1137" s="235"/>
      <c r="I1137" s="235"/>
      <c r="J1137" s="236"/>
      <c r="K1137" s="236"/>
    </row>
    <row r="1138" spans="1:11">
      <c r="A1138" s="231"/>
      <c r="B1138" s="235"/>
      <c r="C1138" s="231"/>
      <c r="D1138" s="231"/>
      <c r="E1138" s="231"/>
      <c r="F1138" s="231"/>
      <c r="G1138" s="231"/>
      <c r="H1138" s="235"/>
      <c r="I1138" s="235"/>
      <c r="J1138" s="236"/>
      <c r="K1138" s="236"/>
    </row>
    <row r="1139" spans="1:11">
      <c r="A1139" s="231"/>
      <c r="B1139" s="235"/>
      <c r="C1139" s="231"/>
      <c r="D1139" s="231"/>
      <c r="E1139" s="231"/>
      <c r="F1139" s="231"/>
      <c r="G1139" s="231"/>
      <c r="H1139" s="235"/>
      <c r="I1139" s="235"/>
      <c r="J1139" s="236"/>
      <c r="K1139" s="236"/>
    </row>
    <row r="1140" spans="1:11">
      <c r="A1140" s="231"/>
      <c r="B1140" s="235"/>
      <c r="C1140" s="231"/>
      <c r="D1140" s="231"/>
      <c r="E1140" s="231"/>
      <c r="F1140" s="231"/>
      <c r="G1140" s="231"/>
      <c r="H1140" s="235"/>
      <c r="I1140" s="235"/>
      <c r="J1140" s="236"/>
      <c r="K1140" s="236"/>
    </row>
    <row r="1141" spans="1:11">
      <c r="A1141" s="231"/>
      <c r="B1141" s="235"/>
      <c r="C1141" s="231"/>
      <c r="D1141" s="231"/>
      <c r="E1141" s="231"/>
      <c r="F1141" s="231"/>
      <c r="G1141" s="231"/>
      <c r="H1141" s="235"/>
      <c r="I1141" s="235"/>
      <c r="J1141" s="236"/>
      <c r="K1141" s="236"/>
    </row>
    <row r="1142" spans="1:11">
      <c r="A1142" s="231"/>
      <c r="B1142" s="235"/>
      <c r="C1142" s="231"/>
      <c r="D1142" s="231"/>
      <c r="E1142" s="231"/>
      <c r="F1142" s="231"/>
      <c r="G1142" s="231"/>
      <c r="H1142" s="235"/>
      <c r="I1142" s="235"/>
      <c r="J1142" s="236"/>
      <c r="K1142" s="236"/>
    </row>
    <row r="1143" spans="1:11">
      <c r="A1143" s="231"/>
      <c r="B1143" s="235"/>
      <c r="C1143" s="231"/>
      <c r="D1143" s="231"/>
      <c r="E1143" s="231"/>
      <c r="F1143" s="231"/>
      <c r="G1143" s="231"/>
      <c r="H1143" s="235"/>
      <c r="I1143" s="235"/>
      <c r="J1143" s="236"/>
      <c r="K1143" s="236"/>
    </row>
    <row r="1144" spans="1:11">
      <c r="A1144" s="231"/>
      <c r="B1144" s="235"/>
      <c r="C1144" s="231"/>
      <c r="D1144" s="231"/>
      <c r="E1144" s="231"/>
      <c r="F1144" s="231"/>
      <c r="G1144" s="231"/>
      <c r="H1144" s="235"/>
      <c r="I1144" s="235"/>
      <c r="J1144" s="236"/>
      <c r="K1144" s="236"/>
    </row>
    <row r="1145" spans="1:11">
      <c r="A1145" s="231"/>
      <c r="B1145" s="235"/>
      <c r="C1145" s="231"/>
      <c r="D1145" s="231"/>
      <c r="E1145" s="231"/>
      <c r="F1145" s="231"/>
      <c r="G1145" s="231"/>
      <c r="H1145" s="235"/>
      <c r="I1145" s="235"/>
      <c r="J1145" s="236"/>
      <c r="K1145" s="236"/>
    </row>
    <row r="1146" spans="1:11">
      <c r="A1146" s="231"/>
      <c r="B1146" s="235"/>
      <c r="C1146" s="231"/>
      <c r="D1146" s="231"/>
      <c r="E1146" s="231"/>
      <c r="F1146" s="231"/>
      <c r="G1146" s="231"/>
      <c r="H1146" s="235"/>
      <c r="I1146" s="235"/>
      <c r="J1146" s="236"/>
      <c r="K1146" s="236"/>
    </row>
    <row r="1147" spans="1:11">
      <c r="A1147" s="231"/>
      <c r="B1147" s="235"/>
      <c r="C1147" s="231"/>
      <c r="D1147" s="231"/>
      <c r="E1147" s="231"/>
      <c r="F1147" s="231"/>
      <c r="G1147" s="231"/>
      <c r="H1147" s="235"/>
      <c r="I1147" s="235"/>
      <c r="J1147" s="236"/>
      <c r="K1147" s="236"/>
    </row>
    <row r="1148" spans="1:11">
      <c r="A1148" s="231"/>
      <c r="B1148" s="235"/>
      <c r="C1148" s="231"/>
      <c r="D1148" s="231"/>
      <c r="E1148" s="231"/>
      <c r="F1148" s="231"/>
      <c r="G1148" s="231"/>
      <c r="H1148" s="235"/>
      <c r="I1148" s="235"/>
      <c r="J1148" s="236"/>
      <c r="K1148" s="236"/>
    </row>
    <row r="1149" spans="1:11">
      <c r="A1149" s="231"/>
      <c r="B1149" s="235"/>
      <c r="C1149" s="231"/>
      <c r="D1149" s="231"/>
      <c r="E1149" s="231"/>
      <c r="F1149" s="231"/>
      <c r="G1149" s="231"/>
      <c r="H1149" s="235"/>
      <c r="I1149" s="235"/>
      <c r="J1149" s="236"/>
      <c r="K1149" s="236"/>
    </row>
    <row r="1150" spans="1:11">
      <c r="A1150" s="231"/>
      <c r="B1150" s="235"/>
      <c r="C1150" s="231"/>
      <c r="D1150" s="231"/>
      <c r="E1150" s="231"/>
      <c r="F1150" s="231"/>
      <c r="G1150" s="231"/>
      <c r="H1150" s="235"/>
      <c r="I1150" s="235"/>
      <c r="J1150" s="236"/>
      <c r="K1150" s="236"/>
    </row>
    <row r="1151" spans="1:11">
      <c r="A1151" s="231"/>
      <c r="B1151" s="235"/>
      <c r="C1151" s="231"/>
      <c r="D1151" s="231"/>
      <c r="E1151" s="231"/>
      <c r="F1151" s="231"/>
      <c r="G1151" s="231"/>
      <c r="H1151" s="235"/>
      <c r="I1151" s="235"/>
      <c r="J1151" s="236"/>
      <c r="K1151" s="236"/>
    </row>
    <row r="1152" spans="1:11">
      <c r="A1152" s="231"/>
      <c r="B1152" s="235"/>
      <c r="C1152" s="231"/>
      <c r="D1152" s="231"/>
      <c r="E1152" s="231"/>
      <c r="F1152" s="231"/>
      <c r="G1152" s="231"/>
      <c r="H1152" s="235"/>
      <c r="I1152" s="235"/>
      <c r="J1152" s="236"/>
      <c r="K1152" s="236"/>
    </row>
    <row r="1153" spans="1:11">
      <c r="A1153" s="231"/>
      <c r="B1153" s="235"/>
      <c r="C1153" s="231"/>
      <c r="D1153" s="231"/>
      <c r="E1153" s="231"/>
      <c r="F1153" s="231"/>
      <c r="G1153" s="231"/>
      <c r="H1153" s="235"/>
      <c r="I1153" s="235"/>
      <c r="J1153" s="236"/>
      <c r="K1153" s="236"/>
    </row>
    <row r="1154" spans="1:11">
      <c r="A1154" s="231"/>
      <c r="B1154" s="235"/>
      <c r="C1154" s="231"/>
      <c r="D1154" s="231"/>
      <c r="E1154" s="231"/>
      <c r="F1154" s="231"/>
      <c r="G1154" s="231"/>
      <c r="H1154" s="235"/>
      <c r="I1154" s="235"/>
      <c r="J1154" s="236"/>
      <c r="K1154" s="236"/>
    </row>
    <row r="1155" spans="1:11">
      <c r="A1155" s="231"/>
      <c r="B1155" s="235"/>
      <c r="C1155" s="231"/>
      <c r="D1155" s="231"/>
      <c r="E1155" s="231"/>
      <c r="F1155" s="231"/>
      <c r="G1155" s="231"/>
      <c r="H1155" s="235"/>
      <c r="I1155" s="235"/>
      <c r="J1155" s="236"/>
      <c r="K1155" s="236"/>
    </row>
    <row r="1156" spans="1:11">
      <c r="A1156" s="231"/>
      <c r="B1156" s="235"/>
      <c r="C1156" s="231"/>
      <c r="D1156" s="231"/>
      <c r="E1156" s="231"/>
      <c r="F1156" s="231"/>
      <c r="G1156" s="231"/>
      <c r="H1156" s="235"/>
      <c r="I1156" s="235"/>
      <c r="J1156" s="236"/>
      <c r="K1156" s="236"/>
    </row>
    <row r="1157" spans="1:11">
      <c r="A1157" s="231"/>
      <c r="B1157" s="235"/>
      <c r="C1157" s="231"/>
      <c r="D1157" s="231"/>
      <c r="E1157" s="231"/>
      <c r="F1157" s="231"/>
      <c r="G1157" s="231"/>
      <c r="H1157" s="235"/>
      <c r="I1157" s="235"/>
      <c r="J1157" s="236"/>
      <c r="K1157" s="236"/>
    </row>
    <row r="1158" spans="1:11">
      <c r="A1158" s="231"/>
      <c r="B1158" s="235"/>
      <c r="C1158" s="231"/>
      <c r="D1158" s="231"/>
      <c r="E1158" s="231"/>
      <c r="F1158" s="231"/>
      <c r="G1158" s="231"/>
      <c r="H1158" s="235"/>
      <c r="I1158" s="235"/>
      <c r="J1158" s="236"/>
      <c r="K1158" s="236"/>
    </row>
    <row r="1159" spans="1:11">
      <c r="A1159" s="231"/>
      <c r="B1159" s="235"/>
      <c r="C1159" s="231"/>
      <c r="D1159" s="231"/>
      <c r="E1159" s="231"/>
      <c r="F1159" s="231"/>
      <c r="G1159" s="231"/>
      <c r="H1159" s="235"/>
      <c r="I1159" s="235"/>
      <c r="J1159" s="236"/>
      <c r="K1159" s="236"/>
    </row>
    <row r="1160" spans="1:11">
      <c r="A1160" s="231"/>
      <c r="B1160" s="235"/>
      <c r="C1160" s="231"/>
      <c r="D1160" s="231"/>
      <c r="E1160" s="231"/>
      <c r="F1160" s="231"/>
      <c r="G1160" s="231"/>
      <c r="H1160" s="235"/>
      <c r="I1160" s="235"/>
      <c r="J1160" s="236"/>
      <c r="K1160" s="236"/>
    </row>
    <row r="1161" spans="1:11">
      <c r="A1161" s="231"/>
      <c r="B1161" s="235"/>
      <c r="C1161" s="231"/>
      <c r="D1161" s="231"/>
      <c r="E1161" s="231"/>
      <c r="F1161" s="231"/>
      <c r="G1161" s="231"/>
      <c r="H1161" s="235"/>
      <c r="I1161" s="235"/>
      <c r="J1161" s="236"/>
      <c r="K1161" s="236"/>
    </row>
    <row r="1162" spans="1:11">
      <c r="A1162" s="231"/>
      <c r="B1162" s="235"/>
      <c r="C1162" s="231"/>
      <c r="D1162" s="231"/>
      <c r="E1162" s="231"/>
      <c r="F1162" s="231"/>
      <c r="G1162" s="231"/>
      <c r="H1162" s="235"/>
      <c r="I1162" s="235"/>
      <c r="J1162" s="236"/>
      <c r="K1162" s="236"/>
    </row>
    <row r="1163" spans="1:11">
      <c r="A1163" s="231"/>
      <c r="B1163" s="235"/>
      <c r="C1163" s="231"/>
      <c r="D1163" s="231"/>
      <c r="E1163" s="231"/>
      <c r="F1163" s="231"/>
      <c r="G1163" s="231"/>
      <c r="H1163" s="235"/>
      <c r="I1163" s="235"/>
      <c r="J1163" s="236"/>
      <c r="K1163" s="236"/>
    </row>
    <row r="1164" spans="1:11">
      <c r="A1164" s="231"/>
      <c r="B1164" s="235"/>
      <c r="C1164" s="231"/>
      <c r="D1164" s="231"/>
      <c r="E1164" s="231"/>
      <c r="F1164" s="231"/>
      <c r="G1164" s="231"/>
      <c r="H1164" s="235"/>
      <c r="I1164" s="235"/>
      <c r="J1164" s="236"/>
      <c r="K1164" s="236"/>
    </row>
    <row r="1165" spans="1:11">
      <c r="A1165" s="231"/>
      <c r="B1165" s="235"/>
      <c r="C1165" s="231"/>
      <c r="D1165" s="231"/>
      <c r="E1165" s="231"/>
      <c r="F1165" s="231"/>
      <c r="G1165" s="231"/>
      <c r="H1165" s="235"/>
      <c r="I1165" s="235"/>
      <c r="J1165" s="236"/>
      <c r="K1165" s="236"/>
    </row>
    <row r="1166" spans="1:11">
      <c r="A1166" s="231"/>
      <c r="B1166" s="235"/>
      <c r="C1166" s="231"/>
      <c r="D1166" s="231"/>
      <c r="E1166" s="231"/>
      <c r="F1166" s="231"/>
      <c r="G1166" s="231"/>
      <c r="H1166" s="235"/>
      <c r="I1166" s="235"/>
      <c r="J1166" s="236"/>
      <c r="K1166" s="236"/>
    </row>
    <row r="1167" spans="1:11">
      <c r="A1167" s="231"/>
      <c r="B1167" s="235"/>
      <c r="C1167" s="231"/>
      <c r="D1167" s="231"/>
      <c r="E1167" s="231"/>
      <c r="F1167" s="231"/>
      <c r="G1167" s="231"/>
      <c r="H1167" s="235"/>
      <c r="I1167" s="235"/>
      <c r="J1167" s="236"/>
      <c r="K1167" s="236"/>
    </row>
    <row r="1168" spans="1:11">
      <c r="A1168" s="231"/>
      <c r="B1168" s="235"/>
      <c r="C1168" s="231"/>
      <c r="D1168" s="231"/>
      <c r="E1168" s="231"/>
      <c r="F1168" s="231"/>
      <c r="G1168" s="231"/>
      <c r="H1168" s="235"/>
      <c r="I1168" s="235"/>
      <c r="J1168" s="236"/>
      <c r="K1168" s="236"/>
    </row>
    <row r="1169" spans="1:11">
      <c r="A1169" s="231"/>
      <c r="B1169" s="235"/>
      <c r="C1169" s="231"/>
      <c r="D1169" s="231"/>
      <c r="E1169" s="231"/>
      <c r="F1169" s="231"/>
      <c r="G1169" s="231"/>
      <c r="H1169" s="235"/>
      <c r="I1169" s="235"/>
      <c r="J1169" s="236"/>
      <c r="K1169" s="236"/>
    </row>
    <row r="1170" spans="1:11">
      <c r="A1170" s="231"/>
      <c r="B1170" s="235"/>
      <c r="C1170" s="231"/>
      <c r="D1170" s="231"/>
      <c r="E1170" s="231"/>
      <c r="F1170" s="231"/>
      <c r="G1170" s="231"/>
      <c r="H1170" s="235"/>
      <c r="I1170" s="235"/>
      <c r="J1170" s="236"/>
      <c r="K1170" s="236"/>
    </row>
    <row r="1171" spans="1:11">
      <c r="A1171" s="231"/>
      <c r="B1171" s="235"/>
      <c r="C1171" s="231"/>
      <c r="D1171" s="231"/>
      <c r="E1171" s="231"/>
      <c r="F1171" s="231"/>
      <c r="G1171" s="231"/>
      <c r="H1171" s="235"/>
      <c r="I1171" s="235"/>
      <c r="J1171" s="236"/>
      <c r="K1171" s="236"/>
    </row>
    <row r="1172" spans="1:11">
      <c r="A1172" s="231"/>
      <c r="B1172" s="235"/>
      <c r="C1172" s="231"/>
      <c r="D1172" s="231"/>
      <c r="E1172" s="231"/>
      <c r="F1172" s="231"/>
      <c r="G1172" s="231"/>
      <c r="H1172" s="235"/>
      <c r="I1172" s="235"/>
      <c r="J1172" s="236"/>
      <c r="K1172" s="236"/>
    </row>
    <row r="1173" spans="1:11">
      <c r="A1173" s="231"/>
      <c r="B1173" s="235"/>
      <c r="C1173" s="231"/>
      <c r="D1173" s="231"/>
      <c r="E1173" s="231"/>
      <c r="F1173" s="231"/>
      <c r="G1173" s="231"/>
      <c r="H1173" s="235"/>
      <c r="I1173" s="235"/>
      <c r="J1173" s="236"/>
      <c r="K1173" s="236"/>
    </row>
    <row r="1174" spans="1:11">
      <c r="A1174" s="231"/>
      <c r="B1174" s="235"/>
      <c r="C1174" s="231"/>
      <c r="D1174" s="231"/>
      <c r="E1174" s="231"/>
      <c r="F1174" s="231"/>
      <c r="G1174" s="231"/>
      <c r="H1174" s="235"/>
      <c r="I1174" s="235"/>
      <c r="J1174" s="236"/>
      <c r="K1174" s="236"/>
    </row>
    <row r="1175" spans="1:11">
      <c r="A1175" s="231"/>
      <c r="B1175" s="235"/>
      <c r="C1175" s="231"/>
      <c r="D1175" s="231"/>
      <c r="E1175" s="231"/>
      <c r="F1175" s="231"/>
      <c r="G1175" s="231"/>
      <c r="H1175" s="235"/>
      <c r="I1175" s="235"/>
      <c r="J1175" s="236"/>
      <c r="K1175" s="236"/>
    </row>
    <row r="1176" spans="1:11">
      <c r="A1176" s="231"/>
      <c r="B1176" s="235"/>
      <c r="C1176" s="231"/>
      <c r="D1176" s="231"/>
      <c r="E1176" s="231"/>
      <c r="F1176" s="231"/>
      <c r="G1176" s="231"/>
      <c r="H1176" s="235"/>
      <c r="I1176" s="235"/>
      <c r="J1176" s="236"/>
      <c r="K1176" s="236"/>
    </row>
    <row r="1177" spans="1:11">
      <c r="A1177" s="231"/>
      <c r="B1177" s="235"/>
      <c r="C1177" s="231"/>
      <c r="D1177" s="231"/>
      <c r="E1177" s="231"/>
      <c r="F1177" s="231"/>
      <c r="G1177" s="231"/>
      <c r="H1177" s="235"/>
      <c r="I1177" s="235"/>
      <c r="J1177" s="236"/>
      <c r="K1177" s="236"/>
    </row>
    <row r="1178" spans="1:11">
      <c r="A1178" s="231"/>
      <c r="B1178" s="235"/>
      <c r="C1178" s="231"/>
      <c r="D1178" s="231"/>
      <c r="E1178" s="231"/>
      <c r="F1178" s="231"/>
      <c r="G1178" s="231"/>
      <c r="H1178" s="235"/>
      <c r="I1178" s="235"/>
      <c r="J1178" s="236"/>
      <c r="K1178" s="236"/>
    </row>
    <row r="1179" spans="1:11">
      <c r="A1179" s="231"/>
      <c r="B1179" s="235"/>
      <c r="C1179" s="231"/>
      <c r="D1179" s="231"/>
      <c r="E1179" s="231"/>
      <c r="F1179" s="231"/>
      <c r="G1179" s="231"/>
      <c r="H1179" s="235"/>
      <c r="I1179" s="235"/>
      <c r="J1179" s="236"/>
      <c r="K1179" s="236"/>
    </row>
    <row r="1180" spans="1:11">
      <c r="A1180" s="231"/>
      <c r="B1180" s="235"/>
      <c r="C1180" s="231"/>
      <c r="D1180" s="231"/>
      <c r="E1180" s="231"/>
      <c r="F1180" s="231"/>
      <c r="G1180" s="231"/>
      <c r="H1180" s="235"/>
      <c r="I1180" s="235"/>
      <c r="J1180" s="236"/>
      <c r="K1180" s="236"/>
    </row>
    <row r="1181" spans="1:11">
      <c r="A1181" s="231"/>
      <c r="B1181" s="235"/>
      <c r="C1181" s="231"/>
      <c r="D1181" s="231"/>
      <c r="E1181" s="231"/>
      <c r="F1181" s="231"/>
      <c r="G1181" s="231"/>
      <c r="H1181" s="235"/>
      <c r="I1181" s="235"/>
      <c r="J1181" s="236"/>
      <c r="K1181" s="236"/>
    </row>
    <row r="1182" spans="1:11">
      <c r="A1182" s="231"/>
      <c r="B1182" s="235"/>
      <c r="C1182" s="231"/>
      <c r="D1182" s="231"/>
      <c r="E1182" s="231"/>
      <c r="F1182" s="231"/>
      <c r="G1182" s="231"/>
      <c r="H1182" s="235"/>
      <c r="I1182" s="235"/>
      <c r="J1182" s="236"/>
      <c r="K1182" s="236"/>
    </row>
    <row r="1183" spans="1:11">
      <c r="A1183" s="231"/>
      <c r="B1183" s="235"/>
      <c r="C1183" s="231"/>
      <c r="D1183" s="231"/>
      <c r="E1183" s="231"/>
      <c r="F1183" s="231"/>
      <c r="G1183" s="231"/>
      <c r="H1183" s="235"/>
      <c r="I1183" s="235"/>
      <c r="J1183" s="236"/>
      <c r="K1183" s="236"/>
    </row>
    <row r="1184" spans="1:11">
      <c r="A1184" s="231"/>
      <c r="B1184" s="235"/>
      <c r="C1184" s="231"/>
      <c r="D1184" s="231"/>
      <c r="E1184" s="231"/>
      <c r="F1184" s="231"/>
      <c r="G1184" s="231"/>
      <c r="H1184" s="235"/>
      <c r="I1184" s="235"/>
      <c r="J1184" s="236"/>
      <c r="K1184" s="236"/>
    </row>
    <row r="1185" spans="1:11">
      <c r="A1185" s="231"/>
      <c r="B1185" s="235"/>
      <c r="C1185" s="231"/>
      <c r="D1185" s="231"/>
      <c r="E1185" s="231"/>
      <c r="F1185" s="231"/>
      <c r="G1185" s="231"/>
      <c r="H1185" s="235"/>
      <c r="I1185" s="235"/>
      <c r="J1185" s="236"/>
      <c r="K1185" s="236"/>
    </row>
    <row r="1186" spans="1:11">
      <c r="A1186" s="231"/>
      <c r="B1186" s="235"/>
      <c r="C1186" s="231"/>
      <c r="D1186" s="231"/>
      <c r="E1186" s="231"/>
      <c r="F1186" s="231"/>
      <c r="G1186" s="231"/>
      <c r="H1186" s="235"/>
      <c r="I1186" s="235"/>
      <c r="J1186" s="236"/>
      <c r="K1186" s="236"/>
    </row>
    <row r="1187" spans="1:11">
      <c r="A1187" s="231"/>
      <c r="B1187" s="235"/>
      <c r="C1187" s="231"/>
      <c r="D1187" s="231"/>
      <c r="E1187" s="231"/>
      <c r="F1187" s="231"/>
      <c r="G1187" s="231"/>
      <c r="H1187" s="235"/>
      <c r="I1187" s="235"/>
      <c r="J1187" s="236"/>
      <c r="K1187" s="236"/>
    </row>
    <row r="1188" spans="1:11">
      <c r="A1188" s="231"/>
      <c r="B1188" s="235"/>
      <c r="C1188" s="231"/>
      <c r="D1188" s="231"/>
      <c r="E1188" s="231"/>
      <c r="F1188" s="231"/>
      <c r="G1188" s="231"/>
      <c r="H1188" s="235"/>
      <c r="I1188" s="235"/>
      <c r="J1188" s="236"/>
      <c r="K1188" s="236"/>
    </row>
    <row r="1189" spans="1:11">
      <c r="A1189" s="231"/>
      <c r="B1189" s="235"/>
      <c r="C1189" s="231"/>
      <c r="D1189" s="231"/>
      <c r="E1189" s="231"/>
      <c r="F1189" s="231"/>
      <c r="G1189" s="231"/>
      <c r="H1189" s="235"/>
      <c r="I1189" s="235"/>
      <c r="J1189" s="236"/>
      <c r="K1189" s="236"/>
    </row>
    <row r="1190" spans="1:11">
      <c r="A1190" s="231"/>
      <c r="B1190" s="235"/>
      <c r="C1190" s="231"/>
      <c r="D1190" s="231"/>
      <c r="E1190" s="231"/>
      <c r="F1190" s="231"/>
      <c r="G1190" s="231"/>
      <c r="H1190" s="235"/>
      <c r="I1190" s="235"/>
      <c r="J1190" s="236"/>
      <c r="K1190" s="236"/>
    </row>
    <row r="1191" spans="1:11">
      <c r="A1191" s="231"/>
      <c r="B1191" s="235"/>
      <c r="C1191" s="231"/>
      <c r="D1191" s="231"/>
      <c r="E1191" s="231"/>
      <c r="F1191" s="231"/>
      <c r="G1191" s="231"/>
      <c r="H1191" s="235"/>
      <c r="I1191" s="235"/>
      <c r="J1191" s="236"/>
      <c r="K1191" s="236"/>
    </row>
    <row r="1192" spans="1:11">
      <c r="A1192" s="231"/>
      <c r="B1192" s="235"/>
      <c r="C1192" s="231"/>
      <c r="D1192" s="231"/>
      <c r="E1192" s="231"/>
      <c r="F1192" s="231"/>
      <c r="G1192" s="231"/>
      <c r="H1192" s="235"/>
      <c r="I1192" s="235"/>
      <c r="J1192" s="236"/>
      <c r="K1192" s="236"/>
    </row>
    <row r="1193" spans="1:11">
      <c r="A1193" s="231"/>
      <c r="B1193" s="235"/>
      <c r="C1193" s="231"/>
      <c r="D1193" s="231"/>
      <c r="E1193" s="231"/>
      <c r="F1193" s="231"/>
      <c r="G1193" s="231"/>
      <c r="H1193" s="235"/>
      <c r="I1193" s="235"/>
      <c r="J1193" s="236"/>
      <c r="K1193" s="236"/>
    </row>
    <row r="1194" spans="1:11">
      <c r="A1194" s="231"/>
      <c r="B1194" s="235"/>
      <c r="C1194" s="231"/>
      <c r="D1194" s="231"/>
      <c r="E1194" s="231"/>
      <c r="F1194" s="231"/>
      <c r="G1194" s="231"/>
      <c r="H1194" s="235"/>
      <c r="I1194" s="235"/>
      <c r="J1194" s="236"/>
      <c r="K1194" s="236"/>
    </row>
    <row r="1195" spans="1:11">
      <c r="A1195" s="231"/>
      <c r="B1195" s="235"/>
      <c r="C1195" s="231"/>
      <c r="D1195" s="231"/>
      <c r="E1195" s="231"/>
      <c r="F1195" s="231"/>
      <c r="G1195" s="231"/>
      <c r="H1195" s="235"/>
      <c r="I1195" s="235"/>
      <c r="J1195" s="236"/>
      <c r="K1195" s="236"/>
    </row>
    <row r="1196" spans="1:11">
      <c r="A1196" s="231"/>
      <c r="B1196" s="235"/>
      <c r="C1196" s="231"/>
      <c r="D1196" s="231"/>
      <c r="E1196" s="231"/>
      <c r="F1196" s="231"/>
      <c r="G1196" s="231"/>
      <c r="H1196" s="235"/>
      <c r="I1196" s="235"/>
      <c r="J1196" s="236"/>
      <c r="K1196" s="236"/>
    </row>
    <row r="1197" spans="1:11">
      <c r="A1197" s="231"/>
      <c r="B1197" s="235"/>
      <c r="C1197" s="231"/>
      <c r="D1197" s="231"/>
      <c r="E1197" s="231"/>
      <c r="F1197" s="231"/>
      <c r="G1197" s="231"/>
      <c r="H1197" s="235"/>
      <c r="I1197" s="235"/>
      <c r="J1197" s="236"/>
      <c r="K1197" s="236"/>
    </row>
    <row r="1198" spans="1:11">
      <c r="A1198" s="231"/>
      <c r="B1198" s="235"/>
      <c r="C1198" s="231"/>
      <c r="D1198" s="231"/>
      <c r="E1198" s="231"/>
      <c r="F1198" s="231"/>
      <c r="G1198" s="231"/>
      <c r="H1198" s="235"/>
      <c r="I1198" s="235"/>
      <c r="J1198" s="236"/>
      <c r="K1198" s="236"/>
    </row>
    <row r="1199" spans="1:11">
      <c r="A1199" s="231"/>
      <c r="B1199" s="235"/>
      <c r="C1199" s="231"/>
      <c r="D1199" s="231"/>
      <c r="E1199" s="231"/>
      <c r="F1199" s="231"/>
      <c r="G1199" s="231"/>
      <c r="H1199" s="235"/>
      <c r="I1199" s="235"/>
      <c r="J1199" s="236"/>
      <c r="K1199" s="236"/>
    </row>
    <row r="1200" spans="1:11">
      <c r="A1200" s="231"/>
      <c r="B1200" s="235"/>
      <c r="C1200" s="231"/>
      <c r="D1200" s="231"/>
      <c r="E1200" s="231"/>
      <c r="F1200" s="231"/>
      <c r="G1200" s="231"/>
      <c r="H1200" s="235"/>
      <c r="I1200" s="235"/>
      <c r="J1200" s="236"/>
      <c r="K1200" s="236"/>
    </row>
    <row r="1201" spans="1:11">
      <c r="A1201" s="231"/>
      <c r="B1201" s="235"/>
      <c r="C1201" s="231"/>
      <c r="D1201" s="231"/>
      <c r="E1201" s="231"/>
      <c r="F1201" s="231"/>
      <c r="G1201" s="231"/>
      <c r="H1201" s="235"/>
      <c r="I1201" s="235"/>
      <c r="J1201" s="236"/>
      <c r="K1201" s="236"/>
    </row>
    <row r="1202" spans="1:11">
      <c r="A1202" s="231"/>
      <c r="B1202" s="235"/>
      <c r="C1202" s="231"/>
      <c r="D1202" s="231"/>
      <c r="E1202" s="231"/>
      <c r="F1202" s="231"/>
      <c r="G1202" s="231"/>
      <c r="H1202" s="235"/>
      <c r="I1202" s="235"/>
      <c r="J1202" s="236"/>
      <c r="K1202" s="236"/>
    </row>
    <row r="1203" spans="1:11">
      <c r="A1203" s="231"/>
      <c r="B1203" s="235"/>
      <c r="C1203" s="231"/>
      <c r="D1203" s="231"/>
      <c r="E1203" s="231"/>
      <c r="F1203" s="231"/>
      <c r="G1203" s="231"/>
      <c r="H1203" s="235"/>
      <c r="I1203" s="235"/>
      <c r="J1203" s="236"/>
      <c r="K1203" s="236"/>
    </row>
    <row r="1204" spans="1:11">
      <c r="A1204" s="231"/>
      <c r="B1204" s="235"/>
      <c r="C1204" s="231"/>
      <c r="D1204" s="231"/>
      <c r="E1204" s="231"/>
      <c r="F1204" s="231"/>
      <c r="G1204" s="231"/>
      <c r="H1204" s="235"/>
      <c r="I1204" s="235"/>
      <c r="J1204" s="236"/>
      <c r="K1204" s="236"/>
    </row>
    <row r="1205" spans="1:11">
      <c r="A1205" s="231"/>
      <c r="B1205" s="235"/>
      <c r="C1205" s="231"/>
      <c r="D1205" s="231"/>
      <c r="E1205" s="231"/>
      <c r="F1205" s="231"/>
      <c r="G1205" s="231"/>
      <c r="H1205" s="235"/>
      <c r="I1205" s="235"/>
      <c r="J1205" s="236"/>
      <c r="K1205" s="236"/>
    </row>
    <row r="1206" spans="1:11">
      <c r="A1206" s="231"/>
      <c r="B1206" s="235"/>
      <c r="C1206" s="231"/>
      <c r="D1206" s="231"/>
      <c r="E1206" s="231"/>
      <c r="F1206" s="231"/>
      <c r="G1206" s="231"/>
      <c r="H1206" s="235"/>
      <c r="I1206" s="235"/>
      <c r="J1206" s="236"/>
      <c r="K1206" s="236"/>
    </row>
    <row r="1207" spans="1:11">
      <c r="A1207" s="231"/>
      <c r="B1207" s="235"/>
      <c r="C1207" s="231"/>
      <c r="D1207" s="231"/>
      <c r="E1207" s="231"/>
      <c r="F1207" s="231"/>
      <c r="G1207" s="231"/>
      <c r="H1207" s="235"/>
      <c r="I1207" s="235"/>
      <c r="J1207" s="236"/>
      <c r="K1207" s="236"/>
    </row>
    <row r="1208" spans="1:11">
      <c r="A1208" s="231"/>
      <c r="B1208" s="235"/>
      <c r="C1208" s="231"/>
      <c r="D1208" s="231"/>
      <c r="E1208" s="231"/>
      <c r="F1208" s="231"/>
      <c r="G1208" s="231"/>
      <c r="H1208" s="235"/>
      <c r="I1208" s="235"/>
      <c r="J1208" s="236"/>
      <c r="K1208" s="236"/>
    </row>
    <row r="1209" spans="1:11">
      <c r="A1209" s="231"/>
      <c r="B1209" s="235"/>
      <c r="C1209" s="231"/>
      <c r="D1209" s="231"/>
      <c r="E1209" s="231"/>
      <c r="F1209" s="231"/>
      <c r="G1209" s="231"/>
      <c r="H1209" s="235"/>
      <c r="I1209" s="235"/>
      <c r="J1209" s="236"/>
      <c r="K1209" s="236"/>
    </row>
    <row r="1210" spans="1:11">
      <c r="A1210" s="231"/>
      <c r="B1210" s="235"/>
      <c r="C1210" s="231"/>
      <c r="D1210" s="231"/>
      <c r="E1210" s="231"/>
      <c r="F1210" s="231"/>
      <c r="G1210" s="231"/>
      <c r="H1210" s="235"/>
      <c r="I1210" s="235"/>
      <c r="J1210" s="236"/>
      <c r="K1210" s="236"/>
    </row>
    <row r="1211" spans="1:11">
      <c r="A1211" s="231"/>
      <c r="B1211" s="235"/>
      <c r="C1211" s="231"/>
      <c r="D1211" s="231"/>
      <c r="E1211" s="231"/>
      <c r="F1211" s="231"/>
      <c r="G1211" s="231"/>
      <c r="H1211" s="235"/>
      <c r="I1211" s="235"/>
      <c r="J1211" s="236"/>
      <c r="K1211" s="236"/>
    </row>
    <row r="1212" spans="1:11">
      <c r="A1212" s="231"/>
      <c r="B1212" s="235"/>
      <c r="C1212" s="231"/>
      <c r="D1212" s="231"/>
      <c r="E1212" s="231"/>
      <c r="F1212" s="231"/>
      <c r="G1212" s="231"/>
      <c r="H1212" s="235"/>
      <c r="I1212" s="235"/>
      <c r="J1212" s="236"/>
      <c r="K1212" s="236"/>
    </row>
    <row r="1213" spans="1:11">
      <c r="A1213" s="231"/>
      <c r="B1213" s="235"/>
      <c r="C1213" s="231"/>
      <c r="D1213" s="231"/>
      <c r="E1213" s="231"/>
      <c r="F1213" s="231"/>
      <c r="G1213" s="231"/>
      <c r="H1213" s="235"/>
      <c r="I1213" s="235"/>
      <c r="J1213" s="236"/>
      <c r="K1213" s="236"/>
    </row>
    <row r="1214" spans="1:11">
      <c r="A1214" s="231"/>
      <c r="B1214" s="235"/>
      <c r="C1214" s="231"/>
      <c r="D1214" s="231"/>
      <c r="E1214" s="231"/>
      <c r="F1214" s="231"/>
      <c r="G1214" s="231"/>
      <c r="H1214" s="235"/>
      <c r="I1214" s="235"/>
      <c r="J1214" s="236"/>
      <c r="K1214" s="236"/>
    </row>
    <row r="1215" spans="1:11">
      <c r="A1215" s="231"/>
      <c r="B1215" s="235"/>
      <c r="C1215" s="231"/>
      <c r="D1215" s="231"/>
      <c r="E1215" s="231"/>
      <c r="F1215" s="231"/>
      <c r="G1215" s="231"/>
      <c r="H1215" s="235"/>
      <c r="I1215" s="235"/>
      <c r="J1215" s="236"/>
      <c r="K1215" s="236"/>
    </row>
    <row r="1216" spans="1:11">
      <c r="A1216" s="231"/>
      <c r="B1216" s="235"/>
      <c r="C1216" s="231"/>
      <c r="D1216" s="231"/>
      <c r="E1216" s="231"/>
      <c r="F1216" s="231"/>
      <c r="G1216" s="231"/>
      <c r="H1216" s="235"/>
      <c r="I1216" s="235"/>
      <c r="J1216" s="236"/>
      <c r="K1216" s="236"/>
    </row>
    <row r="1217" spans="1:11">
      <c r="A1217" s="231"/>
      <c r="B1217" s="235"/>
      <c r="C1217" s="231"/>
      <c r="D1217" s="231"/>
      <c r="E1217" s="231"/>
      <c r="F1217" s="231"/>
      <c r="G1217" s="231"/>
      <c r="H1217" s="235"/>
      <c r="I1217" s="235"/>
      <c r="J1217" s="236"/>
      <c r="K1217" s="236"/>
    </row>
    <row r="1218" spans="1:11">
      <c r="A1218" s="231"/>
      <c r="B1218" s="235"/>
      <c r="C1218" s="231"/>
      <c r="D1218" s="231"/>
      <c r="E1218" s="231"/>
      <c r="F1218" s="231"/>
      <c r="G1218" s="231"/>
      <c r="H1218" s="235"/>
      <c r="I1218" s="235"/>
      <c r="J1218" s="236"/>
      <c r="K1218" s="236"/>
    </row>
    <row r="1219" spans="1:11">
      <c r="A1219" s="231"/>
      <c r="B1219" s="235"/>
      <c r="C1219" s="231"/>
      <c r="D1219" s="231"/>
      <c r="E1219" s="231"/>
      <c r="F1219" s="231"/>
      <c r="G1219" s="231"/>
      <c r="H1219" s="235"/>
      <c r="I1219" s="235"/>
      <c r="J1219" s="236"/>
      <c r="K1219" s="236"/>
    </row>
    <row r="1220" spans="1:11">
      <c r="A1220" s="231"/>
      <c r="B1220" s="235"/>
      <c r="C1220" s="231"/>
      <c r="D1220" s="231"/>
      <c r="E1220" s="231"/>
      <c r="F1220" s="231"/>
      <c r="G1220" s="231"/>
      <c r="H1220" s="235"/>
      <c r="I1220" s="235"/>
      <c r="J1220" s="236"/>
      <c r="K1220" s="236"/>
    </row>
    <row r="1221" spans="1:11">
      <c r="A1221" s="231"/>
      <c r="B1221" s="235"/>
      <c r="C1221" s="231"/>
      <c r="D1221" s="231"/>
      <c r="E1221" s="231"/>
      <c r="F1221" s="231"/>
      <c r="G1221" s="231"/>
      <c r="H1221" s="235"/>
      <c r="I1221" s="235"/>
      <c r="J1221" s="236"/>
      <c r="K1221" s="236"/>
    </row>
    <row r="1222" spans="1:11">
      <c r="A1222" s="231"/>
      <c r="B1222" s="235"/>
      <c r="C1222" s="231"/>
      <c r="D1222" s="231"/>
      <c r="E1222" s="231"/>
      <c r="F1222" s="231"/>
      <c r="G1222" s="231"/>
      <c r="H1222" s="235"/>
      <c r="I1222" s="235"/>
      <c r="J1222" s="236"/>
      <c r="K1222" s="236"/>
    </row>
    <row r="1223" spans="1:11">
      <c r="A1223" s="231"/>
      <c r="B1223" s="235"/>
      <c r="C1223" s="231"/>
      <c r="D1223" s="231"/>
      <c r="E1223" s="231"/>
      <c r="F1223" s="231"/>
      <c r="G1223" s="231"/>
      <c r="H1223" s="235"/>
      <c r="I1223" s="235"/>
      <c r="J1223" s="236"/>
      <c r="K1223" s="236"/>
    </row>
    <row r="1224" spans="1:11">
      <c r="A1224" s="231"/>
      <c r="B1224" s="235"/>
      <c r="C1224" s="231"/>
      <c r="D1224" s="231"/>
      <c r="E1224" s="231"/>
      <c r="F1224" s="231"/>
      <c r="G1224" s="231"/>
      <c r="H1224" s="235"/>
      <c r="I1224" s="235"/>
      <c r="J1224" s="236"/>
      <c r="K1224" s="236"/>
    </row>
    <row r="1225" spans="1:11">
      <c r="A1225" s="231"/>
      <c r="B1225" s="235"/>
      <c r="C1225" s="231"/>
      <c r="D1225" s="231"/>
      <c r="E1225" s="231"/>
      <c r="F1225" s="231"/>
      <c r="G1225" s="231"/>
      <c r="H1225" s="235"/>
      <c r="I1225" s="235"/>
      <c r="J1225" s="236"/>
      <c r="K1225" s="236"/>
    </row>
    <row r="1226" spans="1:11">
      <c r="A1226" s="231"/>
      <c r="B1226" s="235"/>
      <c r="C1226" s="231"/>
      <c r="D1226" s="231"/>
      <c r="E1226" s="231"/>
      <c r="F1226" s="231"/>
      <c r="G1226" s="231"/>
      <c r="H1226" s="235"/>
      <c r="I1226" s="235"/>
      <c r="J1226" s="236"/>
      <c r="K1226" s="236"/>
    </row>
    <row r="1227" spans="1:11">
      <c r="A1227" s="231"/>
      <c r="B1227" s="235"/>
      <c r="C1227" s="231"/>
      <c r="D1227" s="231"/>
      <c r="E1227" s="231"/>
      <c r="F1227" s="231"/>
      <c r="G1227" s="231"/>
      <c r="H1227" s="235"/>
      <c r="I1227" s="235"/>
      <c r="J1227" s="236"/>
      <c r="K1227" s="236"/>
    </row>
    <row r="1228" spans="1:11">
      <c r="A1228" s="231"/>
      <c r="B1228" s="235"/>
      <c r="C1228" s="231"/>
      <c r="D1228" s="231"/>
      <c r="E1228" s="231"/>
      <c r="F1228" s="231"/>
      <c r="G1228" s="231"/>
      <c r="H1228" s="235"/>
      <c r="I1228" s="235"/>
      <c r="J1228" s="236"/>
      <c r="K1228" s="236"/>
    </row>
    <row r="1229" spans="1:11">
      <c r="A1229" s="231"/>
      <c r="B1229" s="235"/>
      <c r="C1229" s="231"/>
      <c r="D1229" s="231"/>
      <c r="E1229" s="231"/>
      <c r="F1229" s="231"/>
      <c r="G1229" s="231"/>
      <c r="H1229" s="235"/>
      <c r="I1229" s="235"/>
      <c r="J1229" s="236"/>
      <c r="K1229" s="236"/>
    </row>
    <row r="1230" spans="1:11">
      <c r="A1230" s="231"/>
      <c r="B1230" s="235"/>
      <c r="C1230" s="231"/>
      <c r="D1230" s="231"/>
      <c r="E1230" s="231"/>
      <c r="F1230" s="231"/>
      <c r="G1230" s="231"/>
      <c r="H1230" s="235"/>
      <c r="I1230" s="235"/>
      <c r="J1230" s="236"/>
      <c r="K1230" s="236"/>
    </row>
    <row r="1231" spans="1:11">
      <c r="A1231" s="231"/>
      <c r="B1231" s="235"/>
      <c r="C1231" s="231"/>
      <c r="D1231" s="231"/>
      <c r="E1231" s="231"/>
      <c r="F1231" s="231"/>
      <c r="G1231" s="231"/>
      <c r="H1231" s="235"/>
      <c r="I1231" s="235"/>
      <c r="J1231" s="236"/>
      <c r="K1231" s="236"/>
    </row>
    <row r="1232" spans="1:11">
      <c r="A1232" s="231"/>
      <c r="B1232" s="235"/>
      <c r="C1232" s="231"/>
      <c r="D1232" s="231"/>
      <c r="E1232" s="231"/>
      <c r="F1232" s="231"/>
      <c r="G1232" s="231"/>
      <c r="H1232" s="235"/>
      <c r="I1232" s="235"/>
      <c r="J1232" s="236"/>
      <c r="K1232" s="236"/>
    </row>
    <row r="1233" spans="1:11">
      <c r="A1233" s="231"/>
      <c r="B1233" s="235"/>
      <c r="C1233" s="231"/>
      <c r="D1233" s="231"/>
      <c r="E1233" s="231"/>
      <c r="F1233" s="231"/>
      <c r="G1233" s="231"/>
      <c r="H1233" s="235"/>
      <c r="I1233" s="235"/>
      <c r="J1233" s="236"/>
      <c r="K1233" s="236"/>
    </row>
    <row r="1234" spans="1:11">
      <c r="A1234" s="231"/>
      <c r="B1234" s="235"/>
      <c r="C1234" s="231"/>
      <c r="D1234" s="231"/>
      <c r="E1234" s="231"/>
      <c r="F1234" s="231"/>
      <c r="G1234" s="231"/>
      <c r="H1234" s="235"/>
      <c r="I1234" s="235"/>
      <c r="J1234" s="236"/>
      <c r="K1234" s="236"/>
    </row>
    <row r="1235" spans="1:11">
      <c r="A1235" s="231"/>
      <c r="B1235" s="235"/>
      <c r="C1235" s="231"/>
      <c r="D1235" s="231"/>
      <c r="E1235" s="231"/>
      <c r="F1235" s="231"/>
      <c r="G1235" s="231"/>
      <c r="H1235" s="235"/>
      <c r="I1235" s="235"/>
      <c r="J1235" s="236"/>
      <c r="K1235" s="236"/>
    </row>
    <row r="1236" spans="1:11">
      <c r="A1236" s="231"/>
      <c r="B1236" s="235"/>
      <c r="C1236" s="231"/>
      <c r="D1236" s="231"/>
      <c r="E1236" s="231"/>
      <c r="F1236" s="231"/>
      <c r="G1236" s="231"/>
      <c r="H1236" s="235"/>
      <c r="I1236" s="235"/>
      <c r="J1236" s="236"/>
      <c r="K1236" s="236"/>
    </row>
    <row r="1237" spans="1:11">
      <c r="A1237" s="231"/>
      <c r="B1237" s="235"/>
      <c r="C1237" s="231"/>
      <c r="D1237" s="231"/>
      <c r="E1237" s="231"/>
      <c r="F1237" s="231"/>
      <c r="G1237" s="231"/>
      <c r="H1237" s="235"/>
      <c r="I1237" s="235"/>
      <c r="J1237" s="236"/>
      <c r="K1237" s="236"/>
    </row>
    <row r="1238" spans="1:11">
      <c r="A1238" s="231"/>
      <c r="B1238" s="235"/>
      <c r="C1238" s="231"/>
      <c r="D1238" s="231"/>
      <c r="E1238" s="231"/>
      <c r="F1238" s="231"/>
      <c r="G1238" s="231"/>
      <c r="H1238" s="235"/>
      <c r="I1238" s="235"/>
      <c r="J1238" s="236"/>
      <c r="K1238" s="236"/>
    </row>
    <row r="1239" spans="1:11">
      <c r="A1239" s="231"/>
      <c r="B1239" s="235"/>
      <c r="C1239" s="231"/>
      <c r="D1239" s="231"/>
      <c r="E1239" s="231"/>
      <c r="F1239" s="231"/>
      <c r="G1239" s="231"/>
      <c r="H1239" s="235"/>
      <c r="I1239" s="235"/>
      <c r="J1239" s="236"/>
      <c r="K1239" s="236"/>
    </row>
    <row r="1240" spans="1:11">
      <c r="A1240" s="231"/>
      <c r="B1240" s="235"/>
      <c r="C1240" s="231"/>
      <c r="D1240" s="231"/>
      <c r="E1240" s="231"/>
      <c r="F1240" s="231"/>
      <c r="G1240" s="231"/>
      <c r="H1240" s="235"/>
      <c r="I1240" s="235"/>
      <c r="J1240" s="236"/>
      <c r="K1240" s="236"/>
    </row>
    <row r="1241" spans="1:11">
      <c r="A1241" s="231"/>
      <c r="B1241" s="235"/>
      <c r="C1241" s="231"/>
      <c r="D1241" s="231"/>
      <c r="E1241" s="231"/>
      <c r="F1241" s="231"/>
      <c r="G1241" s="231"/>
      <c r="H1241" s="235"/>
      <c r="I1241" s="235"/>
      <c r="J1241" s="236"/>
      <c r="K1241" s="236"/>
    </row>
    <row r="1242" spans="1:11">
      <c r="A1242" s="231"/>
      <c r="B1242" s="235"/>
      <c r="C1242" s="231"/>
      <c r="D1242" s="231"/>
      <c r="E1242" s="231"/>
      <c r="F1242" s="231"/>
      <c r="G1242" s="231"/>
      <c r="H1242" s="235"/>
      <c r="I1242" s="235"/>
      <c r="J1242" s="236"/>
      <c r="K1242" s="236"/>
    </row>
    <row r="1243" spans="1:11">
      <c r="A1243" s="231"/>
      <c r="B1243" s="235"/>
      <c r="C1243" s="231"/>
      <c r="D1243" s="231"/>
      <c r="E1243" s="231"/>
      <c r="F1243" s="231"/>
      <c r="G1243" s="231"/>
      <c r="H1243" s="235"/>
      <c r="I1243" s="235"/>
      <c r="J1243" s="236"/>
      <c r="K1243" s="236"/>
    </row>
    <row r="1244" spans="1:11">
      <c r="A1244" s="231"/>
      <c r="B1244" s="235"/>
      <c r="C1244" s="231"/>
      <c r="D1244" s="231"/>
      <c r="E1244" s="231"/>
      <c r="F1244" s="231"/>
      <c r="G1244" s="231"/>
      <c r="H1244" s="235"/>
      <c r="I1244" s="235"/>
      <c r="J1244" s="236"/>
      <c r="K1244" s="236"/>
    </row>
    <row r="1245" spans="1:11">
      <c r="A1245" s="231"/>
      <c r="B1245" s="235"/>
      <c r="C1245" s="231"/>
      <c r="D1245" s="231"/>
      <c r="E1245" s="231"/>
      <c r="F1245" s="231"/>
      <c r="G1245" s="231"/>
      <c r="H1245" s="235"/>
      <c r="I1245" s="235"/>
      <c r="J1245" s="236"/>
      <c r="K1245" s="236"/>
    </row>
    <row r="1246" spans="1:11">
      <c r="A1246" s="231"/>
      <c r="B1246" s="235"/>
      <c r="C1246" s="231"/>
      <c r="D1246" s="231"/>
      <c r="E1246" s="231"/>
      <c r="F1246" s="231"/>
      <c r="G1246" s="231"/>
      <c r="H1246" s="235"/>
      <c r="I1246" s="235"/>
      <c r="J1246" s="236"/>
      <c r="K1246" s="236"/>
    </row>
    <row r="1247" spans="1:11">
      <c r="A1247" s="231"/>
      <c r="B1247" s="235"/>
      <c r="C1247" s="231"/>
      <c r="D1247" s="231"/>
      <c r="E1247" s="231"/>
      <c r="F1247" s="231"/>
      <c r="G1247" s="231"/>
      <c r="H1247" s="235"/>
      <c r="I1247" s="235"/>
      <c r="J1247" s="236"/>
      <c r="K1247" s="236"/>
    </row>
    <row r="1248" spans="1:11">
      <c r="A1248" s="231"/>
      <c r="B1248" s="235"/>
      <c r="C1248" s="231"/>
      <c r="D1248" s="231"/>
      <c r="E1248" s="231"/>
      <c r="F1248" s="231"/>
      <c r="G1248" s="231"/>
      <c r="H1248" s="235"/>
      <c r="I1248" s="235"/>
      <c r="J1248" s="236"/>
      <c r="K1248" s="236"/>
    </row>
    <row r="1249" spans="1:11">
      <c r="A1249" s="231"/>
      <c r="B1249" s="235"/>
      <c r="C1249" s="231"/>
      <c r="D1249" s="231"/>
      <c r="E1249" s="231"/>
      <c r="F1249" s="231"/>
      <c r="G1249" s="231"/>
      <c r="H1249" s="235"/>
      <c r="I1249" s="235"/>
      <c r="J1249" s="236"/>
      <c r="K1249" s="236"/>
    </row>
    <row r="1250" spans="1:11">
      <c r="A1250" s="231"/>
      <c r="B1250" s="235"/>
      <c r="C1250" s="231"/>
      <c r="D1250" s="231"/>
      <c r="E1250" s="231"/>
      <c r="F1250" s="231"/>
      <c r="G1250" s="231"/>
      <c r="H1250" s="235"/>
      <c r="I1250" s="235"/>
      <c r="J1250" s="236"/>
      <c r="K1250" s="236"/>
    </row>
    <row r="1251" spans="1:11">
      <c r="A1251" s="231"/>
      <c r="B1251" s="235"/>
      <c r="C1251" s="231"/>
      <c r="D1251" s="231"/>
      <c r="E1251" s="231"/>
      <c r="F1251" s="231"/>
      <c r="G1251" s="231"/>
      <c r="H1251" s="235"/>
      <c r="I1251" s="235"/>
      <c r="J1251" s="236"/>
      <c r="K1251" s="236"/>
    </row>
    <row r="1252" spans="1:11">
      <c r="A1252" s="231"/>
      <c r="B1252" s="235"/>
      <c r="C1252" s="231"/>
      <c r="D1252" s="231"/>
      <c r="E1252" s="231"/>
      <c r="F1252" s="231"/>
      <c r="G1252" s="231"/>
      <c r="H1252" s="235"/>
      <c r="I1252" s="235"/>
      <c r="J1252" s="236"/>
      <c r="K1252" s="236"/>
    </row>
    <row r="1253" spans="1:11">
      <c r="A1253" s="231"/>
      <c r="B1253" s="235"/>
      <c r="C1253" s="231"/>
      <c r="D1253" s="231"/>
      <c r="E1253" s="231"/>
      <c r="F1253" s="231"/>
      <c r="G1253" s="231"/>
      <c r="H1253" s="235"/>
      <c r="I1253" s="235"/>
      <c r="J1253" s="236"/>
      <c r="K1253" s="236"/>
    </row>
    <row r="1254" spans="1:11">
      <c r="A1254" s="231"/>
      <c r="B1254" s="235"/>
      <c r="C1254" s="231"/>
      <c r="D1254" s="231"/>
      <c r="E1254" s="231"/>
      <c r="F1254" s="231"/>
      <c r="G1254" s="231"/>
      <c r="H1254" s="235"/>
      <c r="I1254" s="235"/>
      <c r="J1254" s="236"/>
      <c r="K1254" s="236"/>
    </row>
    <row r="1255" spans="1:11">
      <c r="A1255" s="231"/>
      <c r="B1255" s="235"/>
      <c r="C1255" s="231"/>
      <c r="D1255" s="231"/>
      <c r="E1255" s="231"/>
      <c r="F1255" s="231"/>
      <c r="G1255" s="231"/>
      <c r="H1255" s="235"/>
      <c r="I1255" s="235"/>
      <c r="J1255" s="236"/>
      <c r="K1255" s="236"/>
    </row>
    <row r="1256" spans="1:11">
      <c r="A1256" s="231"/>
      <c r="B1256" s="235"/>
      <c r="C1256" s="231"/>
      <c r="D1256" s="231"/>
      <c r="E1256" s="231"/>
      <c r="F1256" s="231"/>
      <c r="G1256" s="231"/>
      <c r="H1256" s="235"/>
      <c r="I1256" s="235"/>
      <c r="J1256" s="236"/>
      <c r="K1256" s="236"/>
    </row>
    <row r="1257" spans="1:11">
      <c r="A1257" s="231"/>
      <c r="B1257" s="235"/>
      <c r="C1257" s="231"/>
      <c r="D1257" s="231"/>
      <c r="E1257" s="231"/>
      <c r="F1257" s="231"/>
      <c r="G1257" s="231"/>
      <c r="H1257" s="235"/>
      <c r="I1257" s="235"/>
      <c r="J1257" s="236"/>
      <c r="K1257" s="236"/>
    </row>
    <row r="1258" spans="1:11">
      <c r="A1258" s="231"/>
      <c r="B1258" s="235"/>
      <c r="C1258" s="231"/>
      <c r="D1258" s="231"/>
      <c r="E1258" s="231"/>
      <c r="F1258" s="231"/>
      <c r="G1258" s="231"/>
      <c r="H1258" s="235"/>
      <c r="I1258" s="235"/>
      <c r="J1258" s="236"/>
      <c r="K1258" s="236"/>
    </row>
    <row r="1259" spans="1:11">
      <c r="A1259" s="231"/>
      <c r="B1259" s="235"/>
      <c r="C1259" s="231"/>
      <c r="D1259" s="231"/>
      <c r="E1259" s="231"/>
      <c r="F1259" s="231"/>
      <c r="G1259" s="231"/>
      <c r="H1259" s="235"/>
      <c r="I1259" s="235"/>
      <c r="J1259" s="236"/>
      <c r="K1259" s="236"/>
    </row>
    <row r="1260" spans="1:11">
      <c r="A1260" s="231"/>
      <c r="B1260" s="235"/>
      <c r="C1260" s="231"/>
      <c r="D1260" s="231"/>
      <c r="E1260" s="231"/>
      <c r="F1260" s="231"/>
      <c r="G1260" s="231"/>
      <c r="H1260" s="235"/>
      <c r="I1260" s="235"/>
      <c r="J1260" s="236"/>
      <c r="K1260" s="236"/>
    </row>
    <row r="1261" spans="1:11">
      <c r="A1261" s="231"/>
      <c r="B1261" s="235"/>
      <c r="C1261" s="231"/>
      <c r="D1261" s="231"/>
      <c r="E1261" s="231"/>
      <c r="F1261" s="231"/>
      <c r="G1261" s="231"/>
      <c r="H1261" s="235"/>
      <c r="I1261" s="235"/>
      <c r="J1261" s="236"/>
      <c r="K1261" s="236"/>
    </row>
    <row r="1262" spans="1:11">
      <c r="A1262" s="231"/>
      <c r="B1262" s="235"/>
      <c r="C1262" s="231"/>
      <c r="D1262" s="231"/>
      <c r="E1262" s="231"/>
      <c r="F1262" s="231"/>
      <c r="G1262" s="231"/>
      <c r="H1262" s="235"/>
      <c r="I1262" s="235"/>
      <c r="J1262" s="236"/>
      <c r="K1262" s="236"/>
    </row>
    <row r="1263" spans="1:11">
      <c r="A1263" s="231"/>
      <c r="B1263" s="235"/>
      <c r="C1263" s="231"/>
      <c r="D1263" s="231"/>
      <c r="E1263" s="231"/>
      <c r="F1263" s="231"/>
      <c r="G1263" s="231"/>
      <c r="H1263" s="235"/>
      <c r="I1263" s="235"/>
      <c r="J1263" s="236"/>
      <c r="K1263" s="236"/>
    </row>
    <row r="1264" spans="1:11">
      <c r="A1264" s="231"/>
      <c r="B1264" s="235"/>
      <c r="C1264" s="231"/>
      <c r="D1264" s="231"/>
      <c r="E1264" s="231"/>
      <c r="F1264" s="231"/>
      <c r="G1264" s="231"/>
      <c r="H1264" s="235"/>
      <c r="I1264" s="235"/>
      <c r="J1264" s="236"/>
      <c r="K1264" s="236"/>
    </row>
    <row r="1265" spans="1:11">
      <c r="A1265" s="231"/>
      <c r="B1265" s="235"/>
      <c r="C1265" s="231"/>
      <c r="D1265" s="231"/>
      <c r="E1265" s="231"/>
      <c r="F1265" s="231"/>
      <c r="G1265" s="231"/>
      <c r="H1265" s="235"/>
      <c r="I1265" s="235"/>
      <c r="J1265" s="236"/>
      <c r="K1265" s="236"/>
    </row>
    <row r="1266" spans="1:11">
      <c r="A1266" s="231"/>
      <c r="B1266" s="235"/>
      <c r="C1266" s="231"/>
      <c r="D1266" s="231"/>
      <c r="E1266" s="231"/>
      <c r="F1266" s="231"/>
      <c r="G1266" s="231"/>
      <c r="H1266" s="235"/>
      <c r="I1266" s="235"/>
      <c r="J1266" s="236"/>
      <c r="K1266" s="236"/>
    </row>
    <row r="1267" spans="1:11">
      <c r="A1267" s="231"/>
      <c r="B1267" s="235"/>
      <c r="C1267" s="231"/>
      <c r="D1267" s="231"/>
      <c r="E1267" s="231"/>
      <c r="F1267" s="231"/>
      <c r="G1267" s="231"/>
      <c r="H1267" s="235"/>
      <c r="I1267" s="235"/>
      <c r="J1267" s="236"/>
      <c r="K1267" s="236"/>
    </row>
    <row r="1268" spans="1:11">
      <c r="A1268" s="231"/>
      <c r="B1268" s="235"/>
      <c r="C1268" s="231"/>
      <c r="D1268" s="231"/>
      <c r="E1268" s="231"/>
      <c r="F1268" s="231"/>
      <c r="G1268" s="231"/>
      <c r="H1268" s="235"/>
      <c r="I1268" s="235"/>
      <c r="J1268" s="236"/>
      <c r="K1268" s="236"/>
    </row>
    <row r="1269" spans="1:11">
      <c r="A1269" s="231"/>
      <c r="B1269" s="235"/>
      <c r="C1269" s="231"/>
      <c r="D1269" s="231"/>
      <c r="E1269" s="231"/>
      <c r="F1269" s="231"/>
      <c r="G1269" s="231"/>
      <c r="H1269" s="235"/>
      <c r="I1269" s="235"/>
      <c r="J1269" s="236"/>
      <c r="K1269" s="236"/>
    </row>
    <row r="1270" spans="1:11">
      <c r="A1270" s="231"/>
      <c r="B1270" s="235"/>
      <c r="C1270" s="231"/>
      <c r="D1270" s="231"/>
      <c r="E1270" s="231"/>
      <c r="F1270" s="231"/>
      <c r="G1270" s="231"/>
      <c r="H1270" s="235"/>
      <c r="I1270" s="235"/>
      <c r="J1270" s="236"/>
      <c r="K1270" s="236"/>
    </row>
    <row r="1271" spans="1:11">
      <c r="A1271" s="231"/>
      <c r="B1271" s="235"/>
      <c r="C1271" s="231"/>
      <c r="D1271" s="231"/>
      <c r="E1271" s="231"/>
      <c r="F1271" s="231"/>
      <c r="G1271" s="231"/>
      <c r="H1271" s="235"/>
      <c r="I1271" s="235"/>
      <c r="J1271" s="236"/>
      <c r="K1271" s="236"/>
    </row>
    <row r="1272" spans="1:11">
      <c r="A1272" s="231"/>
      <c r="B1272" s="235"/>
      <c r="C1272" s="231"/>
      <c r="D1272" s="231"/>
      <c r="E1272" s="231"/>
      <c r="F1272" s="231"/>
      <c r="G1272" s="231"/>
      <c r="H1272" s="235"/>
      <c r="I1272" s="235"/>
      <c r="J1272" s="236"/>
      <c r="K1272" s="236"/>
    </row>
    <row r="1273" spans="1:11">
      <c r="A1273" s="231"/>
      <c r="B1273" s="235"/>
      <c r="C1273" s="231"/>
      <c r="D1273" s="231"/>
      <c r="E1273" s="231"/>
      <c r="F1273" s="231"/>
      <c r="G1273" s="231"/>
      <c r="H1273" s="235"/>
      <c r="I1273" s="235"/>
      <c r="J1273" s="236"/>
      <c r="K1273" s="236"/>
    </row>
    <row r="1274" spans="1:11">
      <c r="A1274" s="231"/>
      <c r="B1274" s="235"/>
      <c r="C1274" s="231"/>
      <c r="D1274" s="231"/>
      <c r="E1274" s="231"/>
      <c r="F1274" s="231"/>
      <c r="G1274" s="231"/>
      <c r="H1274" s="235"/>
      <c r="I1274" s="235"/>
      <c r="J1274" s="236"/>
      <c r="K1274" s="236"/>
    </row>
    <row r="1275" spans="1:11">
      <c r="A1275" s="231"/>
      <c r="B1275" s="235"/>
      <c r="C1275" s="231"/>
      <c r="D1275" s="231"/>
      <c r="E1275" s="231"/>
      <c r="F1275" s="231"/>
      <c r="G1275" s="231"/>
      <c r="H1275" s="235"/>
      <c r="I1275" s="235"/>
      <c r="J1275" s="236"/>
      <c r="K1275" s="236"/>
    </row>
    <row r="1276" spans="1:11">
      <c r="A1276" s="231"/>
      <c r="B1276" s="235"/>
      <c r="C1276" s="231"/>
      <c r="D1276" s="231"/>
      <c r="E1276" s="231"/>
      <c r="F1276" s="231"/>
      <c r="G1276" s="231"/>
      <c r="H1276" s="235"/>
      <c r="I1276" s="235"/>
      <c r="J1276" s="236"/>
      <c r="K1276" s="236"/>
    </row>
    <row r="1277" spans="1:11">
      <c r="A1277" s="231"/>
      <c r="B1277" s="235"/>
      <c r="C1277" s="231"/>
      <c r="D1277" s="231"/>
      <c r="E1277" s="231"/>
      <c r="F1277" s="231"/>
      <c r="G1277" s="231"/>
      <c r="H1277" s="235"/>
      <c r="I1277" s="235"/>
      <c r="J1277" s="236"/>
      <c r="K1277" s="236"/>
    </row>
    <row r="1278" spans="1:11">
      <c r="A1278" s="231"/>
      <c r="B1278" s="235"/>
      <c r="C1278" s="231"/>
      <c r="D1278" s="231"/>
      <c r="E1278" s="231"/>
      <c r="F1278" s="231"/>
      <c r="G1278" s="231"/>
      <c r="H1278" s="235"/>
      <c r="I1278" s="235"/>
      <c r="J1278" s="236"/>
      <c r="K1278" s="236"/>
    </row>
    <row r="1279" spans="1:11">
      <c r="A1279" s="231"/>
      <c r="B1279" s="235"/>
      <c r="C1279" s="231"/>
      <c r="D1279" s="231"/>
      <c r="E1279" s="231"/>
      <c r="F1279" s="231"/>
      <c r="G1279" s="231"/>
      <c r="H1279" s="235"/>
      <c r="I1279" s="235"/>
      <c r="J1279" s="236"/>
      <c r="K1279" s="236"/>
    </row>
    <row r="1280" spans="1:11">
      <c r="A1280" s="231"/>
      <c r="B1280" s="235"/>
      <c r="C1280" s="231"/>
      <c r="D1280" s="231"/>
      <c r="E1280" s="231"/>
      <c r="F1280" s="231"/>
      <c r="G1280" s="231"/>
      <c r="H1280" s="235"/>
      <c r="I1280" s="235"/>
      <c r="J1280" s="236"/>
      <c r="K1280" s="236"/>
    </row>
    <row r="1281" spans="1:11">
      <c r="A1281" s="231"/>
      <c r="B1281" s="235"/>
      <c r="C1281" s="231"/>
      <c r="D1281" s="231"/>
      <c r="E1281" s="231"/>
      <c r="F1281" s="231"/>
      <c r="G1281" s="231"/>
      <c r="H1281" s="235"/>
      <c r="I1281" s="235"/>
      <c r="J1281" s="236"/>
      <c r="K1281" s="236"/>
    </row>
    <row r="1282" spans="1:11">
      <c r="A1282" s="231"/>
      <c r="B1282" s="235"/>
      <c r="C1282" s="231"/>
      <c r="D1282" s="231"/>
      <c r="E1282" s="231"/>
      <c r="F1282" s="231"/>
      <c r="G1282" s="231"/>
      <c r="H1282" s="235"/>
      <c r="I1282" s="235"/>
      <c r="J1282" s="236"/>
      <c r="K1282" s="236"/>
    </row>
    <row r="1283" spans="1:11">
      <c r="A1283" s="231"/>
      <c r="B1283" s="235"/>
      <c r="C1283" s="231"/>
      <c r="D1283" s="231"/>
      <c r="E1283" s="231"/>
      <c r="F1283" s="231"/>
      <c r="G1283" s="231"/>
      <c r="H1283" s="235"/>
      <c r="I1283" s="235"/>
      <c r="J1283" s="236"/>
      <c r="K1283" s="236"/>
    </row>
    <row r="1284" spans="1:11">
      <c r="A1284" s="231"/>
      <c r="B1284" s="235"/>
      <c r="C1284" s="231"/>
      <c r="D1284" s="231"/>
      <c r="E1284" s="231"/>
      <c r="F1284" s="231"/>
      <c r="G1284" s="231"/>
      <c r="H1284" s="235"/>
      <c r="I1284" s="235"/>
      <c r="J1284" s="236"/>
      <c r="K1284" s="236"/>
    </row>
    <row r="1285" spans="1:11">
      <c r="A1285" s="231"/>
      <c r="B1285" s="235"/>
      <c r="C1285" s="231"/>
      <c r="D1285" s="231"/>
      <c r="E1285" s="231"/>
      <c r="F1285" s="231"/>
      <c r="G1285" s="231"/>
      <c r="H1285" s="235"/>
      <c r="I1285" s="235"/>
      <c r="J1285" s="236"/>
      <c r="K1285" s="236"/>
    </row>
    <row r="1286" spans="1:11">
      <c r="A1286" s="231"/>
      <c r="B1286" s="235"/>
      <c r="C1286" s="231"/>
      <c r="D1286" s="231"/>
      <c r="E1286" s="231"/>
      <c r="F1286" s="231"/>
      <c r="G1286" s="231"/>
      <c r="H1286" s="235"/>
      <c r="I1286" s="235"/>
      <c r="J1286" s="236"/>
      <c r="K1286" s="236"/>
    </row>
    <row r="1287" spans="1:11">
      <c r="A1287" s="231"/>
      <c r="B1287" s="235"/>
      <c r="C1287" s="231"/>
      <c r="D1287" s="231"/>
      <c r="E1287" s="231"/>
      <c r="F1287" s="231"/>
      <c r="G1287" s="231"/>
      <c r="H1287" s="235"/>
      <c r="I1287" s="235"/>
      <c r="J1287" s="236"/>
      <c r="K1287" s="236"/>
    </row>
    <row r="1288" spans="1:11">
      <c r="A1288" s="231"/>
      <c r="B1288" s="235"/>
      <c r="C1288" s="231"/>
      <c r="D1288" s="231"/>
      <c r="E1288" s="231"/>
      <c r="F1288" s="231"/>
      <c r="G1288" s="231"/>
      <c r="H1288" s="235"/>
      <c r="I1288" s="235"/>
      <c r="J1288" s="236"/>
      <c r="K1288" s="236"/>
    </row>
    <row r="1289" spans="1:11">
      <c r="A1289" s="231"/>
      <c r="B1289" s="235"/>
      <c r="C1289" s="231"/>
      <c r="D1289" s="231"/>
      <c r="E1289" s="231"/>
      <c r="F1289" s="231"/>
      <c r="G1289" s="231"/>
      <c r="H1289" s="235"/>
      <c r="I1289" s="235"/>
      <c r="J1289" s="236"/>
      <c r="K1289" s="236"/>
    </row>
    <row r="1290" spans="1:11">
      <c r="A1290" s="231"/>
      <c r="B1290" s="235"/>
      <c r="C1290" s="231"/>
      <c r="D1290" s="231"/>
      <c r="E1290" s="231"/>
      <c r="F1290" s="231"/>
      <c r="G1290" s="231"/>
      <c r="H1290" s="235"/>
      <c r="I1290" s="235"/>
      <c r="J1290" s="236"/>
      <c r="K1290" s="236"/>
    </row>
    <row r="1291" spans="1:11">
      <c r="A1291" s="231"/>
      <c r="B1291" s="235"/>
      <c r="C1291" s="231"/>
      <c r="D1291" s="231"/>
      <c r="E1291" s="231"/>
      <c r="F1291" s="231"/>
      <c r="G1291" s="231"/>
      <c r="H1291" s="235"/>
      <c r="I1291" s="235"/>
      <c r="J1291" s="236"/>
      <c r="K1291" s="236"/>
    </row>
    <row r="1292" spans="1:11">
      <c r="A1292" s="231"/>
      <c r="B1292" s="235"/>
      <c r="C1292" s="231"/>
      <c r="D1292" s="231"/>
      <c r="E1292" s="231"/>
      <c r="F1292" s="231"/>
      <c r="G1292" s="231"/>
      <c r="H1292" s="235"/>
      <c r="I1292" s="235"/>
      <c r="J1292" s="236"/>
      <c r="K1292" s="236"/>
    </row>
    <row r="1293" spans="1:11">
      <c r="A1293" s="231"/>
      <c r="B1293" s="235"/>
      <c r="C1293" s="231"/>
      <c r="D1293" s="231"/>
      <c r="E1293" s="231"/>
      <c r="F1293" s="231"/>
      <c r="G1293" s="231"/>
      <c r="H1293" s="235"/>
      <c r="I1293" s="235"/>
      <c r="J1293" s="236"/>
      <c r="K1293" s="236"/>
    </row>
    <row r="1294" spans="1:11">
      <c r="A1294" s="231"/>
      <c r="B1294" s="235"/>
      <c r="C1294" s="231"/>
      <c r="D1294" s="231"/>
      <c r="E1294" s="231"/>
      <c r="F1294" s="231"/>
      <c r="G1294" s="231"/>
      <c r="H1294" s="235"/>
      <c r="I1294" s="235"/>
      <c r="J1294" s="236"/>
      <c r="K1294" s="236"/>
    </row>
    <row r="1295" spans="1:11">
      <c r="A1295" s="231"/>
      <c r="B1295" s="235"/>
      <c r="C1295" s="231"/>
      <c r="D1295" s="231"/>
      <c r="E1295" s="231"/>
      <c r="F1295" s="231"/>
      <c r="G1295" s="231"/>
      <c r="H1295" s="235"/>
      <c r="I1295" s="235"/>
      <c r="J1295" s="236"/>
      <c r="K1295" s="236"/>
    </row>
    <row r="1296" spans="1:11">
      <c r="A1296" s="231"/>
      <c r="B1296" s="235"/>
      <c r="C1296" s="231"/>
      <c r="D1296" s="231"/>
      <c r="E1296" s="231"/>
      <c r="F1296" s="231"/>
      <c r="G1296" s="231"/>
      <c r="H1296" s="235"/>
      <c r="I1296" s="235"/>
      <c r="J1296" s="236"/>
      <c r="K1296" s="236"/>
    </row>
    <row r="1297" spans="1:11">
      <c r="A1297" s="231"/>
      <c r="B1297" s="235"/>
      <c r="C1297" s="231"/>
      <c r="D1297" s="231"/>
      <c r="E1297" s="231"/>
      <c r="F1297" s="231"/>
      <c r="G1297" s="231"/>
      <c r="H1297" s="235"/>
      <c r="I1297" s="235"/>
      <c r="J1297" s="236"/>
      <c r="K1297" s="236"/>
    </row>
    <row r="1298" spans="1:11">
      <c r="A1298" s="231"/>
      <c r="B1298" s="235"/>
      <c r="C1298" s="231"/>
      <c r="D1298" s="231"/>
      <c r="E1298" s="231"/>
      <c r="F1298" s="231"/>
      <c r="G1298" s="231"/>
      <c r="H1298" s="235"/>
      <c r="I1298" s="235"/>
      <c r="J1298" s="236"/>
      <c r="K1298" s="236"/>
    </row>
    <row r="1299" spans="1:11">
      <c r="A1299" s="231"/>
      <c r="B1299" s="235"/>
      <c r="C1299" s="231"/>
      <c r="D1299" s="231"/>
      <c r="E1299" s="231"/>
      <c r="F1299" s="231"/>
      <c r="G1299" s="231"/>
      <c r="H1299" s="235"/>
      <c r="I1299" s="235"/>
      <c r="J1299" s="236"/>
      <c r="K1299" s="236"/>
    </row>
    <row r="1300" spans="1:11">
      <c r="A1300" s="231"/>
      <c r="B1300" s="235"/>
      <c r="C1300" s="231"/>
      <c r="D1300" s="231"/>
      <c r="E1300" s="231"/>
      <c r="F1300" s="231"/>
      <c r="G1300" s="231"/>
      <c r="H1300" s="235"/>
      <c r="I1300" s="235"/>
      <c r="J1300" s="236"/>
      <c r="K1300" s="236"/>
    </row>
    <row r="1301" spans="1:11">
      <c r="A1301" s="231"/>
      <c r="B1301" s="235"/>
      <c r="C1301" s="231"/>
      <c r="D1301" s="231"/>
      <c r="E1301" s="231"/>
      <c r="F1301" s="231"/>
      <c r="G1301" s="231"/>
      <c r="H1301" s="235"/>
      <c r="I1301" s="235"/>
      <c r="J1301" s="236"/>
      <c r="K1301" s="236"/>
    </row>
    <row r="1302" spans="1:11">
      <c r="A1302" s="231"/>
      <c r="B1302" s="235"/>
      <c r="C1302" s="231"/>
      <c r="D1302" s="231"/>
      <c r="E1302" s="231"/>
      <c r="F1302" s="231"/>
      <c r="G1302" s="231"/>
      <c r="H1302" s="235"/>
      <c r="I1302" s="235"/>
      <c r="J1302" s="236"/>
      <c r="K1302" s="236"/>
    </row>
    <row r="1303" spans="1:11">
      <c r="A1303" s="231"/>
      <c r="B1303" s="235"/>
      <c r="C1303" s="231"/>
      <c r="D1303" s="231"/>
      <c r="E1303" s="231"/>
      <c r="F1303" s="231"/>
      <c r="G1303" s="231"/>
      <c r="H1303" s="235"/>
      <c r="I1303" s="235"/>
      <c r="J1303" s="236"/>
      <c r="K1303" s="236"/>
    </row>
    <row r="1304" spans="1:11">
      <c r="A1304" s="231"/>
      <c r="B1304" s="235"/>
      <c r="C1304" s="231"/>
      <c r="D1304" s="231"/>
      <c r="E1304" s="231"/>
      <c r="F1304" s="231"/>
      <c r="G1304" s="231"/>
      <c r="H1304" s="235"/>
      <c r="I1304" s="235"/>
      <c r="J1304" s="236"/>
      <c r="K1304" s="236"/>
    </row>
    <row r="1305" spans="1:11">
      <c r="A1305" s="231"/>
      <c r="B1305" s="235"/>
      <c r="C1305" s="231"/>
      <c r="D1305" s="231"/>
      <c r="E1305" s="231"/>
      <c r="F1305" s="231"/>
      <c r="G1305" s="231"/>
      <c r="H1305" s="235"/>
      <c r="I1305" s="235"/>
      <c r="J1305" s="236"/>
      <c r="K1305" s="236"/>
    </row>
    <row r="1306" spans="1:11">
      <c r="A1306" s="231"/>
      <c r="B1306" s="235"/>
      <c r="C1306" s="231"/>
      <c r="D1306" s="231"/>
      <c r="E1306" s="231"/>
      <c r="F1306" s="231"/>
      <c r="G1306" s="231"/>
      <c r="H1306" s="235"/>
      <c r="I1306" s="235"/>
      <c r="J1306" s="236"/>
      <c r="K1306" s="236"/>
    </row>
    <row r="1307" spans="1:11">
      <c r="A1307" s="231"/>
      <c r="B1307" s="235"/>
      <c r="C1307" s="231"/>
      <c r="D1307" s="231"/>
      <c r="E1307" s="231"/>
      <c r="F1307" s="231"/>
      <c r="G1307" s="231"/>
      <c r="H1307" s="235"/>
      <c r="I1307" s="235"/>
      <c r="J1307" s="236"/>
      <c r="K1307" s="236"/>
    </row>
    <row r="1308" spans="1:11">
      <c r="A1308" s="231"/>
      <c r="B1308" s="235"/>
      <c r="C1308" s="231"/>
      <c r="D1308" s="231"/>
      <c r="E1308" s="231"/>
      <c r="F1308" s="231"/>
      <c r="G1308" s="231"/>
      <c r="H1308" s="235"/>
      <c r="I1308" s="235"/>
      <c r="J1308" s="236"/>
      <c r="K1308" s="236"/>
    </row>
    <row r="1309" spans="1:11">
      <c r="A1309" s="231"/>
      <c r="B1309" s="235"/>
      <c r="C1309" s="231"/>
      <c r="D1309" s="231"/>
      <c r="E1309" s="231"/>
      <c r="F1309" s="231"/>
      <c r="G1309" s="231"/>
      <c r="H1309" s="235"/>
      <c r="I1309" s="235"/>
      <c r="J1309" s="236"/>
      <c r="K1309" s="236"/>
    </row>
    <row r="1310" spans="1:11">
      <c r="A1310" s="231"/>
      <c r="B1310" s="235"/>
      <c r="C1310" s="231"/>
      <c r="D1310" s="231"/>
      <c r="E1310" s="231"/>
      <c r="F1310" s="231"/>
      <c r="G1310" s="231"/>
      <c r="H1310" s="235"/>
      <c r="I1310" s="235"/>
      <c r="J1310" s="236"/>
      <c r="K1310" s="236"/>
    </row>
    <row r="1311" spans="1:11">
      <c r="A1311" s="231"/>
      <c r="B1311" s="235"/>
      <c r="C1311" s="231"/>
      <c r="D1311" s="231"/>
      <c r="E1311" s="231"/>
      <c r="F1311" s="231"/>
      <c r="G1311" s="231"/>
      <c r="H1311" s="235"/>
      <c r="I1311" s="235"/>
      <c r="J1311" s="236"/>
      <c r="K1311" s="236"/>
    </row>
    <row r="1312" spans="1:11">
      <c r="A1312" s="231"/>
      <c r="B1312" s="235"/>
      <c r="C1312" s="231"/>
      <c r="D1312" s="231"/>
      <c r="E1312" s="231"/>
      <c r="F1312" s="231"/>
      <c r="G1312" s="231"/>
      <c r="H1312" s="235"/>
      <c r="I1312" s="235"/>
      <c r="J1312" s="236"/>
      <c r="K1312" s="236"/>
    </row>
    <row r="1313" spans="1:11">
      <c r="A1313" s="231"/>
      <c r="B1313" s="235"/>
      <c r="C1313" s="231"/>
      <c r="D1313" s="231"/>
      <c r="E1313" s="231"/>
      <c r="F1313" s="231"/>
      <c r="G1313" s="231"/>
      <c r="H1313" s="235"/>
      <c r="I1313" s="235"/>
      <c r="J1313" s="236"/>
      <c r="K1313" s="236"/>
    </row>
    <row r="1314" spans="1:11">
      <c r="A1314" s="231"/>
      <c r="B1314" s="235"/>
      <c r="C1314" s="231"/>
      <c r="D1314" s="231"/>
      <c r="E1314" s="231"/>
      <c r="F1314" s="231"/>
      <c r="G1314" s="231"/>
      <c r="H1314" s="235"/>
      <c r="I1314" s="235"/>
      <c r="J1314" s="236"/>
      <c r="K1314" s="236"/>
    </row>
    <row r="1315" spans="1:11">
      <c r="A1315" s="231"/>
      <c r="B1315" s="235"/>
      <c r="C1315" s="231"/>
      <c r="D1315" s="231"/>
      <c r="E1315" s="231"/>
      <c r="F1315" s="231"/>
      <c r="G1315" s="231"/>
      <c r="H1315" s="235"/>
      <c r="I1315" s="235"/>
      <c r="J1315" s="236"/>
      <c r="K1315" s="236"/>
    </row>
    <row r="1316" spans="1:11">
      <c r="A1316" s="231"/>
      <c r="B1316" s="235"/>
      <c r="C1316" s="231"/>
      <c r="D1316" s="231"/>
      <c r="E1316" s="231"/>
      <c r="F1316" s="231"/>
      <c r="G1316" s="231"/>
      <c r="H1316" s="235"/>
      <c r="I1316" s="235"/>
      <c r="J1316" s="236"/>
      <c r="K1316" s="236"/>
    </row>
    <row r="1317" spans="1:11">
      <c r="A1317" s="231"/>
      <c r="B1317" s="235"/>
      <c r="C1317" s="231"/>
      <c r="D1317" s="231"/>
      <c r="E1317" s="231"/>
      <c r="F1317" s="231"/>
      <c r="G1317" s="231"/>
      <c r="H1317" s="235"/>
      <c r="I1317" s="235"/>
      <c r="J1317" s="236"/>
      <c r="K1317" s="236"/>
    </row>
    <row r="1318" spans="1:11">
      <c r="A1318" s="231"/>
      <c r="B1318" s="235"/>
      <c r="C1318" s="231"/>
      <c r="D1318" s="231"/>
      <c r="E1318" s="231"/>
      <c r="F1318" s="231"/>
      <c r="G1318" s="231"/>
      <c r="H1318" s="235"/>
      <c r="I1318" s="235"/>
      <c r="J1318" s="236"/>
      <c r="K1318" s="236"/>
    </row>
    <row r="1319" spans="1:11">
      <c r="A1319" s="231"/>
      <c r="B1319" s="235"/>
      <c r="C1319" s="231"/>
      <c r="D1319" s="231"/>
      <c r="E1319" s="231"/>
      <c r="F1319" s="231"/>
      <c r="G1319" s="231"/>
      <c r="H1319" s="235"/>
      <c r="I1319" s="235"/>
      <c r="J1319" s="236"/>
      <c r="K1319" s="236"/>
    </row>
    <row r="1320" spans="1:11">
      <c r="A1320" s="231"/>
      <c r="B1320" s="235"/>
      <c r="C1320" s="231"/>
      <c r="D1320" s="231"/>
      <c r="E1320" s="231"/>
      <c r="F1320" s="231"/>
      <c r="G1320" s="231"/>
      <c r="H1320" s="235"/>
      <c r="I1320" s="235"/>
      <c r="J1320" s="236"/>
      <c r="K1320" s="236"/>
    </row>
    <row r="1321" spans="1:11">
      <c r="A1321" s="231"/>
      <c r="B1321" s="235"/>
      <c r="C1321" s="231"/>
      <c r="D1321" s="231"/>
      <c r="E1321" s="231"/>
      <c r="F1321" s="231"/>
      <c r="G1321" s="231"/>
      <c r="H1321" s="235"/>
      <c r="I1321" s="235"/>
      <c r="J1321" s="236"/>
      <c r="K1321" s="236"/>
    </row>
    <row r="1322" spans="1:11">
      <c r="A1322" s="231"/>
      <c r="B1322" s="235"/>
      <c r="C1322" s="231"/>
      <c r="D1322" s="231"/>
      <c r="E1322" s="231"/>
      <c r="F1322" s="231"/>
      <c r="G1322" s="231"/>
      <c r="H1322" s="235"/>
      <c r="I1322" s="235"/>
      <c r="J1322" s="236"/>
      <c r="K1322" s="236"/>
    </row>
    <row r="1323" spans="1:11">
      <c r="A1323" s="231"/>
      <c r="B1323" s="235"/>
      <c r="C1323" s="231"/>
      <c r="D1323" s="231"/>
      <c r="E1323" s="231"/>
      <c r="F1323" s="231"/>
      <c r="G1323" s="231"/>
      <c r="H1323" s="235"/>
      <c r="I1323" s="235"/>
      <c r="J1323" s="236"/>
      <c r="K1323" s="236"/>
    </row>
    <row r="1324" spans="1:11">
      <c r="A1324" s="231"/>
      <c r="B1324" s="235"/>
      <c r="C1324" s="231"/>
      <c r="D1324" s="231"/>
      <c r="E1324" s="231"/>
      <c r="F1324" s="231"/>
      <c r="G1324" s="231"/>
      <c r="H1324" s="235"/>
      <c r="I1324" s="235"/>
      <c r="J1324" s="236"/>
      <c r="K1324" s="236"/>
    </row>
    <row r="1325" spans="1:11">
      <c r="A1325" s="231"/>
      <c r="B1325" s="235"/>
      <c r="C1325" s="231"/>
      <c r="D1325" s="231"/>
      <c r="E1325" s="231"/>
      <c r="F1325" s="231"/>
      <c r="G1325" s="231"/>
      <c r="H1325" s="235"/>
      <c r="I1325" s="235"/>
      <c r="J1325" s="236"/>
      <c r="K1325" s="236"/>
    </row>
    <row r="1326" spans="1:11">
      <c r="A1326" s="231"/>
      <c r="B1326" s="235"/>
      <c r="C1326" s="231"/>
      <c r="D1326" s="231"/>
      <c r="E1326" s="231"/>
      <c r="F1326" s="231"/>
      <c r="G1326" s="231"/>
      <c r="H1326" s="235"/>
      <c r="I1326" s="235"/>
      <c r="J1326" s="236"/>
      <c r="K1326" s="236"/>
    </row>
    <row r="1327" spans="1:11">
      <c r="A1327" s="231"/>
      <c r="B1327" s="235"/>
      <c r="C1327" s="231"/>
      <c r="D1327" s="231"/>
      <c r="E1327" s="231"/>
      <c r="F1327" s="231"/>
      <c r="G1327" s="231"/>
      <c r="H1327" s="235"/>
      <c r="I1327" s="235"/>
      <c r="J1327" s="236"/>
      <c r="K1327" s="236"/>
    </row>
    <row r="1328" spans="1:11">
      <c r="A1328" s="231"/>
      <c r="B1328" s="235"/>
      <c r="C1328" s="231"/>
      <c r="D1328" s="231"/>
      <c r="E1328" s="231"/>
      <c r="F1328" s="231"/>
      <c r="G1328" s="231"/>
      <c r="H1328" s="235"/>
      <c r="I1328" s="235"/>
      <c r="J1328" s="236"/>
      <c r="K1328" s="236"/>
    </row>
    <row r="1329" spans="1:11">
      <c r="A1329" s="231"/>
      <c r="B1329" s="235"/>
      <c r="C1329" s="231"/>
      <c r="D1329" s="231"/>
      <c r="E1329" s="231"/>
      <c r="F1329" s="231"/>
      <c r="G1329" s="231"/>
      <c r="H1329" s="235"/>
      <c r="I1329" s="235"/>
      <c r="J1329" s="236"/>
      <c r="K1329" s="236"/>
    </row>
    <row r="1330" spans="1:11">
      <c r="A1330" s="231"/>
      <c r="B1330" s="235"/>
      <c r="C1330" s="231"/>
      <c r="D1330" s="231"/>
      <c r="E1330" s="231"/>
      <c r="F1330" s="231"/>
      <c r="G1330" s="231"/>
      <c r="H1330" s="235"/>
      <c r="I1330" s="235"/>
      <c r="J1330" s="236"/>
      <c r="K1330" s="236"/>
    </row>
    <row r="1331" spans="1:11">
      <c r="A1331" s="231"/>
      <c r="B1331" s="235"/>
      <c r="C1331" s="231"/>
      <c r="D1331" s="231"/>
      <c r="E1331" s="231"/>
      <c r="F1331" s="231"/>
      <c r="G1331" s="231"/>
      <c r="H1331" s="235"/>
      <c r="I1331" s="235"/>
      <c r="J1331" s="236"/>
      <c r="K1331" s="236"/>
    </row>
    <row r="1332" spans="1:11">
      <c r="A1332" s="231"/>
      <c r="B1332" s="235"/>
      <c r="C1332" s="231"/>
      <c r="D1332" s="231"/>
      <c r="E1332" s="231"/>
      <c r="F1332" s="231"/>
      <c r="G1332" s="231"/>
      <c r="H1332" s="235"/>
      <c r="I1332" s="235"/>
      <c r="J1332" s="236"/>
      <c r="K1332" s="236"/>
    </row>
    <row r="1333" spans="1:11">
      <c r="A1333" s="231"/>
      <c r="B1333" s="235"/>
      <c r="C1333" s="231"/>
      <c r="D1333" s="231"/>
      <c r="E1333" s="231"/>
      <c r="F1333" s="231"/>
      <c r="G1333" s="231"/>
      <c r="H1333" s="235"/>
      <c r="I1333" s="235"/>
      <c r="J1333" s="236"/>
      <c r="K1333" s="236"/>
    </row>
    <row r="1334" spans="1:11">
      <c r="A1334" s="231"/>
      <c r="B1334" s="235"/>
      <c r="C1334" s="231"/>
      <c r="D1334" s="231"/>
      <c r="E1334" s="231"/>
      <c r="F1334" s="231"/>
      <c r="G1334" s="231"/>
      <c r="H1334" s="235"/>
      <c r="I1334" s="235"/>
      <c r="J1334" s="236"/>
      <c r="K1334" s="236"/>
    </row>
    <row r="1335" spans="1:11">
      <c r="A1335" s="231"/>
      <c r="B1335" s="235"/>
      <c r="C1335" s="231"/>
      <c r="D1335" s="231"/>
      <c r="E1335" s="231"/>
      <c r="F1335" s="231"/>
      <c r="G1335" s="231"/>
      <c r="H1335" s="235"/>
      <c r="I1335" s="235"/>
      <c r="J1335" s="236"/>
      <c r="K1335" s="236"/>
    </row>
    <row r="1336" spans="1:11">
      <c r="A1336" s="231"/>
      <c r="B1336" s="235"/>
      <c r="C1336" s="231"/>
      <c r="D1336" s="231"/>
      <c r="E1336" s="231"/>
      <c r="F1336" s="231"/>
      <c r="G1336" s="231"/>
      <c r="H1336" s="235"/>
      <c r="I1336" s="235"/>
      <c r="J1336" s="236"/>
      <c r="K1336" s="236"/>
    </row>
    <row r="1337" spans="1:11">
      <c r="A1337" s="231"/>
      <c r="B1337" s="235"/>
      <c r="C1337" s="231"/>
      <c r="D1337" s="231"/>
      <c r="E1337" s="231"/>
      <c r="F1337" s="231"/>
      <c r="G1337" s="231"/>
      <c r="H1337" s="235"/>
      <c r="I1337" s="235"/>
      <c r="J1337" s="236"/>
      <c r="K1337" s="236"/>
    </row>
    <row r="1338" spans="1:11">
      <c r="A1338" s="231"/>
      <c r="B1338" s="235"/>
      <c r="C1338" s="231"/>
      <c r="D1338" s="231"/>
      <c r="E1338" s="231"/>
      <c r="F1338" s="231"/>
      <c r="G1338" s="231"/>
      <c r="H1338" s="235"/>
      <c r="I1338" s="235"/>
      <c r="J1338" s="236"/>
      <c r="K1338" s="236"/>
    </row>
    <row r="1339" spans="1:11">
      <c r="A1339" s="231"/>
      <c r="B1339" s="235"/>
      <c r="C1339" s="231"/>
      <c r="D1339" s="231"/>
      <c r="E1339" s="231"/>
      <c r="F1339" s="231"/>
      <c r="G1339" s="231"/>
      <c r="H1339" s="235"/>
      <c r="I1339" s="235"/>
      <c r="J1339" s="236"/>
      <c r="K1339" s="236"/>
    </row>
    <row r="1340" spans="1:11">
      <c r="A1340" s="231"/>
      <c r="B1340" s="235"/>
      <c r="C1340" s="231"/>
      <c r="D1340" s="231"/>
      <c r="E1340" s="231"/>
      <c r="F1340" s="231"/>
      <c r="G1340" s="231"/>
      <c r="H1340" s="235"/>
      <c r="I1340" s="235"/>
      <c r="J1340" s="236"/>
      <c r="K1340" s="236"/>
    </row>
    <row r="1341" spans="1:11">
      <c r="A1341" s="231"/>
      <c r="B1341" s="235"/>
      <c r="C1341" s="231"/>
      <c r="D1341" s="231"/>
      <c r="E1341" s="231"/>
      <c r="F1341" s="231"/>
      <c r="G1341" s="231"/>
      <c r="H1341" s="235"/>
      <c r="I1341" s="235"/>
      <c r="J1341" s="236"/>
      <c r="K1341" s="236"/>
    </row>
    <row r="1342" spans="1:11">
      <c r="A1342" s="231"/>
      <c r="B1342" s="235"/>
      <c r="C1342" s="231"/>
      <c r="D1342" s="231"/>
      <c r="E1342" s="231"/>
      <c r="F1342" s="231"/>
      <c r="G1342" s="231"/>
      <c r="H1342" s="235"/>
      <c r="I1342" s="235"/>
      <c r="J1342" s="236"/>
      <c r="K1342" s="236"/>
    </row>
    <row r="1343" spans="1:11">
      <c r="A1343" s="231"/>
      <c r="B1343" s="235"/>
      <c r="C1343" s="231"/>
      <c r="D1343" s="231"/>
      <c r="E1343" s="231"/>
      <c r="F1343" s="231"/>
      <c r="G1343" s="231"/>
      <c r="H1343" s="235"/>
      <c r="I1343" s="235"/>
      <c r="J1343" s="236"/>
      <c r="K1343" s="236"/>
    </row>
    <row r="1344" spans="1:11">
      <c r="A1344" s="231"/>
      <c r="B1344" s="235"/>
      <c r="C1344" s="231"/>
      <c r="D1344" s="231"/>
      <c r="E1344" s="231"/>
      <c r="F1344" s="231"/>
      <c r="G1344" s="231"/>
      <c r="H1344" s="235"/>
      <c r="I1344" s="235"/>
      <c r="J1344" s="236"/>
      <c r="K1344" s="236"/>
    </row>
    <row r="1345" spans="1:11">
      <c r="A1345" s="231"/>
      <c r="B1345" s="235"/>
      <c r="C1345" s="231"/>
      <c r="D1345" s="231"/>
      <c r="E1345" s="231"/>
      <c r="F1345" s="231"/>
      <c r="G1345" s="231"/>
      <c r="H1345" s="235"/>
      <c r="I1345" s="235"/>
      <c r="J1345" s="236"/>
      <c r="K1345" s="236"/>
    </row>
    <row r="1346" spans="1:11">
      <c r="A1346" s="231"/>
      <c r="B1346" s="235"/>
      <c r="C1346" s="231"/>
      <c r="D1346" s="231"/>
      <c r="E1346" s="231"/>
      <c r="F1346" s="231"/>
      <c r="G1346" s="231"/>
      <c r="H1346" s="235"/>
      <c r="I1346" s="235"/>
      <c r="J1346" s="236"/>
      <c r="K1346" s="236"/>
    </row>
    <row r="1347" spans="1:11">
      <c r="A1347" s="231"/>
      <c r="B1347" s="235"/>
      <c r="C1347" s="231"/>
      <c r="D1347" s="231"/>
      <c r="E1347" s="231"/>
      <c r="F1347" s="231"/>
      <c r="G1347" s="231"/>
      <c r="H1347" s="235"/>
      <c r="I1347" s="235"/>
      <c r="J1347" s="236"/>
      <c r="K1347" s="236"/>
    </row>
    <row r="1348" spans="1:11">
      <c r="A1348" s="231"/>
      <c r="B1348" s="235"/>
      <c r="C1348" s="231"/>
      <c r="D1348" s="231"/>
      <c r="E1348" s="231"/>
      <c r="F1348" s="231"/>
      <c r="G1348" s="231"/>
      <c r="H1348" s="235"/>
      <c r="I1348" s="235"/>
      <c r="J1348" s="236"/>
      <c r="K1348" s="236"/>
    </row>
    <row r="1349" spans="1:11">
      <c r="A1349" s="231"/>
      <c r="B1349" s="235"/>
      <c r="C1349" s="231"/>
      <c r="D1349" s="231"/>
      <c r="E1349" s="231"/>
      <c r="F1349" s="231"/>
      <c r="G1349" s="231"/>
      <c r="H1349" s="235"/>
      <c r="I1349" s="235"/>
      <c r="J1349" s="236"/>
      <c r="K1349" s="236"/>
    </row>
    <row r="1350" spans="1:11">
      <c r="A1350" s="231"/>
      <c r="B1350" s="235"/>
      <c r="C1350" s="231"/>
      <c r="D1350" s="231"/>
      <c r="E1350" s="231"/>
      <c r="F1350" s="231"/>
      <c r="G1350" s="231"/>
      <c r="H1350" s="235"/>
      <c r="I1350" s="235"/>
      <c r="J1350" s="236"/>
      <c r="K1350" s="236"/>
    </row>
    <row r="1351" spans="1:11">
      <c r="A1351" s="231"/>
      <c r="B1351" s="235"/>
      <c r="C1351" s="231"/>
      <c r="D1351" s="231"/>
      <c r="E1351" s="231"/>
      <c r="F1351" s="231"/>
      <c r="G1351" s="231"/>
      <c r="H1351" s="235"/>
      <c r="I1351" s="235"/>
      <c r="J1351" s="236"/>
      <c r="K1351" s="236"/>
    </row>
    <row r="1352" spans="1:11">
      <c r="A1352" s="231"/>
      <c r="B1352" s="235"/>
      <c r="C1352" s="231"/>
      <c r="D1352" s="231"/>
      <c r="E1352" s="231"/>
      <c r="F1352" s="231"/>
      <c r="G1352" s="231"/>
      <c r="H1352" s="235"/>
      <c r="I1352" s="235"/>
      <c r="J1352" s="236"/>
      <c r="K1352" s="236"/>
    </row>
    <row r="1353" spans="1:11">
      <c r="A1353" s="231"/>
      <c r="B1353" s="235"/>
      <c r="C1353" s="231"/>
      <c r="D1353" s="231"/>
      <c r="E1353" s="231"/>
      <c r="F1353" s="231"/>
      <c r="G1353" s="231"/>
      <c r="H1353" s="235"/>
      <c r="I1353" s="235"/>
      <c r="J1353" s="236"/>
      <c r="K1353" s="236"/>
    </row>
    <row r="1354" spans="1:11">
      <c r="A1354" s="231"/>
      <c r="B1354" s="235"/>
      <c r="C1354" s="231"/>
      <c r="D1354" s="231"/>
      <c r="E1354" s="231"/>
      <c r="F1354" s="231"/>
      <c r="G1354" s="231"/>
      <c r="H1354" s="235"/>
      <c r="I1354" s="235"/>
      <c r="J1354" s="236"/>
      <c r="K1354" s="236"/>
    </row>
    <row r="1355" spans="1:11">
      <c r="A1355" s="231"/>
      <c r="B1355" s="235"/>
      <c r="C1355" s="231"/>
      <c r="D1355" s="231"/>
      <c r="E1355" s="231"/>
      <c r="F1355" s="231"/>
      <c r="G1355" s="231"/>
      <c r="H1355" s="235"/>
      <c r="I1355" s="235"/>
      <c r="J1355" s="236"/>
      <c r="K1355" s="236"/>
    </row>
    <row r="1356" spans="1:11">
      <c r="A1356" s="231"/>
      <c r="B1356" s="235"/>
      <c r="C1356" s="231"/>
      <c r="D1356" s="231"/>
      <c r="E1356" s="231"/>
      <c r="F1356" s="231"/>
      <c r="G1356" s="231"/>
      <c r="H1356" s="235"/>
      <c r="I1356" s="235"/>
      <c r="J1356" s="236"/>
      <c r="K1356" s="236"/>
    </row>
    <row r="1357" spans="1:11">
      <c r="A1357" s="231"/>
      <c r="B1357" s="235"/>
      <c r="C1357" s="231"/>
      <c r="D1357" s="231"/>
      <c r="E1357" s="231"/>
      <c r="F1357" s="231"/>
      <c r="G1357" s="231"/>
      <c r="H1357" s="235"/>
      <c r="I1357" s="235"/>
      <c r="J1357" s="236"/>
      <c r="K1357" s="236"/>
    </row>
    <row r="1358" spans="1:11">
      <c r="A1358" s="231"/>
      <c r="B1358" s="235"/>
      <c r="C1358" s="231"/>
      <c r="D1358" s="231"/>
      <c r="E1358" s="231"/>
      <c r="F1358" s="231"/>
      <c r="G1358" s="231"/>
      <c r="H1358" s="235"/>
      <c r="I1358" s="235"/>
      <c r="J1358" s="236"/>
      <c r="K1358" s="236"/>
    </row>
    <row r="1359" spans="1:11">
      <c r="A1359" s="231"/>
      <c r="B1359" s="235"/>
      <c r="C1359" s="231"/>
      <c r="D1359" s="231"/>
      <c r="E1359" s="231"/>
      <c r="F1359" s="231"/>
      <c r="G1359" s="231"/>
      <c r="H1359" s="235"/>
      <c r="I1359" s="235"/>
      <c r="J1359" s="236"/>
      <c r="K1359" s="236"/>
    </row>
    <row r="1360" spans="1:11">
      <c r="A1360" s="231"/>
      <c r="B1360" s="235"/>
      <c r="C1360" s="231"/>
      <c r="D1360" s="231"/>
      <c r="E1360" s="231"/>
      <c r="F1360" s="231"/>
      <c r="G1360" s="231"/>
      <c r="H1360" s="235"/>
      <c r="I1360" s="235"/>
      <c r="J1360" s="236"/>
      <c r="K1360" s="236"/>
    </row>
    <row r="1361" spans="1:11">
      <c r="A1361" s="231"/>
      <c r="B1361" s="235"/>
      <c r="C1361" s="231"/>
      <c r="D1361" s="231"/>
      <c r="E1361" s="231"/>
      <c r="F1361" s="231"/>
      <c r="G1361" s="231"/>
      <c r="H1361" s="235"/>
      <c r="I1361" s="235"/>
      <c r="J1361" s="236"/>
      <c r="K1361" s="236"/>
    </row>
    <row r="1362" spans="1:11">
      <c r="A1362" s="231"/>
      <c r="B1362" s="235"/>
      <c r="C1362" s="231"/>
      <c r="D1362" s="231"/>
      <c r="E1362" s="231"/>
      <c r="F1362" s="231"/>
      <c r="G1362" s="231"/>
      <c r="H1362" s="235"/>
      <c r="I1362" s="235"/>
      <c r="J1362" s="236"/>
      <c r="K1362" s="236"/>
    </row>
    <row r="1363" spans="1:11">
      <c r="A1363" s="231"/>
      <c r="B1363" s="235"/>
      <c r="C1363" s="231"/>
      <c r="D1363" s="231"/>
      <c r="E1363" s="231"/>
      <c r="F1363" s="231"/>
      <c r="G1363" s="231"/>
      <c r="H1363" s="235"/>
      <c r="I1363" s="235"/>
      <c r="J1363" s="236"/>
      <c r="K1363" s="236"/>
    </row>
    <row r="1364" spans="1:11">
      <c r="A1364" s="231"/>
      <c r="B1364" s="235"/>
      <c r="C1364" s="231"/>
      <c r="D1364" s="231"/>
      <c r="E1364" s="231"/>
      <c r="F1364" s="231"/>
      <c r="G1364" s="231"/>
      <c r="H1364" s="235"/>
      <c r="I1364" s="235"/>
      <c r="J1364" s="236"/>
      <c r="K1364" s="236"/>
    </row>
    <row r="1365" spans="1:11">
      <c r="A1365" s="231"/>
      <c r="B1365" s="235"/>
      <c r="C1365" s="231"/>
      <c r="D1365" s="231"/>
      <c r="E1365" s="231"/>
      <c r="F1365" s="231"/>
      <c r="G1365" s="231"/>
      <c r="H1365" s="235"/>
      <c r="I1365" s="235"/>
      <c r="J1365" s="236"/>
      <c r="K1365" s="236"/>
    </row>
    <row r="1366" spans="1:11">
      <c r="A1366" s="231"/>
      <c r="B1366" s="235"/>
      <c r="C1366" s="231"/>
      <c r="D1366" s="231"/>
      <c r="E1366" s="231"/>
      <c r="F1366" s="231"/>
      <c r="G1366" s="231"/>
      <c r="H1366" s="235"/>
      <c r="I1366" s="235"/>
      <c r="J1366" s="236"/>
      <c r="K1366" s="236"/>
    </row>
    <row r="1367" spans="1:11">
      <c r="A1367" s="231"/>
      <c r="B1367" s="235"/>
      <c r="C1367" s="231"/>
      <c r="D1367" s="231"/>
      <c r="E1367" s="231"/>
      <c r="F1367" s="231"/>
      <c r="G1367" s="231"/>
      <c r="H1367" s="235"/>
      <c r="I1367" s="235"/>
      <c r="J1367" s="236"/>
      <c r="K1367" s="236"/>
    </row>
    <row r="1368" spans="1:11">
      <c r="A1368" s="231"/>
      <c r="B1368" s="235"/>
      <c r="C1368" s="231"/>
      <c r="D1368" s="231"/>
      <c r="E1368" s="231"/>
      <c r="F1368" s="231"/>
      <c r="G1368" s="231"/>
      <c r="H1368" s="235"/>
      <c r="I1368" s="235"/>
      <c r="J1368" s="236"/>
      <c r="K1368" s="236"/>
    </row>
    <row r="1369" spans="1:11">
      <c r="A1369" s="231"/>
      <c r="B1369" s="235"/>
      <c r="C1369" s="231"/>
      <c r="D1369" s="231"/>
      <c r="E1369" s="231"/>
      <c r="F1369" s="231"/>
      <c r="G1369" s="231"/>
      <c r="H1369" s="235"/>
      <c r="I1369" s="235"/>
      <c r="J1369" s="236"/>
      <c r="K1369" s="236"/>
    </row>
    <row r="1370" spans="1:11">
      <c r="A1370" s="231"/>
      <c r="B1370" s="235"/>
      <c r="C1370" s="231"/>
      <c r="D1370" s="231"/>
      <c r="E1370" s="231"/>
      <c r="F1370" s="231"/>
      <c r="G1370" s="231"/>
      <c r="H1370" s="235"/>
      <c r="I1370" s="235"/>
      <c r="J1370" s="236"/>
      <c r="K1370" s="236"/>
    </row>
    <row r="1371" spans="1:11">
      <c r="A1371" s="231"/>
      <c r="B1371" s="235"/>
      <c r="C1371" s="231"/>
      <c r="D1371" s="231"/>
      <c r="E1371" s="231"/>
      <c r="F1371" s="231"/>
      <c r="G1371" s="231"/>
      <c r="H1371" s="235"/>
      <c r="I1371" s="235"/>
      <c r="J1371" s="236"/>
      <c r="K1371" s="236"/>
    </row>
    <row r="1372" spans="1:11">
      <c r="A1372" s="231"/>
      <c r="B1372" s="235"/>
      <c r="C1372" s="231"/>
      <c r="D1372" s="231"/>
      <c r="E1372" s="231"/>
      <c r="F1372" s="231"/>
      <c r="G1372" s="231"/>
      <c r="H1372" s="235"/>
      <c r="I1372" s="235"/>
      <c r="J1372" s="236"/>
      <c r="K1372" s="236"/>
    </row>
    <row r="1373" spans="1:11">
      <c r="A1373" s="231"/>
      <c r="B1373" s="235"/>
      <c r="C1373" s="231"/>
      <c r="D1373" s="231"/>
      <c r="E1373" s="231"/>
      <c r="F1373" s="231"/>
      <c r="G1373" s="231"/>
      <c r="H1373" s="235"/>
      <c r="I1373" s="235"/>
      <c r="J1373" s="236"/>
      <c r="K1373" s="236"/>
    </row>
    <row r="1374" spans="1:11">
      <c r="A1374" s="231"/>
      <c r="B1374" s="235"/>
      <c r="C1374" s="231"/>
      <c r="D1374" s="231"/>
      <c r="E1374" s="231"/>
      <c r="F1374" s="231"/>
      <c r="G1374" s="231"/>
      <c r="H1374" s="235"/>
      <c r="I1374" s="235"/>
      <c r="J1374" s="236"/>
      <c r="K1374" s="236"/>
    </row>
    <row r="1375" spans="1:11">
      <c r="A1375" s="231"/>
      <c r="B1375" s="235"/>
      <c r="C1375" s="231"/>
      <c r="D1375" s="231"/>
      <c r="E1375" s="231"/>
      <c r="F1375" s="231"/>
      <c r="G1375" s="231"/>
      <c r="H1375" s="235"/>
      <c r="I1375" s="235"/>
      <c r="J1375" s="236"/>
      <c r="K1375" s="236"/>
    </row>
    <row r="1376" spans="1:11">
      <c r="A1376" s="231"/>
      <c r="B1376" s="235"/>
      <c r="C1376" s="231"/>
      <c r="D1376" s="231"/>
      <c r="E1376" s="231"/>
      <c r="F1376" s="231"/>
      <c r="G1376" s="231"/>
      <c r="H1376" s="235"/>
      <c r="I1376" s="235"/>
      <c r="J1376" s="236"/>
      <c r="K1376" s="236"/>
    </row>
    <row r="1377" spans="1:11">
      <c r="A1377" s="231"/>
      <c r="B1377" s="235"/>
      <c r="C1377" s="231"/>
      <c r="D1377" s="231"/>
      <c r="E1377" s="231"/>
      <c r="F1377" s="231"/>
      <c r="G1377" s="231"/>
      <c r="H1377" s="235"/>
      <c r="I1377" s="235"/>
      <c r="J1377" s="236"/>
      <c r="K1377" s="236"/>
    </row>
    <row r="1378" spans="1:11">
      <c r="A1378" s="231"/>
      <c r="B1378" s="235"/>
      <c r="C1378" s="231"/>
      <c r="D1378" s="231"/>
      <c r="E1378" s="231"/>
      <c r="F1378" s="231"/>
      <c r="G1378" s="231"/>
      <c r="H1378" s="235"/>
      <c r="I1378" s="235"/>
      <c r="J1378" s="236"/>
      <c r="K1378" s="236"/>
    </row>
    <row r="1379" spans="1:11">
      <c r="A1379" s="231"/>
      <c r="B1379" s="235"/>
      <c r="C1379" s="231"/>
      <c r="D1379" s="231"/>
      <c r="E1379" s="231"/>
      <c r="F1379" s="231"/>
      <c r="G1379" s="231"/>
      <c r="H1379" s="235"/>
      <c r="I1379" s="235"/>
      <c r="J1379" s="236"/>
      <c r="K1379" s="236"/>
    </row>
    <row r="1380" spans="1:11">
      <c r="A1380" s="231"/>
      <c r="B1380" s="235"/>
      <c r="C1380" s="231"/>
      <c r="D1380" s="231"/>
      <c r="E1380" s="231"/>
      <c r="F1380" s="231"/>
      <c r="G1380" s="231"/>
      <c r="H1380" s="235"/>
      <c r="I1380" s="235"/>
      <c r="J1380" s="236"/>
      <c r="K1380" s="236"/>
    </row>
    <row r="1381" spans="1:11">
      <c r="A1381" s="231"/>
      <c r="B1381" s="235"/>
      <c r="C1381" s="231"/>
      <c r="D1381" s="231"/>
      <c r="E1381" s="231"/>
      <c r="F1381" s="231"/>
      <c r="G1381" s="231"/>
      <c r="H1381" s="235"/>
      <c r="I1381" s="235"/>
      <c r="J1381" s="236"/>
      <c r="K1381" s="236"/>
    </row>
    <row r="1382" spans="1:11">
      <c r="A1382" s="231"/>
      <c r="B1382" s="235"/>
      <c r="C1382" s="231"/>
      <c r="D1382" s="231"/>
      <c r="E1382" s="231"/>
      <c r="F1382" s="231"/>
      <c r="G1382" s="231"/>
      <c r="H1382" s="235"/>
      <c r="I1382" s="235"/>
      <c r="J1382" s="236"/>
      <c r="K1382" s="236"/>
    </row>
    <row r="1383" spans="1:11">
      <c r="A1383" s="231"/>
      <c r="B1383" s="235"/>
      <c r="C1383" s="231"/>
      <c r="D1383" s="231"/>
      <c r="E1383" s="231"/>
      <c r="F1383" s="231"/>
      <c r="G1383" s="231"/>
      <c r="H1383" s="235"/>
      <c r="I1383" s="235"/>
      <c r="J1383" s="236"/>
      <c r="K1383" s="236"/>
    </row>
    <row r="1384" spans="1:11">
      <c r="A1384" s="231"/>
      <c r="B1384" s="235"/>
      <c r="C1384" s="231"/>
      <c r="D1384" s="231"/>
      <c r="E1384" s="231"/>
      <c r="F1384" s="231"/>
      <c r="G1384" s="231"/>
      <c r="H1384" s="235"/>
      <c r="I1384" s="235"/>
      <c r="J1384" s="236"/>
      <c r="K1384" s="236"/>
    </row>
    <row r="1385" spans="1:11">
      <c r="A1385" s="231"/>
      <c r="B1385" s="235"/>
      <c r="C1385" s="231"/>
      <c r="D1385" s="231"/>
      <c r="E1385" s="231"/>
      <c r="F1385" s="231"/>
      <c r="G1385" s="231"/>
      <c r="H1385" s="235"/>
      <c r="I1385" s="235"/>
      <c r="J1385" s="236"/>
      <c r="K1385" s="236"/>
    </row>
    <row r="1386" spans="1:11">
      <c r="A1386" s="231"/>
      <c r="B1386" s="235"/>
      <c r="C1386" s="231"/>
      <c r="D1386" s="231"/>
      <c r="E1386" s="231"/>
      <c r="F1386" s="231"/>
      <c r="G1386" s="231"/>
      <c r="H1386" s="235"/>
      <c r="I1386" s="235"/>
      <c r="J1386" s="236"/>
      <c r="K1386" s="236"/>
    </row>
    <row r="1387" spans="1:11">
      <c r="A1387" s="231"/>
      <c r="B1387" s="235"/>
      <c r="C1387" s="231"/>
      <c r="D1387" s="231"/>
      <c r="E1387" s="231"/>
      <c r="F1387" s="231"/>
      <c r="G1387" s="231"/>
      <c r="H1387" s="235"/>
      <c r="I1387" s="235"/>
      <c r="J1387" s="236"/>
      <c r="K1387" s="236"/>
    </row>
    <row r="1388" spans="1:11">
      <c r="A1388" s="231"/>
      <c r="B1388" s="235"/>
      <c r="C1388" s="231"/>
      <c r="D1388" s="231"/>
      <c r="E1388" s="231"/>
      <c r="F1388" s="231"/>
      <c r="G1388" s="231"/>
      <c r="H1388" s="235"/>
      <c r="I1388" s="235"/>
      <c r="J1388" s="236"/>
      <c r="K1388" s="236"/>
    </row>
    <row r="1389" spans="1:11">
      <c r="A1389" s="231"/>
      <c r="B1389" s="235"/>
      <c r="C1389" s="231"/>
      <c r="D1389" s="231"/>
      <c r="E1389" s="231"/>
      <c r="F1389" s="231"/>
      <c r="G1389" s="231"/>
      <c r="H1389" s="235"/>
      <c r="I1389" s="235"/>
      <c r="J1389" s="236"/>
      <c r="K1389" s="236"/>
    </row>
    <row r="1390" spans="1:11">
      <c r="A1390" s="231"/>
      <c r="B1390" s="235"/>
      <c r="C1390" s="231"/>
      <c r="D1390" s="231"/>
      <c r="E1390" s="231"/>
      <c r="F1390" s="231"/>
      <c r="G1390" s="231"/>
      <c r="H1390" s="235"/>
      <c r="I1390" s="235"/>
      <c r="J1390" s="236"/>
      <c r="K1390" s="236"/>
    </row>
    <row r="1391" spans="1:11">
      <c r="A1391" s="231"/>
      <c r="B1391" s="235"/>
      <c r="C1391" s="231"/>
      <c r="D1391" s="231"/>
      <c r="E1391" s="231"/>
      <c r="F1391" s="231"/>
      <c r="G1391" s="231"/>
      <c r="H1391" s="235"/>
      <c r="I1391" s="235"/>
      <c r="J1391" s="236"/>
      <c r="K1391" s="236"/>
    </row>
    <row r="1392" spans="1:11">
      <c r="A1392" s="231"/>
      <c r="B1392" s="235"/>
      <c r="C1392" s="231"/>
      <c r="D1392" s="231"/>
      <c r="E1392" s="231"/>
      <c r="F1392" s="231"/>
      <c r="G1392" s="231"/>
      <c r="H1392" s="235"/>
      <c r="I1392" s="235"/>
      <c r="J1392" s="236"/>
      <c r="K1392" s="236"/>
    </row>
    <row r="1393" spans="1:11">
      <c r="A1393" s="231"/>
      <c r="B1393" s="235"/>
      <c r="C1393" s="231"/>
      <c r="D1393" s="231"/>
      <c r="E1393" s="231"/>
      <c r="F1393" s="231"/>
      <c r="G1393" s="231"/>
      <c r="H1393" s="235"/>
      <c r="I1393" s="235"/>
      <c r="J1393" s="236"/>
      <c r="K1393" s="236"/>
    </row>
    <row r="1394" spans="1:11">
      <c r="A1394" s="231"/>
      <c r="B1394" s="235"/>
      <c r="C1394" s="231"/>
      <c r="D1394" s="231"/>
      <c r="E1394" s="231"/>
      <c r="F1394" s="231"/>
      <c r="G1394" s="231"/>
      <c r="H1394" s="235"/>
      <c r="I1394" s="235"/>
      <c r="J1394" s="236"/>
      <c r="K1394" s="236"/>
    </row>
    <row r="1395" spans="1:11">
      <c r="A1395" s="231"/>
      <c r="B1395" s="235"/>
      <c r="C1395" s="231"/>
      <c r="D1395" s="231"/>
      <c r="E1395" s="231"/>
      <c r="F1395" s="231"/>
      <c r="G1395" s="231"/>
      <c r="H1395" s="235"/>
      <c r="I1395" s="235"/>
      <c r="J1395" s="236"/>
      <c r="K1395" s="236"/>
    </row>
    <row r="1396" spans="1:11">
      <c r="A1396" s="231"/>
      <c r="B1396" s="235"/>
      <c r="C1396" s="231"/>
      <c r="D1396" s="231"/>
      <c r="E1396" s="231"/>
      <c r="F1396" s="231"/>
      <c r="G1396" s="231"/>
      <c r="H1396" s="235"/>
      <c r="I1396" s="235"/>
      <c r="J1396" s="236"/>
      <c r="K1396" s="236"/>
    </row>
    <row r="1397" spans="1:11">
      <c r="A1397" s="231"/>
      <c r="B1397" s="235"/>
      <c r="C1397" s="231"/>
      <c r="D1397" s="231"/>
      <c r="E1397" s="231"/>
      <c r="F1397" s="231"/>
      <c r="G1397" s="231"/>
      <c r="H1397" s="235"/>
      <c r="I1397" s="235"/>
      <c r="J1397" s="236"/>
      <c r="K1397" s="236"/>
    </row>
    <row r="1398" spans="1:11">
      <c r="A1398" s="231"/>
      <c r="B1398" s="235"/>
      <c r="C1398" s="231"/>
      <c r="D1398" s="231"/>
      <c r="E1398" s="231"/>
      <c r="F1398" s="231"/>
      <c r="G1398" s="231"/>
      <c r="H1398" s="235"/>
      <c r="I1398" s="235"/>
      <c r="J1398" s="236"/>
      <c r="K1398" s="236"/>
    </row>
    <row r="1399" spans="1:11">
      <c r="A1399" s="231"/>
      <c r="B1399" s="235"/>
      <c r="C1399" s="231"/>
      <c r="D1399" s="231"/>
      <c r="E1399" s="231"/>
      <c r="F1399" s="231"/>
      <c r="G1399" s="231"/>
      <c r="H1399" s="235"/>
      <c r="I1399" s="235"/>
      <c r="J1399" s="236"/>
      <c r="K1399" s="236"/>
    </row>
    <row r="1400" spans="1:11">
      <c r="A1400" s="231"/>
      <c r="B1400" s="235"/>
      <c r="C1400" s="231"/>
      <c r="D1400" s="231"/>
      <c r="E1400" s="231"/>
      <c r="F1400" s="231"/>
      <c r="G1400" s="231"/>
      <c r="H1400" s="235"/>
      <c r="I1400" s="235"/>
      <c r="J1400" s="236"/>
      <c r="K1400" s="236"/>
    </row>
    <row r="1401" spans="1:11">
      <c r="A1401" s="231"/>
      <c r="B1401" s="235"/>
      <c r="C1401" s="231"/>
      <c r="D1401" s="231"/>
      <c r="E1401" s="231"/>
      <c r="F1401" s="231"/>
      <c r="G1401" s="231"/>
      <c r="H1401" s="235"/>
      <c r="I1401" s="235"/>
      <c r="J1401" s="236"/>
      <c r="K1401" s="236"/>
    </row>
    <row r="1402" spans="1:11">
      <c r="B1402" s="235"/>
      <c r="C1402" s="231"/>
      <c r="D1402" s="231"/>
      <c r="E1402" s="231"/>
      <c r="F1402" s="231"/>
      <c r="G1402" s="231"/>
      <c r="H1402" s="235"/>
      <c r="I1402" s="235"/>
      <c r="J1402" s="236"/>
      <c r="K1402" s="236"/>
    </row>
    <row r="1403" spans="1:11">
      <c r="B1403" s="235"/>
      <c r="C1403" s="231"/>
      <c r="D1403" s="231"/>
      <c r="E1403" s="231"/>
      <c r="F1403" s="231"/>
      <c r="G1403" s="231"/>
      <c r="H1403" s="235"/>
      <c r="I1403" s="235"/>
      <c r="J1403" s="236"/>
      <c r="K1403" s="236"/>
    </row>
    <row r="1404" spans="1:11">
      <c r="B1404" s="235"/>
      <c r="C1404" s="231"/>
      <c r="D1404" s="231"/>
      <c r="E1404" s="231"/>
      <c r="F1404" s="231"/>
      <c r="G1404" s="231"/>
      <c r="H1404" s="235"/>
      <c r="I1404" s="235"/>
      <c r="J1404" s="236"/>
      <c r="K1404" s="236"/>
    </row>
    <row r="1405" spans="1:11">
      <c r="B1405" s="235"/>
      <c r="C1405" s="231"/>
      <c r="D1405" s="231"/>
      <c r="E1405" s="231"/>
      <c r="F1405" s="231"/>
      <c r="G1405" s="231"/>
      <c r="H1405" s="235"/>
      <c r="I1405" s="235"/>
      <c r="J1405" s="236"/>
      <c r="K1405" s="236"/>
    </row>
    <row r="1406" spans="1:11">
      <c r="B1406" s="235"/>
      <c r="C1406" s="231"/>
      <c r="D1406" s="231"/>
      <c r="E1406" s="231"/>
      <c r="F1406" s="231"/>
      <c r="G1406" s="231"/>
      <c r="H1406" s="235"/>
      <c r="I1406" s="235"/>
      <c r="J1406" s="236"/>
      <c r="K1406" s="236"/>
    </row>
    <row r="1407" spans="1:11">
      <c r="B1407" s="235"/>
      <c r="C1407" s="231"/>
      <c r="D1407" s="231"/>
      <c r="E1407" s="231"/>
      <c r="F1407" s="231"/>
      <c r="G1407" s="231"/>
      <c r="H1407" s="235"/>
      <c r="I1407" s="235"/>
      <c r="J1407" s="236"/>
      <c r="K1407" s="236"/>
    </row>
    <row r="1408" spans="1:11">
      <c r="B1408" s="235"/>
      <c r="C1408" s="231"/>
      <c r="D1408" s="231"/>
      <c r="E1408" s="231"/>
      <c r="F1408" s="231"/>
      <c r="G1408" s="231"/>
      <c r="H1408" s="235"/>
      <c r="I1408" s="235"/>
      <c r="J1408" s="236"/>
      <c r="K1408" s="236"/>
    </row>
    <row r="1409" spans="2:11">
      <c r="B1409" s="235"/>
      <c r="C1409" s="231"/>
      <c r="D1409" s="231"/>
      <c r="E1409" s="231"/>
      <c r="F1409" s="231"/>
      <c r="G1409" s="231"/>
      <c r="H1409" s="235"/>
      <c r="I1409" s="235"/>
      <c r="J1409" s="236"/>
      <c r="K1409" s="236"/>
    </row>
    <row r="1410" spans="2:11">
      <c r="B1410" s="235"/>
      <c r="C1410" s="231"/>
      <c r="D1410" s="231"/>
      <c r="E1410" s="231"/>
      <c r="F1410" s="231"/>
      <c r="G1410" s="231"/>
      <c r="H1410" s="235"/>
      <c r="I1410" s="235"/>
      <c r="J1410" s="236"/>
      <c r="K1410" s="236"/>
    </row>
    <row r="1411" spans="2:11">
      <c r="B1411" s="235"/>
      <c r="C1411" s="231"/>
      <c r="D1411" s="231"/>
      <c r="E1411" s="231"/>
      <c r="F1411" s="231"/>
      <c r="G1411" s="231"/>
      <c r="H1411" s="235"/>
      <c r="I1411" s="235"/>
      <c r="J1411" s="236"/>
      <c r="K1411" s="236"/>
    </row>
    <row r="1412" spans="2:11">
      <c r="B1412" s="235"/>
      <c r="C1412" s="231"/>
      <c r="D1412" s="231"/>
      <c r="E1412" s="231"/>
      <c r="F1412" s="231"/>
      <c r="G1412" s="231"/>
      <c r="H1412" s="235"/>
      <c r="I1412" s="235"/>
      <c r="J1412" s="236"/>
      <c r="K1412" s="236"/>
    </row>
    <row r="1413" spans="2:11">
      <c r="B1413" s="235"/>
      <c r="C1413" s="231"/>
      <c r="D1413" s="231"/>
      <c r="E1413" s="231"/>
      <c r="F1413" s="231"/>
      <c r="G1413" s="231"/>
      <c r="H1413" s="235"/>
      <c r="I1413" s="235"/>
      <c r="J1413" s="236"/>
      <c r="K1413" s="236"/>
    </row>
    <row r="1414" spans="2:11">
      <c r="B1414" s="235"/>
      <c r="C1414" s="231"/>
      <c r="D1414" s="231"/>
      <c r="E1414" s="231"/>
      <c r="F1414" s="231"/>
      <c r="G1414" s="231"/>
      <c r="H1414" s="235"/>
      <c r="I1414" s="235"/>
      <c r="J1414" s="236"/>
      <c r="K1414" s="236"/>
    </row>
    <row r="1415" spans="2:11">
      <c r="B1415" s="235"/>
      <c r="C1415" s="231"/>
      <c r="D1415" s="231"/>
      <c r="E1415" s="231"/>
      <c r="F1415" s="231"/>
      <c r="G1415" s="231"/>
      <c r="H1415" s="235"/>
      <c r="I1415" s="235"/>
      <c r="J1415" s="236"/>
      <c r="K1415" s="236"/>
    </row>
    <row r="1416" spans="2:11">
      <c r="B1416" s="235"/>
      <c r="C1416" s="231"/>
      <c r="D1416" s="231"/>
      <c r="E1416" s="231"/>
      <c r="F1416" s="231"/>
      <c r="G1416" s="231"/>
      <c r="H1416" s="235"/>
      <c r="I1416" s="235"/>
      <c r="J1416" s="236"/>
      <c r="K1416" s="236"/>
    </row>
    <row r="1417" spans="2:11">
      <c r="B1417" s="235"/>
      <c r="C1417" s="231"/>
      <c r="D1417" s="231"/>
      <c r="E1417" s="231"/>
      <c r="F1417" s="231"/>
      <c r="G1417" s="231"/>
      <c r="H1417" s="235"/>
      <c r="I1417" s="235"/>
      <c r="J1417" s="236"/>
      <c r="K1417" s="236"/>
    </row>
    <row r="1418" spans="2:11">
      <c r="B1418" s="235"/>
      <c r="C1418" s="231"/>
      <c r="D1418" s="231"/>
      <c r="E1418" s="231"/>
      <c r="F1418" s="231"/>
      <c r="G1418" s="231"/>
      <c r="H1418" s="235"/>
      <c r="I1418" s="235"/>
      <c r="J1418" s="236"/>
      <c r="K1418" s="236"/>
    </row>
    <row r="1419" spans="2:11">
      <c r="B1419" s="235"/>
      <c r="C1419" s="231"/>
      <c r="D1419" s="231"/>
      <c r="E1419" s="231"/>
      <c r="F1419" s="231"/>
      <c r="G1419" s="231"/>
      <c r="H1419" s="235"/>
      <c r="I1419" s="235"/>
      <c r="J1419" s="236"/>
      <c r="K1419" s="236"/>
    </row>
    <row r="1420" spans="2:11">
      <c r="B1420" s="235"/>
      <c r="C1420" s="231"/>
      <c r="D1420" s="231"/>
      <c r="E1420" s="231"/>
      <c r="F1420" s="231"/>
      <c r="G1420" s="231"/>
      <c r="H1420" s="235"/>
      <c r="I1420" s="235"/>
      <c r="J1420" s="236"/>
      <c r="K1420" s="236"/>
    </row>
    <row r="1421" spans="2:11">
      <c r="B1421" s="235"/>
      <c r="C1421" s="231"/>
      <c r="D1421" s="231"/>
      <c r="E1421" s="231"/>
      <c r="F1421" s="231"/>
      <c r="G1421" s="231"/>
      <c r="H1421" s="235"/>
      <c r="I1421" s="235"/>
      <c r="J1421" s="236"/>
      <c r="K1421" s="236"/>
    </row>
    <row r="1422" spans="2:11">
      <c r="B1422" s="235"/>
      <c r="C1422" s="231"/>
      <c r="D1422" s="231"/>
      <c r="E1422" s="231"/>
      <c r="F1422" s="231"/>
      <c r="G1422" s="231"/>
      <c r="H1422" s="235"/>
      <c r="I1422" s="235"/>
      <c r="J1422" s="236"/>
      <c r="K1422" s="236"/>
    </row>
    <row r="1423" spans="2:11">
      <c r="B1423" s="235"/>
      <c r="C1423" s="231"/>
      <c r="D1423" s="231"/>
      <c r="E1423" s="231"/>
      <c r="F1423" s="231"/>
      <c r="G1423" s="231"/>
      <c r="H1423" s="235"/>
      <c r="I1423" s="235"/>
      <c r="J1423" s="236"/>
      <c r="K1423" s="236"/>
    </row>
    <row r="1424" spans="2:11">
      <c r="B1424" s="235"/>
      <c r="C1424" s="231"/>
      <c r="D1424" s="231"/>
      <c r="E1424" s="231"/>
      <c r="F1424" s="231"/>
      <c r="G1424" s="231"/>
      <c r="H1424" s="235"/>
      <c r="I1424" s="235"/>
      <c r="J1424" s="236"/>
      <c r="K1424" s="236"/>
    </row>
    <row r="1425" spans="2:11">
      <c r="B1425" s="235"/>
      <c r="C1425" s="231"/>
      <c r="D1425" s="231"/>
      <c r="E1425" s="231"/>
      <c r="F1425" s="231"/>
      <c r="G1425" s="231"/>
      <c r="H1425" s="235"/>
      <c r="I1425" s="235"/>
      <c r="J1425" s="236"/>
      <c r="K1425" s="236"/>
    </row>
    <row r="1426" spans="2:11">
      <c r="B1426" s="235"/>
      <c r="C1426" s="231"/>
      <c r="D1426" s="231"/>
      <c r="E1426" s="231"/>
      <c r="F1426" s="231"/>
      <c r="G1426" s="231"/>
      <c r="H1426" s="235"/>
      <c r="I1426" s="235"/>
      <c r="J1426" s="236"/>
      <c r="K1426" s="236"/>
    </row>
    <row r="1427" spans="2:11">
      <c r="B1427" s="235"/>
      <c r="C1427" s="231"/>
      <c r="D1427" s="231"/>
      <c r="E1427" s="231"/>
      <c r="F1427" s="231"/>
      <c r="G1427" s="231"/>
      <c r="H1427" s="235"/>
      <c r="I1427" s="235"/>
      <c r="J1427" s="236"/>
      <c r="K1427" s="236"/>
    </row>
    <row r="1428" spans="2:11">
      <c r="B1428" s="235"/>
      <c r="C1428" s="231"/>
      <c r="D1428" s="231"/>
      <c r="E1428" s="231"/>
      <c r="F1428" s="231"/>
      <c r="G1428" s="231"/>
      <c r="H1428" s="235"/>
      <c r="I1428" s="235"/>
      <c r="J1428" s="236"/>
      <c r="K1428" s="236"/>
    </row>
    <row r="1429" spans="2:11">
      <c r="B1429" s="235"/>
      <c r="C1429" s="231"/>
      <c r="D1429" s="231"/>
      <c r="E1429" s="231"/>
      <c r="F1429" s="231"/>
      <c r="G1429" s="231"/>
      <c r="H1429" s="235"/>
      <c r="I1429" s="235"/>
      <c r="J1429" s="236"/>
      <c r="K1429" s="236"/>
    </row>
    <row r="1430" spans="2:11">
      <c r="B1430" s="235"/>
      <c r="C1430" s="231"/>
      <c r="D1430" s="231"/>
      <c r="E1430" s="231"/>
      <c r="F1430" s="231"/>
      <c r="G1430" s="231"/>
      <c r="H1430" s="235"/>
      <c r="I1430" s="235"/>
      <c r="J1430" s="236"/>
      <c r="K1430" s="236"/>
    </row>
    <row r="1431" spans="2:11">
      <c r="B1431" s="235"/>
      <c r="C1431" s="231"/>
      <c r="D1431" s="231"/>
      <c r="E1431" s="231"/>
      <c r="F1431" s="231"/>
      <c r="G1431" s="231"/>
      <c r="H1431" s="235"/>
      <c r="I1431" s="235"/>
      <c r="J1431" s="236"/>
      <c r="K1431" s="236"/>
    </row>
    <row r="1432" spans="2:11">
      <c r="B1432" s="235"/>
      <c r="C1432" s="231"/>
      <c r="D1432" s="231"/>
      <c r="E1432" s="231"/>
      <c r="F1432" s="231"/>
      <c r="G1432" s="231"/>
      <c r="H1432" s="235"/>
      <c r="I1432" s="235"/>
      <c r="J1432" s="236"/>
      <c r="K1432" s="236"/>
    </row>
    <row r="1433" spans="2:11">
      <c r="B1433" s="235"/>
      <c r="C1433" s="231"/>
      <c r="D1433" s="231"/>
      <c r="E1433" s="231"/>
      <c r="F1433" s="231"/>
      <c r="G1433" s="231"/>
      <c r="H1433" s="235"/>
      <c r="I1433" s="235"/>
      <c r="J1433" s="236"/>
      <c r="K1433" s="236"/>
    </row>
    <row r="1434" spans="2:11">
      <c r="B1434" s="235"/>
      <c r="C1434" s="231"/>
      <c r="D1434" s="231"/>
      <c r="E1434" s="231"/>
      <c r="F1434" s="231"/>
      <c r="G1434" s="231"/>
      <c r="H1434" s="235"/>
      <c r="I1434" s="235"/>
      <c r="J1434" s="236"/>
      <c r="K1434" s="236"/>
    </row>
    <row r="1435" spans="2:11">
      <c r="B1435" s="235"/>
      <c r="C1435" s="231"/>
      <c r="D1435" s="231"/>
      <c r="E1435" s="231"/>
      <c r="F1435" s="231"/>
      <c r="G1435" s="231"/>
      <c r="H1435" s="235"/>
      <c r="I1435" s="235"/>
      <c r="J1435" s="236"/>
      <c r="K1435" s="236"/>
    </row>
    <row r="1436" spans="2:11">
      <c r="B1436" s="235"/>
      <c r="C1436" s="231"/>
      <c r="D1436" s="231"/>
      <c r="E1436" s="231"/>
      <c r="F1436" s="231"/>
      <c r="G1436" s="231"/>
      <c r="H1436" s="235"/>
      <c r="I1436" s="235"/>
      <c r="J1436" s="236"/>
      <c r="K1436" s="236"/>
    </row>
    <row r="1437" spans="2:11">
      <c r="B1437" s="235"/>
      <c r="C1437" s="231"/>
      <c r="D1437" s="231"/>
      <c r="E1437" s="231"/>
      <c r="F1437" s="231"/>
      <c r="G1437" s="231"/>
      <c r="H1437" s="235"/>
      <c r="I1437" s="235"/>
      <c r="J1437" s="236"/>
      <c r="K1437" s="236"/>
    </row>
    <row r="1438" spans="2:11">
      <c r="B1438" s="235"/>
      <c r="C1438" s="231"/>
      <c r="D1438" s="231"/>
      <c r="E1438" s="231"/>
      <c r="F1438" s="231"/>
      <c r="G1438" s="231"/>
      <c r="H1438" s="235"/>
      <c r="I1438" s="235"/>
      <c r="J1438" s="236"/>
      <c r="K1438" s="236"/>
    </row>
    <row r="1439" spans="2:11">
      <c r="B1439" s="235"/>
      <c r="C1439" s="231"/>
      <c r="D1439" s="231"/>
      <c r="E1439" s="231"/>
      <c r="F1439" s="231"/>
      <c r="G1439" s="231"/>
      <c r="H1439" s="235"/>
      <c r="I1439" s="235"/>
      <c r="J1439" s="236"/>
      <c r="K1439" s="236"/>
    </row>
    <row r="1440" spans="2:11">
      <c r="B1440" s="235"/>
      <c r="C1440" s="231"/>
      <c r="D1440" s="231"/>
      <c r="E1440" s="231"/>
      <c r="F1440" s="231"/>
      <c r="G1440" s="231"/>
      <c r="H1440" s="235"/>
      <c r="I1440" s="235"/>
      <c r="J1440" s="236"/>
      <c r="K1440" s="236"/>
    </row>
    <row r="1441" spans="2:11">
      <c r="B1441" s="235"/>
      <c r="C1441" s="231"/>
      <c r="D1441" s="231"/>
      <c r="E1441" s="231"/>
      <c r="F1441" s="231"/>
      <c r="G1441" s="231"/>
      <c r="H1441" s="235"/>
      <c r="I1441" s="235"/>
      <c r="J1441" s="236"/>
      <c r="K1441" s="236"/>
    </row>
    <row r="1442" spans="2:11">
      <c r="B1442" s="235"/>
      <c r="C1442" s="231"/>
      <c r="D1442" s="231"/>
      <c r="E1442" s="231"/>
      <c r="F1442" s="231"/>
      <c r="G1442" s="231"/>
      <c r="H1442" s="235"/>
      <c r="I1442" s="235"/>
      <c r="J1442" s="236"/>
      <c r="K1442" s="236"/>
    </row>
    <row r="1443" spans="2:11">
      <c r="B1443" s="235"/>
      <c r="C1443" s="231"/>
      <c r="D1443" s="231"/>
      <c r="E1443" s="231"/>
      <c r="F1443" s="231"/>
      <c r="G1443" s="231"/>
      <c r="H1443" s="235"/>
      <c r="I1443" s="235"/>
      <c r="J1443" s="236"/>
      <c r="K1443" s="236"/>
    </row>
    <row r="1444" spans="2:11">
      <c r="B1444" s="235"/>
      <c r="C1444" s="231"/>
      <c r="D1444" s="231"/>
      <c r="E1444" s="231"/>
      <c r="F1444" s="231"/>
      <c r="G1444" s="231"/>
      <c r="H1444" s="235"/>
      <c r="I1444" s="235"/>
      <c r="J1444" s="236"/>
      <c r="K1444" s="236"/>
    </row>
    <row r="1445" spans="2:11">
      <c r="B1445" s="235"/>
      <c r="C1445" s="231"/>
      <c r="D1445" s="231"/>
      <c r="E1445" s="231"/>
      <c r="F1445" s="231"/>
      <c r="G1445" s="231"/>
      <c r="H1445" s="235"/>
      <c r="I1445" s="235"/>
      <c r="J1445" s="236"/>
      <c r="K1445" s="236"/>
    </row>
    <row r="1446" spans="2:11">
      <c r="B1446" s="235"/>
      <c r="C1446" s="231"/>
      <c r="D1446" s="231"/>
      <c r="E1446" s="231"/>
      <c r="F1446" s="231"/>
      <c r="G1446" s="231"/>
      <c r="H1446" s="235"/>
      <c r="I1446" s="235"/>
      <c r="J1446" s="236"/>
      <c r="K1446" s="236"/>
    </row>
    <row r="1447" spans="2:11">
      <c r="B1447" s="235"/>
      <c r="C1447" s="231"/>
      <c r="D1447" s="231"/>
      <c r="E1447" s="231"/>
      <c r="F1447" s="231"/>
      <c r="G1447" s="231"/>
      <c r="H1447" s="235"/>
      <c r="I1447" s="235"/>
      <c r="J1447" s="236"/>
      <c r="K1447" s="236"/>
    </row>
    <row r="1448" spans="2:11">
      <c r="B1448" s="235"/>
      <c r="C1448" s="231"/>
      <c r="D1448" s="231"/>
      <c r="E1448" s="231"/>
      <c r="F1448" s="231"/>
      <c r="G1448" s="231"/>
      <c r="H1448" s="235"/>
      <c r="I1448" s="235"/>
      <c r="J1448" s="236"/>
      <c r="K1448" s="236"/>
    </row>
    <row r="1449" spans="2:11">
      <c r="B1449" s="235"/>
      <c r="C1449" s="231"/>
      <c r="D1449" s="231"/>
      <c r="E1449" s="231"/>
      <c r="F1449" s="231"/>
      <c r="G1449" s="231"/>
      <c r="H1449" s="235"/>
      <c r="I1449" s="235"/>
      <c r="J1449" s="236"/>
      <c r="K1449" s="236"/>
    </row>
    <row r="1450" spans="2:11">
      <c r="B1450" s="235"/>
      <c r="C1450" s="231"/>
      <c r="D1450" s="231"/>
      <c r="E1450" s="231"/>
      <c r="F1450" s="231"/>
      <c r="G1450" s="231"/>
      <c r="H1450" s="235"/>
      <c r="I1450" s="235"/>
      <c r="J1450" s="236"/>
      <c r="K1450" s="236"/>
    </row>
    <row r="1451" spans="2:11">
      <c r="B1451" s="235"/>
      <c r="C1451" s="231"/>
      <c r="D1451" s="231"/>
      <c r="E1451" s="231"/>
      <c r="F1451" s="231"/>
      <c r="G1451" s="231"/>
      <c r="H1451" s="235"/>
      <c r="I1451" s="235"/>
      <c r="J1451" s="236"/>
      <c r="K1451" s="236"/>
    </row>
    <row r="1452" spans="2:11">
      <c r="B1452" s="235"/>
      <c r="C1452" s="231"/>
      <c r="D1452" s="231"/>
      <c r="E1452" s="231"/>
      <c r="F1452" s="231"/>
      <c r="G1452" s="231"/>
      <c r="H1452" s="235"/>
      <c r="I1452" s="235"/>
      <c r="J1452" s="236"/>
      <c r="K1452" s="236"/>
    </row>
    <row r="1453" spans="2:11">
      <c r="B1453" s="235"/>
      <c r="C1453" s="231"/>
      <c r="D1453" s="231"/>
      <c r="E1453" s="231"/>
      <c r="F1453" s="231"/>
      <c r="G1453" s="231"/>
      <c r="H1453" s="235"/>
      <c r="I1453" s="235"/>
      <c r="J1453" s="236"/>
      <c r="K1453" s="236"/>
    </row>
    <row r="1454" spans="2:11">
      <c r="B1454" s="235"/>
      <c r="C1454" s="231"/>
      <c r="D1454" s="231"/>
      <c r="E1454" s="231"/>
      <c r="F1454" s="231"/>
      <c r="G1454" s="231"/>
      <c r="H1454" s="235"/>
      <c r="I1454" s="235"/>
      <c r="J1454" s="236"/>
      <c r="K1454" s="236"/>
    </row>
    <row r="1455" spans="2:11">
      <c r="B1455" s="235"/>
      <c r="C1455" s="231"/>
      <c r="D1455" s="231"/>
      <c r="E1455" s="231"/>
      <c r="F1455" s="231"/>
      <c r="G1455" s="231"/>
      <c r="H1455" s="235"/>
      <c r="I1455" s="235"/>
      <c r="J1455" s="236"/>
      <c r="K1455" s="236"/>
    </row>
    <row r="1456" spans="2:11">
      <c r="B1456" s="235"/>
      <c r="C1456" s="231"/>
      <c r="D1456" s="231"/>
      <c r="E1456" s="231"/>
      <c r="F1456" s="231"/>
      <c r="G1456" s="231"/>
      <c r="H1456" s="235"/>
      <c r="I1456" s="235"/>
      <c r="J1456" s="236"/>
      <c r="K1456" s="236"/>
    </row>
    <row r="1457" spans="2:11">
      <c r="B1457" s="235"/>
      <c r="C1457" s="231"/>
      <c r="D1457" s="231"/>
      <c r="E1457" s="231"/>
      <c r="F1457" s="231"/>
      <c r="G1457" s="231"/>
      <c r="H1457" s="235"/>
      <c r="I1457" s="235"/>
      <c r="J1457" s="236"/>
      <c r="K1457" s="236"/>
    </row>
    <row r="1458" spans="2:11">
      <c r="B1458" s="235"/>
      <c r="C1458" s="231"/>
      <c r="D1458" s="231"/>
      <c r="E1458" s="231"/>
      <c r="F1458" s="231"/>
      <c r="G1458" s="231"/>
      <c r="H1458" s="235"/>
      <c r="I1458" s="235"/>
      <c r="J1458" s="236"/>
      <c r="K1458" s="236"/>
    </row>
    <row r="1459" spans="2:11">
      <c r="B1459" s="235"/>
      <c r="C1459" s="231"/>
      <c r="D1459" s="231"/>
      <c r="E1459" s="231"/>
      <c r="F1459" s="231"/>
      <c r="G1459" s="231"/>
      <c r="H1459" s="235"/>
      <c r="I1459" s="235"/>
      <c r="J1459" s="236"/>
      <c r="K1459" s="236"/>
    </row>
    <row r="1460" spans="2:11">
      <c r="B1460" s="235"/>
      <c r="C1460" s="231"/>
      <c r="D1460" s="231"/>
      <c r="E1460" s="231"/>
      <c r="F1460" s="231"/>
      <c r="G1460" s="231"/>
      <c r="H1460" s="235"/>
      <c r="I1460" s="235"/>
      <c r="J1460" s="236"/>
      <c r="K1460" s="236"/>
    </row>
    <row r="1461" spans="2:11">
      <c r="B1461" s="235"/>
      <c r="C1461" s="231"/>
      <c r="D1461" s="231"/>
      <c r="E1461" s="231"/>
      <c r="F1461" s="231"/>
      <c r="G1461" s="231"/>
      <c r="H1461" s="235"/>
      <c r="I1461" s="235"/>
      <c r="J1461" s="236"/>
      <c r="K1461" s="236"/>
    </row>
    <row r="1462" spans="2:11">
      <c r="B1462" s="235"/>
      <c r="C1462" s="231"/>
      <c r="D1462" s="231"/>
      <c r="E1462" s="231"/>
      <c r="F1462" s="231"/>
      <c r="G1462" s="231"/>
      <c r="H1462" s="235"/>
      <c r="I1462" s="235"/>
      <c r="J1462" s="236"/>
      <c r="K1462" s="236"/>
    </row>
    <row r="1463" spans="2:11">
      <c r="B1463" s="235"/>
      <c r="C1463" s="231"/>
      <c r="D1463" s="231"/>
      <c r="E1463" s="231"/>
      <c r="F1463" s="231"/>
      <c r="G1463" s="231"/>
      <c r="H1463" s="235"/>
      <c r="I1463" s="235"/>
      <c r="J1463" s="236"/>
      <c r="K1463" s="236"/>
    </row>
    <row r="1464" spans="2:11">
      <c r="B1464" s="235"/>
      <c r="C1464" s="231"/>
      <c r="D1464" s="231"/>
      <c r="E1464" s="231"/>
      <c r="F1464" s="231"/>
      <c r="G1464" s="231"/>
      <c r="H1464" s="235"/>
      <c r="I1464" s="235"/>
      <c r="J1464" s="236"/>
      <c r="K1464" s="236"/>
    </row>
    <row r="1465" spans="2:11">
      <c r="B1465" s="235"/>
      <c r="C1465" s="231"/>
      <c r="D1465" s="231"/>
      <c r="E1465" s="231"/>
      <c r="F1465" s="231"/>
      <c r="G1465" s="231"/>
      <c r="H1465" s="235"/>
      <c r="I1465" s="235"/>
      <c r="J1465" s="236"/>
      <c r="K1465" s="236"/>
    </row>
    <row r="1466" spans="2:11">
      <c r="B1466" s="235"/>
      <c r="C1466" s="231"/>
      <c r="D1466" s="231"/>
      <c r="E1466" s="231"/>
      <c r="F1466" s="231"/>
      <c r="G1466" s="231"/>
      <c r="H1466" s="235"/>
      <c r="I1466" s="235"/>
      <c r="J1466" s="236"/>
      <c r="K1466" s="236"/>
    </row>
    <row r="1467" spans="2:11">
      <c r="B1467" s="235"/>
      <c r="C1467" s="231"/>
      <c r="D1467" s="231"/>
      <c r="E1467" s="231"/>
      <c r="F1467" s="231"/>
      <c r="G1467" s="231"/>
      <c r="H1467" s="235"/>
      <c r="I1467" s="235"/>
      <c r="J1467" s="236"/>
      <c r="K1467" s="236"/>
    </row>
    <row r="1468" spans="2:11">
      <c r="B1468" s="235"/>
      <c r="C1468" s="231"/>
      <c r="D1468" s="231"/>
      <c r="E1468" s="231"/>
      <c r="F1468" s="231"/>
      <c r="G1468" s="231"/>
      <c r="H1468" s="235"/>
      <c r="I1468" s="235"/>
      <c r="J1468" s="236"/>
      <c r="K1468" s="236"/>
    </row>
    <row r="1469" spans="2:11">
      <c r="B1469" s="235"/>
      <c r="C1469" s="231"/>
      <c r="D1469" s="231"/>
      <c r="E1469" s="231"/>
      <c r="F1469" s="231"/>
      <c r="G1469" s="231"/>
      <c r="H1469" s="235"/>
      <c r="I1469" s="235"/>
      <c r="J1469" s="236"/>
      <c r="K1469" s="236"/>
    </row>
    <row r="1470" spans="2:11">
      <c r="B1470" s="235"/>
      <c r="C1470" s="231"/>
      <c r="D1470" s="231"/>
      <c r="E1470" s="231"/>
      <c r="F1470" s="231"/>
      <c r="G1470" s="231"/>
      <c r="H1470" s="235"/>
      <c r="I1470" s="235"/>
      <c r="J1470" s="236"/>
      <c r="K1470" s="236"/>
    </row>
    <row r="1471" spans="2:11">
      <c r="B1471" s="235"/>
      <c r="C1471" s="231"/>
      <c r="D1471" s="231"/>
      <c r="E1471" s="231"/>
      <c r="F1471" s="231"/>
      <c r="G1471" s="231"/>
      <c r="H1471" s="235"/>
      <c r="I1471" s="235"/>
      <c r="J1471" s="236"/>
      <c r="K1471" s="236"/>
    </row>
    <row r="1472" spans="2:11">
      <c r="B1472" s="235"/>
      <c r="C1472" s="231"/>
      <c r="D1472" s="231"/>
      <c r="E1472" s="231"/>
      <c r="F1472" s="231"/>
      <c r="G1472" s="231"/>
      <c r="H1472" s="235"/>
      <c r="I1472" s="235"/>
      <c r="J1472" s="236"/>
      <c r="K1472" s="236"/>
    </row>
    <row r="1473" spans="2:11">
      <c r="B1473" s="235"/>
      <c r="C1473" s="231"/>
      <c r="D1473" s="231"/>
      <c r="E1473" s="231"/>
      <c r="F1473" s="231"/>
      <c r="G1473" s="231"/>
      <c r="H1473" s="235"/>
      <c r="I1473" s="235"/>
      <c r="J1473" s="236"/>
      <c r="K1473" s="236"/>
    </row>
    <row r="1474" spans="2:11">
      <c r="B1474" s="235"/>
      <c r="C1474" s="231"/>
      <c r="D1474" s="231"/>
      <c r="E1474" s="231"/>
      <c r="F1474" s="231"/>
      <c r="G1474" s="231"/>
      <c r="H1474" s="235"/>
      <c r="I1474" s="235"/>
      <c r="J1474" s="236"/>
      <c r="K1474" s="236"/>
    </row>
    <row r="1475" spans="2:11">
      <c r="B1475" s="235"/>
      <c r="C1475" s="231"/>
      <c r="D1475" s="231"/>
      <c r="E1475" s="231"/>
      <c r="F1475" s="231"/>
      <c r="G1475" s="231"/>
      <c r="H1475" s="235"/>
      <c r="I1475" s="235"/>
      <c r="J1475" s="236"/>
      <c r="K1475" s="236"/>
    </row>
    <row r="1476" spans="2:11">
      <c r="B1476" s="235"/>
      <c r="C1476" s="231"/>
      <c r="D1476" s="231"/>
      <c r="E1476" s="231"/>
      <c r="F1476" s="231"/>
      <c r="G1476" s="231"/>
      <c r="H1476" s="235"/>
      <c r="I1476" s="235"/>
      <c r="J1476" s="236"/>
      <c r="K1476" s="236"/>
    </row>
    <row r="1477" spans="2:11">
      <c r="B1477" s="235"/>
      <c r="C1477" s="231"/>
      <c r="D1477" s="231"/>
      <c r="E1477" s="231"/>
      <c r="F1477" s="231"/>
      <c r="G1477" s="231"/>
      <c r="H1477" s="235"/>
      <c r="I1477" s="235"/>
      <c r="J1477" s="236"/>
      <c r="K1477" s="236"/>
    </row>
    <row r="1478" spans="2:11">
      <c r="B1478" s="235"/>
      <c r="C1478" s="231"/>
      <c r="D1478" s="231"/>
      <c r="E1478" s="231"/>
      <c r="F1478" s="231"/>
      <c r="G1478" s="231"/>
      <c r="H1478" s="235"/>
      <c r="I1478" s="235"/>
      <c r="J1478" s="236"/>
      <c r="K1478" s="236"/>
    </row>
    <row r="1479" spans="2:11">
      <c r="B1479" s="235"/>
      <c r="C1479" s="231"/>
      <c r="D1479" s="231"/>
      <c r="E1479" s="231"/>
      <c r="F1479" s="231"/>
      <c r="G1479" s="231"/>
      <c r="H1479" s="235"/>
      <c r="I1479" s="235"/>
      <c r="J1479" s="236"/>
      <c r="K1479" s="236"/>
    </row>
    <row r="1480" spans="2:11">
      <c r="B1480" s="235"/>
      <c r="C1480" s="231"/>
      <c r="D1480" s="231"/>
      <c r="E1480" s="231"/>
      <c r="F1480" s="231"/>
      <c r="G1480" s="231"/>
      <c r="H1480" s="235"/>
      <c r="I1480" s="235"/>
      <c r="J1480" s="236"/>
      <c r="K1480" s="236"/>
    </row>
    <row r="1481" spans="2:11">
      <c r="B1481" s="235"/>
      <c r="C1481" s="231"/>
      <c r="D1481" s="231"/>
      <c r="E1481" s="231"/>
      <c r="F1481" s="231"/>
      <c r="G1481" s="231"/>
      <c r="H1481" s="235"/>
      <c r="I1481" s="235"/>
      <c r="J1481" s="236"/>
      <c r="K1481" s="236"/>
    </row>
    <row r="1482" spans="2:11">
      <c r="B1482" s="235"/>
      <c r="C1482" s="231"/>
      <c r="D1482" s="231"/>
      <c r="E1482" s="231"/>
      <c r="F1482" s="231"/>
      <c r="G1482" s="231"/>
      <c r="H1482" s="235"/>
      <c r="I1482" s="235"/>
      <c r="J1482" s="236"/>
      <c r="K1482" s="236"/>
    </row>
    <row r="1483" spans="2:11">
      <c r="B1483" s="235"/>
      <c r="C1483" s="231"/>
      <c r="D1483" s="231"/>
      <c r="E1483" s="231"/>
      <c r="F1483" s="231"/>
      <c r="G1483" s="231"/>
      <c r="H1483" s="235"/>
      <c r="I1483" s="235"/>
      <c r="J1483" s="236"/>
      <c r="K1483" s="236"/>
    </row>
    <row r="1484" spans="2:11">
      <c r="B1484" s="235"/>
      <c r="C1484" s="231"/>
      <c r="D1484" s="231"/>
      <c r="E1484" s="231"/>
      <c r="F1484" s="231"/>
      <c r="G1484" s="231"/>
      <c r="H1484" s="235"/>
      <c r="I1484" s="235"/>
      <c r="J1484" s="236"/>
      <c r="K1484" s="236"/>
    </row>
    <row r="1485" spans="2:11">
      <c r="B1485" s="235"/>
      <c r="C1485" s="231"/>
      <c r="D1485" s="231"/>
      <c r="E1485" s="231"/>
      <c r="F1485" s="231"/>
      <c r="G1485" s="231"/>
      <c r="H1485" s="235"/>
      <c r="I1485" s="235"/>
      <c r="J1485" s="236"/>
      <c r="K1485" s="236"/>
    </row>
    <row r="1486" spans="2:11">
      <c r="B1486" s="235"/>
      <c r="C1486" s="231"/>
      <c r="D1486" s="231"/>
      <c r="E1486" s="231"/>
      <c r="F1486" s="231"/>
      <c r="G1486" s="231"/>
      <c r="H1486" s="235"/>
      <c r="I1486" s="235"/>
      <c r="J1486" s="236"/>
      <c r="K1486" s="236"/>
    </row>
    <row r="1487" spans="2:11">
      <c r="B1487" s="235"/>
      <c r="C1487" s="231"/>
      <c r="D1487" s="231"/>
      <c r="E1487" s="231"/>
      <c r="F1487" s="231"/>
      <c r="G1487" s="231"/>
      <c r="H1487" s="235"/>
      <c r="I1487" s="235"/>
      <c r="J1487" s="236"/>
      <c r="K1487" s="236"/>
    </row>
    <row r="1488" spans="2:11">
      <c r="B1488" s="235"/>
      <c r="C1488" s="231"/>
      <c r="D1488" s="231"/>
      <c r="E1488" s="231"/>
      <c r="F1488" s="231"/>
      <c r="G1488" s="231"/>
      <c r="H1488" s="235"/>
      <c r="I1488" s="235"/>
      <c r="J1488" s="236"/>
      <c r="K1488" s="236"/>
    </row>
    <row r="1489" spans="2:11">
      <c r="B1489" s="235"/>
      <c r="C1489" s="231"/>
      <c r="D1489" s="231"/>
      <c r="E1489" s="231"/>
      <c r="F1489" s="231"/>
      <c r="G1489" s="231"/>
      <c r="H1489" s="235"/>
      <c r="I1489" s="235"/>
      <c r="J1489" s="236"/>
      <c r="K1489" s="236"/>
    </row>
    <row r="1490" spans="2:11">
      <c r="B1490" s="235"/>
      <c r="C1490" s="231"/>
      <c r="D1490" s="231"/>
      <c r="E1490" s="231"/>
      <c r="F1490" s="231"/>
      <c r="G1490" s="231"/>
      <c r="H1490" s="235"/>
      <c r="I1490" s="235"/>
      <c r="J1490" s="236"/>
      <c r="K1490" s="236"/>
    </row>
    <row r="1491" spans="2:11">
      <c r="B1491" s="235"/>
      <c r="C1491" s="231"/>
      <c r="D1491" s="231"/>
      <c r="E1491" s="231"/>
      <c r="F1491" s="231"/>
      <c r="G1491" s="231"/>
      <c r="H1491" s="235"/>
      <c r="I1491" s="235"/>
      <c r="J1491" s="236"/>
      <c r="K1491" s="236"/>
    </row>
    <row r="1492" spans="2:11">
      <c r="B1492" s="235"/>
      <c r="C1492" s="231"/>
      <c r="D1492" s="231"/>
      <c r="E1492" s="231"/>
      <c r="F1492" s="231"/>
      <c r="G1492" s="231"/>
      <c r="H1492" s="235"/>
      <c r="I1492" s="235"/>
      <c r="J1492" s="236"/>
      <c r="K1492" s="236"/>
    </row>
    <row r="1493" spans="2:11">
      <c r="B1493" s="235"/>
      <c r="C1493" s="231"/>
      <c r="D1493" s="231"/>
      <c r="E1493" s="231"/>
      <c r="F1493" s="231"/>
      <c r="G1493" s="231"/>
      <c r="H1493" s="235"/>
      <c r="I1493" s="235"/>
      <c r="J1493" s="236"/>
      <c r="K1493" s="236"/>
    </row>
    <row r="1494" spans="2:11">
      <c r="B1494" s="235"/>
      <c r="C1494" s="231"/>
      <c r="D1494" s="231"/>
      <c r="E1494" s="231"/>
      <c r="F1494" s="231"/>
      <c r="G1494" s="231"/>
      <c r="H1494" s="235"/>
      <c r="I1494" s="235"/>
      <c r="J1494" s="236"/>
      <c r="K1494" s="236"/>
    </row>
    <row r="1495" spans="2:11">
      <c r="B1495" s="235"/>
      <c r="C1495" s="231"/>
      <c r="D1495" s="231"/>
      <c r="E1495" s="231"/>
      <c r="F1495" s="231"/>
      <c r="G1495" s="231"/>
      <c r="H1495" s="235"/>
      <c r="I1495" s="235"/>
      <c r="J1495" s="236"/>
      <c r="K1495" s="236"/>
    </row>
    <row r="1496" spans="2:11">
      <c r="B1496" s="235"/>
      <c r="C1496" s="231"/>
      <c r="D1496" s="231"/>
      <c r="E1496" s="231"/>
      <c r="F1496" s="231"/>
      <c r="G1496" s="231"/>
      <c r="H1496" s="235"/>
      <c r="I1496" s="235"/>
      <c r="J1496" s="236"/>
      <c r="K1496" s="236"/>
    </row>
    <row r="1497" spans="2:11">
      <c r="B1497" s="235"/>
      <c r="C1497" s="231"/>
      <c r="D1497" s="231"/>
      <c r="E1497" s="231"/>
      <c r="F1497" s="231"/>
      <c r="G1497" s="231"/>
      <c r="H1497" s="235"/>
      <c r="I1497" s="235"/>
      <c r="J1497" s="236"/>
      <c r="K1497" s="236"/>
    </row>
    <row r="1498" spans="2:11">
      <c r="B1498" s="235"/>
      <c r="C1498" s="231"/>
      <c r="D1498" s="231"/>
      <c r="E1498" s="231"/>
      <c r="F1498" s="231"/>
      <c r="G1498" s="231"/>
      <c r="H1498" s="235"/>
      <c r="I1498" s="235"/>
      <c r="J1498" s="236"/>
      <c r="K1498" s="236"/>
    </row>
    <row r="1499" spans="2:11">
      <c r="B1499" s="235"/>
      <c r="C1499" s="231"/>
      <c r="D1499" s="231"/>
      <c r="E1499" s="231"/>
      <c r="F1499" s="231"/>
      <c r="G1499" s="231"/>
      <c r="H1499" s="235"/>
      <c r="I1499" s="235"/>
      <c r="J1499" s="236"/>
      <c r="K1499" s="236"/>
    </row>
    <row r="1500" spans="2:11">
      <c r="B1500" s="235"/>
      <c r="C1500" s="231"/>
      <c r="D1500" s="231"/>
      <c r="E1500" s="231"/>
      <c r="F1500" s="231"/>
      <c r="G1500" s="231"/>
      <c r="H1500" s="235"/>
      <c r="I1500" s="235"/>
      <c r="J1500" s="236"/>
      <c r="K1500" s="236"/>
    </row>
    <row r="1501" spans="2:11">
      <c r="B1501" s="235"/>
      <c r="C1501" s="231"/>
      <c r="D1501" s="231"/>
      <c r="E1501" s="231"/>
      <c r="F1501" s="231"/>
      <c r="G1501" s="231"/>
      <c r="H1501" s="235"/>
      <c r="I1501" s="235"/>
      <c r="J1501" s="236"/>
      <c r="K1501" s="236"/>
    </row>
    <row r="1502" spans="2:11">
      <c r="B1502" s="235"/>
      <c r="C1502" s="231"/>
      <c r="D1502" s="231"/>
      <c r="E1502" s="231"/>
      <c r="F1502" s="231"/>
      <c r="G1502" s="231"/>
      <c r="H1502" s="235"/>
      <c r="I1502" s="235"/>
      <c r="J1502" s="236"/>
      <c r="K1502" s="236"/>
    </row>
    <row r="1503" spans="2:11">
      <c r="B1503" s="235"/>
      <c r="C1503" s="231"/>
      <c r="D1503" s="231"/>
      <c r="E1503" s="231"/>
      <c r="F1503" s="231"/>
      <c r="G1503" s="231"/>
      <c r="H1503" s="235"/>
      <c r="I1503" s="235"/>
      <c r="J1503" s="236"/>
      <c r="K1503" s="236"/>
    </row>
    <row r="1504" spans="2:11">
      <c r="B1504" s="235"/>
      <c r="C1504" s="231"/>
      <c r="D1504" s="231"/>
      <c r="E1504" s="231"/>
      <c r="F1504" s="231"/>
      <c r="G1504" s="231"/>
      <c r="H1504" s="235"/>
      <c r="I1504" s="235"/>
      <c r="J1504" s="236"/>
      <c r="K1504" s="236"/>
    </row>
    <row r="1505" spans="2:11">
      <c r="B1505" s="235"/>
      <c r="C1505" s="231"/>
      <c r="D1505" s="231"/>
      <c r="E1505" s="231"/>
      <c r="F1505" s="231"/>
      <c r="G1505" s="231"/>
      <c r="H1505" s="235"/>
      <c r="I1505" s="235"/>
      <c r="J1505" s="236"/>
      <c r="K1505" s="236"/>
    </row>
    <row r="1506" spans="2:11">
      <c r="B1506" s="235"/>
      <c r="C1506" s="231"/>
      <c r="D1506" s="231"/>
      <c r="E1506" s="231"/>
      <c r="F1506" s="231"/>
      <c r="G1506" s="231"/>
      <c r="H1506" s="235"/>
      <c r="I1506" s="235"/>
      <c r="J1506" s="236"/>
      <c r="K1506" s="236"/>
    </row>
    <row r="1507" spans="2:11">
      <c r="B1507" s="235"/>
      <c r="C1507" s="231"/>
      <c r="D1507" s="231"/>
      <c r="E1507" s="231"/>
      <c r="F1507" s="231"/>
      <c r="G1507" s="231"/>
      <c r="H1507" s="235"/>
      <c r="I1507" s="235"/>
      <c r="J1507" s="236"/>
      <c r="K1507" s="236"/>
    </row>
    <row r="1508" spans="2:11">
      <c r="B1508" s="235"/>
      <c r="C1508" s="231"/>
      <c r="D1508" s="231"/>
      <c r="E1508" s="231"/>
      <c r="F1508" s="231"/>
      <c r="G1508" s="231"/>
      <c r="H1508" s="235"/>
      <c r="I1508" s="235"/>
      <c r="J1508" s="236"/>
      <c r="K1508" s="236"/>
    </row>
    <row r="1509" spans="2:11">
      <c r="B1509" s="235"/>
      <c r="C1509" s="231"/>
      <c r="D1509" s="231"/>
      <c r="E1509" s="231"/>
      <c r="F1509" s="231"/>
      <c r="G1509" s="231"/>
      <c r="H1509" s="235"/>
      <c r="I1509" s="235"/>
      <c r="J1509" s="236"/>
      <c r="K1509" s="236"/>
    </row>
    <row r="1510" spans="2:11">
      <c r="B1510" s="235"/>
      <c r="C1510" s="231"/>
      <c r="D1510" s="231"/>
      <c r="E1510" s="231"/>
      <c r="F1510" s="231"/>
      <c r="G1510" s="231"/>
      <c r="H1510" s="235"/>
      <c r="I1510" s="235"/>
      <c r="J1510" s="236"/>
      <c r="K1510" s="236"/>
    </row>
    <row r="1511" spans="2:11">
      <c r="B1511" s="235"/>
      <c r="C1511" s="231"/>
      <c r="D1511" s="231"/>
      <c r="E1511" s="231"/>
      <c r="F1511" s="231"/>
      <c r="G1511" s="231"/>
      <c r="H1511" s="235"/>
      <c r="I1511" s="235"/>
      <c r="J1511" s="236"/>
      <c r="K1511" s="236"/>
    </row>
    <row r="1512" spans="2:11">
      <c r="B1512" s="235"/>
      <c r="C1512" s="231"/>
      <c r="D1512" s="231"/>
      <c r="E1512" s="231"/>
      <c r="F1512" s="231"/>
      <c r="G1512" s="231"/>
      <c r="H1512" s="235"/>
      <c r="I1512" s="235"/>
      <c r="J1512" s="236"/>
      <c r="K1512" s="236"/>
    </row>
    <row r="1513" spans="2:11">
      <c r="B1513" s="235"/>
      <c r="C1513" s="231"/>
      <c r="D1513" s="231"/>
      <c r="E1513" s="231"/>
      <c r="F1513" s="231"/>
      <c r="G1513" s="231"/>
      <c r="H1513" s="235"/>
      <c r="I1513" s="235"/>
      <c r="J1513" s="236"/>
      <c r="K1513" s="236"/>
    </row>
    <row r="1514" spans="2:11">
      <c r="B1514" s="235"/>
      <c r="C1514" s="231"/>
      <c r="D1514" s="231"/>
      <c r="E1514" s="231"/>
      <c r="F1514" s="231"/>
      <c r="G1514" s="231"/>
      <c r="H1514" s="235"/>
      <c r="I1514" s="235"/>
      <c r="J1514" s="236"/>
      <c r="K1514" s="236"/>
    </row>
    <row r="1515" spans="2:11">
      <c r="B1515" s="235"/>
      <c r="C1515" s="231"/>
      <c r="D1515" s="231"/>
      <c r="E1515" s="231"/>
      <c r="F1515" s="231"/>
      <c r="G1515" s="231"/>
      <c r="H1515" s="235"/>
      <c r="I1515" s="235"/>
      <c r="J1515" s="236"/>
      <c r="K1515" s="236"/>
    </row>
    <row r="1516" spans="2:11">
      <c r="B1516" s="235"/>
      <c r="C1516" s="231"/>
      <c r="D1516" s="231"/>
      <c r="E1516" s="231"/>
      <c r="F1516" s="231"/>
      <c r="G1516" s="231"/>
      <c r="H1516" s="235"/>
      <c r="I1516" s="235"/>
      <c r="J1516" s="236"/>
      <c r="K1516" s="236"/>
    </row>
    <row r="1517" spans="2:11">
      <c r="B1517" s="235"/>
      <c r="C1517" s="231"/>
      <c r="D1517" s="231"/>
      <c r="E1517" s="231"/>
      <c r="F1517" s="231"/>
      <c r="G1517" s="231"/>
      <c r="H1517" s="235"/>
      <c r="I1517" s="235"/>
      <c r="J1517" s="236"/>
      <c r="K1517" s="236"/>
    </row>
    <row r="1518" spans="2:11">
      <c r="B1518" s="235"/>
      <c r="C1518" s="231"/>
      <c r="D1518" s="231"/>
      <c r="E1518" s="231"/>
      <c r="F1518" s="231"/>
      <c r="G1518" s="231"/>
      <c r="H1518" s="235"/>
      <c r="I1518" s="235"/>
      <c r="J1518" s="236"/>
      <c r="K1518" s="236"/>
    </row>
    <row r="1519" spans="2:11">
      <c r="B1519" s="235"/>
      <c r="C1519" s="231"/>
      <c r="D1519" s="231"/>
      <c r="E1519" s="231"/>
      <c r="F1519" s="231"/>
      <c r="G1519" s="231"/>
      <c r="H1519" s="235"/>
      <c r="I1519" s="235"/>
      <c r="J1519" s="236"/>
      <c r="K1519" s="236"/>
    </row>
    <row r="1520" spans="2:11">
      <c r="B1520" s="235"/>
      <c r="C1520" s="231"/>
      <c r="D1520" s="231"/>
      <c r="E1520" s="231"/>
      <c r="F1520" s="231"/>
      <c r="G1520" s="231"/>
      <c r="H1520" s="235"/>
      <c r="I1520" s="235"/>
      <c r="J1520" s="236"/>
      <c r="K1520" s="236"/>
    </row>
    <row r="1521" spans="2:11">
      <c r="B1521" s="235"/>
      <c r="C1521" s="231"/>
      <c r="D1521" s="231"/>
      <c r="E1521" s="231"/>
      <c r="F1521" s="231"/>
      <c r="G1521" s="231"/>
      <c r="H1521" s="235"/>
      <c r="I1521" s="235"/>
      <c r="J1521" s="236"/>
      <c r="K1521" s="236"/>
    </row>
    <row r="1522" spans="2:11">
      <c r="B1522" s="235"/>
      <c r="C1522" s="231"/>
      <c r="D1522" s="231"/>
      <c r="E1522" s="231"/>
      <c r="F1522" s="231"/>
      <c r="G1522" s="231"/>
      <c r="H1522" s="235"/>
      <c r="I1522" s="235"/>
      <c r="J1522" s="236"/>
      <c r="K1522" s="236"/>
    </row>
    <row r="1523" spans="2:11">
      <c r="B1523" s="235"/>
      <c r="C1523" s="231"/>
      <c r="D1523" s="231"/>
      <c r="E1523" s="231"/>
      <c r="F1523" s="231"/>
      <c r="G1523" s="231"/>
      <c r="H1523" s="235"/>
      <c r="I1523" s="235"/>
      <c r="J1523" s="236"/>
      <c r="K1523" s="236"/>
    </row>
    <row r="1524" spans="2:11">
      <c r="B1524" s="235"/>
      <c r="C1524" s="231"/>
      <c r="D1524" s="231"/>
      <c r="E1524" s="231"/>
      <c r="F1524" s="231"/>
      <c r="G1524" s="231"/>
      <c r="H1524" s="235"/>
      <c r="I1524" s="235"/>
      <c r="J1524" s="236"/>
      <c r="K1524" s="236"/>
    </row>
    <row r="1525" spans="2:11">
      <c r="B1525" s="235"/>
      <c r="C1525" s="231"/>
      <c r="D1525" s="231"/>
      <c r="E1525" s="231"/>
      <c r="F1525" s="231"/>
      <c r="G1525" s="231"/>
      <c r="H1525" s="235"/>
      <c r="I1525" s="235"/>
      <c r="J1525" s="236"/>
      <c r="K1525" s="236"/>
    </row>
    <row r="1526" spans="2:11">
      <c r="B1526" s="235"/>
      <c r="C1526" s="231"/>
      <c r="D1526" s="231"/>
      <c r="E1526" s="231"/>
      <c r="F1526" s="231"/>
      <c r="G1526" s="231"/>
      <c r="H1526" s="235"/>
      <c r="I1526" s="235"/>
      <c r="J1526" s="236"/>
      <c r="K1526" s="236"/>
    </row>
    <row r="1527" spans="2:11">
      <c r="B1527" s="235"/>
      <c r="C1527" s="231"/>
      <c r="D1527" s="231"/>
      <c r="E1527" s="231"/>
      <c r="F1527" s="231"/>
      <c r="G1527" s="231"/>
      <c r="H1527" s="235"/>
      <c r="I1527" s="235"/>
      <c r="J1527" s="236"/>
      <c r="K1527" s="236"/>
    </row>
    <row r="1528" spans="2:11">
      <c r="B1528" s="235"/>
      <c r="C1528" s="231"/>
      <c r="D1528" s="231"/>
      <c r="E1528" s="231"/>
      <c r="F1528" s="231"/>
      <c r="G1528" s="231"/>
      <c r="H1528" s="235"/>
      <c r="I1528" s="235"/>
      <c r="J1528" s="236"/>
      <c r="K1528" s="236"/>
    </row>
    <row r="1529" spans="2:11">
      <c r="B1529" s="235"/>
      <c r="C1529" s="231"/>
      <c r="D1529" s="231"/>
      <c r="E1529" s="231"/>
      <c r="F1529" s="231"/>
      <c r="G1529" s="231"/>
      <c r="H1529" s="235"/>
      <c r="I1529" s="235"/>
      <c r="J1529" s="236"/>
      <c r="K1529" s="236"/>
    </row>
    <row r="1530" spans="2:11">
      <c r="B1530" s="235"/>
      <c r="C1530" s="231"/>
      <c r="D1530" s="231"/>
      <c r="E1530" s="231"/>
      <c r="F1530" s="231"/>
      <c r="G1530" s="231"/>
      <c r="H1530" s="235"/>
      <c r="I1530" s="235"/>
      <c r="J1530" s="236"/>
      <c r="K1530" s="236"/>
    </row>
    <row r="1531" spans="2:11">
      <c r="B1531" s="235"/>
      <c r="C1531" s="231"/>
      <c r="D1531" s="231"/>
      <c r="E1531" s="231"/>
      <c r="F1531" s="231"/>
      <c r="G1531" s="231"/>
      <c r="H1531" s="235"/>
      <c r="I1531" s="235"/>
      <c r="J1531" s="236"/>
      <c r="K1531" s="236"/>
    </row>
    <row r="1532" spans="2:11">
      <c r="B1532" s="235"/>
      <c r="C1532" s="231"/>
      <c r="D1532" s="231"/>
      <c r="E1532" s="231"/>
      <c r="F1532" s="231"/>
      <c r="G1532" s="231"/>
      <c r="H1532" s="235"/>
      <c r="I1532" s="235"/>
      <c r="J1532" s="236"/>
      <c r="K1532" s="236"/>
    </row>
    <row r="1533" spans="2:11">
      <c r="B1533" s="235"/>
      <c r="C1533" s="231"/>
      <c r="D1533" s="231"/>
      <c r="E1533" s="231"/>
      <c r="F1533" s="231"/>
      <c r="G1533" s="231"/>
      <c r="H1533" s="235"/>
      <c r="I1533" s="235"/>
      <c r="J1533" s="236"/>
      <c r="K1533" s="236"/>
    </row>
    <row r="1534" spans="2:11">
      <c r="B1534" s="235"/>
      <c r="C1534" s="231"/>
      <c r="D1534" s="231"/>
      <c r="E1534" s="231"/>
      <c r="F1534" s="231"/>
      <c r="G1534" s="231"/>
      <c r="H1534" s="235"/>
      <c r="I1534" s="235"/>
      <c r="J1534" s="236"/>
      <c r="K1534" s="236"/>
    </row>
    <row r="1535" spans="2:11">
      <c r="B1535" s="235"/>
      <c r="C1535" s="231"/>
      <c r="D1535" s="231"/>
      <c r="E1535" s="231"/>
      <c r="F1535" s="231"/>
      <c r="G1535" s="231"/>
      <c r="H1535" s="235"/>
      <c r="I1535" s="235"/>
      <c r="J1535" s="236"/>
      <c r="K1535" s="236"/>
    </row>
    <row r="1536" spans="2:11">
      <c r="B1536" s="235"/>
      <c r="C1536" s="231"/>
      <c r="D1536" s="231"/>
      <c r="E1536" s="231"/>
      <c r="F1536" s="231"/>
      <c r="G1536" s="231"/>
      <c r="H1536" s="235"/>
      <c r="I1536" s="235"/>
      <c r="J1536" s="236"/>
      <c r="K1536" s="236"/>
    </row>
    <row r="1537" spans="2:11">
      <c r="B1537" s="235"/>
      <c r="C1537" s="231"/>
      <c r="D1537" s="231"/>
      <c r="E1537" s="231"/>
      <c r="F1537" s="231"/>
      <c r="G1537" s="231"/>
      <c r="H1537" s="235"/>
      <c r="I1537" s="235"/>
      <c r="J1537" s="236"/>
      <c r="K1537" s="236"/>
    </row>
    <row r="1538" spans="2:11">
      <c r="B1538" s="235"/>
      <c r="C1538" s="231"/>
      <c r="D1538" s="231"/>
      <c r="E1538" s="231"/>
      <c r="F1538" s="231"/>
      <c r="G1538" s="231"/>
      <c r="H1538" s="235"/>
      <c r="I1538" s="235"/>
      <c r="J1538" s="236"/>
      <c r="K1538" s="236"/>
    </row>
    <row r="1539" spans="2:11">
      <c r="B1539" s="235"/>
      <c r="C1539" s="231"/>
      <c r="D1539" s="231"/>
      <c r="E1539" s="231"/>
      <c r="F1539" s="231"/>
      <c r="G1539" s="231"/>
      <c r="H1539" s="235"/>
      <c r="I1539" s="235"/>
      <c r="J1539" s="236"/>
      <c r="K1539" s="236"/>
    </row>
    <row r="1540" spans="2:11">
      <c r="B1540" s="235"/>
      <c r="C1540" s="231"/>
      <c r="D1540" s="231"/>
      <c r="E1540" s="231"/>
      <c r="F1540" s="231"/>
      <c r="G1540" s="231"/>
      <c r="H1540" s="235"/>
      <c r="I1540" s="235"/>
      <c r="J1540" s="236"/>
      <c r="K1540" s="236"/>
    </row>
    <row r="1541" spans="2:11">
      <c r="B1541" s="235"/>
      <c r="C1541" s="231"/>
      <c r="D1541" s="231"/>
      <c r="E1541" s="231"/>
      <c r="F1541" s="231"/>
      <c r="G1541" s="231"/>
      <c r="H1541" s="235"/>
      <c r="I1541" s="235"/>
      <c r="J1541" s="236"/>
      <c r="K1541" s="236"/>
    </row>
    <row r="1542" spans="2:11">
      <c r="B1542" s="235"/>
      <c r="C1542" s="231"/>
      <c r="D1542" s="231"/>
      <c r="E1542" s="231"/>
      <c r="F1542" s="231"/>
      <c r="G1542" s="231"/>
      <c r="H1542" s="235"/>
      <c r="I1542" s="235"/>
      <c r="J1542" s="236"/>
      <c r="K1542" s="236"/>
    </row>
    <row r="1543" spans="2:11">
      <c r="B1543" s="235"/>
      <c r="C1543" s="231"/>
      <c r="D1543" s="231"/>
      <c r="E1543" s="231"/>
      <c r="F1543" s="231"/>
      <c r="G1543" s="231"/>
      <c r="H1543" s="235"/>
      <c r="I1543" s="235"/>
      <c r="J1543" s="236"/>
      <c r="K1543" s="236"/>
    </row>
    <row r="1544" spans="2:11">
      <c r="B1544" s="235"/>
      <c r="C1544" s="231"/>
      <c r="D1544" s="231"/>
      <c r="E1544" s="231"/>
      <c r="F1544" s="231"/>
      <c r="G1544" s="231"/>
      <c r="H1544" s="235"/>
      <c r="I1544" s="235"/>
      <c r="J1544" s="236"/>
      <c r="K1544" s="236"/>
    </row>
    <row r="1545" spans="2:11">
      <c r="B1545" s="235"/>
      <c r="C1545" s="231"/>
      <c r="D1545" s="231"/>
      <c r="E1545" s="231"/>
      <c r="F1545" s="231"/>
      <c r="G1545" s="231"/>
      <c r="H1545" s="235"/>
      <c r="I1545" s="235"/>
      <c r="J1545" s="236"/>
      <c r="K1545" s="236"/>
    </row>
    <row r="1546" spans="2:11">
      <c r="B1546" s="235"/>
      <c r="C1546" s="231"/>
      <c r="D1546" s="231"/>
      <c r="E1546" s="231"/>
      <c r="F1546" s="231"/>
      <c r="G1546" s="231"/>
      <c r="H1546" s="235"/>
      <c r="I1546" s="235"/>
      <c r="J1546" s="236"/>
      <c r="K1546" s="236"/>
    </row>
    <row r="1547" spans="2:11">
      <c r="B1547" s="235"/>
      <c r="C1547" s="231"/>
      <c r="D1547" s="231"/>
      <c r="E1547" s="231"/>
      <c r="F1547" s="231"/>
      <c r="G1547" s="231"/>
      <c r="H1547" s="235"/>
      <c r="I1547" s="235"/>
      <c r="J1547" s="236"/>
      <c r="K1547" s="236"/>
    </row>
    <row r="1548" spans="2:11">
      <c r="B1548" s="235"/>
      <c r="C1548" s="231"/>
      <c r="D1548" s="231"/>
      <c r="E1548" s="231"/>
      <c r="F1548" s="231"/>
      <c r="G1548" s="231"/>
      <c r="H1548" s="235"/>
      <c r="I1548" s="235"/>
      <c r="J1548" s="236"/>
      <c r="K1548" s="236"/>
    </row>
    <row r="1549" spans="2:11">
      <c r="B1549" s="235"/>
      <c r="C1549" s="231"/>
      <c r="D1549" s="231"/>
      <c r="E1549" s="231"/>
      <c r="F1549" s="231"/>
      <c r="G1549" s="231"/>
      <c r="H1549" s="235"/>
      <c r="I1549" s="235"/>
      <c r="J1549" s="236"/>
      <c r="K1549" s="236"/>
    </row>
    <row r="1550" spans="2:11">
      <c r="B1550" s="235"/>
      <c r="C1550" s="231"/>
      <c r="D1550" s="231"/>
      <c r="E1550" s="231"/>
      <c r="F1550" s="231"/>
      <c r="G1550" s="231"/>
      <c r="H1550" s="235"/>
      <c r="I1550" s="235"/>
      <c r="J1550" s="236"/>
      <c r="K1550" s="236"/>
    </row>
    <row r="1551" spans="2:11">
      <c r="B1551" s="235"/>
      <c r="C1551" s="231"/>
      <c r="D1551" s="231"/>
      <c r="E1551" s="231"/>
      <c r="F1551" s="231"/>
      <c r="G1551" s="231"/>
      <c r="H1551" s="235"/>
      <c r="I1551" s="235"/>
      <c r="J1551" s="236"/>
      <c r="K1551" s="236"/>
    </row>
    <row r="1552" spans="2:11">
      <c r="B1552" s="235"/>
      <c r="C1552" s="231"/>
      <c r="D1552" s="231"/>
      <c r="E1552" s="231"/>
      <c r="F1552" s="231"/>
      <c r="G1552" s="231"/>
      <c r="H1552" s="235"/>
      <c r="I1552" s="235"/>
      <c r="J1552" s="236"/>
      <c r="K1552" s="236"/>
    </row>
    <row r="1553" spans="2:11">
      <c r="B1553" s="235"/>
      <c r="C1553" s="231"/>
      <c r="D1553" s="231"/>
      <c r="E1553" s="231"/>
      <c r="F1553" s="231"/>
      <c r="G1553" s="231"/>
      <c r="H1553" s="235"/>
      <c r="I1553" s="235"/>
      <c r="J1553" s="236"/>
      <c r="K1553" s="236"/>
    </row>
    <row r="1554" spans="2:11">
      <c r="B1554" s="235"/>
      <c r="C1554" s="231"/>
      <c r="D1554" s="231"/>
      <c r="E1554" s="231"/>
      <c r="F1554" s="231"/>
      <c r="G1554" s="231"/>
      <c r="H1554" s="235"/>
      <c r="I1554" s="235"/>
      <c r="J1554" s="236"/>
      <c r="K1554" s="236"/>
    </row>
    <row r="1555" spans="2:11">
      <c r="B1555" s="235"/>
      <c r="C1555" s="231"/>
      <c r="D1555" s="231"/>
      <c r="E1555" s="231"/>
      <c r="F1555" s="231"/>
      <c r="G1555" s="231"/>
      <c r="H1555" s="235"/>
      <c r="I1555" s="235"/>
      <c r="J1555" s="236"/>
      <c r="K1555" s="236"/>
    </row>
    <row r="1556" spans="2:11">
      <c r="B1556" s="235"/>
      <c r="C1556" s="231"/>
      <c r="D1556" s="231"/>
      <c r="E1556" s="231"/>
      <c r="F1556" s="231"/>
      <c r="G1556" s="231"/>
      <c r="H1556" s="235"/>
      <c r="I1556" s="235"/>
      <c r="J1556" s="236"/>
      <c r="K1556" s="236"/>
    </row>
    <row r="1557" spans="2:11">
      <c r="B1557" s="235"/>
      <c r="C1557" s="231"/>
      <c r="D1557" s="231"/>
      <c r="E1557" s="231"/>
      <c r="F1557" s="231"/>
      <c r="G1557" s="231"/>
      <c r="H1557" s="235"/>
      <c r="I1557" s="235"/>
      <c r="J1557" s="236"/>
      <c r="K1557" s="236"/>
    </row>
    <row r="1558" spans="2:11">
      <c r="B1558" s="235"/>
      <c r="C1558" s="231"/>
      <c r="D1558" s="231"/>
      <c r="E1558" s="231"/>
      <c r="F1558" s="231"/>
      <c r="G1558" s="231"/>
      <c r="H1558" s="235"/>
      <c r="I1558" s="235"/>
      <c r="J1558" s="236"/>
      <c r="K1558" s="236"/>
    </row>
    <row r="1559" spans="2:11">
      <c r="B1559" s="235"/>
      <c r="C1559" s="231"/>
      <c r="D1559" s="231"/>
      <c r="E1559" s="231"/>
      <c r="F1559" s="231"/>
      <c r="G1559" s="231"/>
      <c r="H1559" s="235"/>
      <c r="I1559" s="235"/>
      <c r="J1559" s="236"/>
      <c r="K1559" s="236"/>
    </row>
    <row r="1560" spans="2:11">
      <c r="B1560" s="235"/>
      <c r="C1560" s="231"/>
      <c r="D1560" s="231"/>
      <c r="E1560" s="231"/>
      <c r="F1560" s="231"/>
      <c r="G1560" s="231"/>
      <c r="H1560" s="235"/>
      <c r="I1560" s="235"/>
      <c r="J1560" s="236"/>
      <c r="K1560" s="236"/>
    </row>
    <row r="1561" spans="2:11">
      <c r="B1561" s="235"/>
      <c r="C1561" s="231"/>
      <c r="D1561" s="231"/>
      <c r="E1561" s="231"/>
      <c r="F1561" s="231"/>
      <c r="G1561" s="231"/>
      <c r="H1561" s="235"/>
      <c r="I1561" s="235"/>
      <c r="J1561" s="236"/>
      <c r="K1561" s="236"/>
    </row>
    <row r="1562" spans="2:11">
      <c r="B1562" s="235"/>
      <c r="C1562" s="231"/>
      <c r="D1562" s="231"/>
      <c r="E1562" s="231"/>
      <c r="F1562" s="231"/>
      <c r="G1562" s="231"/>
      <c r="H1562" s="235"/>
      <c r="I1562" s="235"/>
      <c r="J1562" s="236"/>
      <c r="K1562" s="236"/>
    </row>
    <row r="1563" spans="2:11">
      <c r="B1563" s="235"/>
      <c r="C1563" s="231"/>
      <c r="D1563" s="231"/>
      <c r="E1563" s="231"/>
      <c r="F1563" s="231"/>
      <c r="G1563" s="231"/>
      <c r="H1563" s="235"/>
      <c r="I1563" s="235"/>
      <c r="J1563" s="236"/>
      <c r="K1563" s="236"/>
    </row>
    <row r="1564" spans="2:11">
      <c r="B1564" s="235"/>
      <c r="C1564" s="231"/>
      <c r="D1564" s="231"/>
      <c r="E1564" s="231"/>
      <c r="F1564" s="231"/>
      <c r="G1564" s="231"/>
      <c r="H1564" s="235"/>
      <c r="I1564" s="235"/>
      <c r="J1564" s="236"/>
      <c r="K1564" s="236"/>
    </row>
    <row r="1565" spans="2:11">
      <c r="B1565" s="235"/>
      <c r="C1565" s="231"/>
      <c r="D1565" s="231"/>
      <c r="E1565" s="231"/>
      <c r="F1565" s="231"/>
      <c r="G1565" s="231"/>
      <c r="H1565" s="235"/>
      <c r="I1565" s="235"/>
      <c r="J1565" s="236"/>
      <c r="K1565" s="236"/>
    </row>
    <row r="1566" spans="2:11">
      <c r="B1566" s="235"/>
      <c r="C1566" s="231"/>
      <c r="D1566" s="231"/>
      <c r="E1566" s="231"/>
      <c r="F1566" s="231"/>
      <c r="G1566" s="231"/>
      <c r="H1566" s="235"/>
      <c r="I1566" s="235"/>
      <c r="J1566" s="236"/>
      <c r="K1566" s="236"/>
    </row>
    <row r="1567" spans="2:11">
      <c r="B1567" s="235"/>
      <c r="C1567" s="231"/>
      <c r="D1567" s="231"/>
      <c r="E1567" s="231"/>
      <c r="F1567" s="231"/>
      <c r="G1567" s="231"/>
      <c r="H1567" s="235"/>
      <c r="I1567" s="235"/>
      <c r="J1567" s="236"/>
      <c r="K1567" s="236"/>
    </row>
    <row r="1568" spans="2:11">
      <c r="B1568" s="235"/>
      <c r="C1568" s="231"/>
      <c r="D1568" s="231"/>
      <c r="E1568" s="231"/>
      <c r="F1568" s="231"/>
      <c r="G1568" s="231"/>
      <c r="H1568" s="235"/>
      <c r="I1568" s="235"/>
      <c r="J1568" s="236"/>
      <c r="K1568" s="236"/>
    </row>
    <row r="1569" spans="2:11">
      <c r="B1569" s="235"/>
      <c r="C1569" s="231"/>
      <c r="D1569" s="231"/>
      <c r="E1569" s="231"/>
      <c r="F1569" s="231"/>
      <c r="G1569" s="231"/>
      <c r="H1569" s="235"/>
      <c r="I1569" s="235"/>
      <c r="J1569" s="236"/>
      <c r="K1569" s="236"/>
    </row>
    <row r="1570" spans="2:11">
      <c r="B1570" s="235"/>
      <c r="C1570" s="231"/>
      <c r="D1570" s="231"/>
      <c r="E1570" s="231"/>
      <c r="F1570" s="231"/>
      <c r="G1570" s="231"/>
      <c r="H1570" s="235"/>
      <c r="I1570" s="235"/>
      <c r="J1570" s="236"/>
      <c r="K1570" s="236"/>
    </row>
    <row r="1571" spans="2:11">
      <c r="B1571" s="235"/>
      <c r="C1571" s="231"/>
      <c r="D1571" s="231"/>
      <c r="E1571" s="231"/>
      <c r="F1571" s="231"/>
      <c r="G1571" s="231"/>
      <c r="H1571" s="235"/>
      <c r="I1571" s="235"/>
      <c r="J1571" s="236"/>
      <c r="K1571" s="236"/>
    </row>
    <row r="1572" spans="2:11">
      <c r="B1572" s="235"/>
      <c r="C1572" s="231"/>
      <c r="D1572" s="231"/>
      <c r="E1572" s="231"/>
      <c r="F1572" s="231"/>
      <c r="G1572" s="231"/>
      <c r="H1572" s="235"/>
      <c r="I1572" s="235"/>
      <c r="J1572" s="236"/>
      <c r="K1572" s="236"/>
    </row>
    <row r="1573" spans="2:11">
      <c r="B1573" s="235"/>
      <c r="C1573" s="231"/>
      <c r="D1573" s="231"/>
      <c r="E1573" s="231"/>
      <c r="F1573" s="231"/>
      <c r="G1573" s="231"/>
      <c r="H1573" s="235"/>
      <c r="I1573" s="235"/>
      <c r="J1573" s="236"/>
      <c r="K1573" s="236"/>
    </row>
    <row r="1574" spans="2:11">
      <c r="B1574" s="235"/>
      <c r="C1574" s="231"/>
      <c r="D1574" s="231"/>
      <c r="E1574" s="231"/>
      <c r="F1574" s="231"/>
      <c r="G1574" s="231"/>
      <c r="H1574" s="235"/>
      <c r="I1574" s="235"/>
      <c r="J1574" s="236"/>
      <c r="K1574" s="236"/>
    </row>
    <row r="1575" spans="2:11">
      <c r="B1575" s="235"/>
      <c r="C1575" s="231"/>
      <c r="D1575" s="231"/>
      <c r="E1575" s="231"/>
      <c r="F1575" s="231"/>
      <c r="G1575" s="231"/>
      <c r="H1575" s="235"/>
      <c r="I1575" s="235"/>
      <c r="J1575" s="236"/>
      <c r="K1575" s="236"/>
    </row>
    <row r="1576" spans="2:11">
      <c r="B1576" s="235"/>
      <c r="C1576" s="231"/>
      <c r="D1576" s="231"/>
      <c r="E1576" s="231"/>
      <c r="F1576" s="231"/>
      <c r="G1576" s="231"/>
      <c r="H1576" s="235"/>
      <c r="I1576" s="235"/>
      <c r="J1576" s="236"/>
      <c r="K1576" s="236"/>
    </row>
    <row r="1577" spans="2:11">
      <c r="B1577" s="235"/>
      <c r="C1577" s="231"/>
      <c r="D1577" s="231"/>
      <c r="E1577" s="231"/>
      <c r="F1577" s="231"/>
      <c r="G1577" s="231"/>
      <c r="H1577" s="235"/>
      <c r="I1577" s="235"/>
      <c r="J1577" s="236"/>
      <c r="K1577" s="236"/>
    </row>
    <row r="1578" spans="2:11">
      <c r="B1578" s="235"/>
      <c r="C1578" s="231"/>
      <c r="D1578" s="231"/>
      <c r="E1578" s="231"/>
      <c r="F1578" s="231"/>
      <c r="G1578" s="231"/>
      <c r="H1578" s="235"/>
      <c r="I1578" s="235"/>
      <c r="J1578" s="236"/>
      <c r="K1578" s="236"/>
    </row>
    <row r="1579" spans="2:11">
      <c r="B1579" s="235"/>
      <c r="C1579" s="231"/>
      <c r="D1579" s="231"/>
      <c r="E1579" s="231"/>
      <c r="F1579" s="231"/>
      <c r="G1579" s="231"/>
      <c r="H1579" s="235"/>
      <c r="I1579" s="235"/>
      <c r="J1579" s="236"/>
      <c r="K1579" s="236"/>
    </row>
    <row r="1580" spans="2:11">
      <c r="B1580" s="235"/>
      <c r="C1580" s="231"/>
      <c r="D1580" s="231"/>
      <c r="E1580" s="231"/>
      <c r="F1580" s="231"/>
      <c r="G1580" s="231"/>
      <c r="H1580" s="235"/>
      <c r="I1580" s="235"/>
      <c r="J1580" s="236"/>
      <c r="K1580" s="236"/>
    </row>
    <row r="1581" spans="2:11">
      <c r="B1581" s="235"/>
      <c r="C1581" s="231"/>
      <c r="D1581" s="231"/>
      <c r="E1581" s="231"/>
      <c r="F1581" s="231"/>
      <c r="G1581" s="231"/>
      <c r="H1581" s="235"/>
      <c r="I1581" s="235"/>
      <c r="J1581" s="236"/>
      <c r="K1581" s="236"/>
    </row>
    <row r="1582" spans="2:11">
      <c r="B1582" s="235"/>
      <c r="C1582" s="231"/>
      <c r="D1582" s="231"/>
      <c r="E1582" s="231"/>
      <c r="F1582" s="231"/>
      <c r="G1582" s="231"/>
      <c r="H1582" s="235"/>
      <c r="I1582" s="235"/>
      <c r="J1582" s="236"/>
      <c r="K1582" s="236"/>
    </row>
    <row r="1583" spans="2:11">
      <c r="B1583" s="235"/>
      <c r="C1583" s="231"/>
      <c r="D1583" s="231"/>
      <c r="E1583" s="231"/>
      <c r="F1583" s="231"/>
      <c r="G1583" s="231"/>
      <c r="H1583" s="235"/>
      <c r="I1583" s="235"/>
      <c r="J1583" s="236"/>
      <c r="K1583" s="236"/>
    </row>
    <row r="1584" spans="2:11">
      <c r="B1584" s="235"/>
      <c r="C1584" s="231"/>
      <c r="D1584" s="231"/>
      <c r="E1584" s="231"/>
      <c r="F1584" s="231"/>
      <c r="G1584" s="231"/>
      <c r="H1584" s="235"/>
      <c r="I1584" s="235"/>
      <c r="J1584" s="236"/>
      <c r="K1584" s="236"/>
    </row>
    <row r="1585" spans="2:11">
      <c r="B1585" s="235"/>
      <c r="C1585" s="231"/>
      <c r="D1585" s="231"/>
      <c r="E1585" s="231"/>
      <c r="F1585" s="231"/>
      <c r="G1585" s="231"/>
      <c r="H1585" s="235"/>
      <c r="I1585" s="235"/>
      <c r="J1585" s="236"/>
      <c r="K1585" s="236"/>
    </row>
    <row r="1586" spans="2:11">
      <c r="B1586" s="235"/>
      <c r="C1586" s="231"/>
      <c r="D1586" s="231"/>
      <c r="E1586" s="231"/>
      <c r="F1586" s="231"/>
      <c r="G1586" s="231"/>
      <c r="H1586" s="235"/>
      <c r="I1586" s="235"/>
      <c r="J1586" s="236"/>
      <c r="K1586" s="236"/>
    </row>
    <row r="1587" spans="2:11">
      <c r="B1587" s="235"/>
      <c r="C1587" s="231"/>
      <c r="D1587" s="231"/>
      <c r="E1587" s="231"/>
      <c r="F1587" s="231"/>
      <c r="G1587" s="231"/>
      <c r="H1587" s="235"/>
      <c r="I1587" s="235"/>
      <c r="J1587" s="236"/>
      <c r="K1587" s="236"/>
    </row>
    <row r="1588" spans="2:11">
      <c r="B1588" s="235"/>
      <c r="C1588" s="231"/>
      <c r="D1588" s="231"/>
      <c r="E1588" s="231"/>
      <c r="F1588" s="231"/>
      <c r="G1588" s="231"/>
      <c r="H1588" s="235"/>
      <c r="I1588" s="235"/>
      <c r="J1588" s="236"/>
      <c r="K1588" s="236"/>
    </row>
    <row r="1589" spans="2:11">
      <c r="B1589" s="235"/>
      <c r="C1589" s="231"/>
      <c r="D1589" s="231"/>
      <c r="E1589" s="231"/>
      <c r="F1589" s="231"/>
      <c r="G1589" s="231"/>
      <c r="H1589" s="235"/>
      <c r="I1589" s="235"/>
      <c r="J1589" s="236"/>
      <c r="K1589" s="236"/>
    </row>
    <row r="1590" spans="2:11">
      <c r="B1590" s="235"/>
      <c r="C1590" s="231"/>
      <c r="D1590" s="231"/>
      <c r="E1590" s="231"/>
      <c r="F1590" s="231"/>
      <c r="G1590" s="231"/>
      <c r="H1590" s="235"/>
      <c r="I1590" s="235"/>
      <c r="J1590" s="236"/>
      <c r="K1590" s="236"/>
    </row>
    <row r="1591" spans="2:11">
      <c r="B1591" s="235"/>
      <c r="C1591" s="231"/>
      <c r="D1591" s="231"/>
      <c r="E1591" s="231"/>
      <c r="F1591" s="231"/>
      <c r="G1591" s="231"/>
      <c r="H1591" s="235"/>
      <c r="I1591" s="235"/>
      <c r="J1591" s="236"/>
      <c r="K1591" s="236"/>
    </row>
    <row r="1592" spans="2:11">
      <c r="B1592" s="235"/>
      <c r="C1592" s="231"/>
      <c r="D1592" s="231"/>
      <c r="E1592" s="231"/>
      <c r="F1592" s="231"/>
      <c r="G1592" s="231"/>
      <c r="H1592" s="235"/>
      <c r="I1592" s="235"/>
      <c r="J1592" s="236"/>
      <c r="K1592" s="236"/>
    </row>
    <row r="1593" spans="2:11">
      <c r="B1593" s="235"/>
      <c r="C1593" s="231"/>
      <c r="D1593" s="231"/>
      <c r="E1593" s="231"/>
      <c r="F1593" s="231"/>
      <c r="G1593" s="231"/>
      <c r="H1593" s="235"/>
      <c r="I1593" s="235"/>
      <c r="J1593" s="236"/>
      <c r="K1593" s="236"/>
    </row>
    <row r="1594" spans="2:11">
      <c r="B1594" s="235"/>
      <c r="C1594" s="231"/>
      <c r="D1594" s="231"/>
      <c r="E1594" s="231"/>
      <c r="F1594" s="231"/>
      <c r="G1594" s="231"/>
      <c r="H1594" s="235"/>
      <c r="I1594" s="235"/>
      <c r="J1594" s="236"/>
      <c r="K1594" s="236"/>
    </row>
    <row r="1595" spans="2:11">
      <c r="B1595" s="235"/>
      <c r="C1595" s="231"/>
      <c r="D1595" s="231"/>
      <c r="E1595" s="231"/>
      <c r="F1595" s="231"/>
      <c r="G1595" s="231"/>
      <c r="H1595" s="235"/>
      <c r="I1595" s="235"/>
      <c r="J1595" s="236"/>
      <c r="K1595" s="236"/>
    </row>
    <row r="1596" spans="2:11">
      <c r="B1596" s="235"/>
      <c r="C1596" s="231"/>
      <c r="D1596" s="231"/>
      <c r="E1596" s="231"/>
      <c r="F1596" s="231"/>
      <c r="G1596" s="231"/>
      <c r="H1596" s="235"/>
      <c r="I1596" s="235"/>
      <c r="J1596" s="236"/>
      <c r="K1596" s="236"/>
    </row>
    <row r="1597" spans="2:11">
      <c r="B1597" s="235"/>
      <c r="C1597" s="231"/>
      <c r="D1597" s="231"/>
      <c r="E1597" s="231"/>
      <c r="F1597" s="231"/>
      <c r="G1597" s="231"/>
      <c r="H1597" s="235"/>
      <c r="I1597" s="235"/>
      <c r="J1597" s="236"/>
      <c r="K1597" s="236"/>
    </row>
    <row r="1598" spans="2:11">
      <c r="B1598" s="235"/>
      <c r="C1598" s="231"/>
      <c r="D1598" s="231"/>
      <c r="E1598" s="231"/>
      <c r="F1598" s="231"/>
      <c r="G1598" s="231"/>
      <c r="H1598" s="235"/>
      <c r="I1598" s="235"/>
      <c r="J1598" s="236"/>
      <c r="K1598" s="236"/>
    </row>
    <row r="1599" spans="2:11">
      <c r="B1599" s="235"/>
      <c r="C1599" s="231"/>
      <c r="D1599" s="231"/>
      <c r="E1599" s="231"/>
      <c r="F1599" s="231"/>
      <c r="G1599" s="231"/>
      <c r="H1599" s="235"/>
      <c r="I1599" s="235"/>
      <c r="J1599" s="236"/>
      <c r="K1599" s="236"/>
    </row>
    <row r="1600" spans="2:11">
      <c r="B1600" s="235"/>
      <c r="C1600" s="231"/>
      <c r="D1600" s="231"/>
      <c r="E1600" s="231"/>
      <c r="F1600" s="231"/>
      <c r="G1600" s="231"/>
      <c r="H1600" s="235"/>
      <c r="I1600" s="235"/>
      <c r="J1600" s="236"/>
      <c r="K1600" s="236"/>
    </row>
    <row r="1601" spans="2:11">
      <c r="B1601" s="235"/>
      <c r="C1601" s="231"/>
      <c r="D1601" s="231"/>
      <c r="E1601" s="231"/>
      <c r="F1601" s="231"/>
      <c r="G1601" s="231"/>
      <c r="H1601" s="235"/>
      <c r="I1601" s="235"/>
      <c r="J1601" s="236"/>
      <c r="K1601" s="236"/>
    </row>
    <row r="1602" spans="2:11">
      <c r="B1602" s="235"/>
      <c r="C1602" s="231"/>
      <c r="D1602" s="231"/>
      <c r="E1602" s="231"/>
      <c r="F1602" s="231"/>
      <c r="G1602" s="231"/>
      <c r="H1602" s="235"/>
      <c r="I1602" s="235"/>
      <c r="J1602" s="236"/>
      <c r="K1602" s="236"/>
    </row>
    <row r="1603" spans="2:11">
      <c r="B1603" s="235"/>
      <c r="C1603" s="231"/>
      <c r="D1603" s="231"/>
      <c r="E1603" s="231"/>
      <c r="F1603" s="231"/>
      <c r="G1603" s="231"/>
      <c r="H1603" s="235"/>
      <c r="I1603" s="235"/>
      <c r="J1603" s="236"/>
      <c r="K1603" s="236"/>
    </row>
    <row r="1604" spans="2:11">
      <c r="B1604" s="235"/>
      <c r="C1604" s="231"/>
      <c r="D1604" s="231"/>
      <c r="E1604" s="231"/>
      <c r="F1604" s="231"/>
      <c r="G1604" s="231"/>
      <c r="H1604" s="235"/>
      <c r="I1604" s="235"/>
      <c r="J1604" s="236"/>
      <c r="K1604" s="236"/>
    </row>
    <row r="1605" spans="2:11">
      <c r="B1605" s="235"/>
      <c r="C1605" s="231"/>
      <c r="D1605" s="231"/>
      <c r="E1605" s="231"/>
      <c r="F1605" s="231"/>
      <c r="G1605" s="231"/>
      <c r="H1605" s="235"/>
      <c r="I1605" s="235"/>
      <c r="J1605" s="236"/>
      <c r="K1605" s="236"/>
    </row>
    <row r="1606" spans="2:11">
      <c r="B1606" s="235"/>
      <c r="C1606" s="231"/>
      <c r="D1606" s="231"/>
      <c r="E1606" s="231"/>
      <c r="F1606" s="231"/>
      <c r="G1606" s="231"/>
      <c r="H1606" s="235"/>
      <c r="I1606" s="235"/>
      <c r="J1606" s="236"/>
      <c r="K1606" s="236"/>
    </row>
    <row r="1607" spans="2:11">
      <c r="B1607" s="235"/>
      <c r="C1607" s="231"/>
      <c r="D1607" s="231"/>
      <c r="E1607" s="231"/>
      <c r="F1607" s="231"/>
      <c r="G1607" s="231"/>
      <c r="H1607" s="235"/>
      <c r="I1607" s="235"/>
      <c r="J1607" s="236"/>
      <c r="K1607" s="236"/>
    </row>
    <row r="1608" spans="2:11">
      <c r="B1608" s="235"/>
      <c r="C1608" s="231"/>
      <c r="D1608" s="231"/>
      <c r="E1608" s="231"/>
      <c r="F1608" s="231"/>
      <c r="G1608" s="231"/>
      <c r="H1608" s="235"/>
      <c r="I1608" s="235"/>
      <c r="J1608" s="236"/>
      <c r="K1608" s="236"/>
    </row>
    <row r="1609" spans="2:11">
      <c r="B1609" s="235"/>
      <c r="C1609" s="231"/>
      <c r="D1609" s="231"/>
      <c r="E1609" s="231"/>
      <c r="F1609" s="231"/>
      <c r="G1609" s="231"/>
      <c r="H1609" s="235"/>
      <c r="I1609" s="235"/>
      <c r="J1609" s="236"/>
      <c r="K1609" s="236"/>
    </row>
    <row r="1610" spans="2:11">
      <c r="B1610" s="235"/>
      <c r="C1610" s="231"/>
      <c r="D1610" s="231"/>
      <c r="E1610" s="231"/>
      <c r="F1610" s="231"/>
      <c r="G1610" s="231"/>
      <c r="H1610" s="235"/>
      <c r="I1610" s="235"/>
      <c r="J1610" s="236"/>
      <c r="K1610" s="236"/>
    </row>
    <row r="1611" spans="2:11">
      <c r="B1611" s="235"/>
      <c r="C1611" s="231"/>
      <c r="D1611" s="231"/>
      <c r="E1611" s="231"/>
      <c r="F1611" s="231"/>
      <c r="G1611" s="231"/>
      <c r="H1611" s="235"/>
      <c r="I1611" s="235"/>
      <c r="J1611" s="236"/>
      <c r="K1611" s="236"/>
    </row>
    <row r="1612" spans="2:11">
      <c r="B1612" s="235"/>
      <c r="C1612" s="231"/>
      <c r="D1612" s="231"/>
      <c r="E1612" s="231"/>
      <c r="F1612" s="231"/>
      <c r="G1612" s="231"/>
      <c r="H1612" s="235"/>
      <c r="I1612" s="235"/>
      <c r="J1612" s="236"/>
      <c r="K1612" s="236"/>
    </row>
    <row r="1613" spans="2:11">
      <c r="B1613" s="235"/>
      <c r="C1613" s="231"/>
      <c r="D1613" s="231"/>
      <c r="E1613" s="231"/>
      <c r="F1613" s="231"/>
      <c r="G1613" s="231"/>
      <c r="H1613" s="235"/>
      <c r="I1613" s="235"/>
      <c r="J1613" s="236"/>
      <c r="K1613" s="236"/>
    </row>
    <row r="1614" spans="2:11">
      <c r="B1614" s="235"/>
      <c r="C1614" s="231"/>
      <c r="D1614" s="231"/>
      <c r="E1614" s="231"/>
      <c r="F1614" s="231"/>
      <c r="G1614" s="231"/>
      <c r="H1614" s="235"/>
      <c r="I1614" s="235"/>
      <c r="J1614" s="236"/>
      <c r="K1614" s="236"/>
    </row>
    <row r="1615" spans="2:11">
      <c r="B1615" s="235"/>
      <c r="C1615" s="231"/>
      <c r="D1615" s="231"/>
      <c r="E1615" s="231"/>
      <c r="F1615" s="231"/>
      <c r="G1615" s="231"/>
      <c r="H1615" s="235"/>
      <c r="I1615" s="235"/>
      <c r="J1615" s="236"/>
      <c r="K1615" s="236"/>
    </row>
    <row r="1616" spans="2:11">
      <c r="B1616" s="235"/>
      <c r="C1616" s="231"/>
      <c r="D1616" s="231"/>
      <c r="E1616" s="231"/>
      <c r="F1616" s="231"/>
      <c r="G1616" s="231"/>
      <c r="H1616" s="235"/>
      <c r="I1616" s="235"/>
      <c r="J1616" s="236"/>
      <c r="K1616" s="236"/>
    </row>
    <row r="1617" spans="2:11">
      <c r="B1617" s="235"/>
      <c r="C1617" s="231"/>
      <c r="D1617" s="231"/>
      <c r="E1617" s="231"/>
      <c r="F1617" s="231"/>
      <c r="G1617" s="231"/>
      <c r="H1617" s="235"/>
      <c r="I1617" s="235"/>
      <c r="J1617" s="236"/>
      <c r="K1617" s="236"/>
    </row>
    <row r="1618" spans="2:11">
      <c r="B1618" s="235"/>
      <c r="C1618" s="231"/>
      <c r="D1618" s="231"/>
      <c r="E1618" s="231"/>
      <c r="F1618" s="231"/>
      <c r="G1618" s="231"/>
      <c r="H1618" s="235"/>
      <c r="I1618" s="235"/>
      <c r="J1618" s="236"/>
      <c r="K1618" s="236"/>
    </row>
    <row r="1619" spans="2:11">
      <c r="B1619" s="235"/>
      <c r="C1619" s="231"/>
      <c r="D1619" s="231"/>
      <c r="E1619" s="231"/>
      <c r="F1619" s="231"/>
      <c r="G1619" s="231"/>
      <c r="H1619" s="235"/>
      <c r="I1619" s="235"/>
      <c r="J1619" s="236"/>
      <c r="K1619" s="236"/>
    </row>
    <row r="1620" spans="2:11">
      <c r="B1620" s="235"/>
      <c r="C1620" s="231"/>
      <c r="D1620" s="231"/>
      <c r="E1620" s="231"/>
      <c r="F1620" s="231"/>
      <c r="G1620" s="231"/>
      <c r="H1620" s="235"/>
      <c r="I1620" s="235"/>
      <c r="J1620" s="236"/>
      <c r="K1620" s="236"/>
    </row>
    <row r="1621" spans="2:11">
      <c r="B1621" s="235"/>
      <c r="C1621" s="231"/>
      <c r="D1621" s="231"/>
      <c r="E1621" s="231"/>
      <c r="F1621" s="231"/>
      <c r="G1621" s="231"/>
      <c r="H1621" s="235"/>
      <c r="I1621" s="235"/>
      <c r="J1621" s="236"/>
      <c r="K1621" s="236"/>
    </row>
    <row r="1622" spans="2:11">
      <c r="B1622" s="235"/>
      <c r="C1622" s="231"/>
      <c r="D1622" s="231"/>
      <c r="E1622" s="231"/>
      <c r="F1622" s="231"/>
      <c r="G1622" s="231"/>
      <c r="H1622" s="235"/>
      <c r="I1622" s="235"/>
      <c r="J1622" s="236"/>
      <c r="K1622" s="236"/>
    </row>
    <row r="1623" spans="2:11">
      <c r="B1623" s="235"/>
      <c r="C1623" s="231"/>
      <c r="D1623" s="231"/>
      <c r="E1623" s="231"/>
      <c r="F1623" s="231"/>
      <c r="G1623" s="231"/>
      <c r="H1623" s="235"/>
      <c r="I1623" s="235"/>
      <c r="J1623" s="236"/>
      <c r="K1623" s="236"/>
    </row>
    <row r="1624" spans="2:11">
      <c r="B1624" s="235"/>
      <c r="C1624" s="231"/>
      <c r="D1624" s="231"/>
      <c r="E1624" s="231"/>
      <c r="F1624" s="231"/>
      <c r="G1624" s="231"/>
      <c r="H1624" s="235"/>
      <c r="I1624" s="235"/>
      <c r="J1624" s="236"/>
      <c r="K1624" s="236"/>
    </row>
    <row r="1625" spans="2:11">
      <c r="B1625" s="235"/>
      <c r="C1625" s="231"/>
      <c r="D1625" s="231"/>
      <c r="E1625" s="231"/>
      <c r="F1625" s="231"/>
      <c r="G1625" s="231"/>
      <c r="H1625" s="235"/>
      <c r="I1625" s="235"/>
      <c r="J1625" s="236"/>
      <c r="K1625" s="236"/>
    </row>
    <row r="1626" spans="2:11">
      <c r="B1626" s="235"/>
      <c r="C1626" s="231"/>
      <c r="D1626" s="231"/>
      <c r="E1626" s="231"/>
      <c r="F1626" s="231"/>
      <c r="G1626" s="231"/>
      <c r="H1626" s="235"/>
      <c r="I1626" s="235"/>
      <c r="J1626" s="236"/>
      <c r="K1626" s="236"/>
    </row>
    <row r="1627" spans="2:11">
      <c r="B1627" s="235"/>
      <c r="C1627" s="231"/>
      <c r="D1627" s="231"/>
      <c r="E1627" s="231"/>
      <c r="F1627" s="231"/>
      <c r="G1627" s="231"/>
      <c r="H1627" s="235"/>
      <c r="I1627" s="235"/>
      <c r="J1627" s="236"/>
      <c r="K1627" s="236"/>
    </row>
    <row r="1628" spans="2:11">
      <c r="B1628" s="235"/>
      <c r="C1628" s="231"/>
      <c r="D1628" s="231"/>
      <c r="E1628" s="231"/>
      <c r="F1628" s="231"/>
      <c r="G1628" s="231"/>
      <c r="H1628" s="235"/>
      <c r="I1628" s="235"/>
      <c r="J1628" s="236"/>
      <c r="K1628" s="236"/>
    </row>
    <row r="1629" spans="2:11">
      <c r="B1629" s="235"/>
      <c r="C1629" s="231"/>
      <c r="D1629" s="231"/>
      <c r="E1629" s="231"/>
      <c r="F1629" s="231"/>
      <c r="G1629" s="231"/>
      <c r="H1629" s="235"/>
      <c r="I1629" s="235"/>
      <c r="J1629" s="236"/>
      <c r="K1629" s="236"/>
    </row>
    <row r="1630" spans="2:11">
      <c r="B1630" s="235"/>
      <c r="C1630" s="231"/>
      <c r="D1630" s="231"/>
      <c r="E1630" s="231"/>
      <c r="F1630" s="231"/>
      <c r="G1630" s="231"/>
      <c r="H1630" s="235"/>
      <c r="I1630" s="235"/>
      <c r="J1630" s="236"/>
      <c r="K1630" s="236"/>
    </row>
    <row r="1631" spans="2:11">
      <c r="B1631" s="235"/>
      <c r="C1631" s="231"/>
      <c r="D1631" s="231"/>
      <c r="E1631" s="231"/>
      <c r="F1631" s="231"/>
      <c r="G1631" s="231"/>
      <c r="H1631" s="235"/>
      <c r="I1631" s="235"/>
      <c r="J1631" s="236"/>
      <c r="K1631" s="236"/>
    </row>
    <row r="1632" spans="2:11">
      <c r="B1632" s="235"/>
      <c r="C1632" s="231"/>
      <c r="D1632" s="231"/>
      <c r="E1632" s="231"/>
      <c r="F1632" s="231"/>
      <c r="G1632" s="231"/>
      <c r="H1632" s="235"/>
      <c r="I1632" s="235"/>
      <c r="J1632" s="236"/>
      <c r="K1632" s="236"/>
    </row>
    <row r="1633" spans="2:11">
      <c r="B1633" s="235"/>
      <c r="C1633" s="231"/>
      <c r="D1633" s="231"/>
      <c r="E1633" s="231"/>
      <c r="F1633" s="231"/>
      <c r="G1633" s="231"/>
      <c r="H1633" s="235"/>
      <c r="I1633" s="235"/>
      <c r="J1633" s="236"/>
      <c r="K1633" s="236"/>
    </row>
    <row r="1634" spans="2:11">
      <c r="B1634" s="235"/>
      <c r="C1634" s="231"/>
      <c r="D1634" s="231"/>
      <c r="E1634" s="231"/>
      <c r="F1634" s="231"/>
      <c r="G1634" s="231"/>
      <c r="H1634" s="235"/>
      <c r="I1634" s="235"/>
      <c r="J1634" s="236"/>
      <c r="K1634" s="236"/>
    </row>
    <row r="1635" spans="2:11">
      <c r="B1635" s="235"/>
      <c r="C1635" s="231"/>
      <c r="D1635" s="231"/>
      <c r="E1635" s="231"/>
      <c r="F1635" s="231"/>
      <c r="G1635" s="231"/>
      <c r="H1635" s="235"/>
      <c r="I1635" s="235"/>
      <c r="J1635" s="236"/>
      <c r="K1635" s="236"/>
    </row>
    <row r="1636" spans="2:11">
      <c r="B1636" s="235"/>
      <c r="C1636" s="231"/>
      <c r="D1636" s="231"/>
      <c r="E1636" s="231"/>
      <c r="F1636" s="231"/>
      <c r="G1636" s="231"/>
      <c r="H1636" s="235"/>
      <c r="I1636" s="235"/>
      <c r="J1636" s="236"/>
      <c r="K1636" s="236"/>
    </row>
    <row r="1637" spans="2:11">
      <c r="B1637" s="235"/>
      <c r="C1637" s="231"/>
      <c r="D1637" s="231"/>
      <c r="E1637" s="231"/>
      <c r="F1637" s="231"/>
      <c r="G1637" s="231"/>
      <c r="H1637" s="235"/>
      <c r="I1637" s="235"/>
      <c r="J1637" s="236"/>
      <c r="K1637" s="236"/>
    </row>
    <row r="1638" spans="2:11">
      <c r="B1638" s="235"/>
      <c r="C1638" s="231"/>
      <c r="D1638" s="231"/>
      <c r="E1638" s="231"/>
      <c r="F1638" s="231"/>
      <c r="G1638" s="231"/>
      <c r="H1638" s="235"/>
      <c r="I1638" s="235"/>
      <c r="J1638" s="236"/>
      <c r="K1638" s="236"/>
    </row>
    <row r="1639" spans="2:11">
      <c r="B1639" s="235"/>
      <c r="C1639" s="231"/>
      <c r="D1639" s="231"/>
      <c r="E1639" s="231"/>
      <c r="F1639" s="231"/>
      <c r="G1639" s="231"/>
      <c r="H1639" s="235"/>
      <c r="I1639" s="235"/>
      <c r="J1639" s="236"/>
      <c r="K1639" s="236"/>
    </row>
    <row r="1640" spans="2:11">
      <c r="B1640" s="235"/>
      <c r="C1640" s="231"/>
      <c r="D1640" s="231"/>
      <c r="E1640" s="231"/>
      <c r="F1640" s="231"/>
      <c r="G1640" s="231"/>
      <c r="H1640" s="235"/>
      <c r="I1640" s="235"/>
      <c r="J1640" s="236"/>
      <c r="K1640" s="236"/>
    </row>
    <row r="1641" spans="2:11">
      <c r="B1641" s="235"/>
      <c r="C1641" s="231"/>
      <c r="D1641" s="231"/>
      <c r="E1641" s="231"/>
      <c r="F1641" s="231"/>
      <c r="G1641" s="231"/>
      <c r="H1641" s="235"/>
      <c r="I1641" s="235"/>
      <c r="J1641" s="236"/>
      <c r="K1641" s="236"/>
    </row>
    <row r="1642" spans="2:11">
      <c r="B1642" s="235"/>
      <c r="C1642" s="231"/>
      <c r="D1642" s="231"/>
      <c r="E1642" s="231"/>
      <c r="F1642" s="231"/>
      <c r="G1642" s="231"/>
      <c r="H1642" s="235"/>
      <c r="I1642" s="235"/>
      <c r="J1642" s="236"/>
      <c r="K1642" s="236"/>
    </row>
    <row r="1643" spans="2:11">
      <c r="B1643" s="235"/>
      <c r="C1643" s="231"/>
      <c r="D1643" s="231"/>
      <c r="E1643" s="231"/>
      <c r="F1643" s="231"/>
      <c r="G1643" s="231"/>
      <c r="H1643" s="235"/>
      <c r="I1643" s="235"/>
      <c r="J1643" s="236"/>
      <c r="K1643" s="236"/>
    </row>
    <row r="1644" spans="2:11">
      <c r="B1644" s="235"/>
      <c r="C1644" s="231"/>
      <c r="D1644" s="231"/>
      <c r="E1644" s="231"/>
      <c r="F1644" s="231"/>
      <c r="G1644" s="231"/>
      <c r="H1644" s="235"/>
      <c r="I1644" s="235"/>
      <c r="J1644" s="236"/>
      <c r="K1644" s="236"/>
    </row>
    <row r="1645" spans="2:11">
      <c r="B1645" s="235"/>
      <c r="C1645" s="231"/>
      <c r="D1645" s="231"/>
      <c r="E1645" s="231"/>
      <c r="F1645" s="231"/>
      <c r="G1645" s="231"/>
      <c r="H1645" s="235"/>
      <c r="I1645" s="235"/>
      <c r="J1645" s="236"/>
      <c r="K1645" s="236"/>
    </row>
    <row r="1646" spans="2:11">
      <c r="B1646" s="235"/>
      <c r="C1646" s="231"/>
      <c r="D1646" s="231"/>
      <c r="E1646" s="231"/>
      <c r="F1646" s="231"/>
      <c r="G1646" s="231"/>
      <c r="H1646" s="235"/>
      <c r="I1646" s="235"/>
      <c r="J1646" s="236"/>
      <c r="K1646" s="236"/>
    </row>
    <row r="1647" spans="2:11">
      <c r="B1647" s="235"/>
      <c r="C1647" s="231"/>
      <c r="D1647" s="231"/>
      <c r="E1647" s="231"/>
      <c r="F1647" s="231"/>
      <c r="G1647" s="231"/>
      <c r="H1647" s="235"/>
      <c r="I1647" s="235"/>
      <c r="J1647" s="236"/>
      <c r="K1647" s="236"/>
    </row>
    <row r="1648" spans="2:11">
      <c r="B1648" s="235"/>
      <c r="C1648" s="231"/>
      <c r="D1648" s="231"/>
      <c r="E1648" s="231"/>
      <c r="F1648" s="231"/>
      <c r="G1648" s="231"/>
      <c r="H1648" s="235"/>
      <c r="I1648" s="235"/>
      <c r="J1648" s="236"/>
      <c r="K1648" s="236"/>
    </row>
    <row r="1649" spans="2:11">
      <c r="B1649" s="235"/>
      <c r="C1649" s="231"/>
      <c r="D1649" s="231"/>
      <c r="E1649" s="231"/>
      <c r="F1649" s="231"/>
      <c r="G1649" s="231"/>
      <c r="H1649" s="235"/>
      <c r="I1649" s="235"/>
      <c r="J1649" s="236"/>
      <c r="K1649" s="236"/>
    </row>
    <row r="1650" spans="2:11">
      <c r="B1650" s="235"/>
      <c r="C1650" s="231"/>
      <c r="D1650" s="231"/>
      <c r="E1650" s="231"/>
      <c r="F1650" s="231"/>
      <c r="G1650" s="231"/>
      <c r="H1650" s="235"/>
      <c r="I1650" s="235"/>
      <c r="J1650" s="236"/>
      <c r="K1650" s="236"/>
    </row>
    <row r="1651" spans="2:11">
      <c r="B1651" s="235"/>
      <c r="C1651" s="231"/>
      <c r="D1651" s="231"/>
      <c r="E1651" s="231"/>
      <c r="F1651" s="231"/>
      <c r="G1651" s="231"/>
      <c r="H1651" s="235"/>
      <c r="I1651" s="235"/>
      <c r="J1651" s="236"/>
      <c r="K1651" s="236"/>
    </row>
    <row r="1652" spans="2:11">
      <c r="B1652" s="235"/>
      <c r="C1652" s="231"/>
      <c r="D1652" s="231"/>
      <c r="E1652" s="231"/>
      <c r="F1652" s="231"/>
      <c r="G1652" s="231"/>
      <c r="H1652" s="235"/>
      <c r="I1652" s="235"/>
      <c r="J1652" s="236"/>
      <c r="K1652" s="236"/>
    </row>
    <row r="1653" spans="2:11">
      <c r="B1653" s="235"/>
      <c r="C1653" s="231"/>
      <c r="D1653" s="231"/>
      <c r="E1653" s="231"/>
      <c r="F1653" s="231"/>
      <c r="G1653" s="231"/>
      <c r="H1653" s="235"/>
      <c r="I1653" s="235"/>
      <c r="J1653" s="236"/>
      <c r="K1653" s="236"/>
    </row>
    <row r="1654" spans="2:11">
      <c r="B1654" s="235"/>
      <c r="C1654" s="231"/>
      <c r="D1654" s="231"/>
      <c r="E1654" s="231"/>
      <c r="F1654" s="231"/>
      <c r="G1654" s="231"/>
      <c r="H1654" s="235"/>
      <c r="I1654" s="235"/>
      <c r="J1654" s="236"/>
      <c r="K1654" s="236"/>
    </row>
    <row r="1655" spans="2:11">
      <c r="B1655" s="235"/>
      <c r="C1655" s="231"/>
      <c r="D1655" s="231"/>
      <c r="E1655" s="231"/>
      <c r="F1655" s="231"/>
      <c r="G1655" s="231"/>
      <c r="H1655" s="235"/>
      <c r="I1655" s="235"/>
      <c r="J1655" s="236"/>
      <c r="K1655" s="236"/>
    </row>
    <row r="1656" spans="2:11">
      <c r="B1656" s="235"/>
      <c r="C1656" s="231"/>
      <c r="D1656" s="231"/>
      <c r="E1656" s="231"/>
      <c r="F1656" s="231"/>
      <c r="G1656" s="231"/>
      <c r="H1656" s="235"/>
      <c r="I1656" s="235"/>
      <c r="J1656" s="236"/>
      <c r="K1656" s="236"/>
    </row>
    <row r="1657" spans="2:11">
      <c r="B1657" s="235"/>
      <c r="C1657" s="231"/>
      <c r="D1657" s="231"/>
      <c r="E1657" s="231"/>
      <c r="F1657" s="231"/>
      <c r="G1657" s="231"/>
      <c r="H1657" s="235"/>
      <c r="I1657" s="235"/>
      <c r="J1657" s="236"/>
      <c r="K1657" s="236"/>
    </row>
    <row r="1658" spans="2:11">
      <c r="B1658" s="235"/>
      <c r="C1658" s="231"/>
      <c r="D1658" s="231"/>
      <c r="E1658" s="231"/>
      <c r="F1658" s="231"/>
      <c r="G1658" s="231"/>
      <c r="H1658" s="235"/>
      <c r="I1658" s="235"/>
      <c r="J1658" s="236"/>
      <c r="K1658" s="236"/>
    </row>
    <row r="1659" spans="2:11">
      <c r="B1659" s="235"/>
      <c r="C1659" s="231"/>
      <c r="D1659" s="231"/>
      <c r="E1659" s="231"/>
      <c r="F1659" s="231"/>
      <c r="G1659" s="231"/>
      <c r="H1659" s="235"/>
      <c r="I1659" s="235"/>
      <c r="J1659" s="236"/>
      <c r="K1659" s="236"/>
    </row>
    <row r="1660" spans="2:11">
      <c r="B1660" s="235"/>
      <c r="C1660" s="231"/>
      <c r="D1660" s="231"/>
      <c r="E1660" s="231"/>
      <c r="F1660" s="231"/>
      <c r="G1660" s="231"/>
      <c r="H1660" s="235"/>
      <c r="I1660" s="235"/>
      <c r="J1660" s="236"/>
      <c r="K1660" s="236"/>
    </row>
    <row r="1661" spans="2:11">
      <c r="B1661" s="235"/>
      <c r="C1661" s="231"/>
      <c r="D1661" s="231"/>
      <c r="E1661" s="231"/>
      <c r="F1661" s="231"/>
      <c r="G1661" s="231"/>
      <c r="H1661" s="235"/>
      <c r="I1661" s="235"/>
      <c r="J1661" s="236"/>
      <c r="K1661" s="236"/>
    </row>
    <row r="1662" spans="2:11">
      <c r="B1662" s="235"/>
      <c r="C1662" s="231"/>
      <c r="D1662" s="231"/>
      <c r="E1662" s="231"/>
      <c r="F1662" s="231"/>
      <c r="G1662" s="231"/>
      <c r="H1662" s="235"/>
      <c r="I1662" s="235"/>
      <c r="J1662" s="236"/>
      <c r="K1662" s="236"/>
    </row>
    <row r="1663" spans="2:11">
      <c r="B1663" s="235"/>
      <c r="C1663" s="231"/>
      <c r="D1663" s="231"/>
      <c r="E1663" s="231"/>
      <c r="F1663" s="231"/>
      <c r="G1663" s="231"/>
      <c r="H1663" s="235"/>
      <c r="I1663" s="235"/>
      <c r="J1663" s="236"/>
      <c r="K1663" s="236"/>
    </row>
    <row r="1664" spans="2:11">
      <c r="B1664" s="235"/>
      <c r="C1664" s="231"/>
      <c r="D1664" s="231"/>
      <c r="E1664" s="231"/>
      <c r="F1664" s="231"/>
      <c r="G1664" s="231"/>
      <c r="H1664" s="235"/>
      <c r="I1664" s="235"/>
      <c r="J1664" s="236"/>
      <c r="K1664" s="236"/>
    </row>
    <row r="1665" spans="2:11">
      <c r="B1665" s="235"/>
      <c r="C1665" s="231"/>
      <c r="D1665" s="231"/>
      <c r="E1665" s="231"/>
      <c r="F1665" s="231"/>
      <c r="G1665" s="231"/>
      <c r="H1665" s="235"/>
      <c r="I1665" s="235"/>
      <c r="J1665" s="236"/>
      <c r="K1665" s="236"/>
    </row>
    <row r="1666" spans="2:11">
      <c r="B1666" s="235"/>
      <c r="C1666" s="231"/>
      <c r="D1666" s="231"/>
      <c r="E1666" s="231"/>
      <c r="F1666" s="231"/>
      <c r="G1666" s="231"/>
      <c r="H1666" s="235"/>
      <c r="I1666" s="235"/>
      <c r="J1666" s="236"/>
      <c r="K1666" s="236"/>
    </row>
    <row r="1667" spans="2:11">
      <c r="B1667" s="235"/>
      <c r="C1667" s="231"/>
      <c r="D1667" s="231"/>
      <c r="E1667" s="231"/>
      <c r="F1667" s="231"/>
      <c r="G1667" s="231"/>
      <c r="H1667" s="235"/>
      <c r="I1667" s="235"/>
      <c r="J1667" s="236"/>
      <c r="K1667" s="236"/>
    </row>
    <row r="1668" spans="2:11">
      <c r="B1668" s="235"/>
      <c r="C1668" s="231"/>
      <c r="D1668" s="231"/>
      <c r="E1668" s="231"/>
      <c r="F1668" s="231"/>
      <c r="G1668" s="231"/>
      <c r="H1668" s="235"/>
      <c r="I1668" s="235"/>
      <c r="J1668" s="236"/>
      <c r="K1668" s="236"/>
    </row>
    <row r="1669" spans="2:11">
      <c r="B1669" s="235"/>
      <c r="C1669" s="231"/>
      <c r="D1669" s="231"/>
      <c r="E1669" s="231"/>
      <c r="F1669" s="231"/>
      <c r="G1669" s="231"/>
      <c r="H1669" s="235"/>
      <c r="I1669" s="235"/>
      <c r="J1669" s="236"/>
      <c r="K1669" s="236"/>
    </row>
    <row r="1670" spans="2:11">
      <c r="B1670" s="235"/>
      <c r="C1670" s="231"/>
      <c r="D1670" s="231"/>
      <c r="E1670" s="231"/>
      <c r="F1670" s="231"/>
      <c r="G1670" s="231"/>
      <c r="H1670" s="235"/>
      <c r="I1670" s="235"/>
      <c r="J1670" s="236"/>
      <c r="K1670" s="236"/>
    </row>
    <row r="1671" spans="2:11">
      <c r="B1671" s="235"/>
      <c r="C1671" s="231"/>
      <c r="D1671" s="231"/>
      <c r="E1671" s="231"/>
      <c r="F1671" s="231"/>
      <c r="G1671" s="231"/>
      <c r="H1671" s="235"/>
      <c r="I1671" s="235"/>
      <c r="J1671" s="236"/>
      <c r="K1671" s="236"/>
    </row>
    <row r="1672" spans="2:11">
      <c r="B1672" s="235"/>
      <c r="C1672" s="231"/>
      <c r="D1672" s="231"/>
      <c r="E1672" s="231"/>
      <c r="F1672" s="231"/>
      <c r="G1672" s="231"/>
      <c r="H1672" s="235"/>
      <c r="I1672" s="235"/>
      <c r="J1672" s="236"/>
      <c r="K1672" s="236"/>
    </row>
    <row r="1673" spans="2:11">
      <c r="B1673" s="235"/>
      <c r="C1673" s="231"/>
      <c r="D1673" s="231"/>
      <c r="E1673" s="231"/>
      <c r="F1673" s="231"/>
      <c r="G1673" s="231"/>
      <c r="H1673" s="235"/>
      <c r="I1673" s="235"/>
      <c r="J1673" s="236"/>
      <c r="K1673" s="236"/>
    </row>
    <row r="1674" spans="2:11">
      <c r="B1674" s="235"/>
      <c r="C1674" s="231"/>
      <c r="D1674" s="231"/>
      <c r="E1674" s="231"/>
      <c r="F1674" s="231"/>
      <c r="G1674" s="231"/>
      <c r="H1674" s="235"/>
      <c r="I1674" s="235"/>
      <c r="J1674" s="236"/>
      <c r="K1674" s="236"/>
    </row>
    <row r="1675" spans="2:11">
      <c r="B1675" s="235"/>
      <c r="C1675" s="231"/>
      <c r="D1675" s="231"/>
      <c r="E1675" s="231"/>
      <c r="F1675" s="231"/>
      <c r="G1675" s="231"/>
      <c r="H1675" s="235"/>
      <c r="I1675" s="235"/>
      <c r="J1675" s="236"/>
      <c r="K1675" s="236"/>
    </row>
    <row r="1676" spans="2:11">
      <c r="B1676" s="235"/>
      <c r="C1676" s="231"/>
      <c r="D1676" s="231"/>
      <c r="E1676" s="231"/>
      <c r="F1676" s="231"/>
      <c r="G1676" s="231"/>
      <c r="H1676" s="235"/>
      <c r="I1676" s="235"/>
      <c r="J1676" s="236"/>
      <c r="K1676" s="236"/>
    </row>
    <row r="1677" spans="2:11">
      <c r="B1677" s="235"/>
      <c r="C1677" s="231"/>
      <c r="D1677" s="231"/>
      <c r="E1677" s="231"/>
      <c r="F1677" s="231"/>
      <c r="G1677" s="231"/>
      <c r="H1677" s="235"/>
      <c r="I1677" s="235"/>
      <c r="J1677" s="236"/>
      <c r="K1677" s="236"/>
    </row>
    <row r="1678" spans="2:11">
      <c r="B1678" s="235"/>
      <c r="C1678" s="231"/>
      <c r="D1678" s="231"/>
      <c r="E1678" s="231"/>
      <c r="F1678" s="231"/>
      <c r="G1678" s="231"/>
      <c r="H1678" s="235"/>
      <c r="I1678" s="235"/>
      <c r="J1678" s="236"/>
      <c r="K1678" s="236"/>
    </row>
    <row r="1679" spans="2:11">
      <c r="B1679" s="235"/>
      <c r="C1679" s="231"/>
      <c r="D1679" s="231"/>
      <c r="E1679" s="231"/>
      <c r="F1679" s="231"/>
      <c r="G1679" s="231"/>
      <c r="H1679" s="235"/>
      <c r="I1679" s="235"/>
      <c r="J1679" s="236"/>
      <c r="K1679" s="236"/>
    </row>
    <row r="1680" spans="2:11">
      <c r="B1680" s="235"/>
      <c r="C1680" s="231"/>
      <c r="D1680" s="231"/>
      <c r="E1680" s="231"/>
      <c r="F1680" s="231"/>
      <c r="G1680" s="231"/>
      <c r="H1680" s="235"/>
      <c r="I1680" s="235"/>
      <c r="J1680" s="236"/>
      <c r="K1680" s="236"/>
    </row>
    <row r="1681" spans="2:11">
      <c r="B1681" s="235"/>
      <c r="C1681" s="231"/>
      <c r="D1681" s="231"/>
      <c r="E1681" s="231"/>
      <c r="F1681" s="231"/>
      <c r="G1681" s="231"/>
      <c r="H1681" s="235"/>
      <c r="I1681" s="235"/>
      <c r="J1681" s="236"/>
      <c r="K1681" s="236"/>
    </row>
    <row r="1682" spans="2:11">
      <c r="B1682" s="235"/>
      <c r="C1682" s="231"/>
      <c r="D1682" s="231"/>
      <c r="E1682" s="231"/>
      <c r="F1682" s="231"/>
      <c r="G1682" s="231"/>
      <c r="H1682" s="235"/>
      <c r="I1682" s="235"/>
      <c r="J1682" s="236"/>
      <c r="K1682" s="236"/>
    </row>
    <row r="1683" spans="2:11">
      <c r="B1683" s="235"/>
      <c r="C1683" s="231"/>
      <c r="D1683" s="231"/>
      <c r="E1683" s="231"/>
      <c r="F1683" s="231"/>
      <c r="G1683" s="231"/>
      <c r="H1683" s="235"/>
      <c r="I1683" s="235"/>
      <c r="J1683" s="236"/>
      <c r="K1683" s="236"/>
    </row>
    <row r="1684" spans="2:11">
      <c r="B1684" s="235"/>
      <c r="C1684" s="231"/>
      <c r="D1684" s="231"/>
      <c r="E1684" s="231"/>
      <c r="F1684" s="231"/>
      <c r="G1684" s="231"/>
      <c r="H1684" s="235"/>
      <c r="I1684" s="235"/>
      <c r="J1684" s="236"/>
      <c r="K1684" s="236"/>
    </row>
    <row r="1685" spans="2:11">
      <c r="B1685" s="235"/>
      <c r="C1685" s="231"/>
      <c r="D1685" s="231"/>
      <c r="E1685" s="231"/>
      <c r="F1685" s="231"/>
      <c r="G1685" s="231"/>
      <c r="H1685" s="235"/>
      <c r="I1685" s="235"/>
      <c r="J1685" s="236"/>
      <c r="K1685" s="236"/>
    </row>
    <row r="1686" spans="2:11">
      <c r="B1686" s="235"/>
      <c r="C1686" s="231"/>
      <c r="D1686" s="231"/>
      <c r="E1686" s="231"/>
      <c r="F1686" s="231"/>
      <c r="G1686" s="231"/>
      <c r="H1686" s="235"/>
      <c r="I1686" s="235"/>
      <c r="J1686" s="236"/>
      <c r="K1686" s="236"/>
    </row>
    <row r="1687" spans="2:11">
      <c r="B1687" s="235"/>
      <c r="C1687" s="231"/>
      <c r="D1687" s="231"/>
      <c r="E1687" s="231"/>
      <c r="F1687" s="231"/>
      <c r="G1687" s="231"/>
      <c r="H1687" s="235"/>
      <c r="I1687" s="235"/>
      <c r="J1687" s="236"/>
      <c r="K1687" s="236"/>
    </row>
    <row r="1688" spans="2:11">
      <c r="B1688" s="235"/>
      <c r="C1688" s="231"/>
      <c r="D1688" s="231"/>
      <c r="E1688" s="231"/>
      <c r="F1688" s="231"/>
      <c r="G1688" s="231"/>
      <c r="H1688" s="235"/>
      <c r="I1688" s="235"/>
      <c r="J1688" s="236"/>
      <c r="K1688" s="236"/>
    </row>
    <row r="1689" spans="2:11">
      <c r="B1689" s="235"/>
      <c r="C1689" s="231"/>
      <c r="D1689" s="231"/>
      <c r="E1689" s="231"/>
      <c r="F1689" s="231"/>
      <c r="G1689" s="231"/>
      <c r="H1689" s="235"/>
      <c r="I1689" s="235"/>
      <c r="J1689" s="236"/>
      <c r="K1689" s="236"/>
    </row>
    <row r="1690" spans="2:11">
      <c r="B1690" s="235"/>
      <c r="C1690" s="231"/>
      <c r="D1690" s="231"/>
      <c r="E1690" s="231"/>
      <c r="F1690" s="231"/>
      <c r="G1690" s="231"/>
      <c r="H1690" s="235"/>
      <c r="I1690" s="235"/>
      <c r="J1690" s="236"/>
      <c r="K1690" s="236"/>
    </row>
    <row r="1691" spans="2:11">
      <c r="B1691" s="235"/>
      <c r="C1691" s="231"/>
      <c r="D1691" s="231"/>
      <c r="E1691" s="231"/>
      <c r="F1691" s="231"/>
      <c r="G1691" s="231"/>
      <c r="H1691" s="235"/>
      <c r="I1691" s="235"/>
      <c r="J1691" s="236"/>
      <c r="K1691" s="236"/>
    </row>
    <row r="1692" spans="2:11">
      <c r="B1692" s="235"/>
      <c r="C1692" s="231"/>
      <c r="D1692" s="231"/>
      <c r="E1692" s="231"/>
      <c r="F1692" s="231"/>
      <c r="G1692" s="231"/>
      <c r="H1692" s="235"/>
      <c r="I1692" s="235"/>
      <c r="J1692" s="236"/>
      <c r="K1692" s="236"/>
    </row>
    <row r="1693" spans="2:11">
      <c r="B1693" s="235"/>
      <c r="C1693" s="231"/>
      <c r="D1693" s="231"/>
      <c r="E1693" s="231"/>
      <c r="F1693" s="231"/>
      <c r="G1693" s="231"/>
      <c r="H1693" s="235"/>
      <c r="I1693" s="235"/>
      <c r="J1693" s="236"/>
      <c r="K1693" s="236"/>
    </row>
    <row r="1694" spans="2:11">
      <c r="B1694" s="235"/>
      <c r="C1694" s="231"/>
      <c r="D1694" s="231"/>
      <c r="E1694" s="231"/>
      <c r="F1694" s="231"/>
      <c r="G1694" s="231"/>
      <c r="H1694" s="235"/>
      <c r="I1694" s="235"/>
      <c r="J1694" s="236"/>
      <c r="K1694" s="236"/>
    </row>
    <row r="1695" spans="2:11">
      <c r="B1695" s="235"/>
      <c r="C1695" s="231"/>
      <c r="D1695" s="231"/>
      <c r="E1695" s="231"/>
      <c r="F1695" s="231"/>
      <c r="G1695" s="231"/>
      <c r="H1695" s="235"/>
      <c r="I1695" s="235"/>
      <c r="J1695" s="236"/>
      <c r="K1695" s="236"/>
    </row>
    <row r="1696" spans="2:11">
      <c r="B1696" s="235"/>
      <c r="C1696" s="231"/>
      <c r="D1696" s="231"/>
      <c r="E1696" s="231"/>
      <c r="F1696" s="231"/>
      <c r="G1696" s="231"/>
      <c r="H1696" s="235"/>
      <c r="I1696" s="235"/>
      <c r="J1696" s="236"/>
      <c r="K1696" s="236"/>
    </row>
    <row r="1697" spans="2:11">
      <c r="B1697" s="235"/>
      <c r="C1697" s="231"/>
      <c r="D1697" s="231"/>
      <c r="E1697" s="231"/>
      <c r="F1697" s="231"/>
      <c r="G1697" s="231"/>
      <c r="H1697" s="235"/>
      <c r="I1697" s="235"/>
      <c r="J1697" s="236"/>
      <c r="K1697" s="236"/>
    </row>
    <row r="1698" spans="2:11">
      <c r="B1698" s="235"/>
      <c r="C1698" s="231"/>
      <c r="D1698" s="231"/>
      <c r="E1698" s="231"/>
      <c r="F1698" s="231"/>
      <c r="G1698" s="231"/>
      <c r="H1698" s="235"/>
      <c r="I1698" s="235"/>
      <c r="J1698" s="236"/>
      <c r="K1698" s="236"/>
    </row>
    <row r="1699" spans="2:11">
      <c r="B1699" s="235"/>
      <c r="C1699" s="231"/>
      <c r="D1699" s="231"/>
      <c r="E1699" s="231"/>
      <c r="F1699" s="231"/>
      <c r="G1699" s="231"/>
      <c r="H1699" s="235"/>
      <c r="I1699" s="235"/>
      <c r="J1699" s="236"/>
      <c r="K1699" s="236"/>
    </row>
    <row r="1700" spans="2:11">
      <c r="B1700" s="235"/>
      <c r="C1700" s="231"/>
      <c r="D1700" s="231"/>
      <c r="E1700" s="231"/>
      <c r="F1700" s="231"/>
      <c r="G1700" s="231"/>
      <c r="H1700" s="235"/>
      <c r="I1700" s="235"/>
      <c r="J1700" s="236"/>
      <c r="K1700" s="236"/>
    </row>
    <row r="1701" spans="2:11">
      <c r="B1701" s="235"/>
      <c r="C1701" s="231"/>
      <c r="D1701" s="231"/>
      <c r="E1701" s="231"/>
      <c r="F1701" s="231"/>
      <c r="G1701" s="231"/>
      <c r="H1701" s="235"/>
      <c r="I1701" s="235"/>
      <c r="J1701" s="236"/>
      <c r="K1701" s="236"/>
    </row>
    <row r="1702" spans="2:11">
      <c r="B1702" s="235"/>
      <c r="C1702" s="231"/>
      <c r="D1702" s="231"/>
      <c r="E1702" s="231"/>
      <c r="F1702" s="231"/>
      <c r="G1702" s="231"/>
      <c r="H1702" s="235"/>
      <c r="I1702" s="235"/>
      <c r="J1702" s="236"/>
      <c r="K1702" s="236"/>
    </row>
    <row r="1703" spans="2:11">
      <c r="B1703" s="235"/>
      <c r="C1703" s="231"/>
      <c r="D1703" s="231"/>
      <c r="E1703" s="231"/>
      <c r="F1703" s="231"/>
      <c r="G1703" s="231"/>
      <c r="H1703" s="235"/>
      <c r="I1703" s="235"/>
      <c r="J1703" s="236"/>
      <c r="K1703" s="236"/>
    </row>
    <row r="1704" spans="2:11">
      <c r="B1704" s="235"/>
      <c r="C1704" s="231"/>
      <c r="D1704" s="231"/>
      <c r="E1704" s="231"/>
      <c r="F1704" s="231"/>
      <c r="G1704" s="231"/>
      <c r="H1704" s="235"/>
      <c r="I1704" s="235"/>
      <c r="J1704" s="236"/>
      <c r="K1704" s="236"/>
    </row>
    <row r="1705" spans="2:11">
      <c r="B1705" s="235"/>
      <c r="C1705" s="231"/>
      <c r="D1705" s="231"/>
      <c r="E1705" s="231"/>
      <c r="F1705" s="231"/>
      <c r="G1705" s="231"/>
      <c r="H1705" s="235"/>
      <c r="I1705" s="235"/>
      <c r="J1705" s="236"/>
      <c r="K1705" s="236"/>
    </row>
    <row r="1706" spans="2:11">
      <c r="B1706" s="235"/>
      <c r="C1706" s="231"/>
      <c r="D1706" s="231"/>
      <c r="E1706" s="231"/>
      <c r="F1706" s="231"/>
      <c r="G1706" s="231"/>
      <c r="H1706" s="235"/>
      <c r="I1706" s="235"/>
      <c r="J1706" s="236"/>
      <c r="K1706" s="236"/>
    </row>
    <row r="1707" spans="2:11">
      <c r="B1707" s="235"/>
      <c r="C1707" s="231"/>
      <c r="D1707" s="231"/>
      <c r="E1707" s="231"/>
      <c r="F1707" s="231"/>
      <c r="G1707" s="231"/>
      <c r="H1707" s="235"/>
      <c r="I1707" s="235"/>
      <c r="J1707" s="236"/>
      <c r="K1707" s="236"/>
    </row>
    <row r="1708" spans="2:11">
      <c r="B1708" s="235"/>
      <c r="C1708" s="231"/>
      <c r="D1708" s="231"/>
      <c r="E1708" s="231"/>
      <c r="F1708" s="231"/>
      <c r="G1708" s="231"/>
      <c r="H1708" s="235"/>
      <c r="I1708" s="235"/>
      <c r="J1708" s="236"/>
      <c r="K1708" s="236"/>
    </row>
    <row r="1709" spans="2:11">
      <c r="B1709" s="235"/>
      <c r="C1709" s="231"/>
      <c r="D1709" s="231"/>
      <c r="E1709" s="231"/>
      <c r="F1709" s="231"/>
      <c r="G1709" s="231"/>
      <c r="H1709" s="235"/>
      <c r="I1709" s="235"/>
      <c r="J1709" s="236"/>
      <c r="K1709" s="236"/>
    </row>
    <row r="1710" spans="2:11">
      <c r="B1710" s="235"/>
      <c r="C1710" s="231"/>
      <c r="D1710" s="231"/>
      <c r="E1710" s="231"/>
      <c r="F1710" s="231"/>
      <c r="G1710" s="231"/>
      <c r="H1710" s="235"/>
      <c r="I1710" s="235"/>
      <c r="J1710" s="236"/>
      <c r="K1710" s="236"/>
    </row>
    <row r="1711" spans="2:11">
      <c r="B1711" s="235"/>
      <c r="C1711" s="231"/>
      <c r="D1711" s="231"/>
      <c r="E1711" s="231"/>
      <c r="F1711" s="231"/>
      <c r="G1711" s="231"/>
      <c r="H1711" s="235"/>
      <c r="I1711" s="235"/>
      <c r="J1711" s="236"/>
      <c r="K1711" s="236"/>
    </row>
    <row r="1712" spans="2:11">
      <c r="B1712" s="235"/>
      <c r="C1712" s="231"/>
      <c r="D1712" s="231"/>
      <c r="E1712" s="231"/>
      <c r="F1712" s="231"/>
      <c r="G1712" s="231"/>
      <c r="H1712" s="235"/>
      <c r="I1712" s="235"/>
      <c r="J1712" s="236"/>
      <c r="K1712" s="236"/>
    </row>
    <row r="1713" spans="2:11">
      <c r="B1713" s="235"/>
      <c r="C1713" s="231"/>
      <c r="D1713" s="231"/>
      <c r="E1713" s="231"/>
      <c r="F1713" s="231"/>
      <c r="G1713" s="231"/>
      <c r="H1713" s="235"/>
      <c r="I1713" s="235"/>
      <c r="J1713" s="236"/>
      <c r="K1713" s="236"/>
    </row>
    <row r="1714" spans="2:11">
      <c r="B1714" s="235"/>
      <c r="C1714" s="231"/>
      <c r="D1714" s="231"/>
      <c r="E1714" s="231"/>
      <c r="F1714" s="231"/>
      <c r="G1714" s="231"/>
      <c r="H1714" s="235"/>
      <c r="I1714" s="235"/>
      <c r="J1714" s="236"/>
      <c r="K1714" s="236"/>
    </row>
    <row r="1715" spans="2:11">
      <c r="B1715" s="235"/>
      <c r="C1715" s="231"/>
      <c r="D1715" s="231"/>
      <c r="E1715" s="231"/>
      <c r="F1715" s="231"/>
      <c r="G1715" s="231"/>
      <c r="H1715" s="235"/>
      <c r="I1715" s="235"/>
      <c r="J1715" s="236"/>
      <c r="K1715" s="236"/>
    </row>
    <row r="1716" spans="2:11">
      <c r="B1716" s="235"/>
      <c r="C1716" s="231"/>
      <c r="D1716" s="231"/>
      <c r="E1716" s="231"/>
      <c r="F1716" s="231"/>
      <c r="G1716" s="231"/>
      <c r="H1716" s="235"/>
      <c r="I1716" s="235"/>
      <c r="J1716" s="236"/>
      <c r="K1716" s="236"/>
    </row>
    <row r="1717" spans="2:11">
      <c r="B1717" s="235"/>
      <c r="C1717" s="231"/>
      <c r="D1717" s="231"/>
      <c r="E1717" s="231"/>
      <c r="F1717" s="231"/>
      <c r="G1717" s="231"/>
      <c r="H1717" s="235"/>
      <c r="I1717" s="235"/>
      <c r="J1717" s="236"/>
      <c r="K1717" s="236"/>
    </row>
    <row r="1718" spans="2:11">
      <c r="B1718" s="235"/>
      <c r="C1718" s="231"/>
      <c r="D1718" s="231"/>
      <c r="E1718" s="231"/>
      <c r="F1718" s="231"/>
      <c r="G1718" s="231"/>
      <c r="H1718" s="235"/>
      <c r="I1718" s="235"/>
      <c r="J1718" s="236"/>
      <c r="K1718" s="236"/>
    </row>
    <row r="1719" spans="2:11">
      <c r="B1719" s="235"/>
      <c r="C1719" s="231"/>
      <c r="D1719" s="231"/>
      <c r="E1719" s="231"/>
      <c r="F1719" s="231"/>
      <c r="G1719" s="231"/>
      <c r="H1719" s="235"/>
      <c r="I1719" s="235"/>
      <c r="J1719" s="236"/>
      <c r="K1719" s="236"/>
    </row>
    <row r="1720" spans="2:11">
      <c r="B1720" s="235"/>
      <c r="C1720" s="231"/>
      <c r="D1720" s="231"/>
      <c r="E1720" s="231"/>
      <c r="F1720" s="231"/>
      <c r="G1720" s="231"/>
      <c r="H1720" s="235"/>
      <c r="I1720" s="235"/>
      <c r="J1720" s="236"/>
      <c r="K1720" s="236"/>
    </row>
    <row r="1721" spans="2:11">
      <c r="B1721" s="235"/>
      <c r="C1721" s="231"/>
      <c r="D1721" s="231"/>
      <c r="E1721" s="231"/>
      <c r="F1721" s="231"/>
      <c r="G1721" s="231"/>
      <c r="H1721" s="235"/>
      <c r="I1721" s="235"/>
      <c r="J1721" s="236"/>
      <c r="K1721" s="236"/>
    </row>
    <row r="1722" spans="2:11">
      <c r="B1722" s="235"/>
      <c r="C1722" s="231"/>
      <c r="D1722" s="231"/>
      <c r="E1722" s="231"/>
      <c r="F1722" s="231"/>
      <c r="G1722" s="231"/>
      <c r="H1722" s="235"/>
      <c r="I1722" s="235"/>
      <c r="J1722" s="236"/>
      <c r="K1722" s="236"/>
    </row>
    <row r="1723" spans="2:11">
      <c r="B1723" s="235"/>
      <c r="C1723" s="231"/>
      <c r="D1723" s="231"/>
      <c r="E1723" s="231"/>
      <c r="F1723" s="231"/>
      <c r="G1723" s="231"/>
      <c r="H1723" s="235"/>
      <c r="I1723" s="235"/>
      <c r="J1723" s="236"/>
      <c r="K1723" s="236"/>
    </row>
    <row r="1724" spans="2:11">
      <c r="B1724" s="235"/>
      <c r="C1724" s="231"/>
      <c r="D1724" s="231"/>
      <c r="E1724" s="231"/>
      <c r="F1724" s="231"/>
      <c r="G1724" s="231"/>
      <c r="H1724" s="235"/>
      <c r="I1724" s="235"/>
      <c r="J1724" s="236"/>
      <c r="K1724" s="236"/>
    </row>
    <row r="1725" spans="2:11">
      <c r="B1725" s="235"/>
      <c r="C1725" s="231"/>
      <c r="D1725" s="231"/>
      <c r="E1725" s="231"/>
      <c r="F1725" s="231"/>
      <c r="G1725" s="231"/>
      <c r="H1725" s="235"/>
      <c r="I1725" s="235"/>
      <c r="J1725" s="236"/>
      <c r="K1725" s="236"/>
    </row>
    <row r="1726" spans="2:11">
      <c r="B1726" s="235"/>
      <c r="C1726" s="231"/>
      <c r="D1726" s="231"/>
      <c r="E1726" s="231"/>
      <c r="F1726" s="231"/>
      <c r="G1726" s="231"/>
      <c r="H1726" s="235"/>
      <c r="I1726" s="235"/>
      <c r="J1726" s="236"/>
      <c r="K1726" s="236"/>
    </row>
    <row r="1727" spans="2:11">
      <c r="B1727" s="235"/>
      <c r="C1727" s="231"/>
      <c r="D1727" s="231"/>
      <c r="E1727" s="231"/>
      <c r="F1727" s="231"/>
      <c r="G1727" s="231"/>
      <c r="H1727" s="235"/>
      <c r="I1727" s="235"/>
      <c r="J1727" s="236"/>
      <c r="K1727" s="236"/>
    </row>
    <row r="1728" spans="2:11">
      <c r="B1728" s="235"/>
      <c r="C1728" s="231"/>
      <c r="D1728" s="231"/>
      <c r="E1728" s="231"/>
      <c r="F1728" s="231"/>
      <c r="G1728" s="231"/>
      <c r="H1728" s="235"/>
      <c r="I1728" s="235"/>
      <c r="J1728" s="236"/>
      <c r="K1728" s="236"/>
    </row>
    <row r="1729" spans="2:11">
      <c r="B1729" s="235"/>
      <c r="C1729" s="231"/>
      <c r="D1729" s="231"/>
      <c r="E1729" s="231"/>
      <c r="F1729" s="231"/>
      <c r="G1729" s="231"/>
      <c r="H1729" s="235"/>
      <c r="I1729" s="235"/>
      <c r="J1729" s="236"/>
      <c r="K1729" s="236"/>
    </row>
    <row r="1730" spans="2:11">
      <c r="B1730" s="235"/>
      <c r="C1730" s="231"/>
      <c r="D1730" s="231"/>
      <c r="E1730" s="231"/>
      <c r="F1730" s="231"/>
      <c r="G1730" s="231"/>
      <c r="H1730" s="235"/>
      <c r="I1730" s="235"/>
      <c r="J1730" s="236"/>
      <c r="K1730" s="236"/>
    </row>
    <row r="1731" spans="2:11">
      <c r="B1731" s="235"/>
      <c r="C1731" s="231"/>
      <c r="D1731" s="231"/>
      <c r="E1731" s="231"/>
      <c r="F1731" s="231"/>
      <c r="G1731" s="231"/>
      <c r="H1731" s="235"/>
      <c r="I1731" s="235"/>
      <c r="J1731" s="236"/>
      <c r="K1731" s="236"/>
    </row>
    <row r="1732" spans="2:11">
      <c r="B1732" s="235"/>
      <c r="C1732" s="231"/>
      <c r="D1732" s="231"/>
      <c r="E1732" s="231"/>
      <c r="F1732" s="231"/>
      <c r="G1732" s="231"/>
      <c r="H1732" s="235"/>
      <c r="I1732" s="235"/>
      <c r="J1732" s="236"/>
      <c r="K1732" s="236"/>
    </row>
    <row r="1733" spans="2:11">
      <c r="B1733" s="235"/>
      <c r="C1733" s="231"/>
      <c r="D1733" s="231"/>
      <c r="E1733" s="231"/>
      <c r="F1733" s="231"/>
      <c r="G1733" s="231"/>
      <c r="H1733" s="235"/>
      <c r="I1733" s="235"/>
      <c r="J1733" s="236"/>
      <c r="K1733" s="236"/>
    </row>
    <row r="1734" spans="2:11">
      <c r="B1734" s="235"/>
      <c r="C1734" s="231"/>
      <c r="D1734" s="231"/>
      <c r="E1734" s="231"/>
      <c r="F1734" s="231"/>
      <c r="G1734" s="231"/>
      <c r="H1734" s="235"/>
      <c r="I1734" s="235"/>
      <c r="J1734" s="236"/>
      <c r="K1734" s="236"/>
    </row>
    <row r="1735" spans="2:11">
      <c r="B1735" s="235"/>
      <c r="C1735" s="231"/>
      <c r="D1735" s="231"/>
      <c r="E1735" s="231"/>
      <c r="F1735" s="231"/>
      <c r="G1735" s="231"/>
      <c r="H1735" s="235"/>
      <c r="I1735" s="235"/>
      <c r="J1735" s="236"/>
      <c r="K1735" s="236"/>
    </row>
    <row r="1736" spans="2:11">
      <c r="B1736" s="235"/>
      <c r="C1736" s="231"/>
      <c r="D1736" s="231"/>
      <c r="E1736" s="231"/>
      <c r="F1736" s="231"/>
      <c r="G1736" s="231"/>
      <c r="H1736" s="235"/>
      <c r="I1736" s="235"/>
      <c r="J1736" s="236"/>
      <c r="K1736" s="236"/>
    </row>
    <row r="1737" spans="2:11">
      <c r="B1737" s="235"/>
      <c r="C1737" s="231"/>
      <c r="D1737" s="231"/>
      <c r="E1737" s="231"/>
      <c r="F1737" s="231"/>
      <c r="G1737" s="231"/>
      <c r="H1737" s="235"/>
      <c r="I1737" s="235"/>
      <c r="J1737" s="236"/>
      <c r="K1737" s="236"/>
    </row>
    <row r="1738" spans="2:11">
      <c r="B1738" s="235"/>
      <c r="C1738" s="231"/>
      <c r="D1738" s="231"/>
      <c r="E1738" s="231"/>
      <c r="F1738" s="231"/>
      <c r="G1738" s="231"/>
      <c r="H1738" s="235"/>
      <c r="I1738" s="235"/>
      <c r="J1738" s="236"/>
      <c r="K1738" s="236"/>
    </row>
    <row r="1739" spans="2:11">
      <c r="B1739" s="235"/>
      <c r="C1739" s="231"/>
      <c r="D1739" s="231"/>
      <c r="E1739" s="231"/>
      <c r="F1739" s="231"/>
      <c r="G1739" s="231"/>
      <c r="H1739" s="235"/>
      <c r="I1739" s="235"/>
      <c r="J1739" s="236"/>
      <c r="K1739" s="236"/>
    </row>
    <row r="1740" spans="2:11">
      <c r="B1740" s="235"/>
      <c r="C1740" s="231"/>
      <c r="D1740" s="231"/>
      <c r="E1740" s="231"/>
      <c r="F1740" s="231"/>
      <c r="G1740" s="231"/>
      <c r="H1740" s="235"/>
      <c r="I1740" s="235"/>
      <c r="J1740" s="236"/>
      <c r="K1740" s="236"/>
    </row>
    <row r="1741" spans="2:11">
      <c r="B1741" s="235"/>
      <c r="C1741" s="231"/>
      <c r="D1741" s="231"/>
      <c r="E1741" s="231"/>
      <c r="F1741" s="231"/>
      <c r="G1741" s="231"/>
      <c r="H1741" s="235"/>
      <c r="I1741" s="235"/>
      <c r="J1741" s="236"/>
      <c r="K1741" s="236"/>
    </row>
    <row r="1742" spans="2:11">
      <c r="B1742" s="235"/>
      <c r="C1742" s="231"/>
      <c r="D1742" s="231"/>
      <c r="E1742" s="231"/>
      <c r="F1742" s="231"/>
      <c r="G1742" s="231"/>
      <c r="H1742" s="235"/>
      <c r="I1742" s="235"/>
      <c r="J1742" s="236"/>
      <c r="K1742" s="236"/>
    </row>
    <row r="1743" spans="2:11">
      <c r="B1743" s="235"/>
      <c r="C1743" s="231"/>
      <c r="D1743" s="231"/>
      <c r="E1743" s="231"/>
      <c r="F1743" s="231"/>
      <c r="G1743" s="231"/>
      <c r="H1743" s="235"/>
      <c r="I1743" s="235"/>
      <c r="J1743" s="236"/>
      <c r="K1743" s="236"/>
    </row>
    <row r="1744" spans="2:11">
      <c r="B1744" s="235"/>
      <c r="C1744" s="231"/>
      <c r="D1744" s="231"/>
      <c r="E1744" s="231"/>
      <c r="F1744" s="231"/>
      <c r="G1744" s="231"/>
      <c r="H1744" s="235"/>
      <c r="I1744" s="235"/>
      <c r="J1744" s="236"/>
      <c r="K1744" s="236"/>
    </row>
    <row r="1745" spans="2:11">
      <c r="B1745" s="235"/>
      <c r="C1745" s="231"/>
      <c r="D1745" s="231"/>
      <c r="E1745" s="231"/>
      <c r="F1745" s="231"/>
      <c r="G1745" s="231"/>
      <c r="H1745" s="235"/>
      <c r="I1745" s="235"/>
      <c r="J1745" s="236"/>
      <c r="K1745" s="236"/>
    </row>
    <row r="1746" spans="2:11">
      <c r="B1746" s="235"/>
      <c r="C1746" s="231"/>
      <c r="D1746" s="231"/>
      <c r="E1746" s="231"/>
      <c r="F1746" s="231"/>
      <c r="G1746" s="231"/>
      <c r="H1746" s="235"/>
      <c r="I1746" s="235"/>
      <c r="J1746" s="236"/>
      <c r="K1746" s="236"/>
    </row>
    <row r="1747" spans="2:11">
      <c r="B1747" s="235"/>
      <c r="C1747" s="231"/>
      <c r="D1747" s="231"/>
      <c r="E1747" s="231"/>
      <c r="F1747" s="231"/>
      <c r="G1747" s="231"/>
      <c r="H1747" s="235"/>
      <c r="I1747" s="235"/>
      <c r="J1747" s="236"/>
      <c r="K1747" s="236"/>
    </row>
    <row r="1748" spans="2:11">
      <c r="B1748" s="235"/>
      <c r="C1748" s="231"/>
      <c r="D1748" s="231"/>
      <c r="E1748" s="231"/>
      <c r="F1748" s="231"/>
      <c r="G1748" s="231"/>
      <c r="H1748" s="235"/>
      <c r="I1748" s="235"/>
      <c r="J1748" s="236"/>
      <c r="K1748" s="236"/>
    </row>
    <row r="1749" spans="2:11">
      <c r="B1749" s="235"/>
      <c r="C1749" s="231"/>
      <c r="D1749" s="231"/>
      <c r="E1749" s="231"/>
      <c r="F1749" s="231"/>
      <c r="G1749" s="231"/>
      <c r="H1749" s="235"/>
      <c r="I1749" s="235"/>
      <c r="J1749" s="236"/>
      <c r="K1749" s="236"/>
    </row>
    <row r="1750" spans="2:11">
      <c r="B1750" s="235"/>
      <c r="C1750" s="231"/>
      <c r="D1750" s="231"/>
      <c r="E1750" s="231"/>
      <c r="F1750" s="231"/>
      <c r="G1750" s="231"/>
      <c r="H1750" s="235"/>
      <c r="I1750" s="235"/>
      <c r="J1750" s="236"/>
      <c r="K1750" s="236"/>
    </row>
    <row r="1751" spans="2:11">
      <c r="B1751" s="235"/>
      <c r="C1751" s="231"/>
      <c r="D1751" s="231"/>
      <c r="E1751" s="231"/>
      <c r="F1751" s="231"/>
      <c r="G1751" s="231"/>
      <c r="H1751" s="235"/>
      <c r="I1751" s="235"/>
      <c r="J1751" s="236"/>
      <c r="K1751" s="236"/>
    </row>
    <row r="1752" spans="2:11">
      <c r="B1752" s="235"/>
      <c r="C1752" s="231"/>
      <c r="D1752" s="231"/>
      <c r="E1752" s="231"/>
      <c r="F1752" s="231"/>
      <c r="G1752" s="231"/>
      <c r="H1752" s="235"/>
      <c r="I1752" s="235"/>
      <c r="J1752" s="236"/>
      <c r="K1752" s="236"/>
    </row>
    <row r="1753" spans="2:11">
      <c r="B1753" s="235"/>
      <c r="C1753" s="231"/>
      <c r="D1753" s="231"/>
      <c r="E1753" s="231"/>
      <c r="F1753" s="231"/>
      <c r="G1753" s="231"/>
      <c r="H1753" s="235"/>
      <c r="I1753" s="235"/>
      <c r="J1753" s="236"/>
      <c r="K1753" s="236"/>
    </row>
    <row r="1754" spans="2:11">
      <c r="B1754" s="235"/>
      <c r="C1754" s="231"/>
      <c r="D1754" s="231"/>
      <c r="E1754" s="231"/>
      <c r="F1754" s="231"/>
      <c r="G1754" s="231"/>
      <c r="H1754" s="235"/>
      <c r="I1754" s="235"/>
      <c r="J1754" s="236"/>
      <c r="K1754" s="236"/>
    </row>
    <row r="1755" spans="2:11">
      <c r="B1755" s="235"/>
      <c r="C1755" s="231"/>
      <c r="D1755" s="231"/>
      <c r="E1755" s="231"/>
      <c r="F1755" s="231"/>
      <c r="G1755" s="231"/>
      <c r="H1755" s="235"/>
      <c r="I1755" s="235"/>
      <c r="J1755" s="236"/>
      <c r="K1755" s="236"/>
    </row>
    <row r="1756" spans="2:11">
      <c r="B1756" s="235"/>
      <c r="C1756" s="231"/>
      <c r="D1756" s="231"/>
      <c r="E1756" s="231"/>
      <c r="F1756" s="231"/>
      <c r="G1756" s="231"/>
      <c r="H1756" s="235"/>
      <c r="I1756" s="235"/>
      <c r="J1756" s="236"/>
      <c r="K1756" s="236"/>
    </row>
    <row r="1757" spans="2:11">
      <c r="B1757" s="235"/>
      <c r="C1757" s="231"/>
      <c r="D1757" s="231"/>
      <c r="E1757" s="231"/>
      <c r="F1757" s="231"/>
      <c r="G1757" s="231"/>
      <c r="H1757" s="235"/>
      <c r="I1757" s="235"/>
      <c r="J1757" s="236"/>
      <c r="K1757" s="236"/>
    </row>
    <row r="1758" spans="2:11">
      <c r="B1758" s="235"/>
      <c r="C1758" s="231"/>
      <c r="D1758" s="231"/>
      <c r="E1758" s="231"/>
      <c r="F1758" s="231"/>
      <c r="G1758" s="231"/>
      <c r="H1758" s="235"/>
      <c r="I1758" s="235"/>
      <c r="J1758" s="236"/>
      <c r="K1758" s="236"/>
    </row>
    <row r="1759" spans="2:11">
      <c r="B1759" s="235"/>
      <c r="C1759" s="231"/>
      <c r="D1759" s="231"/>
      <c r="E1759" s="231"/>
      <c r="F1759" s="231"/>
      <c r="G1759" s="231"/>
      <c r="H1759" s="235"/>
      <c r="I1759" s="235"/>
      <c r="J1759" s="236"/>
      <c r="K1759" s="236"/>
    </row>
    <row r="1760" spans="2:11">
      <c r="B1760" s="235"/>
      <c r="C1760" s="231"/>
      <c r="D1760" s="231"/>
      <c r="E1760" s="231"/>
      <c r="F1760" s="231"/>
      <c r="G1760" s="231"/>
      <c r="H1760" s="235"/>
      <c r="I1760" s="235"/>
      <c r="J1760" s="236"/>
      <c r="K1760" s="236"/>
    </row>
    <row r="1761" spans="2:11">
      <c r="B1761" s="235"/>
      <c r="C1761" s="231"/>
      <c r="D1761" s="231"/>
      <c r="E1761" s="231"/>
      <c r="F1761" s="231"/>
      <c r="G1761" s="231"/>
      <c r="H1761" s="235"/>
      <c r="I1761" s="235"/>
      <c r="J1761" s="236"/>
      <c r="K1761" s="236"/>
    </row>
    <row r="1762" spans="2:11">
      <c r="B1762" s="235"/>
      <c r="C1762" s="231"/>
      <c r="D1762" s="231"/>
      <c r="E1762" s="231"/>
      <c r="F1762" s="231"/>
      <c r="G1762" s="231"/>
      <c r="H1762" s="235"/>
      <c r="I1762" s="235"/>
      <c r="J1762" s="236"/>
      <c r="K1762" s="236"/>
    </row>
    <row r="1763" spans="2:11">
      <c r="B1763" s="235"/>
      <c r="C1763" s="231"/>
      <c r="D1763" s="231"/>
      <c r="E1763" s="231"/>
      <c r="F1763" s="231"/>
      <c r="G1763" s="231"/>
      <c r="H1763" s="235"/>
      <c r="I1763" s="235"/>
      <c r="J1763" s="236"/>
      <c r="K1763" s="236"/>
    </row>
    <row r="1764" spans="2:11">
      <c r="B1764" s="235"/>
      <c r="C1764" s="231"/>
      <c r="D1764" s="231"/>
      <c r="E1764" s="231"/>
      <c r="F1764" s="231"/>
      <c r="G1764" s="231"/>
      <c r="H1764" s="235"/>
      <c r="I1764" s="235"/>
      <c r="J1764" s="236"/>
      <c r="K1764" s="236"/>
    </row>
    <row r="1765" spans="2:11">
      <c r="B1765" s="235"/>
      <c r="C1765" s="231"/>
      <c r="D1765" s="231"/>
      <c r="E1765" s="231"/>
      <c r="F1765" s="231"/>
      <c r="G1765" s="231"/>
      <c r="H1765" s="235"/>
      <c r="I1765" s="235"/>
      <c r="J1765" s="236"/>
      <c r="K1765" s="236"/>
    </row>
    <row r="1766" spans="2:11">
      <c r="B1766" s="235"/>
      <c r="C1766" s="231"/>
      <c r="D1766" s="231"/>
      <c r="E1766" s="231"/>
      <c r="F1766" s="231"/>
      <c r="G1766" s="231"/>
      <c r="H1766" s="235"/>
      <c r="I1766" s="235"/>
      <c r="J1766" s="236"/>
      <c r="K1766" s="236"/>
    </row>
    <row r="1767" spans="2:11">
      <c r="B1767" s="235"/>
      <c r="C1767" s="231"/>
      <c r="D1767" s="231"/>
      <c r="E1767" s="231"/>
      <c r="F1767" s="231"/>
      <c r="G1767" s="231"/>
      <c r="H1767" s="235"/>
      <c r="I1767" s="235"/>
      <c r="J1767" s="236"/>
      <c r="K1767" s="236"/>
    </row>
    <row r="1768" spans="2:11">
      <c r="B1768" s="235"/>
      <c r="C1768" s="231"/>
      <c r="D1768" s="231"/>
      <c r="E1768" s="231"/>
      <c r="F1768" s="231"/>
      <c r="G1768" s="231"/>
      <c r="H1768" s="235"/>
      <c r="I1768" s="235"/>
      <c r="J1768" s="236"/>
      <c r="K1768" s="236"/>
    </row>
    <row r="1769" spans="2:11">
      <c r="B1769" s="235"/>
      <c r="C1769" s="231"/>
      <c r="D1769" s="231"/>
      <c r="E1769" s="231"/>
      <c r="F1769" s="231"/>
      <c r="G1769" s="231"/>
      <c r="H1769" s="235"/>
      <c r="I1769" s="235"/>
      <c r="J1769" s="236"/>
      <c r="K1769" s="236"/>
    </row>
    <row r="1770" spans="2:11">
      <c r="B1770" s="235"/>
      <c r="C1770" s="231"/>
      <c r="D1770" s="231"/>
      <c r="E1770" s="231"/>
      <c r="F1770" s="231"/>
      <c r="G1770" s="231"/>
      <c r="H1770" s="235"/>
      <c r="I1770" s="235"/>
      <c r="J1770" s="236"/>
      <c r="K1770" s="236"/>
    </row>
    <row r="1771" spans="2:11">
      <c r="B1771" s="235"/>
      <c r="C1771" s="231"/>
      <c r="D1771" s="231"/>
      <c r="E1771" s="231"/>
      <c r="F1771" s="231"/>
      <c r="G1771" s="231"/>
      <c r="H1771" s="235"/>
      <c r="I1771" s="235"/>
      <c r="J1771" s="236"/>
      <c r="K1771" s="236"/>
    </row>
    <row r="1772" spans="2:11">
      <c r="B1772" s="235"/>
      <c r="C1772" s="231"/>
      <c r="D1772" s="231"/>
      <c r="E1772" s="231"/>
      <c r="F1772" s="231"/>
      <c r="G1772" s="231"/>
      <c r="H1772" s="235"/>
      <c r="I1772" s="235"/>
      <c r="J1772" s="236"/>
      <c r="K1772" s="236"/>
    </row>
    <row r="1773" spans="2:11">
      <c r="B1773" s="235"/>
      <c r="C1773" s="231"/>
      <c r="D1773" s="231"/>
      <c r="E1773" s="231"/>
      <c r="F1773" s="231"/>
      <c r="G1773" s="231"/>
      <c r="H1773" s="235"/>
      <c r="I1773" s="235"/>
      <c r="J1773" s="236"/>
      <c r="K1773" s="236"/>
    </row>
    <row r="1774" spans="2:11">
      <c r="B1774" s="235"/>
      <c r="C1774" s="231"/>
      <c r="D1774" s="231"/>
      <c r="E1774" s="231"/>
      <c r="F1774" s="231"/>
      <c r="G1774" s="231"/>
      <c r="H1774" s="235"/>
      <c r="I1774" s="235"/>
      <c r="J1774" s="236"/>
      <c r="K1774" s="236"/>
    </row>
    <row r="1775" spans="2:11">
      <c r="B1775" s="235"/>
      <c r="C1775" s="231"/>
      <c r="D1775" s="231"/>
      <c r="E1775" s="231"/>
      <c r="F1775" s="231"/>
      <c r="G1775" s="231"/>
      <c r="H1775" s="235"/>
      <c r="I1775" s="235"/>
      <c r="J1775" s="236"/>
      <c r="K1775" s="236"/>
    </row>
    <row r="1776" spans="2:11">
      <c r="B1776" s="235"/>
      <c r="C1776" s="231"/>
      <c r="D1776" s="231"/>
      <c r="E1776" s="231"/>
      <c r="F1776" s="231"/>
      <c r="G1776" s="231"/>
      <c r="H1776" s="235"/>
      <c r="I1776" s="235"/>
      <c r="J1776" s="236"/>
      <c r="K1776" s="236"/>
    </row>
    <row r="1777" spans="2:11">
      <c r="B1777" s="235"/>
      <c r="C1777" s="231"/>
      <c r="D1777" s="231"/>
      <c r="E1777" s="231"/>
      <c r="F1777" s="231"/>
      <c r="G1777" s="231"/>
      <c r="H1777" s="235"/>
      <c r="I1777" s="235"/>
      <c r="J1777" s="236"/>
      <c r="K1777" s="236"/>
    </row>
    <row r="1778" spans="2:11">
      <c r="B1778" s="235"/>
      <c r="C1778" s="231"/>
      <c r="D1778" s="231"/>
      <c r="E1778" s="231"/>
      <c r="F1778" s="231"/>
      <c r="G1778" s="231"/>
      <c r="H1778" s="235"/>
      <c r="I1778" s="235"/>
      <c r="J1778" s="236"/>
      <c r="K1778" s="236"/>
    </row>
    <row r="1779" spans="2:11">
      <c r="B1779" s="235"/>
      <c r="C1779" s="231"/>
      <c r="D1779" s="231"/>
      <c r="E1779" s="231"/>
      <c r="F1779" s="231"/>
      <c r="G1779" s="231"/>
      <c r="H1779" s="235"/>
      <c r="I1779" s="235"/>
      <c r="J1779" s="236"/>
      <c r="K1779" s="236"/>
    </row>
    <row r="1780" spans="2:11">
      <c r="B1780" s="235"/>
      <c r="C1780" s="231"/>
      <c r="D1780" s="231"/>
      <c r="E1780" s="231"/>
      <c r="F1780" s="231"/>
      <c r="G1780" s="231"/>
      <c r="H1780" s="235"/>
      <c r="I1780" s="235"/>
      <c r="J1780" s="236"/>
      <c r="K1780" s="236"/>
    </row>
    <row r="1781" spans="2:11">
      <c r="B1781" s="235"/>
      <c r="C1781" s="231"/>
      <c r="D1781" s="231"/>
      <c r="E1781" s="231"/>
      <c r="F1781" s="231"/>
      <c r="G1781" s="231"/>
      <c r="H1781" s="235"/>
      <c r="I1781" s="235"/>
      <c r="J1781" s="236"/>
      <c r="K1781" s="236"/>
    </row>
    <row r="1782" spans="2:11">
      <c r="B1782" s="235"/>
      <c r="C1782" s="231"/>
      <c r="D1782" s="231"/>
      <c r="E1782" s="231"/>
      <c r="F1782" s="231"/>
      <c r="G1782" s="231"/>
      <c r="H1782" s="235"/>
      <c r="I1782" s="235"/>
      <c r="J1782" s="236"/>
      <c r="K1782" s="236"/>
    </row>
    <row r="1783" spans="2:11">
      <c r="B1783" s="235"/>
      <c r="C1783" s="231"/>
      <c r="D1783" s="231"/>
      <c r="E1783" s="231"/>
      <c r="F1783" s="231"/>
      <c r="G1783" s="231"/>
      <c r="H1783" s="235"/>
      <c r="I1783" s="235"/>
      <c r="J1783" s="236"/>
      <c r="K1783" s="236"/>
    </row>
    <row r="1784" spans="2:11">
      <c r="B1784" s="235"/>
      <c r="C1784" s="231"/>
      <c r="D1784" s="231"/>
      <c r="E1784" s="231"/>
      <c r="F1784" s="231"/>
      <c r="G1784" s="231"/>
      <c r="H1784" s="235"/>
      <c r="I1784" s="235"/>
      <c r="J1784" s="236"/>
      <c r="K1784" s="236"/>
    </row>
    <row r="1785" spans="2:11">
      <c r="B1785" s="235"/>
      <c r="C1785" s="231"/>
      <c r="D1785" s="231"/>
      <c r="E1785" s="231"/>
      <c r="F1785" s="231"/>
      <c r="G1785" s="231"/>
      <c r="H1785" s="235"/>
      <c r="I1785" s="235"/>
      <c r="J1785" s="236"/>
      <c r="K1785" s="236"/>
    </row>
    <row r="1786" spans="2:11">
      <c r="B1786" s="235"/>
      <c r="C1786" s="231"/>
      <c r="D1786" s="231"/>
      <c r="E1786" s="231"/>
      <c r="F1786" s="231"/>
      <c r="G1786" s="231"/>
      <c r="H1786" s="235"/>
      <c r="I1786" s="235"/>
      <c r="J1786" s="236"/>
      <c r="K1786" s="236"/>
    </row>
    <row r="1787" spans="2:11">
      <c r="B1787" s="235"/>
      <c r="C1787" s="231"/>
      <c r="D1787" s="231"/>
      <c r="E1787" s="231"/>
      <c r="F1787" s="231"/>
      <c r="G1787" s="231"/>
      <c r="H1787" s="235"/>
      <c r="I1787" s="235"/>
      <c r="J1787" s="236"/>
      <c r="K1787" s="236"/>
    </row>
    <row r="1788" spans="2:11">
      <c r="B1788" s="235"/>
      <c r="C1788" s="231"/>
      <c r="D1788" s="231"/>
      <c r="E1788" s="231"/>
      <c r="F1788" s="231"/>
      <c r="G1788" s="231"/>
      <c r="H1788" s="235"/>
      <c r="I1788" s="235"/>
      <c r="J1788" s="236"/>
      <c r="K1788" s="236"/>
    </row>
    <row r="1789" spans="2:11">
      <c r="B1789" s="235"/>
      <c r="C1789" s="231"/>
      <c r="D1789" s="231"/>
      <c r="E1789" s="231"/>
      <c r="F1789" s="231"/>
      <c r="G1789" s="231"/>
      <c r="H1789" s="235"/>
      <c r="I1789" s="235"/>
      <c r="J1789" s="236"/>
      <c r="K1789" s="236"/>
    </row>
    <row r="1790" spans="2:11">
      <c r="B1790" s="235"/>
      <c r="C1790" s="231"/>
      <c r="D1790" s="231"/>
      <c r="E1790" s="231"/>
      <c r="F1790" s="231"/>
      <c r="G1790" s="231"/>
      <c r="H1790" s="235"/>
      <c r="I1790" s="235"/>
      <c r="J1790" s="236"/>
      <c r="K1790" s="236"/>
    </row>
    <row r="1791" spans="2:11">
      <c r="B1791" s="235"/>
      <c r="C1791" s="231"/>
      <c r="D1791" s="231"/>
      <c r="E1791" s="231"/>
      <c r="F1791" s="231"/>
      <c r="G1791" s="231"/>
      <c r="H1791" s="235"/>
      <c r="I1791" s="235"/>
      <c r="J1791" s="236"/>
      <c r="K1791" s="236"/>
    </row>
    <row r="1792" spans="2:11">
      <c r="B1792" s="235"/>
      <c r="C1792" s="231"/>
      <c r="D1792" s="231"/>
      <c r="E1792" s="231"/>
      <c r="F1792" s="231"/>
      <c r="G1792" s="231"/>
      <c r="H1792" s="235"/>
      <c r="I1792" s="235"/>
      <c r="J1792" s="236"/>
      <c r="K1792" s="236"/>
    </row>
    <row r="1793" spans="2:11">
      <c r="B1793" s="235"/>
      <c r="C1793" s="231"/>
      <c r="D1793" s="231"/>
      <c r="E1793" s="231"/>
      <c r="F1793" s="231"/>
      <c r="G1793" s="231"/>
      <c r="H1793" s="235"/>
      <c r="I1793" s="235"/>
      <c r="J1793" s="236"/>
      <c r="K1793" s="236"/>
    </row>
    <row r="1794" spans="2:11">
      <c r="B1794" s="235"/>
      <c r="C1794" s="231"/>
      <c r="D1794" s="231"/>
      <c r="E1794" s="231"/>
      <c r="F1794" s="231"/>
      <c r="G1794" s="231"/>
      <c r="H1794" s="235"/>
      <c r="I1794" s="235"/>
      <c r="J1794" s="236"/>
      <c r="K1794" s="236"/>
    </row>
    <row r="1795" spans="2:11">
      <c r="B1795" s="235"/>
      <c r="C1795" s="231"/>
      <c r="D1795" s="231"/>
      <c r="E1795" s="231"/>
      <c r="F1795" s="231"/>
      <c r="G1795" s="231"/>
      <c r="H1795" s="235"/>
      <c r="I1795" s="235"/>
      <c r="J1795" s="236"/>
      <c r="K1795" s="236"/>
    </row>
    <row r="1796" spans="2:11">
      <c r="B1796" s="235"/>
      <c r="C1796" s="231"/>
      <c r="D1796" s="231"/>
      <c r="E1796" s="231"/>
      <c r="F1796" s="231"/>
      <c r="G1796" s="231"/>
      <c r="H1796" s="235"/>
      <c r="I1796" s="235"/>
      <c r="J1796" s="236"/>
      <c r="K1796" s="236"/>
    </row>
    <row r="1797" spans="2:11">
      <c r="B1797" s="235"/>
      <c r="C1797" s="231"/>
      <c r="D1797" s="231"/>
      <c r="E1797" s="231"/>
      <c r="F1797" s="231"/>
      <c r="G1797" s="231"/>
      <c r="H1797" s="235"/>
      <c r="I1797" s="235"/>
      <c r="J1797" s="236"/>
      <c r="K1797" s="236"/>
    </row>
    <row r="1798" spans="2:11">
      <c r="B1798" s="235"/>
      <c r="C1798" s="231"/>
      <c r="D1798" s="231"/>
      <c r="E1798" s="231"/>
      <c r="F1798" s="231"/>
      <c r="G1798" s="231"/>
      <c r="H1798" s="235"/>
      <c r="I1798" s="235"/>
      <c r="J1798" s="236"/>
      <c r="K1798" s="236"/>
    </row>
    <row r="1799" spans="2:11">
      <c r="B1799" s="235"/>
      <c r="C1799" s="231"/>
      <c r="D1799" s="231"/>
      <c r="E1799" s="231"/>
      <c r="F1799" s="231"/>
      <c r="G1799" s="231"/>
      <c r="H1799" s="235"/>
      <c r="I1799" s="235"/>
      <c r="J1799" s="236"/>
      <c r="K1799" s="236"/>
    </row>
    <row r="1800" spans="2:11">
      <c r="B1800" s="235"/>
      <c r="C1800" s="231"/>
      <c r="D1800" s="231"/>
      <c r="E1800" s="231"/>
      <c r="F1800" s="231"/>
      <c r="G1800" s="231"/>
      <c r="H1800" s="235"/>
      <c r="I1800" s="235"/>
      <c r="J1800" s="236"/>
      <c r="K1800" s="236"/>
    </row>
    <row r="1801" spans="2:11">
      <c r="B1801" s="235"/>
      <c r="C1801" s="231"/>
      <c r="D1801" s="231"/>
      <c r="E1801" s="231"/>
      <c r="F1801" s="231"/>
      <c r="G1801" s="231"/>
      <c r="H1801" s="235"/>
      <c r="I1801" s="235"/>
      <c r="J1801" s="236"/>
      <c r="K1801" s="236"/>
    </row>
    <row r="1802" spans="2:11">
      <c r="B1802" s="235"/>
      <c r="C1802" s="231"/>
      <c r="D1802" s="231"/>
      <c r="E1802" s="231"/>
      <c r="F1802" s="231"/>
      <c r="G1802" s="231"/>
      <c r="H1802" s="235"/>
      <c r="I1802" s="235"/>
      <c r="J1802" s="236"/>
      <c r="K1802" s="236"/>
    </row>
    <row r="1803" spans="2:11">
      <c r="B1803" s="235"/>
      <c r="C1803" s="231"/>
      <c r="D1803" s="231"/>
      <c r="E1803" s="231"/>
      <c r="F1803" s="231"/>
      <c r="G1803" s="231"/>
      <c r="H1803" s="235"/>
      <c r="I1803" s="235"/>
      <c r="J1803" s="236"/>
      <c r="K1803" s="236"/>
    </row>
    <row r="1804" spans="2:11">
      <c r="B1804" s="235"/>
      <c r="C1804" s="231"/>
      <c r="D1804" s="231"/>
      <c r="E1804" s="231"/>
      <c r="F1804" s="231"/>
      <c r="G1804" s="231"/>
      <c r="H1804" s="235"/>
      <c r="I1804" s="235"/>
      <c r="J1804" s="236"/>
      <c r="K1804" s="236"/>
    </row>
    <row r="1805" spans="2:11">
      <c r="B1805" s="235"/>
      <c r="C1805" s="231"/>
      <c r="D1805" s="231"/>
      <c r="E1805" s="231"/>
      <c r="F1805" s="231"/>
      <c r="G1805" s="231"/>
      <c r="H1805" s="235"/>
      <c r="I1805" s="235"/>
      <c r="J1805" s="236"/>
      <c r="K1805" s="236"/>
    </row>
    <row r="1806" spans="2:11">
      <c r="B1806" s="235"/>
      <c r="C1806" s="231"/>
      <c r="D1806" s="231"/>
      <c r="E1806" s="231"/>
      <c r="F1806" s="231"/>
      <c r="G1806" s="231"/>
      <c r="H1806" s="235"/>
      <c r="I1806" s="235"/>
      <c r="J1806" s="236"/>
      <c r="K1806" s="236"/>
    </row>
    <row r="1807" spans="2:11">
      <c r="B1807" s="235"/>
      <c r="C1807" s="231"/>
      <c r="D1807" s="231"/>
      <c r="E1807" s="231"/>
      <c r="F1807" s="231"/>
      <c r="G1807" s="231"/>
      <c r="H1807" s="235"/>
      <c r="I1807" s="235"/>
      <c r="J1807" s="236"/>
      <c r="K1807" s="236"/>
    </row>
    <row r="1808" spans="2:11">
      <c r="B1808" s="235"/>
      <c r="C1808" s="231"/>
      <c r="D1808" s="231"/>
      <c r="E1808" s="231"/>
      <c r="F1808" s="231"/>
      <c r="G1808" s="231"/>
      <c r="H1808" s="235"/>
      <c r="I1808" s="235"/>
      <c r="J1808" s="236"/>
      <c r="K1808" s="236"/>
    </row>
    <row r="1809" spans="2:11">
      <c r="B1809" s="235"/>
      <c r="C1809" s="231"/>
      <c r="D1809" s="231"/>
      <c r="E1809" s="231"/>
      <c r="F1809" s="231"/>
      <c r="G1809" s="231"/>
      <c r="H1809" s="235"/>
      <c r="I1809" s="235"/>
      <c r="J1809" s="236"/>
      <c r="K1809" s="236"/>
    </row>
    <row r="1810" spans="2:11">
      <c r="B1810" s="235"/>
      <c r="C1810" s="231"/>
      <c r="D1810" s="231"/>
      <c r="E1810" s="231"/>
      <c r="F1810" s="231"/>
      <c r="G1810" s="231"/>
      <c r="H1810" s="235"/>
      <c r="I1810" s="235"/>
      <c r="J1810" s="236"/>
      <c r="K1810" s="236"/>
    </row>
    <row r="1811" spans="2:11">
      <c r="B1811" s="235"/>
      <c r="C1811" s="231"/>
      <c r="D1811" s="231"/>
      <c r="E1811" s="231"/>
      <c r="F1811" s="231"/>
      <c r="G1811" s="231"/>
      <c r="H1811" s="235"/>
      <c r="I1811" s="235"/>
      <c r="J1811" s="236"/>
      <c r="K1811" s="236"/>
    </row>
    <row r="1812" spans="2:11">
      <c r="B1812" s="235"/>
      <c r="C1812" s="231"/>
      <c r="D1812" s="231"/>
      <c r="E1812" s="231"/>
      <c r="F1812" s="231"/>
      <c r="G1812" s="231"/>
      <c r="H1812" s="235"/>
      <c r="I1812" s="235"/>
      <c r="J1812" s="236"/>
      <c r="K1812" s="236"/>
    </row>
    <row r="1813" spans="2:11">
      <c r="B1813" s="235"/>
      <c r="C1813" s="231"/>
      <c r="D1813" s="231"/>
      <c r="E1813" s="231"/>
      <c r="F1813" s="231"/>
      <c r="G1813" s="231"/>
      <c r="H1813" s="235"/>
      <c r="I1813" s="235"/>
      <c r="J1813" s="236"/>
      <c r="K1813" s="236"/>
    </row>
    <row r="1814" spans="2:11">
      <c r="B1814" s="235"/>
      <c r="C1814" s="231"/>
      <c r="D1814" s="231"/>
      <c r="E1814" s="231"/>
      <c r="F1814" s="231"/>
      <c r="G1814" s="231"/>
      <c r="H1814" s="235"/>
      <c r="I1814" s="235"/>
      <c r="J1814" s="236"/>
      <c r="K1814" s="236"/>
    </row>
    <row r="1815" spans="2:11">
      <c r="B1815" s="235"/>
      <c r="C1815" s="231"/>
      <c r="D1815" s="231"/>
      <c r="E1815" s="231"/>
      <c r="F1815" s="231"/>
      <c r="G1815" s="231"/>
      <c r="H1815" s="235"/>
      <c r="I1815" s="235"/>
      <c r="J1815" s="236"/>
      <c r="K1815" s="236"/>
    </row>
    <row r="1816" spans="2:11">
      <c r="B1816" s="235"/>
      <c r="C1816" s="231"/>
      <c r="D1816" s="231"/>
      <c r="E1816" s="231"/>
      <c r="F1816" s="231"/>
      <c r="G1816" s="231"/>
      <c r="H1816" s="235"/>
      <c r="I1816" s="235"/>
      <c r="J1816" s="236"/>
      <c r="K1816" s="236"/>
    </row>
    <row r="1817" spans="2:11">
      <c r="B1817" s="235"/>
      <c r="C1817" s="231"/>
      <c r="D1817" s="231"/>
      <c r="E1817" s="231"/>
      <c r="F1817" s="231"/>
      <c r="G1817" s="231"/>
      <c r="H1817" s="235"/>
      <c r="I1817" s="235"/>
      <c r="J1817" s="236"/>
      <c r="K1817" s="236"/>
    </row>
    <row r="1818" spans="2:11">
      <c r="B1818" s="235"/>
      <c r="C1818" s="231"/>
      <c r="D1818" s="231"/>
      <c r="E1818" s="231"/>
      <c r="F1818" s="231"/>
      <c r="G1818" s="231"/>
      <c r="H1818" s="235"/>
      <c r="I1818" s="235"/>
      <c r="J1818" s="236"/>
      <c r="K1818" s="236"/>
    </row>
    <row r="1819" spans="2:11">
      <c r="B1819" s="235"/>
      <c r="C1819" s="231"/>
      <c r="D1819" s="231"/>
      <c r="E1819" s="231"/>
      <c r="F1819" s="231"/>
      <c r="G1819" s="231"/>
      <c r="H1819" s="235"/>
      <c r="I1819" s="235"/>
      <c r="J1819" s="236"/>
      <c r="K1819" s="236"/>
    </row>
    <row r="1820" spans="2:11">
      <c r="B1820" s="235"/>
      <c r="C1820" s="231"/>
      <c r="D1820" s="231"/>
      <c r="E1820" s="231"/>
      <c r="F1820" s="231"/>
      <c r="G1820" s="231"/>
      <c r="H1820" s="235"/>
      <c r="I1820" s="235"/>
      <c r="J1820" s="236"/>
      <c r="K1820" s="236"/>
    </row>
    <row r="1821" spans="2:11">
      <c r="B1821" s="235"/>
      <c r="C1821" s="231"/>
      <c r="D1821" s="231"/>
      <c r="E1821" s="231"/>
      <c r="F1821" s="231"/>
      <c r="G1821" s="231"/>
      <c r="H1821" s="235"/>
      <c r="I1821" s="235"/>
      <c r="J1821" s="236"/>
      <c r="K1821" s="236"/>
    </row>
    <row r="1822" spans="2:11">
      <c r="B1822" s="235"/>
      <c r="C1822" s="231"/>
      <c r="D1822" s="231"/>
      <c r="E1822" s="231"/>
      <c r="F1822" s="231"/>
      <c r="G1822" s="231"/>
      <c r="H1822" s="235"/>
      <c r="I1822" s="235"/>
      <c r="J1822" s="236"/>
      <c r="K1822" s="236"/>
    </row>
    <row r="1823" spans="2:11">
      <c r="B1823" s="235"/>
      <c r="C1823" s="231"/>
      <c r="D1823" s="231"/>
      <c r="E1823" s="231"/>
      <c r="F1823" s="231"/>
      <c r="G1823" s="231"/>
      <c r="H1823" s="235"/>
      <c r="I1823" s="235"/>
      <c r="J1823" s="236"/>
      <c r="K1823" s="236"/>
    </row>
    <row r="1824" spans="2:11">
      <c r="B1824" s="235"/>
      <c r="C1824" s="231"/>
      <c r="D1824" s="231"/>
      <c r="E1824" s="231"/>
      <c r="F1824" s="231"/>
      <c r="G1824" s="231"/>
      <c r="H1824" s="235"/>
      <c r="I1824" s="235"/>
      <c r="J1824" s="236"/>
      <c r="K1824" s="236"/>
    </row>
    <row r="1825" spans="2:11">
      <c r="B1825" s="235"/>
      <c r="C1825" s="231"/>
      <c r="D1825" s="231"/>
      <c r="E1825" s="231"/>
      <c r="F1825" s="231"/>
      <c r="G1825" s="231"/>
      <c r="H1825" s="235"/>
      <c r="I1825" s="235"/>
      <c r="J1825" s="236"/>
      <c r="K1825" s="236"/>
    </row>
    <row r="1826" spans="2:11">
      <c r="B1826" s="235"/>
      <c r="C1826" s="231"/>
      <c r="D1826" s="231"/>
      <c r="E1826" s="231"/>
      <c r="F1826" s="231"/>
      <c r="G1826" s="231"/>
      <c r="H1826" s="235"/>
      <c r="I1826" s="235"/>
      <c r="J1826" s="236"/>
      <c r="K1826" s="236"/>
    </row>
    <row r="1827" spans="2:11">
      <c r="B1827" s="235"/>
      <c r="C1827" s="231"/>
      <c r="D1827" s="231"/>
      <c r="E1827" s="231"/>
      <c r="F1827" s="231"/>
      <c r="G1827" s="231"/>
      <c r="H1827" s="235"/>
      <c r="I1827" s="235"/>
      <c r="J1827" s="236"/>
      <c r="K1827" s="236"/>
    </row>
    <row r="1828" spans="2:11">
      <c r="B1828" s="235"/>
      <c r="C1828" s="231"/>
      <c r="D1828" s="231"/>
      <c r="E1828" s="231"/>
      <c r="F1828" s="231"/>
      <c r="G1828" s="231"/>
      <c r="H1828" s="235"/>
      <c r="I1828" s="235"/>
      <c r="J1828" s="236"/>
      <c r="K1828" s="236"/>
    </row>
    <row r="1829" spans="2:11">
      <c r="B1829" s="235"/>
      <c r="C1829" s="231"/>
      <c r="D1829" s="231"/>
      <c r="E1829" s="231"/>
      <c r="F1829" s="231"/>
      <c r="G1829" s="231"/>
      <c r="H1829" s="235"/>
      <c r="I1829" s="235"/>
      <c r="J1829" s="236"/>
      <c r="K1829" s="236"/>
    </row>
    <row r="1830" spans="2:11">
      <c r="B1830" s="235"/>
      <c r="C1830" s="231"/>
      <c r="D1830" s="231"/>
      <c r="E1830" s="231"/>
      <c r="F1830" s="231"/>
      <c r="G1830" s="231"/>
      <c r="H1830" s="235"/>
      <c r="I1830" s="235"/>
      <c r="J1830" s="236"/>
      <c r="K1830" s="236"/>
    </row>
    <row r="1831" spans="2:11">
      <c r="B1831" s="235"/>
      <c r="C1831" s="231"/>
      <c r="D1831" s="231"/>
      <c r="E1831" s="231"/>
      <c r="F1831" s="231"/>
      <c r="G1831" s="231"/>
      <c r="H1831" s="235"/>
      <c r="I1831" s="235"/>
      <c r="J1831" s="236"/>
      <c r="K1831" s="236"/>
    </row>
    <row r="1832" spans="2:11">
      <c r="B1832" s="235"/>
      <c r="C1832" s="231"/>
      <c r="D1832" s="231"/>
      <c r="E1832" s="231"/>
      <c r="F1832" s="231"/>
      <c r="G1832" s="231"/>
      <c r="H1832" s="235"/>
      <c r="I1832" s="235"/>
      <c r="J1832" s="236"/>
      <c r="K1832" s="236"/>
    </row>
    <row r="1833" spans="2:11">
      <c r="B1833" s="235"/>
      <c r="C1833" s="231"/>
      <c r="D1833" s="231"/>
      <c r="E1833" s="231"/>
      <c r="F1833" s="231"/>
      <c r="G1833" s="231"/>
      <c r="H1833" s="235"/>
      <c r="I1833" s="235"/>
      <c r="J1833" s="236"/>
      <c r="K1833" s="236"/>
    </row>
    <row r="1834" spans="2:11">
      <c r="B1834" s="235"/>
      <c r="C1834" s="231"/>
      <c r="D1834" s="231"/>
      <c r="E1834" s="231"/>
      <c r="F1834" s="231"/>
      <c r="G1834" s="231"/>
      <c r="H1834" s="235"/>
      <c r="I1834" s="235"/>
      <c r="J1834" s="236"/>
      <c r="K1834" s="236"/>
    </row>
    <row r="1835" spans="2:11">
      <c r="B1835" s="235"/>
      <c r="C1835" s="231"/>
      <c r="D1835" s="231"/>
      <c r="E1835" s="231"/>
      <c r="F1835" s="231"/>
      <c r="G1835" s="231"/>
      <c r="H1835" s="235"/>
      <c r="I1835" s="235"/>
      <c r="J1835" s="236"/>
      <c r="K1835" s="236"/>
    </row>
    <row r="1836" spans="2:11">
      <c r="B1836" s="235"/>
      <c r="C1836" s="231"/>
      <c r="D1836" s="231"/>
      <c r="E1836" s="231"/>
      <c r="F1836" s="231"/>
      <c r="G1836" s="231"/>
      <c r="H1836" s="235"/>
      <c r="I1836" s="235"/>
      <c r="J1836" s="236"/>
      <c r="K1836" s="236"/>
    </row>
    <row r="1837" spans="2:11">
      <c r="B1837" s="235"/>
      <c r="C1837" s="231"/>
      <c r="D1837" s="231"/>
      <c r="E1837" s="231"/>
      <c r="F1837" s="231"/>
      <c r="G1837" s="231"/>
      <c r="H1837" s="235"/>
      <c r="I1837" s="235"/>
      <c r="J1837" s="236"/>
      <c r="K1837" s="236"/>
    </row>
    <row r="1838" spans="2:11">
      <c r="B1838" s="235"/>
      <c r="C1838" s="231"/>
      <c r="D1838" s="231"/>
      <c r="E1838" s="231"/>
      <c r="F1838" s="231"/>
      <c r="G1838" s="231"/>
      <c r="H1838" s="235"/>
      <c r="I1838" s="235"/>
      <c r="J1838" s="236"/>
      <c r="K1838" s="236"/>
    </row>
    <row r="1839" spans="2:11">
      <c r="B1839" s="235"/>
      <c r="C1839" s="231"/>
      <c r="D1839" s="231"/>
      <c r="E1839" s="231"/>
      <c r="F1839" s="231"/>
      <c r="G1839" s="231"/>
      <c r="H1839" s="235"/>
      <c r="I1839" s="235"/>
      <c r="J1839" s="236"/>
      <c r="K1839" s="236"/>
    </row>
    <row r="1840" spans="2:11">
      <c r="B1840" s="235"/>
      <c r="C1840" s="231"/>
      <c r="D1840" s="231"/>
      <c r="E1840" s="231"/>
      <c r="F1840" s="231"/>
      <c r="G1840" s="231"/>
      <c r="H1840" s="235"/>
      <c r="I1840" s="235"/>
      <c r="J1840" s="236"/>
      <c r="K1840" s="236"/>
    </row>
    <row r="1841" spans="2:11">
      <c r="B1841" s="235"/>
      <c r="C1841" s="231"/>
      <c r="D1841" s="231"/>
      <c r="E1841" s="231"/>
      <c r="F1841" s="231"/>
      <c r="G1841" s="231"/>
      <c r="H1841" s="235"/>
      <c r="I1841" s="235"/>
      <c r="J1841" s="236"/>
      <c r="K1841" s="236"/>
    </row>
    <row r="1842" spans="2:11">
      <c r="B1842" s="235"/>
      <c r="C1842" s="231"/>
      <c r="D1842" s="231"/>
      <c r="E1842" s="231"/>
      <c r="F1842" s="231"/>
      <c r="G1842" s="231"/>
      <c r="H1842" s="235"/>
      <c r="I1842" s="235"/>
      <c r="J1842" s="236"/>
      <c r="K1842" s="236"/>
    </row>
    <row r="1843" spans="2:11">
      <c r="B1843" s="235"/>
      <c r="C1843" s="231"/>
      <c r="D1843" s="231"/>
      <c r="E1843" s="231"/>
      <c r="F1843" s="231"/>
      <c r="G1843" s="231"/>
      <c r="H1843" s="235"/>
      <c r="I1843" s="235"/>
      <c r="J1843" s="236"/>
      <c r="K1843" s="236"/>
    </row>
    <row r="1844" spans="2:11">
      <c r="B1844" s="235"/>
      <c r="C1844" s="231"/>
      <c r="D1844" s="231"/>
      <c r="E1844" s="231"/>
      <c r="F1844" s="231"/>
      <c r="G1844" s="231"/>
      <c r="H1844" s="235"/>
      <c r="I1844" s="235"/>
      <c r="J1844" s="236"/>
      <c r="K1844" s="236"/>
    </row>
    <row r="1845" spans="2:11">
      <c r="B1845" s="235"/>
      <c r="C1845" s="231"/>
      <c r="D1845" s="231"/>
      <c r="E1845" s="231"/>
      <c r="F1845" s="231"/>
      <c r="G1845" s="231"/>
      <c r="H1845" s="235"/>
      <c r="I1845" s="235"/>
      <c r="J1845" s="236"/>
      <c r="K1845" s="236"/>
    </row>
    <row r="1846" spans="2:11">
      <c r="B1846" s="235"/>
      <c r="C1846" s="231"/>
      <c r="D1846" s="231"/>
      <c r="E1846" s="231"/>
      <c r="F1846" s="231"/>
      <c r="G1846" s="231"/>
      <c r="H1846" s="235"/>
      <c r="I1846" s="235"/>
      <c r="J1846" s="236"/>
      <c r="K1846" s="236"/>
    </row>
    <row r="1847" spans="2:11">
      <c r="B1847" s="235"/>
      <c r="C1847" s="231"/>
      <c r="D1847" s="231"/>
      <c r="E1847" s="231"/>
      <c r="F1847" s="231"/>
      <c r="G1847" s="231"/>
      <c r="H1847" s="235"/>
      <c r="I1847" s="235"/>
      <c r="J1847" s="236"/>
      <c r="K1847" s="236"/>
    </row>
    <row r="1848" spans="2:11">
      <c r="B1848" s="235"/>
      <c r="C1848" s="231"/>
      <c r="D1848" s="231"/>
      <c r="E1848" s="231"/>
      <c r="F1848" s="231"/>
      <c r="G1848" s="231"/>
      <c r="H1848" s="235"/>
      <c r="I1848" s="235"/>
      <c r="J1848" s="236"/>
      <c r="K1848" s="236"/>
    </row>
    <row r="1849" spans="2:11">
      <c r="B1849" s="235"/>
      <c r="C1849" s="231"/>
      <c r="D1849" s="231"/>
      <c r="E1849" s="231"/>
      <c r="F1849" s="231"/>
      <c r="G1849" s="231"/>
      <c r="H1849" s="235"/>
      <c r="I1849" s="235"/>
      <c r="J1849" s="236"/>
      <c r="K1849" s="236"/>
    </row>
    <row r="1850" spans="2:11">
      <c r="B1850" s="235"/>
      <c r="C1850" s="231"/>
      <c r="D1850" s="231"/>
      <c r="E1850" s="231"/>
      <c r="F1850" s="231"/>
      <c r="G1850" s="231"/>
      <c r="H1850" s="235"/>
      <c r="I1850" s="235"/>
      <c r="J1850" s="236"/>
      <c r="K1850" s="236"/>
    </row>
    <row r="1851" spans="2:11">
      <c r="B1851" s="235"/>
      <c r="C1851" s="231"/>
      <c r="D1851" s="231"/>
      <c r="E1851" s="231"/>
      <c r="F1851" s="231"/>
      <c r="G1851" s="231"/>
      <c r="H1851" s="235"/>
      <c r="I1851" s="235"/>
      <c r="J1851" s="236"/>
      <c r="K1851" s="236"/>
    </row>
    <row r="1852" spans="2:11">
      <c r="B1852" s="235"/>
      <c r="C1852" s="231"/>
      <c r="D1852" s="231"/>
      <c r="E1852" s="231"/>
      <c r="F1852" s="231"/>
      <c r="G1852" s="231"/>
      <c r="H1852" s="235"/>
      <c r="I1852" s="235"/>
      <c r="J1852" s="236"/>
      <c r="K1852" s="236"/>
    </row>
    <row r="1853" spans="2:11">
      <c r="B1853" s="235"/>
      <c r="C1853" s="231"/>
      <c r="D1853" s="231"/>
      <c r="E1853" s="231"/>
      <c r="F1853" s="231"/>
      <c r="G1853" s="231"/>
      <c r="H1853" s="235"/>
      <c r="I1853" s="235"/>
      <c r="J1853" s="236"/>
      <c r="K1853" s="236"/>
    </row>
    <row r="1854" spans="2:11">
      <c r="B1854" s="235"/>
      <c r="C1854" s="231"/>
      <c r="D1854" s="231"/>
      <c r="E1854" s="231"/>
      <c r="F1854" s="231"/>
      <c r="G1854" s="231"/>
      <c r="H1854" s="235"/>
      <c r="I1854" s="235"/>
      <c r="J1854" s="236"/>
      <c r="K1854" s="236"/>
    </row>
    <row r="1855" spans="2:11">
      <c r="B1855" s="235"/>
      <c r="C1855" s="231"/>
      <c r="D1855" s="231"/>
      <c r="E1855" s="231"/>
      <c r="F1855" s="231"/>
      <c r="G1855" s="231"/>
      <c r="H1855" s="235"/>
      <c r="I1855" s="235"/>
      <c r="J1855" s="236"/>
      <c r="K1855" s="236"/>
    </row>
    <row r="1856" spans="2:11">
      <c r="B1856" s="235"/>
      <c r="C1856" s="231"/>
      <c r="D1856" s="231"/>
      <c r="E1856" s="231"/>
      <c r="F1856" s="231"/>
      <c r="G1856" s="231"/>
      <c r="H1856" s="235"/>
      <c r="I1856" s="235"/>
      <c r="J1856" s="236"/>
      <c r="K1856" s="236"/>
    </row>
    <row r="1857" spans="2:11">
      <c r="B1857" s="235"/>
      <c r="C1857" s="231"/>
      <c r="D1857" s="231"/>
      <c r="E1857" s="231"/>
      <c r="F1857" s="231"/>
      <c r="G1857" s="231"/>
      <c r="H1857" s="235"/>
      <c r="I1857" s="235"/>
      <c r="J1857" s="236"/>
      <c r="K1857" s="236"/>
    </row>
    <row r="1858" spans="2:11">
      <c r="B1858" s="235"/>
      <c r="C1858" s="231"/>
      <c r="D1858" s="231"/>
      <c r="E1858" s="231"/>
      <c r="F1858" s="231"/>
      <c r="G1858" s="231"/>
      <c r="H1858" s="235"/>
      <c r="I1858" s="235"/>
      <c r="J1858" s="236"/>
      <c r="K1858" s="236"/>
    </row>
    <row r="1859" spans="2:11">
      <c r="B1859" s="235"/>
      <c r="C1859" s="231"/>
      <c r="D1859" s="231"/>
      <c r="E1859" s="231"/>
      <c r="F1859" s="231"/>
      <c r="G1859" s="231"/>
      <c r="H1859" s="235"/>
      <c r="I1859" s="235"/>
      <c r="J1859" s="236"/>
      <c r="K1859" s="236"/>
    </row>
    <row r="1860" spans="2:11">
      <c r="B1860" s="235"/>
      <c r="C1860" s="231"/>
      <c r="D1860" s="231"/>
      <c r="E1860" s="231"/>
      <c r="F1860" s="231"/>
      <c r="G1860" s="231"/>
      <c r="H1860" s="235"/>
      <c r="I1860" s="235"/>
      <c r="J1860" s="236"/>
      <c r="K1860" s="236"/>
    </row>
    <row r="1861" spans="2:11">
      <c r="B1861" s="235"/>
      <c r="C1861" s="231"/>
      <c r="D1861" s="231"/>
      <c r="E1861" s="231"/>
      <c r="F1861" s="231"/>
      <c r="G1861" s="231"/>
      <c r="H1861" s="235"/>
      <c r="I1861" s="235"/>
      <c r="J1861" s="236"/>
      <c r="K1861" s="236"/>
    </row>
    <row r="1862" spans="2:11">
      <c r="B1862" s="235"/>
      <c r="C1862" s="231"/>
      <c r="D1862" s="231"/>
      <c r="E1862" s="231"/>
      <c r="F1862" s="231"/>
      <c r="G1862" s="231"/>
      <c r="H1862" s="235"/>
      <c r="I1862" s="235"/>
      <c r="J1862" s="236"/>
      <c r="K1862" s="236"/>
    </row>
    <row r="1863" spans="2:11">
      <c r="B1863" s="235"/>
      <c r="C1863" s="231"/>
      <c r="D1863" s="231"/>
      <c r="E1863" s="231"/>
      <c r="F1863" s="231"/>
      <c r="G1863" s="231"/>
      <c r="H1863" s="235"/>
      <c r="I1863" s="235"/>
      <c r="J1863" s="236"/>
      <c r="K1863" s="236"/>
    </row>
    <row r="1864" spans="2:11">
      <c r="B1864" s="235"/>
      <c r="C1864" s="231"/>
      <c r="D1864" s="231"/>
      <c r="E1864" s="231"/>
      <c r="F1864" s="231"/>
      <c r="G1864" s="231"/>
      <c r="H1864" s="235"/>
      <c r="I1864" s="235"/>
      <c r="J1864" s="236"/>
      <c r="K1864" s="236"/>
    </row>
    <row r="1865" spans="2:11">
      <c r="B1865" s="235"/>
      <c r="C1865" s="231"/>
      <c r="D1865" s="231"/>
      <c r="E1865" s="231"/>
      <c r="F1865" s="231"/>
      <c r="G1865" s="231"/>
      <c r="H1865" s="235"/>
      <c r="I1865" s="235"/>
      <c r="J1865" s="236"/>
      <c r="K1865" s="236"/>
    </row>
    <row r="1866" spans="2:11">
      <c r="B1866" s="235"/>
      <c r="C1866" s="231"/>
      <c r="D1866" s="231"/>
      <c r="E1866" s="231"/>
      <c r="F1866" s="231"/>
      <c r="G1866" s="231"/>
      <c r="H1866" s="235"/>
      <c r="I1866" s="235"/>
      <c r="J1866" s="236"/>
      <c r="K1866" s="236"/>
    </row>
    <row r="1867" spans="2:11">
      <c r="B1867" s="235"/>
      <c r="C1867" s="231"/>
      <c r="D1867" s="231"/>
      <c r="E1867" s="231"/>
      <c r="F1867" s="231"/>
      <c r="G1867" s="231"/>
      <c r="H1867" s="235"/>
      <c r="I1867" s="235"/>
      <c r="J1867" s="236"/>
      <c r="K1867" s="236"/>
    </row>
    <row r="1868" spans="2:11">
      <c r="B1868" s="235"/>
      <c r="C1868" s="231"/>
      <c r="D1868" s="231"/>
      <c r="E1868" s="231"/>
      <c r="F1868" s="231"/>
      <c r="G1868" s="231"/>
      <c r="H1868" s="235"/>
      <c r="I1868" s="235"/>
      <c r="J1868" s="236"/>
      <c r="K1868" s="236"/>
    </row>
    <row r="1869" spans="2:11">
      <c r="B1869" s="235"/>
      <c r="C1869" s="231"/>
      <c r="D1869" s="231"/>
      <c r="E1869" s="231"/>
      <c r="F1869" s="231"/>
      <c r="G1869" s="231"/>
      <c r="H1869" s="235"/>
      <c r="I1869" s="235"/>
      <c r="J1869" s="236"/>
      <c r="K1869" s="236"/>
    </row>
    <row r="1870" spans="2:11">
      <c r="B1870" s="235"/>
      <c r="C1870" s="231"/>
      <c r="D1870" s="231"/>
      <c r="E1870" s="231"/>
      <c r="F1870" s="231"/>
      <c r="G1870" s="231"/>
      <c r="H1870" s="235"/>
      <c r="I1870" s="235"/>
      <c r="J1870" s="236"/>
      <c r="K1870" s="236"/>
    </row>
    <row r="1871" spans="2:11">
      <c r="B1871" s="235"/>
      <c r="C1871" s="231"/>
      <c r="D1871" s="231"/>
      <c r="E1871" s="231"/>
      <c r="F1871" s="231"/>
      <c r="G1871" s="231"/>
      <c r="H1871" s="235"/>
      <c r="I1871" s="235"/>
      <c r="J1871" s="236"/>
      <c r="K1871" s="236"/>
    </row>
    <row r="1872" spans="2:11">
      <c r="B1872" s="235"/>
      <c r="C1872" s="231"/>
      <c r="D1872" s="231"/>
      <c r="E1872" s="231"/>
      <c r="F1872" s="231"/>
      <c r="G1872" s="231"/>
      <c r="H1872" s="235"/>
      <c r="I1872" s="235"/>
      <c r="J1872" s="236"/>
      <c r="K1872" s="236"/>
    </row>
    <row r="1873" spans="2:11">
      <c r="B1873" s="235"/>
      <c r="C1873" s="231"/>
      <c r="D1873" s="231"/>
      <c r="E1873" s="231"/>
      <c r="F1873" s="231"/>
      <c r="G1873" s="231"/>
      <c r="H1873" s="235"/>
      <c r="I1873" s="235"/>
      <c r="J1873" s="236"/>
      <c r="K1873" s="236"/>
    </row>
    <row r="1874" spans="2:11">
      <c r="B1874" s="235"/>
      <c r="C1874" s="231"/>
      <c r="D1874" s="231"/>
      <c r="E1874" s="231"/>
      <c r="F1874" s="231"/>
      <c r="G1874" s="231"/>
      <c r="H1874" s="235"/>
      <c r="I1874" s="235"/>
      <c r="J1874" s="236"/>
      <c r="K1874" s="236"/>
    </row>
    <row r="1875" spans="2:11">
      <c r="B1875" s="235"/>
      <c r="C1875" s="231"/>
      <c r="D1875" s="231"/>
      <c r="E1875" s="231"/>
      <c r="F1875" s="231"/>
      <c r="G1875" s="231"/>
      <c r="H1875" s="235"/>
      <c r="I1875" s="235"/>
      <c r="J1875" s="236"/>
      <c r="K1875" s="236"/>
    </row>
    <row r="1876" spans="2:11">
      <c r="B1876" s="235"/>
      <c r="C1876" s="231"/>
      <c r="D1876" s="231"/>
      <c r="E1876" s="231"/>
      <c r="F1876" s="231"/>
      <c r="G1876" s="231"/>
      <c r="H1876" s="235"/>
      <c r="I1876" s="235"/>
      <c r="J1876" s="236"/>
      <c r="K1876" s="236"/>
    </row>
    <row r="1877" spans="2:11">
      <c r="B1877" s="235"/>
      <c r="C1877" s="231"/>
      <c r="D1877" s="231"/>
      <c r="E1877" s="231"/>
      <c r="F1877" s="231"/>
      <c r="G1877" s="231"/>
      <c r="H1877" s="235"/>
      <c r="I1877" s="235"/>
      <c r="J1877" s="236"/>
      <c r="K1877" s="236"/>
    </row>
    <row r="1878" spans="2:11">
      <c r="B1878" s="235"/>
      <c r="C1878" s="231"/>
      <c r="D1878" s="231"/>
      <c r="E1878" s="231"/>
      <c r="F1878" s="231"/>
      <c r="G1878" s="231"/>
      <c r="H1878" s="235"/>
      <c r="I1878" s="235"/>
      <c r="J1878" s="236"/>
      <c r="K1878" s="236"/>
    </row>
    <row r="1879" spans="2:11">
      <c r="B1879" s="235"/>
      <c r="C1879" s="231"/>
      <c r="D1879" s="231"/>
      <c r="E1879" s="231"/>
      <c r="F1879" s="231"/>
      <c r="G1879" s="231"/>
      <c r="H1879" s="235"/>
      <c r="I1879" s="235"/>
      <c r="J1879" s="236"/>
      <c r="K1879" s="236"/>
    </row>
    <row r="1880" spans="2:11">
      <c r="B1880" s="235"/>
      <c r="C1880" s="231"/>
      <c r="D1880" s="231"/>
      <c r="E1880" s="231"/>
      <c r="F1880" s="231"/>
      <c r="G1880" s="231"/>
      <c r="H1880" s="235"/>
      <c r="I1880" s="235"/>
      <c r="J1880" s="236"/>
      <c r="K1880" s="236"/>
    </row>
    <row r="1881" spans="2:11">
      <c r="B1881" s="235"/>
      <c r="C1881" s="231"/>
      <c r="D1881" s="231"/>
      <c r="E1881" s="231"/>
      <c r="F1881" s="231"/>
      <c r="G1881" s="231"/>
      <c r="H1881" s="235"/>
      <c r="I1881" s="235"/>
      <c r="J1881" s="236"/>
      <c r="K1881" s="236"/>
    </row>
    <row r="1882" spans="2:11">
      <c r="B1882" s="235"/>
      <c r="C1882" s="231"/>
      <c r="D1882" s="231"/>
      <c r="E1882" s="231"/>
      <c r="F1882" s="231"/>
      <c r="G1882" s="231"/>
      <c r="H1882" s="235"/>
      <c r="I1882" s="235"/>
      <c r="J1882" s="236"/>
      <c r="K1882" s="236"/>
    </row>
    <row r="1883" spans="2:11">
      <c r="B1883" s="235"/>
      <c r="C1883" s="231"/>
      <c r="D1883" s="231"/>
      <c r="E1883" s="231"/>
      <c r="F1883" s="231"/>
      <c r="G1883" s="231"/>
      <c r="H1883" s="235"/>
      <c r="I1883" s="235"/>
      <c r="J1883" s="236"/>
      <c r="K1883" s="236"/>
    </row>
    <row r="1884" spans="2:11">
      <c r="B1884" s="235"/>
      <c r="C1884" s="231"/>
      <c r="D1884" s="231"/>
      <c r="E1884" s="231"/>
      <c r="F1884" s="231"/>
      <c r="G1884" s="231"/>
      <c r="H1884" s="235"/>
      <c r="I1884" s="235"/>
      <c r="J1884" s="236"/>
      <c r="K1884" s="236"/>
    </row>
    <row r="1885" spans="2:11">
      <c r="B1885" s="235"/>
      <c r="C1885" s="231"/>
      <c r="D1885" s="231"/>
      <c r="E1885" s="231"/>
      <c r="F1885" s="231"/>
      <c r="G1885" s="231"/>
      <c r="H1885" s="235"/>
      <c r="I1885" s="235"/>
      <c r="J1885" s="236"/>
      <c r="K1885" s="236"/>
    </row>
    <row r="1886" spans="2:11">
      <c r="B1886" s="235"/>
      <c r="C1886" s="231"/>
      <c r="D1886" s="231"/>
      <c r="E1886" s="231"/>
      <c r="F1886" s="231"/>
      <c r="G1886" s="231"/>
      <c r="H1886" s="235"/>
      <c r="I1886" s="235"/>
      <c r="J1886" s="236"/>
      <c r="K1886" s="236"/>
    </row>
    <row r="1887" spans="2:11">
      <c r="B1887" s="235"/>
      <c r="C1887" s="231"/>
      <c r="D1887" s="231"/>
      <c r="E1887" s="231"/>
      <c r="F1887" s="231"/>
      <c r="G1887" s="231"/>
      <c r="H1887" s="235"/>
      <c r="I1887" s="235"/>
      <c r="J1887" s="236"/>
      <c r="K1887" s="236"/>
    </row>
    <row r="1888" spans="2:11">
      <c r="B1888" s="235"/>
      <c r="C1888" s="231"/>
      <c r="D1888" s="231"/>
      <c r="E1888" s="231"/>
      <c r="F1888" s="231"/>
      <c r="G1888" s="231"/>
      <c r="H1888" s="235"/>
      <c r="I1888" s="235"/>
      <c r="J1888" s="236"/>
      <c r="K1888" s="236"/>
    </row>
    <row r="1889" spans="2:11">
      <c r="B1889" s="235"/>
      <c r="C1889" s="231"/>
      <c r="D1889" s="231"/>
      <c r="E1889" s="231"/>
      <c r="F1889" s="231"/>
      <c r="G1889" s="231"/>
      <c r="H1889" s="235"/>
      <c r="I1889" s="235"/>
      <c r="J1889" s="236"/>
      <c r="K1889" s="236"/>
    </row>
    <row r="1890" spans="2:11">
      <c r="B1890" s="235"/>
      <c r="C1890" s="231"/>
      <c r="D1890" s="231"/>
      <c r="E1890" s="231"/>
      <c r="F1890" s="231"/>
      <c r="G1890" s="231"/>
      <c r="H1890" s="235"/>
      <c r="I1890" s="235"/>
      <c r="J1890" s="236"/>
      <c r="K1890" s="236"/>
    </row>
    <row r="1891" spans="2:11">
      <c r="B1891" s="235"/>
      <c r="C1891" s="231"/>
      <c r="D1891" s="231"/>
      <c r="E1891" s="231"/>
      <c r="F1891" s="231"/>
      <c r="G1891" s="231"/>
      <c r="H1891" s="235"/>
      <c r="I1891" s="235"/>
      <c r="J1891" s="236"/>
      <c r="K1891" s="236"/>
    </row>
    <row r="1892" spans="2:11">
      <c r="B1892" s="235"/>
      <c r="C1892" s="231"/>
      <c r="D1892" s="231"/>
      <c r="E1892" s="231"/>
      <c r="F1892" s="231"/>
      <c r="G1892" s="231"/>
      <c r="H1892" s="235"/>
      <c r="I1892" s="235"/>
      <c r="J1892" s="236"/>
      <c r="K1892" s="236"/>
    </row>
    <row r="1893" spans="2:11">
      <c r="B1893" s="235"/>
      <c r="C1893" s="231"/>
      <c r="D1893" s="231"/>
      <c r="E1893" s="231"/>
      <c r="F1893" s="231"/>
      <c r="G1893" s="231"/>
      <c r="H1893" s="235"/>
      <c r="I1893" s="235"/>
      <c r="J1893" s="236"/>
      <c r="K1893" s="236"/>
    </row>
    <row r="1894" spans="2:11">
      <c r="B1894" s="235"/>
      <c r="C1894" s="231"/>
      <c r="D1894" s="231"/>
      <c r="E1894" s="231"/>
      <c r="F1894" s="231"/>
      <c r="G1894" s="231"/>
      <c r="H1894" s="235"/>
      <c r="I1894" s="235"/>
      <c r="J1894" s="236"/>
      <c r="K1894" s="236"/>
    </row>
    <row r="1895" spans="2:11">
      <c r="B1895" s="235"/>
      <c r="C1895" s="231"/>
      <c r="D1895" s="231"/>
      <c r="E1895" s="231"/>
      <c r="F1895" s="231"/>
      <c r="G1895" s="231"/>
      <c r="H1895" s="235"/>
      <c r="I1895" s="235"/>
      <c r="J1895" s="236"/>
      <c r="K1895" s="236"/>
    </row>
    <row r="1896" spans="2:11">
      <c r="B1896" s="235"/>
      <c r="C1896" s="231"/>
      <c r="D1896" s="231"/>
      <c r="E1896" s="231"/>
      <c r="F1896" s="231"/>
      <c r="G1896" s="231"/>
      <c r="H1896" s="235"/>
      <c r="I1896" s="235"/>
      <c r="J1896" s="236"/>
      <c r="K1896" s="236"/>
    </row>
    <row r="1897" spans="2:11">
      <c r="B1897" s="235"/>
      <c r="C1897" s="231"/>
      <c r="D1897" s="231"/>
      <c r="E1897" s="231"/>
      <c r="F1897" s="231"/>
      <c r="G1897" s="231"/>
      <c r="H1897" s="235"/>
      <c r="I1897" s="235"/>
      <c r="J1897" s="236"/>
      <c r="K1897" s="236"/>
    </row>
    <row r="1898" spans="2:11">
      <c r="B1898" s="235"/>
      <c r="C1898" s="231"/>
      <c r="D1898" s="231"/>
      <c r="E1898" s="231"/>
      <c r="F1898" s="231"/>
      <c r="G1898" s="231"/>
      <c r="H1898" s="235"/>
      <c r="I1898" s="235"/>
      <c r="J1898" s="236"/>
      <c r="K1898" s="236"/>
    </row>
    <row r="1899" spans="2:11">
      <c r="B1899" s="235"/>
      <c r="C1899" s="231"/>
      <c r="D1899" s="231"/>
      <c r="E1899" s="231"/>
      <c r="F1899" s="231"/>
      <c r="G1899" s="231"/>
      <c r="H1899" s="235"/>
      <c r="I1899" s="235"/>
      <c r="J1899" s="236"/>
      <c r="K1899" s="236"/>
    </row>
    <row r="1900" spans="2:11">
      <c r="B1900" s="235"/>
      <c r="C1900" s="231"/>
      <c r="D1900" s="231"/>
      <c r="E1900" s="231"/>
      <c r="F1900" s="231"/>
      <c r="G1900" s="231"/>
      <c r="H1900" s="235"/>
      <c r="I1900" s="235"/>
      <c r="J1900" s="236"/>
      <c r="K1900" s="236"/>
    </row>
    <row r="1901" spans="2:11">
      <c r="B1901" s="235"/>
      <c r="C1901" s="231"/>
      <c r="D1901" s="231"/>
      <c r="E1901" s="231"/>
      <c r="F1901" s="231"/>
      <c r="G1901" s="231"/>
      <c r="H1901" s="235"/>
      <c r="I1901" s="235"/>
      <c r="J1901" s="236"/>
      <c r="K1901" s="236"/>
    </row>
    <row r="1902" spans="2:11">
      <c r="B1902" s="235"/>
      <c r="C1902" s="231"/>
      <c r="D1902" s="231"/>
      <c r="E1902" s="231"/>
      <c r="F1902" s="231"/>
      <c r="G1902" s="231"/>
      <c r="H1902" s="235"/>
      <c r="I1902" s="235"/>
      <c r="J1902" s="236"/>
      <c r="K1902" s="236"/>
    </row>
    <row r="1903" spans="2:11">
      <c r="B1903" s="235"/>
      <c r="C1903" s="231"/>
      <c r="D1903" s="231"/>
      <c r="E1903" s="231"/>
      <c r="F1903" s="231"/>
      <c r="G1903" s="231"/>
      <c r="H1903" s="235"/>
      <c r="I1903" s="235"/>
      <c r="J1903" s="236"/>
      <c r="K1903" s="236"/>
    </row>
    <row r="1904" spans="2:11">
      <c r="B1904" s="235"/>
      <c r="C1904" s="231"/>
      <c r="D1904" s="231"/>
      <c r="E1904" s="231"/>
      <c r="F1904" s="231"/>
      <c r="G1904" s="231"/>
      <c r="H1904" s="235"/>
      <c r="I1904" s="235"/>
      <c r="J1904" s="236"/>
      <c r="K1904" s="236"/>
    </row>
    <row r="1905" spans="2:11">
      <c r="B1905" s="235"/>
      <c r="C1905" s="231"/>
      <c r="D1905" s="231"/>
      <c r="E1905" s="231"/>
      <c r="F1905" s="231"/>
      <c r="G1905" s="231"/>
      <c r="H1905" s="235"/>
      <c r="I1905" s="235"/>
      <c r="J1905" s="236"/>
      <c r="K1905" s="236"/>
    </row>
    <row r="1906" spans="2:11">
      <c r="B1906" s="235"/>
      <c r="C1906" s="231"/>
      <c r="D1906" s="231"/>
      <c r="E1906" s="231"/>
      <c r="F1906" s="231"/>
      <c r="G1906" s="231"/>
      <c r="H1906" s="235"/>
      <c r="I1906" s="235"/>
      <c r="J1906" s="236"/>
      <c r="K1906" s="236"/>
    </row>
    <row r="1907" spans="2:11">
      <c r="B1907" s="235"/>
      <c r="C1907" s="231"/>
      <c r="D1907" s="231"/>
      <c r="E1907" s="231"/>
      <c r="F1907" s="231"/>
      <c r="G1907" s="231"/>
      <c r="H1907" s="235"/>
      <c r="I1907" s="235"/>
      <c r="J1907" s="236"/>
      <c r="K1907" s="236"/>
    </row>
    <row r="1908" spans="2:11">
      <c r="B1908" s="235"/>
      <c r="C1908" s="231"/>
      <c r="D1908" s="231"/>
      <c r="E1908" s="231"/>
      <c r="F1908" s="231"/>
      <c r="G1908" s="231"/>
      <c r="H1908" s="235"/>
      <c r="I1908" s="235"/>
      <c r="J1908" s="236"/>
      <c r="K1908" s="236"/>
    </row>
    <row r="1909" spans="2:11">
      <c r="B1909" s="235"/>
      <c r="C1909" s="231"/>
      <c r="D1909" s="231"/>
      <c r="E1909" s="231"/>
      <c r="F1909" s="231"/>
      <c r="G1909" s="231"/>
      <c r="H1909" s="235"/>
      <c r="I1909" s="235"/>
      <c r="J1909" s="236"/>
      <c r="K1909" s="236"/>
    </row>
    <row r="1910" spans="2:11">
      <c r="B1910" s="235"/>
      <c r="C1910" s="231"/>
      <c r="D1910" s="231"/>
      <c r="E1910" s="231"/>
      <c r="F1910" s="231"/>
      <c r="G1910" s="231"/>
      <c r="H1910" s="235"/>
      <c r="I1910" s="235"/>
      <c r="J1910" s="236"/>
      <c r="K1910" s="236"/>
    </row>
    <row r="1911" spans="2:11">
      <c r="B1911" s="235"/>
      <c r="C1911" s="231"/>
      <c r="D1911" s="231"/>
      <c r="E1911" s="231"/>
      <c r="F1911" s="231"/>
      <c r="G1911" s="231"/>
      <c r="H1911" s="235"/>
      <c r="I1911" s="235"/>
      <c r="J1911" s="236"/>
      <c r="K1911" s="236"/>
    </row>
    <row r="1912" spans="2:11">
      <c r="B1912" s="235"/>
      <c r="C1912" s="231"/>
      <c r="D1912" s="231"/>
      <c r="E1912" s="231"/>
      <c r="F1912" s="231"/>
      <c r="G1912" s="231"/>
      <c r="H1912" s="235"/>
      <c r="I1912" s="235"/>
      <c r="J1912" s="236"/>
      <c r="K1912" s="236"/>
    </row>
    <row r="1913" spans="2:11">
      <c r="B1913" s="235"/>
      <c r="C1913" s="231"/>
      <c r="D1913" s="231"/>
      <c r="E1913" s="231"/>
      <c r="F1913" s="231"/>
      <c r="G1913" s="231"/>
      <c r="H1913" s="235"/>
      <c r="I1913" s="235"/>
      <c r="J1913" s="236"/>
      <c r="K1913" s="236"/>
    </row>
    <row r="1914" spans="2:11">
      <c r="B1914" s="235"/>
      <c r="C1914" s="231"/>
      <c r="D1914" s="231"/>
      <c r="E1914" s="231"/>
      <c r="F1914" s="231"/>
      <c r="G1914" s="231"/>
      <c r="H1914" s="235"/>
      <c r="I1914" s="235"/>
      <c r="J1914" s="236"/>
      <c r="K1914" s="236"/>
    </row>
    <row r="1915" spans="2:11">
      <c r="B1915" s="235"/>
      <c r="C1915" s="231"/>
      <c r="D1915" s="231"/>
      <c r="E1915" s="231"/>
      <c r="F1915" s="231"/>
      <c r="G1915" s="231"/>
      <c r="H1915" s="235"/>
      <c r="I1915" s="235"/>
      <c r="J1915" s="236"/>
      <c r="K1915" s="236"/>
    </row>
    <row r="1916" spans="2:11">
      <c r="B1916" s="235"/>
      <c r="C1916" s="231"/>
      <c r="D1916" s="231"/>
      <c r="E1916" s="231"/>
      <c r="F1916" s="231"/>
      <c r="G1916" s="231"/>
      <c r="H1916" s="235"/>
      <c r="I1916" s="235"/>
      <c r="J1916" s="236"/>
      <c r="K1916" s="236"/>
    </row>
    <row r="1917" spans="2:11">
      <c r="B1917" s="235"/>
      <c r="C1917" s="231"/>
      <c r="D1917" s="231"/>
      <c r="E1917" s="231"/>
      <c r="F1917" s="231"/>
      <c r="G1917" s="231"/>
      <c r="H1917" s="235"/>
      <c r="I1917" s="235"/>
      <c r="J1917" s="236"/>
      <c r="K1917" s="236"/>
    </row>
    <row r="1918" spans="2:11">
      <c r="B1918" s="235"/>
      <c r="C1918" s="231"/>
      <c r="D1918" s="231"/>
      <c r="E1918" s="231"/>
      <c r="F1918" s="231"/>
      <c r="G1918" s="231"/>
      <c r="H1918" s="235"/>
      <c r="I1918" s="235"/>
      <c r="J1918" s="236"/>
      <c r="K1918" s="236"/>
    </row>
    <row r="1919" spans="2:11">
      <c r="B1919" s="235"/>
      <c r="C1919" s="231"/>
      <c r="D1919" s="231"/>
      <c r="E1919" s="231"/>
      <c r="F1919" s="231"/>
      <c r="G1919" s="231"/>
      <c r="H1919" s="235"/>
      <c r="I1919" s="235"/>
      <c r="J1919" s="236"/>
      <c r="K1919" s="236"/>
    </row>
    <row r="1920" spans="2:11">
      <c r="B1920" s="235"/>
      <c r="C1920" s="231"/>
      <c r="D1920" s="231"/>
      <c r="E1920" s="231"/>
      <c r="F1920" s="231"/>
      <c r="G1920" s="231"/>
      <c r="H1920" s="235"/>
      <c r="I1920" s="235"/>
      <c r="J1920" s="236"/>
      <c r="K1920" s="236"/>
    </row>
    <row r="1921" spans="2:11">
      <c r="B1921" s="235"/>
      <c r="C1921" s="231"/>
      <c r="D1921" s="231"/>
      <c r="E1921" s="231"/>
      <c r="F1921" s="231"/>
      <c r="G1921" s="231"/>
      <c r="H1921" s="235"/>
      <c r="I1921" s="235"/>
      <c r="J1921" s="236"/>
      <c r="K1921" s="236"/>
    </row>
    <row r="1922" spans="2:11">
      <c r="B1922" s="235"/>
      <c r="C1922" s="231"/>
      <c r="D1922" s="231"/>
      <c r="E1922" s="231"/>
      <c r="F1922" s="231"/>
      <c r="G1922" s="231"/>
      <c r="H1922" s="235"/>
      <c r="I1922" s="235"/>
      <c r="J1922" s="236"/>
      <c r="K1922" s="236"/>
    </row>
    <row r="1923" spans="2:11">
      <c r="B1923" s="235"/>
      <c r="C1923" s="231"/>
      <c r="D1923" s="231"/>
      <c r="E1923" s="231"/>
      <c r="F1923" s="231"/>
      <c r="G1923" s="231"/>
      <c r="H1923" s="235"/>
      <c r="I1923" s="235"/>
      <c r="J1923" s="236"/>
      <c r="K1923" s="236"/>
    </row>
    <row r="1924" spans="2:11">
      <c r="B1924" s="235"/>
      <c r="C1924" s="231"/>
      <c r="D1924" s="231"/>
      <c r="E1924" s="231"/>
      <c r="F1924" s="231"/>
      <c r="G1924" s="231"/>
      <c r="H1924" s="235"/>
      <c r="I1924" s="235"/>
      <c r="J1924" s="236"/>
      <c r="K1924" s="236"/>
    </row>
    <row r="1925" spans="2:11">
      <c r="B1925" s="235"/>
      <c r="C1925" s="231"/>
      <c r="D1925" s="231"/>
      <c r="E1925" s="231"/>
      <c r="F1925" s="231"/>
      <c r="G1925" s="231"/>
      <c r="H1925" s="235"/>
      <c r="I1925" s="235"/>
      <c r="J1925" s="236"/>
      <c r="K1925" s="236"/>
    </row>
    <row r="1926" spans="2:11">
      <c r="B1926" s="235"/>
      <c r="C1926" s="231"/>
      <c r="D1926" s="231"/>
      <c r="E1926" s="231"/>
      <c r="F1926" s="231"/>
      <c r="G1926" s="231"/>
      <c r="H1926" s="235"/>
      <c r="I1926" s="235"/>
      <c r="J1926" s="236"/>
      <c r="K1926" s="236"/>
    </row>
    <row r="1927" spans="2:11">
      <c r="B1927" s="235"/>
      <c r="C1927" s="231"/>
      <c r="D1927" s="231"/>
      <c r="E1927" s="231"/>
      <c r="F1927" s="231"/>
      <c r="G1927" s="231"/>
      <c r="H1927" s="235"/>
      <c r="I1927" s="235"/>
      <c r="J1927" s="236"/>
      <c r="K1927" s="236"/>
    </row>
    <row r="1928" spans="2:11">
      <c r="B1928" s="235"/>
      <c r="C1928" s="231"/>
      <c r="D1928" s="231"/>
      <c r="E1928" s="231"/>
      <c r="F1928" s="231"/>
      <c r="G1928" s="231"/>
      <c r="H1928" s="235"/>
      <c r="I1928" s="235"/>
      <c r="J1928" s="236"/>
      <c r="K1928" s="236"/>
    </row>
    <row r="1929" spans="2:11">
      <c r="B1929" s="235"/>
      <c r="C1929" s="231"/>
      <c r="D1929" s="231"/>
      <c r="E1929" s="231"/>
      <c r="F1929" s="231"/>
      <c r="G1929" s="231"/>
      <c r="H1929" s="235"/>
      <c r="I1929" s="235"/>
      <c r="J1929" s="236"/>
      <c r="K1929" s="236"/>
    </row>
    <row r="1930" spans="2:11">
      <c r="B1930" s="235"/>
      <c r="C1930" s="231"/>
      <c r="D1930" s="231"/>
      <c r="E1930" s="231"/>
      <c r="F1930" s="231"/>
      <c r="G1930" s="231"/>
      <c r="H1930" s="235"/>
      <c r="I1930" s="235"/>
      <c r="J1930" s="236"/>
      <c r="K1930" s="236"/>
    </row>
    <row r="1931" spans="2:11">
      <c r="B1931" s="235"/>
      <c r="C1931" s="231"/>
      <c r="D1931" s="231"/>
      <c r="E1931" s="231"/>
      <c r="F1931" s="231"/>
      <c r="G1931" s="231"/>
      <c r="H1931" s="235"/>
      <c r="I1931" s="235"/>
      <c r="J1931" s="236"/>
      <c r="K1931" s="236"/>
    </row>
    <row r="1932" spans="2:11">
      <c r="B1932" s="235"/>
      <c r="C1932" s="231"/>
      <c r="D1932" s="231"/>
      <c r="E1932" s="231"/>
      <c r="F1932" s="231"/>
      <c r="G1932" s="231"/>
      <c r="H1932" s="235"/>
      <c r="I1932" s="235"/>
      <c r="J1932" s="236"/>
      <c r="K1932" s="236"/>
    </row>
    <row r="1933" spans="2:11">
      <c r="B1933" s="235"/>
      <c r="C1933" s="231"/>
      <c r="D1933" s="231"/>
      <c r="E1933" s="231"/>
      <c r="F1933" s="231"/>
      <c r="G1933" s="231"/>
      <c r="H1933" s="235"/>
      <c r="I1933" s="235"/>
      <c r="J1933" s="236"/>
      <c r="K1933" s="236"/>
    </row>
    <row r="1934" spans="2:11">
      <c r="B1934" s="235"/>
      <c r="C1934" s="231"/>
      <c r="D1934" s="231"/>
      <c r="E1934" s="231"/>
      <c r="F1934" s="231"/>
      <c r="G1934" s="231"/>
      <c r="H1934" s="235"/>
      <c r="I1934" s="235"/>
      <c r="J1934" s="236"/>
      <c r="K1934" s="236"/>
    </row>
    <row r="1935" spans="2:11">
      <c r="B1935" s="235"/>
      <c r="C1935" s="231"/>
      <c r="D1935" s="231"/>
      <c r="E1935" s="231"/>
      <c r="F1935" s="231"/>
      <c r="G1935" s="231"/>
      <c r="H1935" s="235"/>
      <c r="I1935" s="235"/>
      <c r="J1935" s="236"/>
      <c r="K1935" s="236"/>
    </row>
    <row r="1936" spans="2:11">
      <c r="B1936" s="235"/>
      <c r="C1936" s="231"/>
      <c r="D1936" s="231"/>
      <c r="E1936" s="231"/>
      <c r="F1936" s="231"/>
      <c r="G1936" s="231"/>
      <c r="H1936" s="235"/>
      <c r="I1936" s="235"/>
      <c r="J1936" s="236"/>
      <c r="K1936" s="236"/>
    </row>
    <row r="1937" spans="2:11">
      <c r="B1937" s="235"/>
      <c r="C1937" s="231"/>
      <c r="D1937" s="231"/>
      <c r="E1937" s="231"/>
      <c r="F1937" s="231"/>
      <c r="G1937" s="231"/>
      <c r="H1937" s="235"/>
      <c r="I1937" s="235"/>
      <c r="J1937" s="236"/>
      <c r="K1937" s="236"/>
    </row>
    <row r="1938" spans="2:11">
      <c r="B1938" s="235"/>
      <c r="C1938" s="231"/>
      <c r="D1938" s="231"/>
      <c r="E1938" s="231"/>
      <c r="F1938" s="231"/>
      <c r="G1938" s="231"/>
      <c r="H1938" s="235"/>
      <c r="I1938" s="235"/>
      <c r="J1938" s="236"/>
      <c r="K1938" s="236"/>
    </row>
    <row r="1939" spans="2:11">
      <c r="B1939" s="235"/>
      <c r="C1939" s="231"/>
      <c r="D1939" s="231"/>
      <c r="E1939" s="231"/>
      <c r="F1939" s="231"/>
      <c r="G1939" s="231"/>
      <c r="H1939" s="235"/>
      <c r="I1939" s="235"/>
      <c r="J1939" s="236"/>
      <c r="K1939" s="236"/>
    </row>
    <row r="1940" spans="2:11">
      <c r="B1940" s="235"/>
      <c r="C1940" s="231"/>
      <c r="D1940" s="231"/>
      <c r="E1940" s="231"/>
      <c r="F1940" s="231"/>
      <c r="G1940" s="231"/>
      <c r="H1940" s="235"/>
      <c r="I1940" s="235"/>
      <c r="J1940" s="236"/>
      <c r="K1940" s="236"/>
    </row>
    <row r="1941" spans="2:11">
      <c r="B1941" s="235"/>
      <c r="C1941" s="231"/>
      <c r="D1941" s="231"/>
      <c r="E1941" s="231"/>
      <c r="F1941" s="231"/>
      <c r="G1941" s="231"/>
      <c r="H1941" s="235"/>
      <c r="I1941" s="235"/>
      <c r="J1941" s="236"/>
      <c r="K1941" s="236"/>
    </row>
    <row r="1942" spans="2:11">
      <c r="B1942" s="235"/>
      <c r="C1942" s="231"/>
      <c r="D1942" s="231"/>
      <c r="E1942" s="231"/>
      <c r="F1942" s="231"/>
      <c r="G1942" s="231"/>
      <c r="H1942" s="235"/>
      <c r="I1942" s="235"/>
      <c r="J1942" s="236"/>
      <c r="K1942" s="236"/>
    </row>
    <row r="1943" spans="2:11">
      <c r="B1943" s="235"/>
      <c r="C1943" s="231"/>
      <c r="D1943" s="231"/>
      <c r="E1943" s="231"/>
      <c r="F1943" s="231"/>
      <c r="G1943" s="231"/>
      <c r="H1943" s="235"/>
      <c r="I1943" s="235"/>
      <c r="J1943" s="236"/>
      <c r="K1943" s="236"/>
    </row>
    <row r="1944" spans="2:11">
      <c r="B1944" s="235"/>
      <c r="C1944" s="231"/>
      <c r="D1944" s="231"/>
      <c r="E1944" s="231"/>
      <c r="F1944" s="231"/>
      <c r="G1944" s="231"/>
      <c r="H1944" s="235"/>
      <c r="I1944" s="235"/>
      <c r="J1944" s="236"/>
      <c r="K1944" s="236"/>
    </row>
    <row r="1945" spans="2:11">
      <c r="B1945" s="235"/>
      <c r="C1945" s="231"/>
      <c r="D1945" s="231"/>
      <c r="E1945" s="231"/>
      <c r="F1945" s="231"/>
      <c r="G1945" s="231"/>
      <c r="H1945" s="235"/>
      <c r="I1945" s="235"/>
      <c r="J1945" s="236"/>
      <c r="K1945" s="236"/>
    </row>
    <row r="1946" spans="2:11">
      <c r="B1946" s="235"/>
      <c r="C1946" s="231"/>
      <c r="D1946" s="231"/>
      <c r="E1946" s="231"/>
      <c r="F1946" s="231"/>
      <c r="G1946" s="231"/>
      <c r="H1946" s="235"/>
      <c r="I1946" s="235"/>
      <c r="J1946" s="236"/>
      <c r="K1946" s="236"/>
    </row>
    <row r="1947" spans="2:11">
      <c r="B1947" s="235"/>
      <c r="C1947" s="231"/>
      <c r="D1947" s="231"/>
      <c r="E1947" s="231"/>
      <c r="F1947" s="231"/>
      <c r="G1947" s="231"/>
      <c r="H1947" s="235"/>
      <c r="I1947" s="235"/>
      <c r="J1947" s="236"/>
      <c r="K1947" s="236"/>
    </row>
    <row r="1948" spans="2:11">
      <c r="B1948" s="235"/>
      <c r="C1948" s="231"/>
      <c r="D1948" s="231"/>
      <c r="E1948" s="231"/>
      <c r="F1948" s="231"/>
      <c r="G1948" s="231"/>
      <c r="H1948" s="235"/>
      <c r="I1948" s="235"/>
      <c r="J1948" s="236"/>
      <c r="K1948" s="236"/>
    </row>
    <row r="1949" spans="2:11">
      <c r="B1949" s="235"/>
      <c r="C1949" s="231"/>
      <c r="D1949" s="231"/>
      <c r="E1949" s="231"/>
      <c r="F1949" s="231"/>
      <c r="G1949" s="231"/>
      <c r="H1949" s="235"/>
      <c r="I1949" s="235"/>
      <c r="J1949" s="236"/>
      <c r="K1949" s="236"/>
    </row>
    <row r="1950" spans="2:11">
      <c r="B1950" s="235"/>
      <c r="C1950" s="231"/>
      <c r="D1950" s="231"/>
      <c r="E1950" s="231"/>
      <c r="F1950" s="231"/>
      <c r="G1950" s="231"/>
      <c r="H1950" s="235"/>
      <c r="I1950" s="235"/>
      <c r="J1950" s="236"/>
      <c r="K1950" s="236"/>
    </row>
    <row r="1951" spans="2:11">
      <c r="B1951" s="235"/>
      <c r="C1951" s="231"/>
      <c r="D1951" s="231"/>
      <c r="E1951" s="231"/>
      <c r="F1951" s="231"/>
      <c r="G1951" s="231"/>
      <c r="H1951" s="235"/>
      <c r="I1951" s="235"/>
      <c r="J1951" s="236"/>
      <c r="K1951" s="236"/>
    </row>
    <row r="1952" spans="2:11">
      <c r="B1952" s="235"/>
      <c r="C1952" s="231"/>
      <c r="D1952" s="231"/>
      <c r="E1952" s="231"/>
      <c r="F1952" s="231"/>
      <c r="G1952" s="231"/>
      <c r="H1952" s="235"/>
      <c r="I1952" s="235"/>
      <c r="J1952" s="236"/>
      <c r="K1952" s="236"/>
    </row>
    <row r="1953" spans="2:11">
      <c r="B1953" s="235"/>
      <c r="C1953" s="231"/>
      <c r="D1953" s="231"/>
      <c r="E1953" s="231"/>
      <c r="F1953" s="231"/>
      <c r="G1953" s="231"/>
      <c r="H1953" s="235"/>
      <c r="I1953" s="235"/>
      <c r="J1953" s="236"/>
      <c r="K1953" s="236"/>
    </row>
    <row r="1954" spans="2:11">
      <c r="B1954" s="235"/>
      <c r="C1954" s="231"/>
      <c r="D1954" s="231"/>
      <c r="E1954" s="231"/>
      <c r="F1954" s="231"/>
      <c r="G1954" s="231"/>
      <c r="H1954" s="235"/>
      <c r="I1954" s="235"/>
      <c r="J1954" s="236"/>
      <c r="K1954" s="236"/>
    </row>
    <row r="1955" spans="2:11">
      <c r="B1955" s="235"/>
      <c r="C1955" s="231"/>
      <c r="D1955" s="231"/>
      <c r="E1955" s="231"/>
      <c r="F1955" s="231"/>
      <c r="G1955" s="231"/>
      <c r="H1955" s="235"/>
      <c r="I1955" s="235"/>
      <c r="J1955" s="236"/>
      <c r="K1955" s="236"/>
    </row>
    <row r="1956" spans="2:11">
      <c r="B1956" s="235"/>
      <c r="C1956" s="231"/>
      <c r="D1956" s="231"/>
      <c r="E1956" s="231"/>
      <c r="F1956" s="231"/>
      <c r="G1956" s="231"/>
      <c r="H1956" s="235"/>
      <c r="I1956" s="235"/>
      <c r="J1956" s="236"/>
      <c r="K1956" s="236"/>
    </row>
    <row r="1957" spans="2:11">
      <c r="B1957" s="235"/>
      <c r="C1957" s="231"/>
      <c r="D1957" s="231"/>
      <c r="E1957" s="231"/>
      <c r="F1957" s="231"/>
      <c r="G1957" s="231"/>
      <c r="H1957" s="235"/>
      <c r="I1957" s="235"/>
      <c r="J1957" s="236"/>
      <c r="K1957" s="236"/>
    </row>
    <row r="1958" spans="2:11">
      <c r="B1958" s="235"/>
      <c r="C1958" s="231"/>
      <c r="D1958" s="231"/>
      <c r="E1958" s="231"/>
      <c r="F1958" s="231"/>
      <c r="G1958" s="231"/>
      <c r="H1958" s="235"/>
      <c r="I1958" s="235"/>
      <c r="J1958" s="236"/>
      <c r="K1958" s="236"/>
    </row>
    <row r="1959" spans="2:11">
      <c r="B1959" s="235"/>
      <c r="C1959" s="231"/>
      <c r="D1959" s="231"/>
      <c r="E1959" s="231"/>
      <c r="F1959" s="231"/>
      <c r="G1959" s="231"/>
      <c r="H1959" s="235"/>
      <c r="I1959" s="235"/>
      <c r="J1959" s="236"/>
      <c r="K1959" s="236"/>
    </row>
    <row r="1960" spans="2:11">
      <c r="B1960" s="235"/>
      <c r="C1960" s="231"/>
      <c r="D1960" s="231"/>
      <c r="E1960" s="231"/>
      <c r="F1960" s="231"/>
      <c r="G1960" s="231"/>
      <c r="H1960" s="235"/>
      <c r="I1960" s="235"/>
      <c r="J1960" s="236"/>
      <c r="K1960" s="236"/>
    </row>
    <row r="1961" spans="2:11">
      <c r="B1961" s="235"/>
      <c r="C1961" s="231"/>
      <c r="D1961" s="231"/>
      <c r="E1961" s="231"/>
      <c r="F1961" s="231"/>
      <c r="G1961" s="231"/>
      <c r="H1961" s="235"/>
      <c r="I1961" s="235"/>
      <c r="J1961" s="236"/>
      <c r="K1961" s="236"/>
    </row>
    <row r="1962" spans="2:11">
      <c r="B1962" s="235"/>
      <c r="C1962" s="231"/>
      <c r="D1962" s="231"/>
      <c r="E1962" s="231"/>
      <c r="F1962" s="231"/>
      <c r="G1962" s="231"/>
      <c r="H1962" s="235"/>
      <c r="I1962" s="235"/>
      <c r="J1962" s="236"/>
      <c r="K1962" s="236"/>
    </row>
    <row r="1963" spans="2:11">
      <c r="B1963" s="235"/>
      <c r="C1963" s="231"/>
      <c r="D1963" s="231"/>
      <c r="E1963" s="231"/>
      <c r="F1963" s="231"/>
      <c r="G1963" s="231"/>
      <c r="H1963" s="235"/>
      <c r="I1963" s="235"/>
      <c r="J1963" s="236"/>
      <c r="K1963" s="236"/>
    </row>
    <row r="1964" spans="2:11">
      <c r="B1964" s="235"/>
      <c r="C1964" s="231"/>
      <c r="D1964" s="231"/>
      <c r="E1964" s="231"/>
      <c r="F1964" s="231"/>
      <c r="G1964" s="231"/>
      <c r="H1964" s="235"/>
      <c r="I1964" s="235"/>
      <c r="J1964" s="236"/>
      <c r="K1964" s="236"/>
    </row>
    <row r="1965" spans="2:11">
      <c r="B1965" s="235"/>
      <c r="C1965" s="231"/>
      <c r="D1965" s="231"/>
      <c r="E1965" s="231"/>
      <c r="F1965" s="231"/>
      <c r="G1965" s="231"/>
      <c r="H1965" s="235"/>
      <c r="I1965" s="235"/>
      <c r="J1965" s="236"/>
      <c r="K1965" s="236"/>
    </row>
    <row r="1966" spans="2:11">
      <c r="B1966" s="235"/>
      <c r="C1966" s="231"/>
      <c r="D1966" s="231"/>
      <c r="E1966" s="231"/>
      <c r="F1966" s="231"/>
      <c r="G1966" s="231"/>
      <c r="H1966" s="235"/>
      <c r="I1966" s="235"/>
      <c r="J1966" s="236"/>
      <c r="K1966" s="236"/>
    </row>
    <row r="1967" spans="2:11">
      <c r="B1967" s="235"/>
      <c r="C1967" s="231"/>
      <c r="D1967" s="231"/>
      <c r="E1967" s="231"/>
      <c r="F1967" s="231"/>
      <c r="G1967" s="231"/>
      <c r="H1967" s="235"/>
      <c r="I1967" s="235"/>
      <c r="J1967" s="236"/>
      <c r="K1967" s="236"/>
    </row>
    <row r="1968" spans="2:11">
      <c r="B1968" s="235"/>
      <c r="C1968" s="231"/>
      <c r="D1968" s="231"/>
      <c r="E1968" s="231"/>
      <c r="F1968" s="231"/>
      <c r="G1968" s="231"/>
      <c r="H1968" s="235"/>
      <c r="I1968" s="235"/>
      <c r="J1968" s="236"/>
      <c r="K1968" s="236"/>
    </row>
    <row r="1969" spans="2:11">
      <c r="B1969" s="235"/>
      <c r="C1969" s="231"/>
      <c r="D1969" s="231"/>
      <c r="E1969" s="231"/>
      <c r="F1969" s="231"/>
      <c r="G1969" s="231"/>
      <c r="H1969" s="235"/>
      <c r="I1969" s="235"/>
      <c r="J1969" s="236"/>
      <c r="K1969" s="236"/>
    </row>
    <row r="1970" spans="2:11">
      <c r="B1970" s="235"/>
      <c r="C1970" s="231"/>
      <c r="D1970" s="231"/>
      <c r="E1970" s="231"/>
      <c r="F1970" s="231"/>
      <c r="G1970" s="231"/>
      <c r="H1970" s="235"/>
      <c r="I1970" s="235"/>
      <c r="J1970" s="236"/>
      <c r="K1970" s="236"/>
    </row>
    <row r="1971" spans="2:11">
      <c r="B1971" s="235"/>
      <c r="C1971" s="231"/>
      <c r="D1971" s="231"/>
      <c r="E1971" s="231"/>
      <c r="F1971" s="231"/>
      <c r="G1971" s="231"/>
      <c r="H1971" s="235"/>
      <c r="I1971" s="235"/>
      <c r="J1971" s="236"/>
      <c r="K1971" s="236"/>
    </row>
    <row r="1972" spans="2:11">
      <c r="B1972" s="235"/>
      <c r="C1972" s="231"/>
      <c r="D1972" s="231"/>
      <c r="E1972" s="231"/>
      <c r="F1972" s="231"/>
      <c r="G1972" s="231"/>
      <c r="H1972" s="235"/>
      <c r="I1972" s="235"/>
      <c r="J1972" s="236"/>
      <c r="K1972" s="236"/>
    </row>
    <row r="1973" spans="2:11">
      <c r="B1973" s="235"/>
      <c r="C1973" s="231"/>
      <c r="D1973" s="231"/>
      <c r="E1973" s="231"/>
      <c r="F1973" s="231"/>
      <c r="G1973" s="231"/>
      <c r="H1973" s="235"/>
      <c r="I1973" s="235"/>
      <c r="J1973" s="236"/>
      <c r="K1973" s="236"/>
    </row>
    <row r="1974" spans="2:11">
      <c r="B1974" s="235"/>
      <c r="C1974" s="231"/>
      <c r="D1974" s="231"/>
      <c r="E1974" s="231"/>
      <c r="F1974" s="231"/>
      <c r="G1974" s="231"/>
      <c r="H1974" s="235"/>
      <c r="I1974" s="235"/>
      <c r="J1974" s="236"/>
      <c r="K1974" s="236"/>
    </row>
    <row r="1975" spans="2:11">
      <c r="B1975" s="235"/>
      <c r="C1975" s="231"/>
      <c r="D1975" s="231"/>
      <c r="E1975" s="231"/>
      <c r="F1975" s="231"/>
      <c r="G1975" s="231"/>
      <c r="H1975" s="235"/>
      <c r="I1975" s="235"/>
      <c r="J1975" s="236"/>
      <c r="K1975" s="236"/>
    </row>
    <row r="1976" spans="2:11">
      <c r="B1976" s="235"/>
      <c r="C1976" s="231"/>
      <c r="D1976" s="231"/>
      <c r="E1976" s="231"/>
      <c r="F1976" s="231"/>
      <c r="G1976" s="231"/>
      <c r="H1976" s="235"/>
      <c r="I1976" s="235"/>
      <c r="J1976" s="236"/>
      <c r="K1976" s="236"/>
    </row>
    <row r="1977" spans="2:11">
      <c r="B1977" s="235"/>
      <c r="C1977" s="231"/>
      <c r="D1977" s="231"/>
      <c r="E1977" s="231"/>
      <c r="F1977" s="231"/>
      <c r="G1977" s="231"/>
      <c r="H1977" s="235"/>
      <c r="I1977" s="235"/>
      <c r="J1977" s="236"/>
      <c r="K1977" s="236"/>
    </row>
    <row r="1978" spans="2:11">
      <c r="B1978" s="235"/>
      <c r="C1978" s="231"/>
      <c r="D1978" s="231"/>
      <c r="E1978" s="231"/>
      <c r="F1978" s="231"/>
      <c r="G1978" s="231"/>
      <c r="H1978" s="235"/>
      <c r="I1978" s="235"/>
      <c r="J1978" s="236"/>
      <c r="K1978" s="236"/>
    </row>
    <row r="1979" spans="2:11">
      <c r="B1979" s="235"/>
      <c r="C1979" s="231"/>
      <c r="D1979" s="231"/>
      <c r="E1979" s="231"/>
      <c r="F1979" s="231"/>
      <c r="G1979" s="231"/>
      <c r="H1979" s="235"/>
      <c r="I1979" s="235"/>
      <c r="J1979" s="236"/>
      <c r="K1979" s="236"/>
    </row>
    <row r="1980" spans="2:11">
      <c r="B1980" s="235"/>
      <c r="C1980" s="231"/>
      <c r="D1980" s="231"/>
      <c r="E1980" s="231"/>
      <c r="F1980" s="231"/>
      <c r="G1980" s="231"/>
      <c r="H1980" s="235"/>
      <c r="I1980" s="235"/>
      <c r="J1980" s="236"/>
      <c r="K1980" s="236"/>
    </row>
    <row r="1981" spans="2:11">
      <c r="B1981" s="235"/>
      <c r="C1981" s="231"/>
      <c r="D1981" s="231"/>
      <c r="E1981" s="231"/>
      <c r="F1981" s="231"/>
      <c r="G1981" s="231"/>
      <c r="H1981" s="235"/>
      <c r="I1981" s="235"/>
      <c r="J1981" s="236"/>
      <c r="K1981" s="236"/>
    </row>
    <row r="1982" spans="2:11">
      <c r="B1982" s="235"/>
      <c r="C1982" s="231"/>
      <c r="D1982" s="231"/>
      <c r="E1982" s="231"/>
      <c r="F1982" s="231"/>
      <c r="G1982" s="231"/>
      <c r="H1982" s="235"/>
      <c r="I1982" s="235"/>
      <c r="J1982" s="236"/>
      <c r="K1982" s="236"/>
    </row>
    <row r="1983" spans="2:11">
      <c r="B1983" s="235"/>
      <c r="C1983" s="231"/>
      <c r="D1983" s="231"/>
      <c r="E1983" s="231"/>
      <c r="F1983" s="231"/>
      <c r="G1983" s="231"/>
      <c r="H1983" s="235"/>
      <c r="I1983" s="235"/>
      <c r="J1983" s="236"/>
      <c r="K1983" s="236"/>
    </row>
    <row r="1984" spans="2:11">
      <c r="B1984" s="235"/>
      <c r="C1984" s="231"/>
      <c r="D1984" s="231"/>
      <c r="E1984" s="231"/>
      <c r="F1984" s="231"/>
      <c r="G1984" s="231"/>
      <c r="H1984" s="235"/>
      <c r="I1984" s="235"/>
      <c r="J1984" s="236"/>
      <c r="K1984" s="236"/>
    </row>
    <row r="1985" spans="2:11">
      <c r="B1985" s="235"/>
      <c r="C1985" s="231"/>
      <c r="D1985" s="231"/>
      <c r="E1985" s="231"/>
      <c r="F1985" s="231"/>
      <c r="G1985" s="231"/>
      <c r="H1985" s="235"/>
      <c r="I1985" s="235"/>
      <c r="J1985" s="236"/>
      <c r="K1985" s="236"/>
    </row>
    <row r="1986" spans="2:11">
      <c r="B1986" s="235"/>
      <c r="C1986" s="231"/>
      <c r="D1986" s="231"/>
      <c r="E1986" s="231"/>
      <c r="F1986" s="231"/>
      <c r="G1986" s="231"/>
      <c r="H1986" s="235"/>
      <c r="I1986" s="235"/>
      <c r="J1986" s="236"/>
      <c r="K1986" s="236"/>
    </row>
    <row r="1987" spans="2:11">
      <c r="B1987" s="235"/>
      <c r="C1987" s="231"/>
      <c r="D1987" s="231"/>
      <c r="E1987" s="231"/>
      <c r="F1987" s="231"/>
      <c r="G1987" s="231"/>
      <c r="H1987" s="235"/>
      <c r="I1987" s="235"/>
      <c r="J1987" s="236"/>
      <c r="K1987" s="236"/>
    </row>
    <row r="1988" spans="2:11">
      <c r="B1988" s="235"/>
      <c r="C1988" s="231"/>
      <c r="D1988" s="231"/>
      <c r="E1988" s="231"/>
      <c r="F1988" s="231"/>
      <c r="G1988" s="231"/>
      <c r="H1988" s="235"/>
      <c r="I1988" s="235"/>
      <c r="J1988" s="236"/>
      <c r="K1988" s="236"/>
    </row>
    <row r="1989" spans="2:11">
      <c r="B1989" s="235"/>
      <c r="C1989" s="231"/>
      <c r="D1989" s="231"/>
      <c r="E1989" s="231"/>
      <c r="F1989" s="231"/>
      <c r="G1989" s="231"/>
      <c r="H1989" s="235"/>
      <c r="I1989" s="235"/>
      <c r="J1989" s="236"/>
      <c r="K1989" s="236"/>
    </row>
    <row r="1990" spans="2:11">
      <c r="B1990" s="235"/>
      <c r="C1990" s="231"/>
      <c r="D1990" s="231"/>
      <c r="E1990" s="231"/>
      <c r="F1990" s="231"/>
      <c r="G1990" s="231"/>
      <c r="H1990" s="235"/>
      <c r="I1990" s="235"/>
      <c r="J1990" s="236"/>
      <c r="K1990" s="236"/>
    </row>
    <row r="1991" spans="2:11">
      <c r="B1991" s="235"/>
      <c r="C1991" s="231"/>
      <c r="D1991" s="231"/>
      <c r="E1991" s="231"/>
      <c r="F1991" s="231"/>
      <c r="G1991" s="231"/>
      <c r="H1991" s="235"/>
      <c r="I1991" s="235"/>
      <c r="J1991" s="236"/>
      <c r="K1991" s="236"/>
    </row>
    <row r="1992" spans="2:11">
      <c r="B1992" s="235"/>
      <c r="C1992" s="231"/>
      <c r="D1992" s="231"/>
      <c r="E1992" s="231"/>
      <c r="F1992" s="231"/>
      <c r="G1992" s="231"/>
      <c r="H1992" s="235"/>
      <c r="I1992" s="235"/>
      <c r="J1992" s="236"/>
      <c r="K1992" s="236"/>
    </row>
    <row r="1993" spans="2:11">
      <c r="B1993" s="235"/>
      <c r="C1993" s="231"/>
      <c r="D1993" s="231"/>
      <c r="E1993" s="231"/>
      <c r="F1993" s="231"/>
      <c r="G1993" s="231"/>
      <c r="H1993" s="235"/>
      <c r="I1993" s="235"/>
      <c r="J1993" s="236"/>
      <c r="K1993" s="236"/>
    </row>
    <row r="1994" spans="2:11">
      <c r="B1994" s="235"/>
      <c r="C1994" s="231"/>
      <c r="D1994" s="231"/>
      <c r="E1994" s="231"/>
      <c r="F1994" s="231"/>
      <c r="G1994" s="231"/>
      <c r="H1994" s="235"/>
      <c r="I1994" s="235"/>
      <c r="J1994" s="236"/>
      <c r="K1994" s="236"/>
    </row>
    <row r="1995" spans="2:11">
      <c r="B1995" s="235"/>
      <c r="C1995" s="231"/>
      <c r="D1995" s="231"/>
      <c r="E1995" s="231"/>
      <c r="F1995" s="231"/>
      <c r="G1995" s="231"/>
      <c r="H1995" s="235"/>
      <c r="I1995" s="235"/>
      <c r="J1995" s="236"/>
      <c r="K1995" s="236"/>
    </row>
    <row r="1996" spans="2:11">
      <c r="B1996" s="235"/>
      <c r="C1996" s="231"/>
      <c r="D1996" s="231"/>
      <c r="E1996" s="231"/>
      <c r="F1996" s="231"/>
      <c r="G1996" s="231"/>
      <c r="H1996" s="235"/>
      <c r="I1996" s="235"/>
      <c r="J1996" s="236"/>
      <c r="K1996" s="236"/>
    </row>
    <row r="1997" spans="2:11">
      <c r="B1997" s="235"/>
      <c r="C1997" s="231"/>
      <c r="D1997" s="231"/>
      <c r="E1997" s="231"/>
      <c r="F1997" s="231"/>
      <c r="G1997" s="231"/>
      <c r="H1997" s="235"/>
      <c r="I1997" s="235"/>
      <c r="J1997" s="236"/>
      <c r="K1997" s="236"/>
    </row>
    <row r="1998" spans="2:11">
      <c r="B1998" s="235"/>
      <c r="C1998" s="231"/>
      <c r="D1998" s="231"/>
      <c r="E1998" s="231"/>
      <c r="F1998" s="231"/>
      <c r="G1998" s="231"/>
      <c r="H1998" s="235"/>
      <c r="I1998" s="235"/>
      <c r="J1998" s="236"/>
      <c r="K1998" s="236"/>
    </row>
    <row r="1999" spans="2:11">
      <c r="B1999" s="235"/>
      <c r="C1999" s="231"/>
      <c r="D1999" s="231"/>
      <c r="E1999" s="231"/>
      <c r="F1999" s="231"/>
      <c r="G1999" s="231"/>
      <c r="H1999" s="235"/>
      <c r="I1999" s="235"/>
      <c r="J1999" s="236"/>
      <c r="K1999" s="236"/>
    </row>
    <row r="2000" spans="2:11">
      <c r="B2000" s="235"/>
      <c r="C2000" s="231"/>
      <c r="D2000" s="231"/>
      <c r="E2000" s="231"/>
      <c r="F2000" s="231"/>
      <c r="G2000" s="231"/>
      <c r="H2000" s="235"/>
      <c r="I2000" s="235"/>
      <c r="J2000" s="236"/>
      <c r="K2000" s="236"/>
    </row>
    <row r="2001" spans="2:11">
      <c r="B2001" s="235"/>
      <c r="C2001" s="231"/>
      <c r="D2001" s="231"/>
      <c r="E2001" s="231"/>
      <c r="F2001" s="231"/>
      <c r="G2001" s="231"/>
      <c r="H2001" s="235"/>
      <c r="I2001" s="235"/>
      <c r="J2001" s="236"/>
      <c r="K2001" s="236"/>
    </row>
    <row r="2002" spans="2:11">
      <c r="B2002" s="235"/>
      <c r="C2002" s="231"/>
      <c r="D2002" s="231"/>
      <c r="E2002" s="231"/>
      <c r="F2002" s="231"/>
      <c r="G2002" s="231"/>
      <c r="H2002" s="235"/>
      <c r="I2002" s="235"/>
      <c r="J2002" s="236"/>
      <c r="K2002" s="236"/>
    </row>
    <row r="2003" spans="2:11">
      <c r="B2003" s="235"/>
      <c r="C2003" s="231"/>
      <c r="D2003" s="231"/>
      <c r="E2003" s="231"/>
      <c r="F2003" s="231"/>
      <c r="G2003" s="231"/>
      <c r="H2003" s="235"/>
      <c r="I2003" s="235"/>
      <c r="J2003" s="236"/>
      <c r="K2003" s="236"/>
    </row>
    <row r="2004" spans="2:11">
      <c r="B2004" s="235"/>
      <c r="C2004" s="231"/>
      <c r="D2004" s="231"/>
      <c r="E2004" s="231"/>
      <c r="F2004" s="231"/>
      <c r="G2004" s="231"/>
      <c r="H2004" s="235"/>
      <c r="I2004" s="235"/>
      <c r="J2004" s="236"/>
      <c r="K2004" s="236"/>
    </row>
    <row r="2005" spans="2:11">
      <c r="B2005" s="235"/>
      <c r="C2005" s="231"/>
      <c r="D2005" s="231"/>
      <c r="E2005" s="231"/>
      <c r="F2005" s="231"/>
      <c r="G2005" s="231"/>
      <c r="H2005" s="235"/>
      <c r="I2005" s="235"/>
      <c r="J2005" s="236"/>
      <c r="K2005" s="236"/>
    </row>
    <row r="2006" spans="2:11">
      <c r="B2006" s="235"/>
      <c r="C2006" s="231"/>
      <c r="D2006" s="231"/>
      <c r="E2006" s="231"/>
      <c r="F2006" s="231"/>
      <c r="G2006" s="231"/>
      <c r="H2006" s="235"/>
      <c r="I2006" s="235"/>
      <c r="J2006" s="236"/>
      <c r="K2006" s="236"/>
    </row>
    <row r="2007" spans="2:11">
      <c r="B2007" s="235"/>
      <c r="C2007" s="231"/>
      <c r="D2007" s="231"/>
      <c r="E2007" s="231"/>
      <c r="F2007" s="231"/>
      <c r="G2007" s="231"/>
      <c r="H2007" s="235"/>
      <c r="I2007" s="235"/>
      <c r="J2007" s="236"/>
      <c r="K2007" s="236"/>
    </row>
    <row r="2008" spans="2:11">
      <c r="B2008" s="235"/>
      <c r="C2008" s="231"/>
      <c r="D2008" s="231"/>
      <c r="E2008" s="231"/>
      <c r="F2008" s="231"/>
      <c r="G2008" s="231"/>
      <c r="H2008" s="235"/>
      <c r="I2008" s="235"/>
      <c r="J2008" s="236"/>
      <c r="K2008" s="236"/>
    </row>
    <row r="2009" spans="2:11">
      <c r="B2009" s="235"/>
      <c r="C2009" s="231"/>
      <c r="D2009" s="231"/>
      <c r="E2009" s="231"/>
      <c r="F2009" s="231"/>
      <c r="G2009" s="231"/>
      <c r="H2009" s="235"/>
      <c r="I2009" s="235"/>
      <c r="J2009" s="236"/>
      <c r="K2009" s="236"/>
    </row>
    <row r="2010" spans="2:11">
      <c r="B2010" s="235"/>
      <c r="C2010" s="231"/>
      <c r="D2010" s="231"/>
      <c r="E2010" s="231"/>
      <c r="F2010" s="231"/>
      <c r="G2010" s="231"/>
      <c r="H2010" s="235"/>
      <c r="I2010" s="235"/>
      <c r="J2010" s="236"/>
      <c r="K2010" s="236"/>
    </row>
    <row r="2011" spans="2:11">
      <c r="B2011" s="235"/>
      <c r="C2011" s="231"/>
      <c r="D2011" s="231"/>
      <c r="E2011" s="231"/>
      <c r="F2011" s="231"/>
      <c r="G2011" s="231"/>
      <c r="H2011" s="235"/>
      <c r="I2011" s="235"/>
      <c r="J2011" s="236"/>
      <c r="K2011" s="236"/>
    </row>
    <row r="2012" spans="2:11">
      <c r="B2012" s="235"/>
      <c r="C2012" s="231"/>
      <c r="D2012" s="231"/>
      <c r="E2012" s="231"/>
      <c r="F2012" s="231"/>
      <c r="G2012" s="231"/>
      <c r="H2012" s="235"/>
      <c r="I2012" s="235"/>
      <c r="J2012" s="236"/>
      <c r="K2012" s="236"/>
    </row>
    <row r="2013" spans="2:11">
      <c r="B2013" s="235"/>
      <c r="C2013" s="231"/>
      <c r="D2013" s="231"/>
      <c r="E2013" s="231"/>
      <c r="F2013" s="231"/>
      <c r="G2013" s="231"/>
      <c r="H2013" s="235"/>
      <c r="I2013" s="235"/>
      <c r="J2013" s="236"/>
      <c r="K2013" s="236"/>
    </row>
    <row r="2014" spans="2:11">
      <c r="B2014" s="235"/>
      <c r="C2014" s="231"/>
      <c r="D2014" s="231"/>
      <c r="E2014" s="231"/>
      <c r="F2014" s="231"/>
      <c r="G2014" s="231"/>
      <c r="H2014" s="235"/>
      <c r="I2014" s="235"/>
      <c r="J2014" s="236"/>
      <c r="K2014" s="236"/>
    </row>
    <row r="2015" spans="2:11">
      <c r="B2015" s="235"/>
      <c r="C2015" s="231"/>
      <c r="D2015" s="231"/>
      <c r="E2015" s="231"/>
      <c r="F2015" s="231"/>
      <c r="G2015" s="231"/>
      <c r="H2015" s="235"/>
      <c r="I2015" s="235"/>
      <c r="J2015" s="236"/>
      <c r="K2015" s="236"/>
    </row>
    <row r="2016" spans="2:11">
      <c r="B2016" s="235"/>
      <c r="C2016" s="231"/>
      <c r="D2016" s="231"/>
      <c r="E2016" s="231"/>
      <c r="F2016" s="231"/>
      <c r="G2016" s="231"/>
      <c r="H2016" s="235"/>
      <c r="I2016" s="235"/>
      <c r="J2016" s="236"/>
      <c r="K2016" s="236"/>
    </row>
    <row r="2017" spans="2:11">
      <c r="B2017" s="235"/>
      <c r="C2017" s="231"/>
      <c r="D2017" s="231"/>
      <c r="E2017" s="231"/>
      <c r="F2017" s="231"/>
      <c r="G2017" s="231"/>
      <c r="H2017" s="235"/>
      <c r="I2017" s="235"/>
      <c r="J2017" s="236"/>
      <c r="K2017" s="236"/>
    </row>
    <row r="2018" spans="2:11">
      <c r="B2018" s="235"/>
      <c r="C2018" s="231"/>
      <c r="D2018" s="231"/>
      <c r="E2018" s="231"/>
      <c r="F2018" s="231"/>
      <c r="G2018" s="231"/>
      <c r="H2018" s="235"/>
      <c r="I2018" s="235"/>
      <c r="J2018" s="236"/>
      <c r="K2018" s="236"/>
    </row>
    <row r="2019" spans="2:11">
      <c r="B2019" s="235"/>
      <c r="C2019" s="231"/>
      <c r="D2019" s="231"/>
      <c r="E2019" s="231"/>
      <c r="F2019" s="231"/>
      <c r="G2019" s="231"/>
      <c r="H2019" s="235"/>
      <c r="I2019" s="235"/>
      <c r="J2019" s="236"/>
      <c r="K2019" s="236"/>
    </row>
    <row r="2020" spans="2:11">
      <c r="B2020" s="235"/>
      <c r="C2020" s="231"/>
      <c r="D2020" s="231"/>
      <c r="E2020" s="231"/>
      <c r="F2020" s="231"/>
      <c r="G2020" s="231"/>
      <c r="H2020" s="235"/>
      <c r="I2020" s="235"/>
      <c r="J2020" s="236"/>
      <c r="K2020" s="236"/>
    </row>
    <row r="2021" spans="2:11">
      <c r="B2021" s="235"/>
      <c r="C2021" s="231"/>
      <c r="D2021" s="231"/>
      <c r="E2021" s="231"/>
      <c r="F2021" s="231"/>
      <c r="G2021" s="231"/>
      <c r="H2021" s="235"/>
      <c r="I2021" s="235"/>
      <c r="J2021" s="236"/>
      <c r="K2021" s="236"/>
    </row>
    <row r="2022" spans="2:11">
      <c r="B2022" s="235"/>
      <c r="C2022" s="231"/>
      <c r="D2022" s="231"/>
      <c r="E2022" s="231"/>
      <c r="F2022" s="231"/>
      <c r="G2022" s="231"/>
      <c r="H2022" s="235"/>
      <c r="I2022" s="235"/>
      <c r="J2022" s="236"/>
      <c r="K2022" s="236"/>
    </row>
    <row r="2023" spans="2:11">
      <c r="B2023" s="235"/>
      <c r="C2023" s="231"/>
      <c r="D2023" s="231"/>
      <c r="E2023" s="231"/>
      <c r="F2023" s="231"/>
      <c r="G2023" s="231"/>
      <c r="H2023" s="235"/>
      <c r="I2023" s="235"/>
      <c r="J2023" s="236"/>
      <c r="K2023" s="236"/>
    </row>
    <row r="2024" spans="2:11">
      <c r="B2024" s="235"/>
      <c r="C2024" s="231"/>
      <c r="D2024" s="231"/>
      <c r="E2024" s="231"/>
      <c r="F2024" s="231"/>
      <c r="G2024" s="231"/>
      <c r="H2024" s="235"/>
      <c r="I2024" s="235"/>
      <c r="J2024" s="236"/>
      <c r="K2024" s="236"/>
    </row>
    <row r="2025" spans="2:11">
      <c r="B2025" s="235"/>
      <c r="C2025" s="231"/>
      <c r="D2025" s="231"/>
      <c r="E2025" s="231"/>
      <c r="F2025" s="231"/>
      <c r="G2025" s="231"/>
      <c r="H2025" s="235"/>
      <c r="I2025" s="235"/>
      <c r="J2025" s="236"/>
      <c r="K2025" s="236"/>
    </row>
    <row r="2026" spans="2:11">
      <c r="B2026" s="235"/>
      <c r="C2026" s="231"/>
      <c r="D2026" s="231"/>
      <c r="E2026" s="231"/>
      <c r="F2026" s="231"/>
      <c r="G2026" s="231"/>
      <c r="H2026" s="235"/>
      <c r="I2026" s="235"/>
      <c r="J2026" s="236"/>
      <c r="K2026" s="236"/>
    </row>
    <row r="2027" spans="2:11">
      <c r="B2027" s="235"/>
      <c r="C2027" s="231"/>
      <c r="D2027" s="231"/>
      <c r="E2027" s="231"/>
      <c r="F2027" s="231"/>
      <c r="G2027" s="231"/>
      <c r="H2027" s="235"/>
      <c r="I2027" s="235"/>
      <c r="J2027" s="236"/>
      <c r="K2027" s="236"/>
    </row>
    <row r="2028" spans="2:11">
      <c r="B2028" s="235"/>
      <c r="C2028" s="231"/>
      <c r="D2028" s="231"/>
      <c r="E2028" s="231"/>
      <c r="F2028" s="231"/>
      <c r="G2028" s="231"/>
      <c r="H2028" s="235"/>
      <c r="I2028" s="235"/>
      <c r="J2028" s="236"/>
      <c r="K2028" s="236"/>
    </row>
    <row r="2029" spans="2:11">
      <c r="B2029" s="235"/>
      <c r="C2029" s="231"/>
      <c r="D2029" s="231"/>
      <c r="E2029" s="231"/>
      <c r="F2029" s="231"/>
      <c r="G2029" s="231"/>
      <c r="H2029" s="235"/>
      <c r="I2029" s="235"/>
      <c r="J2029" s="236"/>
      <c r="K2029" s="236"/>
    </row>
    <row r="2030" spans="2:11">
      <c r="B2030" s="235"/>
      <c r="C2030" s="231"/>
      <c r="D2030" s="231"/>
      <c r="E2030" s="231"/>
      <c r="F2030" s="231"/>
      <c r="G2030" s="231"/>
      <c r="H2030" s="235"/>
      <c r="I2030" s="235"/>
      <c r="J2030" s="236"/>
      <c r="K2030" s="236"/>
    </row>
    <row r="2031" spans="2:11">
      <c r="B2031" s="235"/>
      <c r="C2031" s="231"/>
      <c r="D2031" s="231"/>
      <c r="E2031" s="231"/>
      <c r="F2031" s="231"/>
      <c r="G2031" s="231"/>
      <c r="H2031" s="235"/>
      <c r="I2031" s="235"/>
      <c r="J2031" s="236"/>
      <c r="K2031" s="236"/>
    </row>
    <row r="2032" spans="2:11">
      <c r="B2032" s="235"/>
      <c r="C2032" s="231"/>
      <c r="D2032" s="231"/>
      <c r="E2032" s="231"/>
      <c r="F2032" s="231"/>
      <c r="G2032" s="231"/>
      <c r="H2032" s="235"/>
      <c r="I2032" s="235"/>
      <c r="J2032" s="236"/>
      <c r="K2032" s="236"/>
    </row>
    <row r="2033" spans="2:11">
      <c r="B2033" s="235"/>
      <c r="C2033" s="231"/>
      <c r="D2033" s="231"/>
      <c r="E2033" s="231"/>
      <c r="F2033" s="231"/>
      <c r="G2033" s="231"/>
      <c r="H2033" s="235"/>
      <c r="I2033" s="235"/>
      <c r="J2033" s="236"/>
      <c r="K2033" s="236"/>
    </row>
    <row r="2034" spans="2:11">
      <c r="B2034" s="235"/>
      <c r="C2034" s="231"/>
      <c r="D2034" s="231"/>
      <c r="E2034" s="231"/>
      <c r="F2034" s="231"/>
      <c r="G2034" s="231"/>
      <c r="H2034" s="235"/>
      <c r="I2034" s="235"/>
      <c r="J2034" s="236"/>
      <c r="K2034" s="236"/>
    </row>
    <row r="2035" spans="2:11">
      <c r="B2035" s="235"/>
      <c r="C2035" s="231"/>
      <c r="D2035" s="231"/>
      <c r="E2035" s="231"/>
      <c r="F2035" s="231"/>
      <c r="G2035" s="231"/>
      <c r="H2035" s="235"/>
      <c r="I2035" s="235"/>
      <c r="J2035" s="236"/>
      <c r="K2035" s="236"/>
    </row>
    <row r="2036" spans="2:11">
      <c r="B2036" s="235"/>
      <c r="C2036" s="231"/>
      <c r="D2036" s="231"/>
      <c r="E2036" s="231"/>
      <c r="F2036" s="231"/>
      <c r="G2036" s="231"/>
      <c r="H2036" s="235"/>
      <c r="I2036" s="235"/>
      <c r="J2036" s="236"/>
      <c r="K2036" s="236"/>
    </row>
    <row r="2037" spans="2:11">
      <c r="B2037" s="235"/>
      <c r="C2037" s="231"/>
      <c r="D2037" s="231"/>
      <c r="E2037" s="231"/>
      <c r="F2037" s="231"/>
      <c r="G2037" s="231"/>
      <c r="H2037" s="235"/>
      <c r="I2037" s="235"/>
      <c r="J2037" s="236"/>
      <c r="K2037" s="236"/>
    </row>
    <row r="2038" spans="2:11">
      <c r="B2038" s="235"/>
      <c r="C2038" s="231"/>
      <c r="D2038" s="231"/>
      <c r="E2038" s="231"/>
      <c r="F2038" s="231"/>
      <c r="G2038" s="231"/>
      <c r="H2038" s="235"/>
      <c r="I2038" s="235"/>
      <c r="J2038" s="236"/>
      <c r="K2038" s="236"/>
    </row>
    <row r="2039" spans="2:11">
      <c r="B2039" s="235"/>
      <c r="C2039" s="231"/>
      <c r="D2039" s="231"/>
      <c r="E2039" s="231"/>
      <c r="F2039" s="231"/>
      <c r="G2039" s="231"/>
      <c r="H2039" s="235"/>
      <c r="I2039" s="235"/>
      <c r="J2039" s="236"/>
      <c r="K2039" s="236"/>
    </row>
    <row r="2040" spans="2:11">
      <c r="B2040" s="235"/>
      <c r="C2040" s="231"/>
      <c r="D2040" s="231"/>
      <c r="E2040" s="231"/>
      <c r="F2040" s="231"/>
      <c r="G2040" s="231"/>
      <c r="H2040" s="235"/>
      <c r="I2040" s="235"/>
      <c r="J2040" s="236"/>
      <c r="K2040" s="236"/>
    </row>
    <row r="2041" spans="2:11">
      <c r="B2041" s="235"/>
      <c r="C2041" s="231"/>
      <c r="D2041" s="231"/>
      <c r="E2041" s="231"/>
      <c r="F2041" s="231"/>
      <c r="G2041" s="231"/>
      <c r="H2041" s="235"/>
      <c r="I2041" s="235"/>
      <c r="J2041" s="236"/>
      <c r="K2041" s="236"/>
    </row>
    <row r="2042" spans="2:11">
      <c r="B2042" s="235"/>
      <c r="C2042" s="231"/>
      <c r="D2042" s="231"/>
      <c r="E2042" s="231"/>
      <c r="F2042" s="231"/>
      <c r="G2042" s="231"/>
      <c r="H2042" s="235"/>
      <c r="I2042" s="235"/>
      <c r="J2042" s="236"/>
      <c r="K2042" s="236"/>
    </row>
    <row r="2043" spans="2:11">
      <c r="B2043" s="235"/>
      <c r="C2043" s="231"/>
      <c r="D2043" s="231"/>
      <c r="E2043" s="231"/>
      <c r="F2043" s="231"/>
      <c r="G2043" s="231"/>
      <c r="H2043" s="235"/>
      <c r="I2043" s="235"/>
      <c r="J2043" s="236"/>
      <c r="K2043" s="236"/>
    </row>
    <row r="2044" spans="2:11">
      <c r="B2044" s="235"/>
      <c r="C2044" s="231"/>
      <c r="D2044" s="231"/>
      <c r="E2044" s="231"/>
      <c r="F2044" s="231"/>
      <c r="G2044" s="231"/>
      <c r="H2044" s="235"/>
      <c r="I2044" s="235"/>
      <c r="J2044" s="236"/>
      <c r="K2044" s="236"/>
    </row>
    <row r="2045" spans="2:11">
      <c r="B2045" s="235"/>
      <c r="C2045" s="231"/>
      <c r="D2045" s="231"/>
      <c r="E2045" s="231"/>
      <c r="F2045" s="231"/>
      <c r="G2045" s="231"/>
      <c r="H2045" s="235"/>
      <c r="I2045" s="235"/>
      <c r="J2045" s="236"/>
      <c r="K2045" s="236"/>
    </row>
    <row r="2046" spans="2:11">
      <c r="B2046" s="235"/>
      <c r="C2046" s="231"/>
      <c r="D2046" s="231"/>
      <c r="E2046" s="231"/>
      <c r="F2046" s="231"/>
      <c r="G2046" s="231"/>
      <c r="H2046" s="235"/>
      <c r="I2046" s="235"/>
      <c r="J2046" s="236"/>
      <c r="K2046" s="236"/>
    </row>
    <row r="2047" spans="2:11">
      <c r="B2047" s="235"/>
      <c r="C2047" s="231"/>
      <c r="D2047" s="231"/>
      <c r="E2047" s="231"/>
      <c r="F2047" s="231"/>
      <c r="G2047" s="231"/>
      <c r="H2047" s="235"/>
      <c r="I2047" s="235"/>
      <c r="J2047" s="236"/>
      <c r="K2047" s="236"/>
    </row>
    <row r="2048" spans="2:11">
      <c r="B2048" s="235"/>
      <c r="C2048" s="231"/>
      <c r="D2048" s="231"/>
      <c r="E2048" s="231"/>
      <c r="F2048" s="231"/>
      <c r="G2048" s="231"/>
      <c r="H2048" s="235"/>
      <c r="I2048" s="235"/>
      <c r="J2048" s="236"/>
      <c r="K2048" s="236"/>
    </row>
    <row r="2049" spans="2:11">
      <c r="B2049" s="235"/>
      <c r="C2049" s="231"/>
      <c r="D2049" s="231"/>
      <c r="E2049" s="231"/>
      <c r="F2049" s="231"/>
      <c r="G2049" s="231"/>
      <c r="H2049" s="235"/>
      <c r="I2049" s="235"/>
      <c r="J2049" s="236"/>
      <c r="K2049" s="236"/>
    </row>
    <row r="2050" spans="2:11">
      <c r="B2050" s="235"/>
      <c r="C2050" s="231"/>
      <c r="D2050" s="231"/>
      <c r="E2050" s="231"/>
      <c r="F2050" s="231"/>
      <c r="G2050" s="231"/>
      <c r="H2050" s="235"/>
      <c r="I2050" s="235"/>
      <c r="J2050" s="236"/>
      <c r="K2050" s="236"/>
    </row>
    <row r="2051" spans="2:11">
      <c r="B2051" s="235"/>
      <c r="C2051" s="231"/>
      <c r="D2051" s="231"/>
      <c r="E2051" s="231"/>
      <c r="F2051" s="231"/>
      <c r="G2051" s="231"/>
      <c r="H2051" s="235"/>
      <c r="I2051" s="235"/>
      <c r="J2051" s="236"/>
      <c r="K2051" s="236"/>
    </row>
    <row r="2052" spans="2:11">
      <c r="B2052" s="235"/>
      <c r="C2052" s="231"/>
      <c r="D2052" s="231"/>
      <c r="E2052" s="231"/>
      <c r="F2052" s="231"/>
      <c r="G2052" s="231"/>
      <c r="H2052" s="235"/>
      <c r="I2052" s="235"/>
      <c r="J2052" s="236"/>
      <c r="K2052" s="236"/>
    </row>
    <row r="2053" spans="2:11">
      <c r="B2053" s="235"/>
      <c r="C2053" s="231"/>
      <c r="D2053" s="231"/>
      <c r="E2053" s="231"/>
      <c r="F2053" s="231"/>
      <c r="G2053" s="231"/>
      <c r="H2053" s="235"/>
      <c r="I2053" s="235"/>
      <c r="J2053" s="236"/>
      <c r="K2053" s="236"/>
    </row>
    <row r="2054" spans="2:11">
      <c r="B2054" s="235"/>
      <c r="C2054" s="231"/>
      <c r="D2054" s="231"/>
      <c r="E2054" s="231"/>
      <c r="F2054" s="231"/>
      <c r="G2054" s="231"/>
      <c r="H2054" s="235"/>
      <c r="I2054" s="235"/>
      <c r="J2054" s="236"/>
      <c r="K2054" s="236"/>
    </row>
    <row r="2055" spans="2:11">
      <c r="B2055" s="235"/>
      <c r="C2055" s="231"/>
      <c r="D2055" s="231"/>
      <c r="E2055" s="231"/>
      <c r="F2055" s="231"/>
      <c r="G2055" s="231"/>
      <c r="H2055" s="235"/>
      <c r="I2055" s="235"/>
      <c r="J2055" s="236"/>
      <c r="K2055" s="236"/>
    </row>
    <row r="2056" spans="2:11">
      <c r="B2056" s="235"/>
      <c r="C2056" s="231"/>
      <c r="D2056" s="231"/>
      <c r="E2056" s="231"/>
      <c r="F2056" s="231"/>
      <c r="G2056" s="231"/>
      <c r="H2056" s="235"/>
      <c r="I2056" s="235"/>
      <c r="J2056" s="236"/>
      <c r="K2056" s="236"/>
    </row>
    <row r="2057" spans="2:11">
      <c r="B2057" s="235"/>
      <c r="C2057" s="231"/>
      <c r="D2057" s="231"/>
      <c r="E2057" s="231"/>
      <c r="F2057" s="231"/>
      <c r="G2057" s="231"/>
      <c r="H2057" s="235"/>
      <c r="I2057" s="235"/>
      <c r="J2057" s="236"/>
      <c r="K2057" s="236"/>
    </row>
    <row r="2058" spans="2:11">
      <c r="B2058" s="235"/>
      <c r="C2058" s="231"/>
      <c r="D2058" s="231"/>
      <c r="E2058" s="231"/>
      <c r="F2058" s="231"/>
      <c r="G2058" s="231"/>
      <c r="H2058" s="235"/>
      <c r="I2058" s="235"/>
      <c r="J2058" s="236"/>
      <c r="K2058" s="236"/>
    </row>
    <row r="2059" spans="2:11">
      <c r="B2059" s="235"/>
      <c r="C2059" s="231"/>
      <c r="D2059" s="231"/>
      <c r="E2059" s="231"/>
      <c r="F2059" s="231"/>
      <c r="G2059" s="231"/>
      <c r="H2059" s="235"/>
      <c r="I2059" s="235"/>
      <c r="J2059" s="236"/>
      <c r="K2059" s="236"/>
    </row>
    <row r="2060" spans="2:11">
      <c r="B2060" s="235"/>
      <c r="C2060" s="231"/>
      <c r="D2060" s="231"/>
      <c r="E2060" s="231"/>
      <c r="F2060" s="231"/>
      <c r="G2060" s="231"/>
      <c r="H2060" s="235"/>
      <c r="I2060" s="235"/>
      <c r="J2060" s="236"/>
      <c r="K2060" s="236"/>
    </row>
    <row r="2061" spans="2:11">
      <c r="B2061" s="235"/>
      <c r="C2061" s="231"/>
      <c r="D2061" s="231"/>
      <c r="E2061" s="231"/>
      <c r="F2061" s="231"/>
      <c r="G2061" s="231"/>
      <c r="H2061" s="235"/>
      <c r="I2061" s="235"/>
      <c r="J2061" s="236"/>
      <c r="K2061" s="236"/>
    </row>
    <row r="2062" spans="2:11">
      <c r="B2062" s="235"/>
      <c r="C2062" s="231"/>
      <c r="D2062" s="231"/>
      <c r="E2062" s="231"/>
      <c r="F2062" s="231"/>
      <c r="G2062" s="231"/>
      <c r="H2062" s="235"/>
      <c r="I2062" s="235"/>
      <c r="J2062" s="236"/>
      <c r="K2062" s="236"/>
    </row>
    <row r="2063" spans="2:11">
      <c r="B2063" s="235"/>
      <c r="C2063" s="231"/>
      <c r="D2063" s="231"/>
      <c r="E2063" s="231"/>
      <c r="F2063" s="231"/>
      <c r="G2063" s="231"/>
      <c r="H2063" s="235"/>
      <c r="I2063" s="235"/>
      <c r="J2063" s="236"/>
      <c r="K2063" s="236"/>
    </row>
    <row r="2064" spans="2:11">
      <c r="B2064" s="235"/>
      <c r="C2064" s="231"/>
      <c r="D2064" s="231"/>
      <c r="E2064" s="231"/>
      <c r="F2064" s="231"/>
      <c r="G2064" s="231"/>
      <c r="H2064" s="235"/>
      <c r="I2064" s="235"/>
      <c r="J2064" s="236"/>
      <c r="K2064" s="236"/>
    </row>
    <row r="2065" spans="2:11">
      <c r="B2065" s="235"/>
      <c r="C2065" s="231"/>
      <c r="D2065" s="231"/>
      <c r="E2065" s="231"/>
      <c r="F2065" s="231"/>
      <c r="G2065" s="231"/>
      <c r="H2065" s="235"/>
      <c r="I2065" s="235"/>
      <c r="J2065" s="236"/>
      <c r="K2065" s="236"/>
    </row>
    <row r="2066" spans="2:11">
      <c r="B2066" s="235"/>
      <c r="C2066" s="231"/>
      <c r="D2066" s="231"/>
      <c r="E2066" s="231"/>
      <c r="F2066" s="231"/>
      <c r="G2066" s="231"/>
      <c r="H2066" s="235"/>
      <c r="I2066" s="235"/>
      <c r="J2066" s="236"/>
      <c r="K2066" s="236"/>
    </row>
    <row r="2067" spans="2:11">
      <c r="B2067" s="235"/>
      <c r="C2067" s="231"/>
      <c r="D2067" s="231"/>
      <c r="E2067" s="231"/>
      <c r="F2067" s="231"/>
      <c r="G2067" s="231"/>
      <c r="H2067" s="235"/>
      <c r="I2067" s="235"/>
      <c r="J2067" s="236"/>
      <c r="K2067" s="236"/>
    </row>
    <row r="2068" spans="2:11">
      <c r="B2068" s="235"/>
      <c r="C2068" s="231"/>
      <c r="D2068" s="231"/>
      <c r="E2068" s="231"/>
      <c r="F2068" s="231"/>
      <c r="G2068" s="231"/>
      <c r="H2068" s="235"/>
      <c r="I2068" s="235"/>
      <c r="J2068" s="236"/>
      <c r="K2068" s="236"/>
    </row>
    <row r="2069" spans="2:11">
      <c r="B2069" s="235"/>
      <c r="C2069" s="231"/>
      <c r="D2069" s="231"/>
      <c r="E2069" s="231"/>
      <c r="F2069" s="231"/>
      <c r="G2069" s="231"/>
      <c r="H2069" s="235"/>
      <c r="I2069" s="235"/>
      <c r="J2069" s="236"/>
      <c r="K2069" s="236"/>
    </row>
    <row r="2070" spans="2:11">
      <c r="B2070" s="235"/>
      <c r="C2070" s="231"/>
      <c r="D2070" s="231"/>
      <c r="E2070" s="231"/>
      <c r="F2070" s="231"/>
      <c r="G2070" s="231"/>
      <c r="H2070" s="235"/>
      <c r="I2070" s="235"/>
      <c r="J2070" s="236"/>
      <c r="K2070" s="236"/>
    </row>
    <row r="2071" spans="2:11">
      <c r="B2071" s="235"/>
      <c r="C2071" s="231"/>
      <c r="D2071" s="231"/>
      <c r="E2071" s="231"/>
      <c r="F2071" s="231"/>
      <c r="G2071" s="231"/>
      <c r="H2071" s="235"/>
      <c r="I2071" s="235"/>
      <c r="J2071" s="236"/>
      <c r="K2071" s="236"/>
    </row>
    <row r="2072" spans="2:11">
      <c r="B2072" s="235"/>
      <c r="C2072" s="231"/>
      <c r="D2072" s="231"/>
      <c r="E2072" s="231"/>
      <c r="F2072" s="231"/>
      <c r="G2072" s="231"/>
      <c r="H2072" s="235"/>
      <c r="I2072" s="235"/>
      <c r="J2072" s="236"/>
      <c r="K2072" s="236"/>
    </row>
    <row r="2073" spans="2:11">
      <c r="B2073" s="235"/>
      <c r="C2073" s="231"/>
      <c r="D2073" s="231"/>
      <c r="E2073" s="231"/>
      <c r="F2073" s="231"/>
      <c r="G2073" s="231"/>
      <c r="H2073" s="235"/>
      <c r="I2073" s="235"/>
      <c r="J2073" s="236"/>
      <c r="K2073" s="236"/>
    </row>
    <row r="2074" spans="2:11">
      <c r="B2074" s="235"/>
      <c r="C2074" s="231"/>
      <c r="D2074" s="231"/>
      <c r="E2074" s="231"/>
      <c r="F2074" s="231"/>
      <c r="G2074" s="231"/>
      <c r="H2074" s="235"/>
      <c r="I2074" s="235"/>
      <c r="J2074" s="236"/>
      <c r="K2074" s="236"/>
    </row>
    <row r="2075" spans="2:11">
      <c r="B2075" s="235"/>
      <c r="C2075" s="231"/>
      <c r="D2075" s="231"/>
      <c r="E2075" s="231"/>
      <c r="F2075" s="231"/>
      <c r="G2075" s="231"/>
      <c r="H2075" s="235"/>
      <c r="I2075" s="235"/>
      <c r="J2075" s="236"/>
      <c r="K2075" s="236"/>
    </row>
    <row r="2076" spans="2:11">
      <c r="B2076" s="235"/>
      <c r="C2076" s="231"/>
      <c r="D2076" s="231"/>
      <c r="E2076" s="231"/>
      <c r="F2076" s="231"/>
      <c r="G2076" s="231"/>
      <c r="H2076" s="235"/>
      <c r="I2076" s="235"/>
      <c r="J2076" s="236"/>
      <c r="K2076" s="236"/>
    </row>
    <row r="2077" spans="2:11">
      <c r="B2077" s="235"/>
      <c r="C2077" s="231"/>
      <c r="D2077" s="231"/>
      <c r="E2077" s="231"/>
      <c r="F2077" s="231"/>
      <c r="G2077" s="231"/>
      <c r="H2077" s="235"/>
      <c r="I2077" s="235"/>
      <c r="J2077" s="236"/>
      <c r="K2077" s="236"/>
    </row>
    <row r="2078" spans="2:11">
      <c r="B2078" s="235"/>
      <c r="C2078" s="231"/>
      <c r="D2078" s="231"/>
      <c r="E2078" s="231"/>
      <c r="F2078" s="231"/>
      <c r="G2078" s="231"/>
      <c r="H2078" s="235"/>
      <c r="I2078" s="235"/>
      <c r="J2078" s="236"/>
      <c r="K2078" s="236"/>
    </row>
    <row r="2079" spans="2:11">
      <c r="B2079" s="235"/>
      <c r="C2079" s="231"/>
      <c r="D2079" s="231"/>
      <c r="E2079" s="231"/>
      <c r="F2079" s="231"/>
      <c r="G2079" s="231"/>
      <c r="H2079" s="235"/>
      <c r="I2079" s="235"/>
      <c r="J2079" s="236"/>
      <c r="K2079" s="236"/>
    </row>
    <row r="2080" spans="2:11">
      <c r="B2080" s="235"/>
      <c r="C2080" s="231"/>
      <c r="D2080" s="231"/>
      <c r="E2080" s="231"/>
      <c r="F2080" s="231"/>
      <c r="G2080" s="231"/>
      <c r="H2080" s="235"/>
      <c r="I2080" s="235"/>
      <c r="J2080" s="236"/>
      <c r="K2080" s="236"/>
    </row>
    <row r="2081" spans="2:11">
      <c r="B2081" s="235"/>
      <c r="C2081" s="231"/>
      <c r="D2081" s="231"/>
      <c r="E2081" s="231"/>
      <c r="F2081" s="231"/>
      <c r="G2081" s="231"/>
      <c r="H2081" s="235"/>
      <c r="I2081" s="235"/>
      <c r="J2081" s="236"/>
      <c r="K2081" s="236"/>
    </row>
    <row r="2082" spans="2:11">
      <c r="B2082" s="235"/>
      <c r="C2082" s="231"/>
      <c r="D2082" s="231"/>
      <c r="E2082" s="231"/>
      <c r="F2082" s="231"/>
      <c r="G2082" s="231"/>
      <c r="H2082" s="235"/>
      <c r="I2082" s="235"/>
      <c r="J2082" s="236"/>
      <c r="K2082" s="236"/>
    </row>
    <row r="2083" spans="2:11">
      <c r="B2083" s="235"/>
      <c r="C2083" s="231"/>
      <c r="D2083" s="231"/>
      <c r="E2083" s="231"/>
      <c r="F2083" s="231"/>
      <c r="G2083" s="231"/>
      <c r="H2083" s="235"/>
      <c r="I2083" s="235"/>
      <c r="J2083" s="236"/>
      <c r="K2083" s="236"/>
    </row>
    <row r="2084" spans="2:11">
      <c r="B2084" s="235"/>
      <c r="C2084" s="231"/>
      <c r="D2084" s="231"/>
      <c r="E2084" s="231"/>
      <c r="F2084" s="231"/>
      <c r="G2084" s="231"/>
      <c r="H2084" s="235"/>
      <c r="I2084" s="235"/>
      <c r="J2084" s="236"/>
      <c r="K2084" s="236"/>
    </row>
    <row r="2085" spans="2:11">
      <c r="B2085" s="235"/>
      <c r="C2085" s="231"/>
      <c r="D2085" s="231"/>
      <c r="E2085" s="231"/>
      <c r="F2085" s="231"/>
      <c r="G2085" s="231"/>
      <c r="H2085" s="235"/>
      <c r="I2085" s="235"/>
      <c r="J2085" s="236"/>
      <c r="K2085" s="236"/>
    </row>
    <row r="2086" spans="2:11">
      <c r="B2086" s="235"/>
      <c r="C2086" s="231"/>
      <c r="D2086" s="231"/>
      <c r="E2086" s="231"/>
      <c r="F2086" s="231"/>
      <c r="G2086" s="231"/>
      <c r="H2086" s="235"/>
      <c r="I2086" s="235"/>
      <c r="J2086" s="236"/>
      <c r="K2086" s="236"/>
    </row>
    <row r="2087" spans="2:11">
      <c r="B2087" s="235"/>
      <c r="C2087" s="231"/>
      <c r="D2087" s="231"/>
      <c r="E2087" s="231"/>
      <c r="F2087" s="231"/>
      <c r="G2087" s="231"/>
      <c r="H2087" s="235"/>
      <c r="I2087" s="235"/>
      <c r="J2087" s="236"/>
      <c r="K2087" s="236"/>
    </row>
    <row r="2088" spans="2:11">
      <c r="B2088" s="235"/>
      <c r="C2088" s="231"/>
      <c r="D2088" s="231"/>
      <c r="E2088" s="231"/>
      <c r="F2088" s="231"/>
      <c r="G2088" s="231"/>
      <c r="H2088" s="235"/>
      <c r="I2088" s="235"/>
      <c r="J2088" s="236"/>
      <c r="K2088" s="236"/>
    </row>
    <row r="2089" spans="2:11">
      <c r="B2089" s="235"/>
      <c r="C2089" s="231"/>
      <c r="D2089" s="231"/>
      <c r="E2089" s="231"/>
      <c r="F2089" s="231"/>
      <c r="G2089" s="231"/>
      <c r="H2089" s="235"/>
      <c r="I2089" s="235"/>
      <c r="J2089" s="236"/>
      <c r="K2089" s="236"/>
    </row>
    <row r="2090" spans="2:11">
      <c r="B2090" s="235"/>
      <c r="C2090" s="231"/>
      <c r="D2090" s="231"/>
      <c r="E2090" s="231"/>
      <c r="F2090" s="231"/>
      <c r="G2090" s="231"/>
      <c r="H2090" s="235"/>
      <c r="I2090" s="235"/>
      <c r="J2090" s="236"/>
      <c r="K2090" s="236"/>
    </row>
    <row r="2091" spans="2:11">
      <c r="B2091" s="235"/>
      <c r="C2091" s="231"/>
      <c r="D2091" s="231"/>
      <c r="E2091" s="231"/>
      <c r="F2091" s="231"/>
      <c r="G2091" s="231"/>
      <c r="H2091" s="235"/>
      <c r="I2091" s="235"/>
      <c r="J2091" s="236"/>
      <c r="K2091" s="236"/>
    </row>
    <row r="2092" spans="2:11">
      <c r="B2092" s="235"/>
      <c r="C2092" s="231"/>
      <c r="D2092" s="231"/>
      <c r="E2092" s="231"/>
      <c r="F2092" s="231"/>
      <c r="G2092" s="231"/>
      <c r="H2092" s="235"/>
      <c r="I2092" s="235"/>
      <c r="J2092" s="236"/>
      <c r="K2092" s="236"/>
    </row>
    <row r="2093" spans="2:11">
      <c r="B2093" s="235"/>
      <c r="C2093" s="231"/>
      <c r="D2093" s="231"/>
      <c r="E2093" s="231"/>
      <c r="F2093" s="231"/>
      <c r="G2093" s="231"/>
      <c r="H2093" s="235"/>
      <c r="I2093" s="235"/>
      <c r="J2093" s="236"/>
      <c r="K2093" s="236"/>
    </row>
    <row r="2094" spans="2:11">
      <c r="B2094" s="235"/>
      <c r="C2094" s="231"/>
      <c r="D2094" s="231"/>
      <c r="E2094" s="231"/>
      <c r="F2094" s="231"/>
      <c r="G2094" s="231"/>
      <c r="H2094" s="235"/>
      <c r="I2094" s="235"/>
      <c r="J2094" s="236"/>
      <c r="K2094" s="236"/>
    </row>
    <row r="2095" spans="2:11">
      <c r="B2095" s="235"/>
      <c r="C2095" s="231"/>
      <c r="D2095" s="231"/>
      <c r="E2095" s="231"/>
      <c r="F2095" s="231"/>
      <c r="G2095" s="231"/>
      <c r="H2095" s="235"/>
      <c r="I2095" s="235"/>
      <c r="J2095" s="236"/>
      <c r="K2095" s="236"/>
    </row>
    <row r="2096" spans="2:11">
      <c r="B2096" s="235"/>
      <c r="C2096" s="231"/>
      <c r="D2096" s="231"/>
      <c r="E2096" s="231"/>
      <c r="F2096" s="231"/>
      <c r="G2096" s="231"/>
      <c r="H2096" s="235"/>
      <c r="I2096" s="235"/>
      <c r="J2096" s="236"/>
      <c r="K2096" s="236"/>
    </row>
    <row r="2097" spans="2:11">
      <c r="B2097" s="235"/>
      <c r="C2097" s="231"/>
      <c r="D2097" s="231"/>
      <c r="E2097" s="231"/>
      <c r="F2097" s="231"/>
      <c r="G2097" s="231"/>
      <c r="H2097" s="235"/>
      <c r="I2097" s="235"/>
      <c r="J2097" s="236"/>
      <c r="K2097" s="236"/>
    </row>
    <row r="2098" spans="2:11">
      <c r="B2098" s="235"/>
      <c r="C2098" s="231"/>
      <c r="D2098" s="231"/>
      <c r="E2098" s="231"/>
      <c r="F2098" s="231"/>
      <c r="G2098" s="231"/>
      <c r="H2098" s="235"/>
      <c r="I2098" s="235"/>
      <c r="J2098" s="236"/>
      <c r="K2098" s="236"/>
    </row>
    <row r="2099" spans="2:11">
      <c r="B2099" s="235"/>
      <c r="C2099" s="231"/>
      <c r="D2099" s="231"/>
      <c r="E2099" s="231"/>
      <c r="F2099" s="231"/>
      <c r="G2099" s="231"/>
      <c r="H2099" s="235"/>
      <c r="I2099" s="235"/>
      <c r="J2099" s="236"/>
      <c r="K2099" s="236"/>
    </row>
    <row r="2100" spans="2:11">
      <c r="B2100" s="235"/>
      <c r="C2100" s="231"/>
      <c r="D2100" s="231"/>
      <c r="E2100" s="231"/>
      <c r="F2100" s="231"/>
      <c r="G2100" s="231"/>
      <c r="H2100" s="235"/>
      <c r="I2100" s="235"/>
      <c r="J2100" s="236"/>
      <c r="K2100" s="236"/>
    </row>
    <row r="2101" spans="2:11">
      <c r="B2101" s="235"/>
      <c r="C2101" s="231"/>
      <c r="D2101" s="231"/>
      <c r="E2101" s="231"/>
      <c r="F2101" s="231"/>
      <c r="G2101" s="231"/>
      <c r="H2101" s="235"/>
      <c r="I2101" s="235"/>
      <c r="J2101" s="236"/>
      <c r="K2101" s="236"/>
    </row>
    <row r="2102" spans="2:11">
      <c r="B2102" s="235"/>
      <c r="C2102" s="231"/>
      <c r="D2102" s="231"/>
      <c r="E2102" s="231"/>
      <c r="F2102" s="231"/>
      <c r="G2102" s="231"/>
      <c r="H2102" s="235"/>
      <c r="I2102" s="235"/>
      <c r="J2102" s="236"/>
      <c r="K2102" s="236"/>
    </row>
    <row r="2103" spans="2:11">
      <c r="B2103" s="235"/>
      <c r="C2103" s="231"/>
      <c r="D2103" s="231"/>
      <c r="E2103" s="231"/>
      <c r="F2103" s="231"/>
      <c r="G2103" s="231"/>
      <c r="H2103" s="235"/>
      <c r="I2103" s="235"/>
      <c r="J2103" s="236"/>
      <c r="K2103" s="236"/>
    </row>
    <row r="2104" spans="2:11">
      <c r="B2104" s="235"/>
      <c r="C2104" s="231"/>
      <c r="D2104" s="231"/>
      <c r="E2104" s="231"/>
      <c r="F2104" s="231"/>
      <c r="G2104" s="231"/>
      <c r="H2104" s="235"/>
      <c r="I2104" s="235"/>
      <c r="J2104" s="236"/>
      <c r="K2104" s="236"/>
    </row>
    <row r="2105" spans="2:11">
      <c r="B2105" s="235"/>
      <c r="C2105" s="231"/>
      <c r="D2105" s="231"/>
      <c r="E2105" s="231"/>
      <c r="F2105" s="231"/>
      <c r="G2105" s="231"/>
      <c r="H2105" s="235"/>
      <c r="I2105" s="235"/>
      <c r="J2105" s="236"/>
      <c r="K2105" s="236"/>
    </row>
    <row r="2106" spans="2:11">
      <c r="B2106" s="235"/>
      <c r="C2106" s="231"/>
      <c r="D2106" s="231"/>
      <c r="E2106" s="231"/>
      <c r="F2106" s="231"/>
      <c r="G2106" s="231"/>
      <c r="H2106" s="235"/>
      <c r="I2106" s="235"/>
      <c r="J2106" s="236"/>
      <c r="K2106" s="236"/>
    </row>
    <row r="2107" spans="2:11">
      <c r="B2107" s="235"/>
      <c r="C2107" s="231"/>
      <c r="D2107" s="231"/>
      <c r="E2107" s="231"/>
      <c r="F2107" s="231"/>
      <c r="G2107" s="231"/>
      <c r="H2107" s="235"/>
      <c r="I2107" s="235"/>
      <c r="J2107" s="236"/>
      <c r="K2107" s="236"/>
    </row>
    <row r="2108" spans="2:11">
      <c r="B2108" s="235"/>
      <c r="C2108" s="231"/>
      <c r="D2108" s="231"/>
      <c r="E2108" s="231"/>
      <c r="F2108" s="231"/>
      <c r="G2108" s="231"/>
      <c r="H2108" s="235"/>
      <c r="I2108" s="235"/>
      <c r="J2108" s="236"/>
      <c r="K2108" s="236"/>
    </row>
    <row r="2109" spans="2:11">
      <c r="B2109" s="235"/>
      <c r="C2109" s="231"/>
      <c r="D2109" s="231"/>
      <c r="E2109" s="231"/>
      <c r="F2109" s="231"/>
      <c r="G2109" s="231"/>
      <c r="H2109" s="235"/>
      <c r="I2109" s="235"/>
      <c r="J2109" s="236"/>
      <c r="K2109" s="236"/>
    </row>
    <row r="2110" spans="2:11">
      <c r="B2110" s="235"/>
      <c r="C2110" s="231"/>
      <c r="D2110" s="231"/>
      <c r="E2110" s="231"/>
      <c r="F2110" s="231"/>
      <c r="G2110" s="231"/>
      <c r="H2110" s="235"/>
      <c r="I2110" s="235"/>
      <c r="J2110" s="236"/>
      <c r="K2110" s="236"/>
    </row>
    <row r="2111" spans="2:11">
      <c r="B2111" s="235"/>
      <c r="C2111" s="231"/>
      <c r="D2111" s="231"/>
      <c r="E2111" s="231"/>
      <c r="F2111" s="231"/>
      <c r="G2111" s="231"/>
      <c r="H2111" s="235"/>
      <c r="I2111" s="235"/>
      <c r="J2111" s="236"/>
      <c r="K2111" s="236"/>
    </row>
    <row r="2112" spans="2:11">
      <c r="B2112" s="235"/>
      <c r="C2112" s="231"/>
      <c r="D2112" s="231"/>
      <c r="E2112" s="231"/>
      <c r="F2112" s="231"/>
      <c r="G2112" s="231"/>
      <c r="H2112" s="235"/>
      <c r="I2112" s="235"/>
      <c r="J2112" s="236"/>
      <c r="K2112" s="236"/>
    </row>
    <row r="2113" spans="2:11">
      <c r="B2113" s="235"/>
      <c r="C2113" s="231"/>
      <c r="D2113" s="231"/>
      <c r="E2113" s="231"/>
      <c r="F2113" s="231"/>
      <c r="G2113" s="231"/>
      <c r="H2113" s="235"/>
      <c r="I2113" s="235"/>
      <c r="J2113" s="236"/>
      <c r="K2113" s="236"/>
    </row>
    <row r="2114" spans="2:11">
      <c r="B2114" s="235"/>
      <c r="C2114" s="231"/>
      <c r="D2114" s="231"/>
      <c r="E2114" s="231"/>
      <c r="F2114" s="231"/>
      <c r="G2114" s="231"/>
      <c r="H2114" s="235"/>
      <c r="I2114" s="235"/>
      <c r="J2114" s="236"/>
      <c r="K2114" s="236"/>
    </row>
    <row r="2115" spans="2:11">
      <c r="B2115" s="235"/>
      <c r="C2115" s="231"/>
      <c r="D2115" s="231"/>
      <c r="E2115" s="231"/>
      <c r="F2115" s="231"/>
      <c r="G2115" s="231"/>
      <c r="H2115" s="235"/>
      <c r="I2115" s="235"/>
      <c r="J2115" s="236"/>
      <c r="K2115" s="236"/>
    </row>
    <row r="2116" spans="2:11">
      <c r="B2116" s="235"/>
      <c r="C2116" s="231"/>
      <c r="D2116" s="231"/>
      <c r="E2116" s="231"/>
      <c r="F2116" s="231"/>
      <c r="G2116" s="231"/>
      <c r="H2116" s="235"/>
      <c r="I2116" s="235"/>
      <c r="J2116" s="236"/>
      <c r="K2116" s="236"/>
    </row>
    <row r="2117" spans="2:11">
      <c r="B2117" s="235"/>
      <c r="C2117" s="231"/>
      <c r="D2117" s="231"/>
      <c r="E2117" s="231"/>
      <c r="F2117" s="231"/>
      <c r="G2117" s="231"/>
      <c r="H2117" s="235"/>
      <c r="I2117" s="235"/>
      <c r="J2117" s="236"/>
      <c r="K2117" s="236"/>
    </row>
    <row r="2118" spans="2:11">
      <c r="B2118" s="235"/>
      <c r="C2118" s="231"/>
      <c r="D2118" s="231"/>
      <c r="E2118" s="231"/>
      <c r="F2118" s="231"/>
      <c r="G2118" s="231"/>
      <c r="H2118" s="235"/>
      <c r="I2118" s="235"/>
      <c r="J2118" s="236"/>
      <c r="K2118" s="236"/>
    </row>
    <row r="2119" spans="2:11">
      <c r="B2119" s="235"/>
      <c r="C2119" s="231"/>
      <c r="D2119" s="231"/>
      <c r="E2119" s="231"/>
      <c r="F2119" s="231"/>
      <c r="G2119" s="231"/>
      <c r="H2119" s="235"/>
      <c r="I2119" s="235"/>
      <c r="J2119" s="236"/>
      <c r="K2119" s="236"/>
    </row>
    <row r="2120" spans="2:11">
      <c r="B2120" s="235"/>
      <c r="C2120" s="231"/>
      <c r="D2120" s="231"/>
      <c r="E2120" s="231"/>
      <c r="F2120" s="231"/>
      <c r="G2120" s="231"/>
      <c r="H2120" s="235"/>
      <c r="I2120" s="235"/>
      <c r="J2120" s="236"/>
      <c r="K2120" s="236"/>
    </row>
    <row r="2121" spans="2:11">
      <c r="B2121" s="235"/>
      <c r="C2121" s="231"/>
      <c r="D2121" s="231"/>
      <c r="E2121" s="231"/>
      <c r="F2121" s="231"/>
      <c r="G2121" s="231"/>
      <c r="H2121" s="235"/>
      <c r="I2121" s="235"/>
      <c r="J2121" s="236"/>
      <c r="K2121" s="236"/>
    </row>
    <row r="2122" spans="2:11">
      <c r="B2122" s="235"/>
      <c r="C2122" s="231"/>
      <c r="D2122" s="231"/>
      <c r="E2122" s="231"/>
      <c r="F2122" s="231"/>
      <c r="G2122" s="231"/>
      <c r="H2122" s="235"/>
      <c r="I2122" s="235"/>
      <c r="J2122" s="236"/>
      <c r="K2122" s="236"/>
    </row>
    <row r="2123" spans="2:11">
      <c r="B2123" s="235"/>
      <c r="C2123" s="231"/>
      <c r="D2123" s="231"/>
      <c r="E2123" s="231"/>
      <c r="F2123" s="231"/>
      <c r="G2123" s="231"/>
      <c r="H2123" s="235"/>
      <c r="I2123" s="235"/>
      <c r="J2123" s="236"/>
      <c r="K2123" s="236"/>
    </row>
    <row r="2124" spans="2:11">
      <c r="B2124" s="235"/>
      <c r="C2124" s="231"/>
      <c r="D2124" s="231"/>
      <c r="E2124" s="231"/>
      <c r="F2124" s="231"/>
      <c r="G2124" s="231"/>
      <c r="H2124" s="235"/>
      <c r="I2124" s="235"/>
      <c r="J2124" s="236"/>
      <c r="K2124" s="236"/>
    </row>
    <row r="2125" spans="2:11">
      <c r="B2125" s="235"/>
      <c r="C2125" s="231"/>
      <c r="D2125" s="231"/>
      <c r="E2125" s="231"/>
      <c r="F2125" s="231"/>
      <c r="G2125" s="231"/>
      <c r="H2125" s="235"/>
      <c r="I2125" s="235"/>
      <c r="J2125" s="236"/>
      <c r="K2125" s="236"/>
    </row>
    <row r="2126" spans="2:11">
      <c r="B2126" s="235"/>
      <c r="C2126" s="231"/>
      <c r="D2126" s="231"/>
      <c r="E2126" s="231"/>
      <c r="F2126" s="231"/>
      <c r="G2126" s="231"/>
      <c r="H2126" s="235"/>
      <c r="I2126" s="235"/>
      <c r="J2126" s="236"/>
      <c r="K2126" s="236"/>
    </row>
    <row r="2127" spans="2:11">
      <c r="B2127" s="235"/>
      <c r="C2127" s="231"/>
      <c r="D2127" s="231"/>
      <c r="E2127" s="231"/>
      <c r="F2127" s="231"/>
      <c r="G2127" s="231"/>
      <c r="H2127" s="235"/>
      <c r="I2127" s="235"/>
      <c r="J2127" s="236"/>
      <c r="K2127" s="236"/>
    </row>
    <row r="2128" spans="2:11">
      <c r="B2128" s="235"/>
      <c r="C2128" s="231"/>
      <c r="D2128" s="231"/>
      <c r="E2128" s="231"/>
      <c r="F2128" s="231"/>
      <c r="G2128" s="231"/>
      <c r="H2128" s="235"/>
      <c r="I2128" s="235"/>
      <c r="J2128" s="236"/>
      <c r="K2128" s="236"/>
    </row>
    <row r="2129" spans="2:11">
      <c r="B2129" s="235"/>
      <c r="C2129" s="231"/>
      <c r="D2129" s="231"/>
      <c r="E2129" s="231"/>
      <c r="F2129" s="231"/>
      <c r="G2129" s="231"/>
      <c r="H2129" s="235"/>
      <c r="I2129" s="235"/>
      <c r="J2129" s="236"/>
      <c r="K2129" s="236"/>
    </row>
    <row r="2130" spans="2:11">
      <c r="B2130" s="235"/>
      <c r="C2130" s="231"/>
      <c r="D2130" s="231"/>
      <c r="E2130" s="231"/>
      <c r="F2130" s="231"/>
      <c r="G2130" s="231"/>
      <c r="H2130" s="235"/>
      <c r="I2130" s="235"/>
      <c r="J2130" s="236"/>
      <c r="K2130" s="236"/>
    </row>
    <row r="2131" spans="2:11">
      <c r="B2131" s="235"/>
      <c r="C2131" s="231"/>
      <c r="D2131" s="231"/>
      <c r="E2131" s="231"/>
      <c r="F2131" s="231"/>
      <c r="G2131" s="231"/>
      <c r="H2131" s="235"/>
      <c r="I2131" s="235"/>
      <c r="J2131" s="236"/>
      <c r="K2131" s="236"/>
    </row>
    <row r="2132" spans="2:11">
      <c r="B2132" s="235"/>
      <c r="C2132" s="231"/>
      <c r="D2132" s="231"/>
      <c r="E2132" s="231"/>
      <c r="F2132" s="231"/>
      <c r="G2132" s="231"/>
      <c r="H2132" s="235"/>
      <c r="I2132" s="235"/>
      <c r="J2132" s="236"/>
      <c r="K2132" s="236"/>
    </row>
    <row r="2133" spans="2:11">
      <c r="B2133" s="235"/>
      <c r="C2133" s="231"/>
      <c r="D2133" s="231"/>
      <c r="E2133" s="231"/>
      <c r="F2133" s="231"/>
      <c r="G2133" s="231"/>
      <c r="H2133" s="235"/>
      <c r="I2133" s="235"/>
      <c r="J2133" s="236"/>
      <c r="K2133" s="236"/>
    </row>
    <row r="2134" spans="2:11">
      <c r="B2134" s="235"/>
      <c r="C2134" s="231"/>
      <c r="D2134" s="231"/>
      <c r="E2134" s="231"/>
      <c r="F2134" s="231"/>
      <c r="G2134" s="231"/>
      <c r="H2134" s="235"/>
      <c r="I2134" s="235"/>
      <c r="J2134" s="236"/>
      <c r="K2134" s="236"/>
    </row>
    <row r="2135" spans="2:11">
      <c r="B2135" s="235"/>
      <c r="C2135" s="231"/>
      <c r="D2135" s="231"/>
      <c r="E2135" s="231"/>
      <c r="F2135" s="231"/>
      <c r="G2135" s="231"/>
      <c r="H2135" s="235"/>
      <c r="I2135" s="235"/>
      <c r="J2135" s="236"/>
      <c r="K2135" s="236"/>
    </row>
    <row r="2136" spans="2:11">
      <c r="B2136" s="235"/>
      <c r="C2136" s="231"/>
      <c r="D2136" s="231"/>
      <c r="E2136" s="231"/>
      <c r="F2136" s="231"/>
      <c r="G2136" s="231"/>
      <c r="H2136" s="235"/>
      <c r="I2136" s="235"/>
      <c r="J2136" s="236"/>
      <c r="K2136" s="236"/>
    </row>
    <row r="2137" spans="2:11">
      <c r="B2137" s="235"/>
      <c r="C2137" s="231"/>
      <c r="D2137" s="231"/>
      <c r="E2137" s="231"/>
      <c r="F2137" s="231"/>
      <c r="G2137" s="231"/>
      <c r="H2137" s="235"/>
      <c r="I2137" s="235"/>
      <c r="J2137" s="236"/>
      <c r="K2137" s="236"/>
    </row>
    <row r="2138" spans="2:11">
      <c r="B2138" s="235"/>
      <c r="C2138" s="231"/>
      <c r="D2138" s="231"/>
      <c r="E2138" s="231"/>
      <c r="F2138" s="231"/>
      <c r="G2138" s="231"/>
      <c r="H2138" s="235"/>
      <c r="I2138" s="235"/>
      <c r="J2138" s="236"/>
      <c r="K2138" s="236"/>
    </row>
    <row r="2139" spans="2:11">
      <c r="B2139" s="235"/>
      <c r="C2139" s="231"/>
      <c r="D2139" s="231"/>
      <c r="E2139" s="231"/>
      <c r="F2139" s="231"/>
      <c r="G2139" s="231"/>
      <c r="H2139" s="235"/>
      <c r="I2139" s="235"/>
      <c r="J2139" s="236"/>
      <c r="K2139" s="236"/>
    </row>
    <row r="2140" spans="2:11">
      <c r="B2140" s="235"/>
      <c r="C2140" s="231"/>
      <c r="D2140" s="231"/>
      <c r="E2140" s="231"/>
      <c r="F2140" s="231"/>
      <c r="G2140" s="231"/>
      <c r="H2140" s="235"/>
      <c r="I2140" s="235"/>
      <c r="J2140" s="236"/>
      <c r="K2140" s="236"/>
    </row>
    <row r="2141" spans="2:11">
      <c r="B2141" s="235"/>
      <c r="C2141" s="231"/>
      <c r="D2141" s="231"/>
      <c r="E2141" s="231"/>
      <c r="F2141" s="231"/>
      <c r="G2141" s="231"/>
      <c r="H2141" s="235"/>
      <c r="I2141" s="235"/>
      <c r="J2141" s="236"/>
      <c r="K2141" s="236"/>
    </row>
    <row r="2142" spans="2:11">
      <c r="B2142" s="235"/>
      <c r="C2142" s="231"/>
      <c r="D2142" s="231"/>
      <c r="E2142" s="231"/>
      <c r="F2142" s="231"/>
      <c r="G2142" s="231"/>
      <c r="H2142" s="235"/>
      <c r="I2142" s="235"/>
      <c r="J2142" s="236"/>
      <c r="K2142" s="236"/>
    </row>
    <row r="2143" spans="2:11">
      <c r="B2143" s="235"/>
      <c r="C2143" s="231"/>
      <c r="D2143" s="231"/>
      <c r="E2143" s="231"/>
      <c r="F2143" s="231"/>
      <c r="G2143" s="231"/>
      <c r="H2143" s="235"/>
      <c r="I2143" s="235"/>
      <c r="J2143" s="236"/>
      <c r="K2143" s="236"/>
    </row>
    <row r="2144" spans="2:11">
      <c r="B2144" s="235"/>
      <c r="C2144" s="231"/>
      <c r="D2144" s="231"/>
      <c r="E2144" s="231"/>
      <c r="F2144" s="231"/>
      <c r="G2144" s="231"/>
      <c r="H2144" s="235"/>
      <c r="I2144" s="235"/>
      <c r="J2144" s="236"/>
      <c r="K2144" s="236"/>
    </row>
    <row r="2145" spans="2:11">
      <c r="B2145" s="235"/>
      <c r="C2145" s="231"/>
      <c r="D2145" s="231"/>
      <c r="E2145" s="231"/>
      <c r="F2145" s="231"/>
      <c r="G2145" s="231"/>
      <c r="H2145" s="235"/>
      <c r="I2145" s="235"/>
      <c r="J2145" s="236"/>
      <c r="K2145" s="236"/>
    </row>
    <row r="2146" spans="2:11">
      <c r="B2146" s="235"/>
      <c r="C2146" s="231"/>
      <c r="D2146" s="231"/>
      <c r="E2146" s="231"/>
      <c r="F2146" s="231"/>
      <c r="G2146" s="231"/>
      <c r="H2146" s="235"/>
      <c r="I2146" s="235"/>
      <c r="J2146" s="236"/>
      <c r="K2146" s="236"/>
    </row>
    <row r="2147" spans="2:11">
      <c r="B2147" s="235"/>
      <c r="C2147" s="231"/>
      <c r="D2147" s="231"/>
      <c r="E2147" s="231"/>
      <c r="F2147" s="231"/>
      <c r="G2147" s="231"/>
      <c r="H2147" s="235"/>
      <c r="I2147" s="235"/>
      <c r="J2147" s="236"/>
      <c r="K2147" s="236"/>
    </row>
    <row r="2148" spans="2:11">
      <c r="B2148" s="235"/>
      <c r="C2148" s="231"/>
      <c r="D2148" s="231"/>
      <c r="E2148" s="231"/>
      <c r="F2148" s="231"/>
      <c r="G2148" s="231"/>
      <c r="H2148" s="235"/>
      <c r="I2148" s="235"/>
      <c r="J2148" s="236"/>
      <c r="K2148" s="236"/>
    </row>
    <row r="2149" spans="2:11">
      <c r="B2149" s="235"/>
      <c r="C2149" s="231"/>
      <c r="D2149" s="231"/>
      <c r="E2149" s="231"/>
      <c r="F2149" s="231"/>
      <c r="G2149" s="231"/>
      <c r="H2149" s="235"/>
      <c r="I2149" s="235"/>
      <c r="J2149" s="236"/>
      <c r="K2149" s="236"/>
    </row>
    <row r="2150" spans="2:11">
      <c r="B2150" s="235"/>
      <c r="C2150" s="231"/>
      <c r="D2150" s="231"/>
      <c r="E2150" s="231"/>
      <c r="F2150" s="231"/>
      <c r="G2150" s="231"/>
      <c r="H2150" s="235"/>
      <c r="I2150" s="235"/>
      <c r="J2150" s="236"/>
      <c r="K2150" s="236"/>
    </row>
    <row r="2151" spans="2:11">
      <c r="B2151" s="235"/>
      <c r="C2151" s="231"/>
      <c r="D2151" s="231"/>
      <c r="E2151" s="231"/>
      <c r="F2151" s="231"/>
      <c r="G2151" s="231"/>
      <c r="H2151" s="235"/>
      <c r="I2151" s="235"/>
      <c r="J2151" s="236"/>
      <c r="K2151" s="236"/>
    </row>
    <row r="2152" spans="2:11">
      <c r="B2152" s="235"/>
      <c r="C2152" s="231"/>
      <c r="D2152" s="231"/>
      <c r="E2152" s="231"/>
      <c r="F2152" s="231"/>
      <c r="G2152" s="231"/>
      <c r="H2152" s="235"/>
      <c r="I2152" s="235"/>
      <c r="J2152" s="236"/>
      <c r="K2152" s="236"/>
    </row>
    <row r="2153" spans="2:11">
      <c r="B2153" s="235"/>
      <c r="C2153" s="231"/>
      <c r="D2153" s="231"/>
      <c r="E2153" s="231"/>
      <c r="F2153" s="231"/>
      <c r="G2153" s="231"/>
      <c r="H2153" s="235"/>
      <c r="I2153" s="235"/>
      <c r="J2153" s="236"/>
      <c r="K2153" s="236"/>
    </row>
    <row r="2154" spans="2:11">
      <c r="B2154" s="235"/>
      <c r="C2154" s="231"/>
      <c r="D2154" s="231"/>
      <c r="E2154" s="231"/>
      <c r="F2154" s="231"/>
      <c r="G2154" s="231"/>
      <c r="H2154" s="235"/>
      <c r="I2154" s="235"/>
      <c r="J2154" s="236"/>
      <c r="K2154" s="236"/>
    </row>
    <row r="2155" spans="2:11">
      <c r="B2155" s="235"/>
      <c r="C2155" s="231"/>
      <c r="D2155" s="231"/>
      <c r="E2155" s="231"/>
      <c r="F2155" s="231"/>
      <c r="G2155" s="231"/>
      <c r="H2155" s="235"/>
      <c r="I2155" s="235"/>
      <c r="J2155" s="236"/>
      <c r="K2155" s="236"/>
    </row>
    <row r="2156" spans="2:11">
      <c r="B2156" s="235"/>
      <c r="C2156" s="231"/>
      <c r="D2156" s="231"/>
      <c r="E2156" s="231"/>
      <c r="F2156" s="231"/>
      <c r="G2156" s="231"/>
      <c r="H2156" s="235"/>
      <c r="I2156" s="235"/>
      <c r="J2156" s="236"/>
      <c r="K2156" s="236"/>
    </row>
    <row r="2157" spans="2:11">
      <c r="B2157" s="235"/>
      <c r="C2157" s="231"/>
      <c r="D2157" s="231"/>
      <c r="E2157" s="231"/>
      <c r="F2157" s="231"/>
      <c r="G2157" s="231"/>
      <c r="H2157" s="235"/>
      <c r="I2157" s="235"/>
      <c r="J2157" s="236"/>
      <c r="K2157" s="236"/>
    </row>
    <row r="2158" spans="2:11">
      <c r="B2158" s="235"/>
      <c r="C2158" s="231"/>
      <c r="D2158" s="231"/>
      <c r="E2158" s="231"/>
      <c r="F2158" s="231"/>
      <c r="G2158" s="231"/>
      <c r="H2158" s="235"/>
      <c r="I2158" s="235"/>
      <c r="J2158" s="236"/>
      <c r="K2158" s="236"/>
    </row>
    <row r="2159" spans="2:11">
      <c r="B2159" s="235"/>
      <c r="C2159" s="231"/>
      <c r="D2159" s="231"/>
      <c r="E2159" s="231"/>
      <c r="F2159" s="231"/>
      <c r="G2159" s="231"/>
      <c r="H2159" s="235"/>
      <c r="I2159" s="235"/>
      <c r="J2159" s="236"/>
      <c r="K2159" s="236"/>
    </row>
    <row r="2160" spans="2:11">
      <c r="B2160" s="235"/>
      <c r="C2160" s="231"/>
      <c r="D2160" s="231"/>
      <c r="E2160" s="231"/>
      <c r="F2160" s="231"/>
      <c r="G2160" s="231"/>
      <c r="H2160" s="235"/>
      <c r="I2160" s="235"/>
      <c r="J2160" s="236"/>
      <c r="K2160" s="236"/>
    </row>
    <row r="2161" spans="2:11">
      <c r="B2161" s="235"/>
      <c r="C2161" s="231"/>
      <c r="D2161" s="231"/>
      <c r="E2161" s="231"/>
      <c r="F2161" s="231"/>
      <c r="G2161" s="231"/>
      <c r="H2161" s="235"/>
      <c r="I2161" s="235"/>
      <c r="J2161" s="236"/>
      <c r="K2161" s="236"/>
    </row>
    <row r="2162" spans="2:11">
      <c r="B2162" s="235"/>
      <c r="C2162" s="231"/>
      <c r="D2162" s="231"/>
      <c r="E2162" s="231"/>
      <c r="F2162" s="231"/>
      <c r="G2162" s="231"/>
      <c r="H2162" s="235"/>
      <c r="I2162" s="235"/>
      <c r="J2162" s="236"/>
      <c r="K2162" s="236"/>
    </row>
    <row r="2163" spans="2:11">
      <c r="B2163" s="235"/>
      <c r="C2163" s="231"/>
      <c r="D2163" s="231"/>
      <c r="E2163" s="231"/>
      <c r="F2163" s="231"/>
      <c r="G2163" s="231"/>
      <c r="H2163" s="235"/>
      <c r="I2163" s="235"/>
      <c r="J2163" s="236"/>
      <c r="K2163" s="236"/>
    </row>
    <row r="2164" spans="2:11">
      <c r="B2164" s="235"/>
      <c r="C2164" s="231"/>
      <c r="D2164" s="231"/>
      <c r="E2164" s="231"/>
      <c r="F2164" s="231"/>
      <c r="G2164" s="231"/>
      <c r="H2164" s="235"/>
      <c r="I2164" s="235"/>
      <c r="J2164" s="236"/>
      <c r="K2164" s="236"/>
    </row>
    <row r="2165" spans="2:11">
      <c r="B2165" s="235"/>
      <c r="C2165" s="231"/>
      <c r="D2165" s="231"/>
      <c r="E2165" s="231"/>
      <c r="F2165" s="231"/>
      <c r="G2165" s="231"/>
      <c r="H2165" s="235"/>
      <c r="I2165" s="235"/>
      <c r="J2165" s="236"/>
      <c r="K2165" s="236"/>
    </row>
    <row r="2166" spans="2:11">
      <c r="B2166" s="235"/>
      <c r="C2166" s="231"/>
      <c r="D2166" s="231"/>
      <c r="E2166" s="231"/>
      <c r="F2166" s="231"/>
      <c r="G2166" s="231"/>
      <c r="H2166" s="235"/>
      <c r="I2166" s="235"/>
      <c r="J2166" s="236"/>
      <c r="K2166" s="236"/>
    </row>
    <row r="2167" spans="2:11">
      <c r="B2167" s="235"/>
      <c r="C2167" s="231"/>
      <c r="D2167" s="231"/>
      <c r="E2167" s="231"/>
      <c r="F2167" s="231"/>
      <c r="G2167" s="231"/>
      <c r="H2167" s="235"/>
      <c r="I2167" s="235"/>
      <c r="J2167" s="236"/>
      <c r="K2167" s="236"/>
    </row>
    <row r="2168" spans="2:11">
      <c r="B2168" s="235"/>
      <c r="C2168" s="231"/>
      <c r="D2168" s="231"/>
      <c r="E2168" s="231"/>
      <c r="F2168" s="231"/>
      <c r="G2168" s="231"/>
      <c r="H2168" s="235"/>
      <c r="I2168" s="235"/>
      <c r="J2168" s="236"/>
      <c r="K2168" s="236"/>
    </row>
    <row r="2169" spans="2:11">
      <c r="B2169" s="235"/>
      <c r="C2169" s="231"/>
      <c r="D2169" s="231"/>
      <c r="E2169" s="231"/>
      <c r="F2169" s="231"/>
      <c r="G2169" s="231"/>
      <c r="H2169" s="235"/>
      <c r="I2169" s="235"/>
      <c r="J2169" s="236"/>
      <c r="K2169" s="236"/>
    </row>
    <row r="2170" spans="2:11">
      <c r="B2170" s="235"/>
      <c r="C2170" s="231"/>
      <c r="D2170" s="231"/>
      <c r="E2170" s="231"/>
      <c r="F2170" s="231"/>
      <c r="G2170" s="231"/>
      <c r="H2170" s="235"/>
      <c r="I2170" s="235"/>
      <c r="J2170" s="236"/>
      <c r="K2170" s="236"/>
    </row>
    <row r="2171" spans="2:11">
      <c r="B2171" s="235"/>
      <c r="C2171" s="231"/>
      <c r="D2171" s="231"/>
      <c r="E2171" s="231"/>
      <c r="F2171" s="231"/>
      <c r="G2171" s="231"/>
      <c r="H2171" s="235"/>
      <c r="I2171" s="235"/>
      <c r="J2171" s="236"/>
      <c r="K2171" s="236"/>
    </row>
    <row r="2172" spans="2:11">
      <c r="B2172" s="235"/>
      <c r="C2172" s="231"/>
      <c r="D2172" s="231"/>
      <c r="E2172" s="231"/>
      <c r="F2172" s="231"/>
      <c r="G2172" s="231"/>
      <c r="H2172" s="235"/>
      <c r="I2172" s="235"/>
      <c r="J2172" s="236"/>
      <c r="K2172" s="236"/>
    </row>
    <row r="2173" spans="2:11">
      <c r="B2173" s="235"/>
      <c r="C2173" s="231"/>
      <c r="D2173" s="231"/>
      <c r="E2173" s="231"/>
      <c r="F2173" s="231"/>
      <c r="G2173" s="231"/>
      <c r="H2173" s="235"/>
      <c r="I2173" s="235"/>
      <c r="J2173" s="236"/>
      <c r="K2173" s="236"/>
    </row>
    <row r="2174" spans="2:11">
      <c r="B2174" s="235"/>
      <c r="C2174" s="231"/>
      <c r="D2174" s="231"/>
      <c r="E2174" s="231"/>
      <c r="F2174" s="231"/>
      <c r="G2174" s="231"/>
      <c r="H2174" s="235"/>
      <c r="I2174" s="235"/>
      <c r="J2174" s="236"/>
      <c r="K2174" s="236"/>
    </row>
    <row r="2175" spans="2:11">
      <c r="B2175" s="235"/>
      <c r="C2175" s="231"/>
      <c r="D2175" s="231"/>
      <c r="E2175" s="231"/>
      <c r="F2175" s="231"/>
      <c r="G2175" s="231"/>
      <c r="H2175" s="235"/>
      <c r="I2175" s="235"/>
      <c r="J2175" s="236"/>
      <c r="K2175" s="236"/>
    </row>
    <row r="2176" spans="2:11">
      <c r="B2176" s="235"/>
      <c r="C2176" s="231"/>
      <c r="D2176" s="231"/>
      <c r="E2176" s="231"/>
      <c r="F2176" s="231"/>
      <c r="G2176" s="231"/>
      <c r="H2176" s="235"/>
      <c r="I2176" s="235"/>
      <c r="J2176" s="236"/>
      <c r="K2176" s="236"/>
    </row>
    <row r="2177" spans="2:11">
      <c r="B2177" s="235"/>
      <c r="C2177" s="231"/>
      <c r="D2177" s="231"/>
      <c r="E2177" s="231"/>
      <c r="F2177" s="231"/>
      <c r="G2177" s="231"/>
      <c r="H2177" s="235"/>
      <c r="I2177" s="235"/>
      <c r="J2177" s="236"/>
      <c r="K2177" s="236"/>
    </row>
    <row r="2178" spans="2:11">
      <c r="B2178" s="235"/>
      <c r="C2178" s="231"/>
      <c r="D2178" s="231"/>
      <c r="E2178" s="231"/>
      <c r="F2178" s="231"/>
      <c r="G2178" s="231"/>
      <c r="H2178" s="235"/>
      <c r="I2178" s="235"/>
      <c r="J2178" s="236"/>
      <c r="K2178" s="236"/>
    </row>
    <row r="2179" spans="2:11">
      <c r="B2179" s="235"/>
      <c r="C2179" s="231"/>
      <c r="D2179" s="231"/>
      <c r="E2179" s="231"/>
      <c r="F2179" s="231"/>
      <c r="G2179" s="231"/>
      <c r="H2179" s="235"/>
      <c r="I2179" s="235"/>
      <c r="J2179" s="236"/>
      <c r="K2179" s="236"/>
    </row>
    <row r="2180" spans="2:11">
      <c r="B2180" s="235"/>
      <c r="C2180" s="231"/>
      <c r="D2180" s="231"/>
      <c r="E2180" s="231"/>
      <c r="F2180" s="231"/>
      <c r="G2180" s="231"/>
      <c r="H2180" s="235"/>
      <c r="I2180" s="235"/>
      <c r="J2180" s="236"/>
      <c r="K2180" s="236"/>
    </row>
    <row r="2181" spans="2:11">
      <c r="B2181" s="235"/>
      <c r="C2181" s="231"/>
      <c r="D2181" s="231"/>
      <c r="E2181" s="231"/>
      <c r="F2181" s="231"/>
      <c r="G2181" s="231"/>
      <c r="H2181" s="235"/>
      <c r="I2181" s="235"/>
      <c r="J2181" s="236"/>
      <c r="K2181" s="236"/>
    </row>
    <row r="2182" spans="2:11">
      <c r="B2182" s="235"/>
      <c r="C2182" s="231"/>
      <c r="D2182" s="231"/>
      <c r="E2182" s="231"/>
      <c r="F2182" s="231"/>
      <c r="G2182" s="231"/>
      <c r="H2182" s="235"/>
      <c r="I2182" s="235"/>
      <c r="J2182" s="236"/>
      <c r="K2182" s="236"/>
    </row>
    <row r="2183" spans="2:11">
      <c r="B2183" s="235"/>
      <c r="C2183" s="231"/>
      <c r="D2183" s="231"/>
      <c r="E2183" s="231"/>
      <c r="F2183" s="231"/>
      <c r="G2183" s="231"/>
      <c r="H2183" s="235"/>
      <c r="I2183" s="235"/>
      <c r="J2183" s="236"/>
      <c r="K2183" s="236"/>
    </row>
    <row r="2184" spans="2:11">
      <c r="B2184" s="235"/>
      <c r="C2184" s="231"/>
      <c r="D2184" s="231"/>
      <c r="E2184" s="231"/>
      <c r="F2184" s="231"/>
      <c r="G2184" s="231"/>
      <c r="H2184" s="235"/>
      <c r="I2184" s="235"/>
      <c r="J2184" s="236"/>
      <c r="K2184" s="236"/>
    </row>
    <row r="2185" spans="2:11">
      <c r="B2185" s="235"/>
      <c r="C2185" s="231"/>
      <c r="D2185" s="231"/>
      <c r="E2185" s="231"/>
      <c r="F2185" s="231"/>
      <c r="G2185" s="231"/>
      <c r="H2185" s="235"/>
      <c r="I2185" s="235"/>
      <c r="J2185" s="236"/>
      <c r="K2185" s="236"/>
    </row>
    <row r="2186" spans="2:11">
      <c r="B2186" s="235"/>
      <c r="C2186" s="231"/>
      <c r="D2186" s="231"/>
      <c r="E2186" s="231"/>
      <c r="F2186" s="231"/>
      <c r="G2186" s="231"/>
      <c r="H2186" s="235"/>
      <c r="I2186" s="235"/>
      <c r="J2186" s="236"/>
      <c r="K2186" s="236"/>
    </row>
    <row r="2187" spans="2:11">
      <c r="B2187" s="235"/>
      <c r="C2187" s="231"/>
      <c r="D2187" s="231"/>
      <c r="E2187" s="231"/>
      <c r="F2187" s="231"/>
      <c r="G2187" s="231"/>
      <c r="H2187" s="235"/>
      <c r="I2187" s="235"/>
      <c r="J2187" s="236"/>
      <c r="K2187" s="236"/>
    </row>
    <row r="2188" spans="2:11">
      <c r="B2188" s="235"/>
      <c r="C2188" s="231"/>
      <c r="D2188" s="231"/>
      <c r="E2188" s="231"/>
      <c r="F2188" s="231"/>
      <c r="G2188" s="231"/>
      <c r="H2188" s="235"/>
      <c r="I2188" s="235"/>
      <c r="J2188" s="236"/>
      <c r="K2188" s="236"/>
    </row>
    <row r="2189" spans="2:11">
      <c r="B2189" s="235"/>
      <c r="C2189" s="231"/>
      <c r="D2189" s="231"/>
      <c r="E2189" s="231"/>
      <c r="F2189" s="231"/>
      <c r="G2189" s="231"/>
      <c r="H2189" s="235"/>
      <c r="I2189" s="235"/>
      <c r="J2189" s="236"/>
      <c r="K2189" s="236"/>
    </row>
    <row r="2190" spans="2:11">
      <c r="B2190" s="235"/>
      <c r="C2190" s="231"/>
      <c r="D2190" s="231"/>
      <c r="E2190" s="231"/>
      <c r="F2190" s="231"/>
      <c r="G2190" s="231"/>
      <c r="H2190" s="235"/>
      <c r="I2190" s="235"/>
      <c r="J2190" s="236"/>
      <c r="K2190" s="236"/>
    </row>
    <row r="2191" spans="2:11">
      <c r="B2191" s="235"/>
      <c r="C2191" s="231"/>
      <c r="D2191" s="231"/>
      <c r="E2191" s="231"/>
      <c r="F2191" s="231"/>
      <c r="G2191" s="231"/>
      <c r="H2191" s="235"/>
      <c r="I2191" s="235"/>
      <c r="J2191" s="236"/>
      <c r="K2191" s="236"/>
    </row>
    <row r="2192" spans="2:11">
      <c r="B2192" s="235"/>
      <c r="C2192" s="231"/>
      <c r="D2192" s="231"/>
      <c r="E2192" s="231"/>
      <c r="F2192" s="231"/>
      <c r="G2192" s="231"/>
      <c r="H2192" s="235"/>
      <c r="I2192" s="235"/>
      <c r="J2192" s="236"/>
      <c r="K2192" s="236"/>
    </row>
    <row r="2193" spans="2:11">
      <c r="B2193" s="235"/>
      <c r="C2193" s="231"/>
      <c r="D2193" s="231"/>
      <c r="E2193" s="231"/>
      <c r="F2193" s="231"/>
      <c r="G2193" s="231"/>
      <c r="H2193" s="235"/>
      <c r="I2193" s="235"/>
      <c r="J2193" s="236"/>
      <c r="K2193" s="236"/>
    </row>
    <row r="2194" spans="2:11">
      <c r="B2194" s="235"/>
      <c r="C2194" s="231"/>
      <c r="D2194" s="231"/>
      <c r="E2194" s="231"/>
      <c r="F2194" s="231"/>
      <c r="G2194" s="231"/>
      <c r="H2194" s="235"/>
      <c r="I2194" s="235"/>
      <c r="J2194" s="236"/>
      <c r="K2194" s="236"/>
    </row>
    <row r="2195" spans="2:11">
      <c r="B2195" s="235"/>
      <c r="C2195" s="231"/>
      <c r="D2195" s="231"/>
      <c r="E2195" s="231"/>
      <c r="F2195" s="231"/>
      <c r="G2195" s="231"/>
      <c r="H2195" s="235"/>
      <c r="I2195" s="235"/>
      <c r="J2195" s="236"/>
      <c r="K2195" s="236"/>
    </row>
    <row r="2196" spans="2:11">
      <c r="B2196" s="235"/>
      <c r="C2196" s="231"/>
      <c r="D2196" s="231"/>
      <c r="E2196" s="231"/>
      <c r="F2196" s="231"/>
      <c r="G2196" s="231"/>
      <c r="H2196" s="235"/>
      <c r="I2196" s="235"/>
      <c r="J2196" s="236"/>
      <c r="K2196" s="236"/>
    </row>
    <row r="2197" spans="2:11">
      <c r="B2197" s="235"/>
      <c r="C2197" s="231"/>
      <c r="D2197" s="231"/>
      <c r="E2197" s="231"/>
      <c r="F2197" s="231"/>
      <c r="G2197" s="231"/>
      <c r="H2197" s="235"/>
      <c r="I2197" s="235"/>
      <c r="J2197" s="236"/>
      <c r="K2197" s="236"/>
    </row>
    <row r="2198" spans="2:11">
      <c r="B2198" s="235"/>
      <c r="C2198" s="231"/>
      <c r="D2198" s="231"/>
      <c r="E2198" s="231"/>
      <c r="F2198" s="231"/>
      <c r="G2198" s="231"/>
      <c r="H2198" s="235"/>
      <c r="I2198" s="235"/>
      <c r="J2198" s="236"/>
      <c r="K2198" s="236"/>
    </row>
    <row r="2199" spans="2:11">
      <c r="B2199" s="235"/>
      <c r="C2199" s="231"/>
      <c r="D2199" s="231"/>
      <c r="E2199" s="231"/>
      <c r="F2199" s="231"/>
      <c r="G2199" s="231"/>
      <c r="H2199" s="235"/>
      <c r="I2199" s="235"/>
      <c r="J2199" s="236"/>
      <c r="K2199" s="236"/>
    </row>
    <row r="2200" spans="2:11">
      <c r="B2200" s="235"/>
      <c r="C2200" s="231"/>
      <c r="D2200" s="231"/>
      <c r="E2200" s="231"/>
      <c r="F2200" s="231"/>
      <c r="G2200" s="231"/>
      <c r="H2200" s="235"/>
      <c r="I2200" s="235"/>
      <c r="J2200" s="236"/>
      <c r="K2200" s="236"/>
    </row>
    <row r="2201" spans="2:11">
      <c r="B2201" s="235"/>
      <c r="C2201" s="231"/>
      <c r="D2201" s="231"/>
      <c r="E2201" s="231"/>
      <c r="F2201" s="231"/>
      <c r="G2201" s="231"/>
      <c r="H2201" s="235"/>
      <c r="I2201" s="235"/>
      <c r="J2201" s="236"/>
      <c r="K2201" s="236"/>
    </row>
    <row r="2202" spans="2:11">
      <c r="B2202" s="235"/>
      <c r="C2202" s="231"/>
      <c r="D2202" s="231"/>
      <c r="E2202" s="231"/>
      <c r="F2202" s="231"/>
      <c r="G2202" s="231"/>
      <c r="H2202" s="235"/>
      <c r="I2202" s="235"/>
      <c r="J2202" s="236"/>
      <c r="K2202" s="236"/>
    </row>
    <row r="2203" spans="2:11">
      <c r="B2203" s="235"/>
      <c r="C2203" s="231"/>
      <c r="D2203" s="231"/>
      <c r="E2203" s="231"/>
      <c r="F2203" s="231"/>
      <c r="G2203" s="231"/>
      <c r="H2203" s="235"/>
      <c r="I2203" s="235"/>
      <c r="J2203" s="236"/>
      <c r="K2203" s="236"/>
    </row>
    <row r="2204" spans="2:11">
      <c r="B2204" s="235"/>
      <c r="C2204" s="231"/>
      <c r="D2204" s="231"/>
      <c r="E2204" s="231"/>
      <c r="F2204" s="231"/>
      <c r="G2204" s="231"/>
      <c r="H2204" s="235"/>
      <c r="I2204" s="235"/>
      <c r="J2204" s="236"/>
      <c r="K2204" s="236"/>
    </row>
    <row r="2205" spans="2:11">
      <c r="B2205" s="235"/>
      <c r="C2205" s="231"/>
      <c r="D2205" s="231"/>
      <c r="E2205" s="231"/>
      <c r="F2205" s="231"/>
      <c r="G2205" s="231"/>
      <c r="H2205" s="235"/>
      <c r="I2205" s="235"/>
      <c r="J2205" s="236"/>
      <c r="K2205" s="236"/>
    </row>
    <row r="2206" spans="2:11">
      <c r="B2206" s="235"/>
      <c r="C2206" s="231"/>
      <c r="D2206" s="231"/>
      <c r="E2206" s="231"/>
      <c r="F2206" s="231"/>
      <c r="G2206" s="231"/>
      <c r="H2206" s="235"/>
      <c r="I2206" s="235"/>
      <c r="J2206" s="236"/>
      <c r="K2206" s="236"/>
    </row>
    <row r="2207" spans="2:11">
      <c r="B2207" s="235"/>
      <c r="C2207" s="231"/>
      <c r="D2207" s="231"/>
      <c r="E2207" s="231"/>
      <c r="F2207" s="231"/>
      <c r="G2207" s="231"/>
      <c r="H2207" s="235"/>
      <c r="I2207" s="235"/>
      <c r="J2207" s="236"/>
      <c r="K2207" s="236"/>
    </row>
    <row r="2208" spans="2:11">
      <c r="B2208" s="235"/>
      <c r="C2208" s="231"/>
      <c r="D2208" s="231"/>
      <c r="E2208" s="231"/>
      <c r="F2208" s="231"/>
      <c r="G2208" s="231"/>
      <c r="H2208" s="235"/>
      <c r="I2208" s="235"/>
      <c r="J2208" s="236"/>
      <c r="K2208" s="236"/>
    </row>
    <row r="2209" spans="2:11">
      <c r="B2209" s="235"/>
      <c r="C2209" s="231"/>
      <c r="D2209" s="231"/>
      <c r="E2209" s="231"/>
      <c r="F2209" s="231"/>
      <c r="G2209" s="231"/>
      <c r="H2209" s="235"/>
      <c r="I2209" s="235"/>
      <c r="J2209" s="236"/>
      <c r="K2209" s="236"/>
    </row>
    <row r="2210" spans="2:11">
      <c r="B2210" s="235"/>
      <c r="C2210" s="231"/>
      <c r="D2210" s="231"/>
      <c r="E2210" s="231"/>
      <c r="F2210" s="231"/>
      <c r="G2210" s="231"/>
      <c r="H2210" s="235"/>
      <c r="I2210" s="235"/>
      <c r="J2210" s="236"/>
      <c r="K2210" s="236"/>
    </row>
    <row r="2211" spans="2:11">
      <c r="B2211" s="235"/>
      <c r="C2211" s="231"/>
      <c r="D2211" s="231"/>
      <c r="E2211" s="231"/>
      <c r="F2211" s="231"/>
      <c r="G2211" s="231"/>
      <c r="H2211" s="235"/>
      <c r="I2211" s="235"/>
      <c r="J2211" s="236"/>
      <c r="K2211" s="236"/>
    </row>
    <row r="2212" spans="2:11">
      <c r="B2212" s="235"/>
      <c r="C2212" s="231"/>
      <c r="D2212" s="231"/>
      <c r="E2212" s="231"/>
      <c r="F2212" s="231"/>
      <c r="G2212" s="231"/>
      <c r="H2212" s="235"/>
      <c r="I2212" s="235"/>
      <c r="J2212" s="236"/>
      <c r="K2212" s="236"/>
    </row>
    <row r="2213" spans="2:11">
      <c r="B2213" s="235"/>
      <c r="C2213" s="231"/>
      <c r="D2213" s="231"/>
      <c r="E2213" s="231"/>
      <c r="F2213" s="231"/>
      <c r="G2213" s="231"/>
      <c r="H2213" s="235"/>
      <c r="I2213" s="235"/>
      <c r="J2213" s="236"/>
      <c r="K2213" s="236"/>
    </row>
    <row r="2214" spans="2:11">
      <c r="B2214" s="235"/>
      <c r="C2214" s="231"/>
      <c r="D2214" s="231"/>
      <c r="E2214" s="231"/>
      <c r="F2214" s="231"/>
      <c r="G2214" s="231"/>
      <c r="H2214" s="235"/>
      <c r="I2214" s="235"/>
      <c r="J2214" s="236"/>
      <c r="K2214" s="236"/>
    </row>
    <row r="2215" spans="2:11">
      <c r="B2215" s="235"/>
      <c r="C2215" s="231"/>
      <c r="D2215" s="231"/>
      <c r="E2215" s="231"/>
      <c r="F2215" s="231"/>
      <c r="G2215" s="231"/>
      <c r="H2215" s="235"/>
      <c r="I2215" s="235"/>
      <c r="J2215" s="236"/>
      <c r="K2215" s="236"/>
    </row>
    <row r="2216" spans="2:11">
      <c r="B2216" s="235"/>
      <c r="C2216" s="231"/>
      <c r="D2216" s="231"/>
      <c r="E2216" s="231"/>
      <c r="F2216" s="231"/>
      <c r="G2216" s="231"/>
      <c r="H2216" s="235"/>
      <c r="I2216" s="235"/>
      <c r="J2216" s="236"/>
      <c r="K2216" s="236"/>
    </row>
    <row r="2217" spans="2:11">
      <c r="B2217" s="235"/>
      <c r="C2217" s="231"/>
      <c r="D2217" s="231"/>
      <c r="E2217" s="231"/>
      <c r="F2217" s="231"/>
      <c r="G2217" s="231"/>
      <c r="H2217" s="235"/>
      <c r="I2217" s="235"/>
      <c r="J2217" s="236"/>
      <c r="K2217" s="236"/>
    </row>
    <row r="2218" spans="2:11">
      <c r="B2218" s="235"/>
      <c r="C2218" s="231"/>
      <c r="D2218" s="231"/>
      <c r="E2218" s="231"/>
      <c r="F2218" s="231"/>
      <c r="G2218" s="231"/>
      <c r="H2218" s="235"/>
      <c r="I2218" s="235"/>
      <c r="J2218" s="236"/>
      <c r="K2218" s="236"/>
    </row>
    <row r="2219" spans="2:11">
      <c r="B2219" s="235"/>
      <c r="C2219" s="231"/>
      <c r="D2219" s="231"/>
      <c r="E2219" s="231"/>
      <c r="F2219" s="231"/>
      <c r="G2219" s="231"/>
      <c r="H2219" s="235"/>
      <c r="I2219" s="235"/>
      <c r="J2219" s="236"/>
      <c r="K2219" s="236"/>
    </row>
    <row r="2220" spans="2:11">
      <c r="B2220" s="235"/>
      <c r="C2220" s="231"/>
      <c r="D2220" s="231"/>
      <c r="E2220" s="231"/>
      <c r="F2220" s="231"/>
      <c r="G2220" s="231"/>
      <c r="H2220" s="235"/>
      <c r="I2220" s="235"/>
      <c r="J2220" s="236"/>
      <c r="K2220" s="236"/>
    </row>
    <row r="2221" spans="2:11">
      <c r="B2221" s="235"/>
      <c r="C2221" s="231"/>
      <c r="D2221" s="231"/>
      <c r="E2221" s="231"/>
      <c r="F2221" s="231"/>
      <c r="G2221" s="231"/>
      <c r="H2221" s="235"/>
      <c r="I2221" s="235"/>
      <c r="J2221" s="236"/>
      <c r="K2221" s="236"/>
    </row>
    <row r="2222" spans="2:11">
      <c r="B2222" s="235"/>
      <c r="C2222" s="231"/>
      <c r="D2222" s="231"/>
      <c r="E2222" s="231"/>
      <c r="F2222" s="231"/>
      <c r="G2222" s="231"/>
      <c r="H2222" s="235"/>
      <c r="I2222" s="235"/>
      <c r="J2222" s="236"/>
      <c r="K2222" s="236"/>
    </row>
    <row r="2223" spans="2:11">
      <c r="B2223" s="235"/>
      <c r="C2223" s="231"/>
      <c r="D2223" s="231"/>
      <c r="E2223" s="231"/>
      <c r="F2223" s="231"/>
      <c r="G2223" s="231"/>
      <c r="H2223" s="235"/>
      <c r="I2223" s="235"/>
      <c r="J2223" s="236"/>
      <c r="K2223" s="236"/>
    </row>
    <row r="2224" spans="2:11">
      <c r="B2224" s="235"/>
      <c r="C2224" s="231"/>
      <c r="D2224" s="231"/>
      <c r="E2224" s="231"/>
      <c r="F2224" s="231"/>
      <c r="G2224" s="231"/>
      <c r="H2224" s="235"/>
      <c r="I2224" s="235"/>
      <c r="J2224" s="236"/>
      <c r="K2224" s="236"/>
    </row>
    <row r="2225" spans="2:11">
      <c r="B2225" s="235"/>
      <c r="C2225" s="231"/>
      <c r="D2225" s="231"/>
      <c r="E2225" s="231"/>
      <c r="F2225" s="231"/>
      <c r="G2225" s="231"/>
      <c r="H2225" s="235"/>
      <c r="I2225" s="235"/>
      <c r="J2225" s="236"/>
      <c r="K2225" s="236"/>
    </row>
    <row r="2226" spans="2:11">
      <c r="B2226" s="235"/>
      <c r="C2226" s="231"/>
      <c r="D2226" s="231"/>
      <c r="E2226" s="231"/>
      <c r="F2226" s="231"/>
      <c r="G2226" s="231"/>
      <c r="H2226" s="235"/>
      <c r="I2226" s="235"/>
      <c r="J2226" s="236"/>
      <c r="K2226" s="236"/>
    </row>
    <row r="2227" spans="2:11">
      <c r="B2227" s="235"/>
      <c r="C2227" s="231"/>
      <c r="D2227" s="231"/>
      <c r="E2227" s="231"/>
      <c r="F2227" s="231"/>
      <c r="G2227" s="231"/>
      <c r="H2227" s="235"/>
      <c r="I2227" s="235"/>
      <c r="J2227" s="236"/>
      <c r="K2227" s="236"/>
    </row>
    <row r="2228" spans="2:11">
      <c r="B2228" s="235"/>
      <c r="C2228" s="231"/>
      <c r="D2228" s="231"/>
      <c r="E2228" s="231"/>
      <c r="F2228" s="231"/>
      <c r="G2228" s="231"/>
      <c r="H2228" s="235"/>
      <c r="I2228" s="235"/>
      <c r="J2228" s="236"/>
      <c r="K2228" s="236"/>
    </row>
    <row r="2229" spans="2:11">
      <c r="B2229" s="235"/>
      <c r="C2229" s="231"/>
      <c r="D2229" s="231"/>
      <c r="E2229" s="231"/>
      <c r="F2229" s="231"/>
      <c r="G2229" s="231"/>
      <c r="H2229" s="235"/>
      <c r="I2229" s="235"/>
      <c r="J2229" s="236"/>
      <c r="K2229" s="236"/>
    </row>
    <row r="2230" spans="2:11">
      <c r="B2230" s="235"/>
      <c r="C2230" s="231"/>
      <c r="D2230" s="231"/>
      <c r="E2230" s="231"/>
      <c r="F2230" s="231"/>
      <c r="G2230" s="231"/>
      <c r="H2230" s="235"/>
      <c r="I2230" s="235"/>
      <c r="J2230" s="236"/>
      <c r="K2230" s="236"/>
    </row>
    <row r="2231" spans="2:11">
      <c r="B2231" s="235"/>
      <c r="C2231" s="231"/>
      <c r="D2231" s="231"/>
      <c r="E2231" s="231"/>
      <c r="F2231" s="231"/>
      <c r="G2231" s="231"/>
      <c r="H2231" s="235"/>
      <c r="I2231" s="235"/>
      <c r="J2231" s="236"/>
      <c r="K2231" s="236"/>
    </row>
    <row r="2232" spans="2:11">
      <c r="B2232" s="235"/>
      <c r="C2232" s="231"/>
      <c r="D2232" s="231"/>
      <c r="E2232" s="231"/>
      <c r="F2232" s="231"/>
      <c r="G2232" s="231"/>
      <c r="H2232" s="235"/>
      <c r="I2232" s="235"/>
      <c r="J2232" s="236"/>
      <c r="K2232" s="236"/>
    </row>
    <row r="2233" spans="2:11">
      <c r="B2233" s="235"/>
      <c r="C2233" s="231"/>
      <c r="D2233" s="231"/>
      <c r="E2233" s="231"/>
      <c r="F2233" s="231"/>
      <c r="G2233" s="231"/>
      <c r="H2233" s="235"/>
      <c r="I2233" s="235"/>
      <c r="J2233" s="236"/>
      <c r="K2233" s="236"/>
    </row>
    <row r="2234" spans="2:11">
      <c r="B2234" s="235"/>
      <c r="C2234" s="231"/>
      <c r="D2234" s="231"/>
      <c r="E2234" s="231"/>
      <c r="F2234" s="231"/>
      <c r="G2234" s="231"/>
      <c r="H2234" s="235"/>
      <c r="I2234" s="235"/>
      <c r="J2234" s="236"/>
      <c r="K2234" s="236"/>
    </row>
    <row r="2235" spans="2:11">
      <c r="B2235" s="235"/>
      <c r="C2235" s="231"/>
      <c r="D2235" s="231"/>
      <c r="E2235" s="231"/>
      <c r="F2235" s="231"/>
      <c r="G2235" s="231"/>
      <c r="H2235" s="235"/>
      <c r="I2235" s="235"/>
      <c r="J2235" s="236"/>
      <c r="K2235" s="236"/>
    </row>
    <row r="2236" spans="2:11">
      <c r="B2236" s="235"/>
      <c r="C2236" s="231"/>
      <c r="D2236" s="231"/>
      <c r="E2236" s="231"/>
      <c r="F2236" s="231"/>
      <c r="G2236" s="231"/>
      <c r="H2236" s="235"/>
      <c r="I2236" s="235"/>
      <c r="J2236" s="236"/>
      <c r="K2236" s="236"/>
    </row>
    <row r="2237" spans="2:11">
      <c r="B2237" s="235"/>
      <c r="C2237" s="231"/>
      <c r="D2237" s="231"/>
      <c r="E2237" s="231"/>
      <c r="F2237" s="231"/>
      <c r="G2237" s="231"/>
      <c r="H2237" s="235"/>
      <c r="I2237" s="235"/>
      <c r="J2237" s="236"/>
      <c r="K2237" s="236"/>
    </row>
    <row r="2238" spans="2:11">
      <c r="B2238" s="235"/>
      <c r="C2238" s="231"/>
      <c r="D2238" s="231"/>
      <c r="E2238" s="231"/>
      <c r="F2238" s="231"/>
      <c r="G2238" s="231"/>
      <c r="H2238" s="235"/>
      <c r="I2238" s="235"/>
      <c r="J2238" s="236"/>
      <c r="K2238" s="236"/>
    </row>
    <row r="2239" spans="2:11">
      <c r="B2239" s="235"/>
      <c r="C2239" s="231"/>
      <c r="D2239" s="231"/>
      <c r="E2239" s="231"/>
      <c r="F2239" s="231"/>
      <c r="G2239" s="231"/>
      <c r="H2239" s="235"/>
      <c r="I2239" s="235"/>
      <c r="J2239" s="236"/>
      <c r="K2239" s="236"/>
    </row>
    <row r="2240" spans="2:11">
      <c r="B2240" s="235"/>
      <c r="C2240" s="231"/>
      <c r="D2240" s="231"/>
      <c r="E2240" s="231"/>
      <c r="F2240" s="231"/>
      <c r="G2240" s="231"/>
      <c r="H2240" s="235"/>
      <c r="I2240" s="235"/>
      <c r="J2240" s="236"/>
      <c r="K2240" s="236"/>
    </row>
    <row r="2241" spans="2:11">
      <c r="B2241" s="235"/>
      <c r="C2241" s="231"/>
      <c r="D2241" s="231"/>
      <c r="E2241" s="231"/>
      <c r="F2241" s="231"/>
      <c r="G2241" s="231"/>
      <c r="H2241" s="235"/>
      <c r="I2241" s="235"/>
      <c r="J2241" s="236"/>
      <c r="K2241" s="236"/>
    </row>
    <row r="2242" spans="2:11">
      <c r="B2242" s="235"/>
      <c r="C2242" s="231"/>
      <c r="D2242" s="231"/>
      <c r="E2242" s="231"/>
      <c r="F2242" s="231"/>
      <c r="G2242" s="231"/>
      <c r="H2242" s="235"/>
      <c r="I2242" s="235"/>
      <c r="J2242" s="236"/>
      <c r="K2242" s="236"/>
    </row>
    <row r="2243" spans="2:11">
      <c r="B2243" s="235"/>
      <c r="C2243" s="231"/>
      <c r="D2243" s="231"/>
      <c r="E2243" s="231"/>
      <c r="F2243" s="231"/>
      <c r="G2243" s="231"/>
      <c r="H2243" s="235"/>
      <c r="I2243" s="235"/>
      <c r="J2243" s="236"/>
      <c r="K2243" s="236"/>
    </row>
    <row r="2244" spans="2:11">
      <c r="B2244" s="235"/>
      <c r="C2244" s="231"/>
      <c r="D2244" s="231"/>
      <c r="E2244" s="231"/>
      <c r="F2244" s="231"/>
      <c r="G2244" s="231"/>
      <c r="H2244" s="235"/>
      <c r="I2244" s="235"/>
      <c r="J2244" s="236"/>
      <c r="K2244" s="236"/>
    </row>
    <row r="2245" spans="2:11">
      <c r="B2245" s="235"/>
      <c r="C2245" s="231"/>
      <c r="D2245" s="231"/>
      <c r="E2245" s="231"/>
      <c r="F2245" s="231"/>
      <c r="G2245" s="231"/>
      <c r="H2245" s="235"/>
      <c r="I2245" s="235"/>
      <c r="J2245" s="236"/>
      <c r="K2245" s="236"/>
    </row>
    <row r="2246" spans="2:11">
      <c r="B2246" s="235"/>
      <c r="C2246" s="231"/>
      <c r="D2246" s="231"/>
      <c r="E2246" s="231"/>
      <c r="F2246" s="231"/>
      <c r="G2246" s="231"/>
      <c r="H2246" s="235"/>
      <c r="I2246" s="235"/>
      <c r="J2246" s="236"/>
      <c r="K2246" s="236"/>
    </row>
    <row r="2247" spans="2:11">
      <c r="B2247" s="235"/>
      <c r="C2247" s="231"/>
      <c r="D2247" s="231"/>
      <c r="E2247" s="231"/>
      <c r="F2247" s="231"/>
      <c r="G2247" s="231"/>
      <c r="H2247" s="235"/>
      <c r="I2247" s="235"/>
      <c r="J2247" s="236"/>
      <c r="K2247" s="236"/>
    </row>
    <row r="2248" spans="2:11">
      <c r="B2248" s="235"/>
      <c r="C2248" s="231"/>
      <c r="D2248" s="231"/>
      <c r="E2248" s="231"/>
      <c r="F2248" s="231"/>
      <c r="G2248" s="231"/>
      <c r="H2248" s="235"/>
      <c r="I2248" s="235"/>
      <c r="J2248" s="236"/>
      <c r="K2248" s="236"/>
    </row>
    <row r="2249" spans="2:11">
      <c r="B2249" s="235"/>
      <c r="C2249" s="231"/>
      <c r="D2249" s="231"/>
      <c r="E2249" s="231"/>
      <c r="F2249" s="231"/>
      <c r="G2249" s="231"/>
      <c r="H2249" s="235"/>
      <c r="I2249" s="235"/>
      <c r="J2249" s="236"/>
      <c r="K2249" s="236"/>
    </row>
    <row r="2250" spans="2:11">
      <c r="B2250" s="235"/>
      <c r="C2250" s="231"/>
      <c r="D2250" s="231"/>
      <c r="E2250" s="231"/>
      <c r="F2250" s="231"/>
      <c r="G2250" s="231"/>
      <c r="H2250" s="235"/>
      <c r="I2250" s="235"/>
      <c r="J2250" s="236"/>
      <c r="K2250" s="236"/>
    </row>
    <row r="2251" spans="2:11">
      <c r="B2251" s="235"/>
      <c r="C2251" s="231"/>
      <c r="D2251" s="231"/>
      <c r="E2251" s="231"/>
      <c r="F2251" s="231"/>
      <c r="G2251" s="231"/>
      <c r="H2251" s="235"/>
      <c r="I2251" s="235"/>
      <c r="J2251" s="236"/>
      <c r="K2251" s="236"/>
    </row>
    <row r="2252" spans="2:11">
      <c r="B2252" s="235"/>
      <c r="C2252" s="231"/>
      <c r="D2252" s="231"/>
      <c r="E2252" s="231"/>
      <c r="F2252" s="231"/>
      <c r="G2252" s="231"/>
      <c r="H2252" s="235"/>
      <c r="I2252" s="235"/>
      <c r="J2252" s="236"/>
      <c r="K2252" s="236"/>
    </row>
    <row r="2253" spans="2:11">
      <c r="B2253" s="235"/>
      <c r="C2253" s="231"/>
      <c r="D2253" s="231"/>
      <c r="E2253" s="231"/>
      <c r="F2253" s="231"/>
      <c r="G2253" s="231"/>
      <c r="H2253" s="235"/>
      <c r="I2253" s="235"/>
      <c r="J2253" s="236"/>
      <c r="K2253" s="236"/>
    </row>
    <row r="2254" spans="2:11">
      <c r="B2254" s="235"/>
      <c r="C2254" s="231"/>
      <c r="D2254" s="231"/>
      <c r="E2254" s="231"/>
      <c r="F2254" s="231"/>
      <c r="G2254" s="231"/>
      <c r="H2254" s="235"/>
      <c r="I2254" s="235"/>
      <c r="J2254" s="236"/>
      <c r="K2254" s="236"/>
    </row>
    <row r="2255" spans="2:11">
      <c r="B2255" s="235"/>
      <c r="C2255" s="231"/>
      <c r="D2255" s="231"/>
      <c r="E2255" s="231"/>
      <c r="F2255" s="231"/>
      <c r="G2255" s="231"/>
      <c r="H2255" s="235"/>
      <c r="I2255" s="235"/>
      <c r="J2255" s="236"/>
      <c r="K2255" s="236"/>
    </row>
    <row r="2256" spans="2:11">
      <c r="B2256" s="235"/>
      <c r="C2256" s="231"/>
      <c r="D2256" s="231"/>
      <c r="E2256" s="231"/>
      <c r="F2256" s="231"/>
      <c r="G2256" s="231"/>
      <c r="H2256" s="235"/>
      <c r="I2256" s="235"/>
      <c r="J2256" s="236"/>
      <c r="K2256" s="236"/>
    </row>
    <row r="2257" spans="2:11">
      <c r="B2257" s="235"/>
      <c r="C2257" s="231"/>
      <c r="D2257" s="231"/>
      <c r="E2257" s="231"/>
      <c r="F2257" s="231"/>
      <c r="G2257" s="231"/>
      <c r="H2257" s="235"/>
      <c r="I2257" s="235"/>
      <c r="J2257" s="236"/>
      <c r="K2257" s="236"/>
    </row>
    <row r="2258" spans="2:11">
      <c r="B2258" s="235"/>
      <c r="C2258" s="231"/>
      <c r="D2258" s="231"/>
      <c r="E2258" s="231"/>
      <c r="F2258" s="231"/>
      <c r="G2258" s="231"/>
      <c r="H2258" s="235"/>
      <c r="I2258" s="235"/>
      <c r="J2258" s="236"/>
      <c r="K2258" s="236"/>
    </row>
    <row r="2259" spans="2:11">
      <c r="B2259" s="235"/>
      <c r="C2259" s="231"/>
      <c r="D2259" s="231"/>
      <c r="E2259" s="231"/>
      <c r="F2259" s="231"/>
      <c r="G2259" s="231"/>
      <c r="H2259" s="235"/>
      <c r="I2259" s="235"/>
      <c r="J2259" s="236"/>
      <c r="K2259" s="236"/>
    </row>
    <row r="2260" spans="2:11">
      <c r="B2260" s="235"/>
      <c r="C2260" s="231"/>
      <c r="D2260" s="231"/>
      <c r="E2260" s="231"/>
      <c r="F2260" s="231"/>
      <c r="G2260" s="231"/>
      <c r="H2260" s="235"/>
      <c r="I2260" s="235"/>
      <c r="J2260" s="236"/>
      <c r="K2260" s="236"/>
    </row>
    <row r="2261" spans="2:11">
      <c r="B2261" s="235"/>
      <c r="C2261" s="231"/>
      <c r="D2261" s="231"/>
      <c r="E2261" s="231"/>
      <c r="F2261" s="231"/>
      <c r="G2261" s="231"/>
      <c r="H2261" s="235"/>
      <c r="I2261" s="235"/>
      <c r="J2261" s="236"/>
      <c r="K2261" s="236"/>
    </row>
    <row r="2262" spans="2:11">
      <c r="B2262" s="235"/>
      <c r="C2262" s="231"/>
      <c r="D2262" s="231"/>
      <c r="E2262" s="231"/>
      <c r="F2262" s="231"/>
      <c r="G2262" s="231"/>
      <c r="H2262" s="235"/>
      <c r="I2262" s="235"/>
      <c r="J2262" s="236"/>
      <c r="K2262" s="236"/>
    </row>
    <row r="2263" spans="2:11">
      <c r="B2263" s="235"/>
      <c r="C2263" s="231"/>
      <c r="D2263" s="231"/>
      <c r="E2263" s="231"/>
      <c r="F2263" s="231"/>
      <c r="G2263" s="231"/>
      <c r="H2263" s="235"/>
      <c r="I2263" s="235"/>
      <c r="J2263" s="236"/>
      <c r="K2263" s="236"/>
    </row>
    <row r="2264" spans="2:11">
      <c r="B2264" s="235"/>
      <c r="C2264" s="231"/>
      <c r="D2264" s="231"/>
      <c r="E2264" s="231"/>
      <c r="F2264" s="231"/>
      <c r="G2264" s="231"/>
      <c r="H2264" s="235"/>
      <c r="I2264" s="235"/>
      <c r="J2264" s="236"/>
      <c r="K2264" s="236"/>
    </row>
    <row r="2265" spans="2:11">
      <c r="B2265" s="235"/>
      <c r="C2265" s="231"/>
      <c r="D2265" s="231"/>
      <c r="E2265" s="231"/>
      <c r="F2265" s="231"/>
      <c r="G2265" s="231"/>
      <c r="H2265" s="235"/>
      <c r="I2265" s="235"/>
      <c r="J2265" s="236"/>
      <c r="K2265" s="236"/>
    </row>
    <row r="2266" spans="2:11">
      <c r="B2266" s="235"/>
      <c r="C2266" s="231"/>
      <c r="D2266" s="231"/>
      <c r="E2266" s="231"/>
      <c r="F2266" s="231"/>
      <c r="G2266" s="231"/>
      <c r="H2266" s="235"/>
      <c r="I2266" s="235"/>
      <c r="J2266" s="236"/>
      <c r="K2266" s="236"/>
    </row>
    <row r="2267" spans="2:11">
      <c r="B2267" s="235"/>
      <c r="C2267" s="231"/>
      <c r="D2267" s="231"/>
      <c r="E2267" s="231"/>
      <c r="F2267" s="231"/>
      <c r="G2267" s="231"/>
      <c r="H2267" s="235"/>
      <c r="I2267" s="235"/>
      <c r="J2267" s="236"/>
      <c r="K2267" s="236"/>
    </row>
    <row r="2268" spans="2:11">
      <c r="B2268" s="235"/>
      <c r="C2268" s="231"/>
      <c r="D2268" s="231"/>
      <c r="E2268" s="231"/>
      <c r="F2268" s="231"/>
      <c r="G2268" s="231"/>
      <c r="H2268" s="235"/>
      <c r="I2268" s="235"/>
      <c r="J2268" s="236"/>
      <c r="K2268" s="236"/>
    </row>
    <row r="2269" spans="2:11">
      <c r="B2269" s="235"/>
      <c r="C2269" s="231"/>
      <c r="D2269" s="231"/>
      <c r="E2269" s="231"/>
      <c r="F2269" s="231"/>
      <c r="G2269" s="231"/>
      <c r="H2269" s="235"/>
      <c r="I2269" s="235"/>
      <c r="J2269" s="236"/>
      <c r="K2269" s="236"/>
    </row>
    <row r="2270" spans="2:11">
      <c r="B2270" s="235"/>
      <c r="C2270" s="231"/>
      <c r="D2270" s="231"/>
      <c r="E2270" s="231"/>
      <c r="F2270" s="231"/>
      <c r="G2270" s="231"/>
      <c r="H2270" s="235"/>
      <c r="I2270" s="235"/>
      <c r="J2270" s="236"/>
      <c r="K2270" s="236"/>
    </row>
    <row r="2271" spans="2:11">
      <c r="B2271" s="235"/>
      <c r="C2271" s="231"/>
      <c r="D2271" s="231"/>
      <c r="E2271" s="231"/>
      <c r="F2271" s="231"/>
      <c r="G2271" s="231"/>
      <c r="H2271" s="235"/>
      <c r="I2271" s="235"/>
      <c r="J2271" s="236"/>
      <c r="K2271" s="236"/>
    </row>
    <row r="2272" spans="2:11">
      <c r="B2272" s="235"/>
      <c r="C2272" s="231"/>
      <c r="D2272" s="231"/>
      <c r="E2272" s="231"/>
      <c r="F2272" s="231"/>
      <c r="G2272" s="231"/>
      <c r="H2272" s="235"/>
      <c r="I2272" s="235"/>
      <c r="J2272" s="236"/>
      <c r="K2272" s="236"/>
    </row>
    <row r="2273" spans="2:11">
      <c r="B2273" s="235"/>
      <c r="C2273" s="231"/>
      <c r="D2273" s="231"/>
      <c r="E2273" s="231"/>
      <c r="F2273" s="231"/>
      <c r="G2273" s="231"/>
      <c r="H2273" s="235"/>
      <c r="I2273" s="235"/>
      <c r="J2273" s="236"/>
      <c r="K2273" s="236"/>
    </row>
    <row r="2274" spans="2:11">
      <c r="B2274" s="235"/>
      <c r="C2274" s="231"/>
      <c r="D2274" s="231"/>
      <c r="E2274" s="231"/>
      <c r="F2274" s="231"/>
      <c r="G2274" s="231"/>
      <c r="H2274" s="235"/>
      <c r="I2274" s="235"/>
      <c r="J2274" s="236"/>
      <c r="K2274" s="236"/>
    </row>
    <row r="2275" spans="2:11">
      <c r="B2275" s="235"/>
      <c r="C2275" s="231"/>
      <c r="D2275" s="231"/>
      <c r="E2275" s="231"/>
      <c r="F2275" s="231"/>
      <c r="G2275" s="231"/>
      <c r="H2275" s="235"/>
      <c r="I2275" s="235"/>
      <c r="J2275" s="236"/>
      <c r="K2275" s="236"/>
    </row>
    <row r="2276" spans="2:11">
      <c r="B2276" s="235"/>
      <c r="C2276" s="231"/>
      <c r="D2276" s="231"/>
      <c r="E2276" s="231"/>
      <c r="F2276" s="231"/>
      <c r="G2276" s="231"/>
      <c r="H2276" s="235"/>
      <c r="I2276" s="235"/>
      <c r="J2276" s="236"/>
      <c r="K2276" s="236"/>
    </row>
    <row r="2277" spans="2:11">
      <c r="B2277" s="235"/>
      <c r="C2277" s="231"/>
      <c r="D2277" s="231"/>
      <c r="E2277" s="231"/>
      <c r="F2277" s="231"/>
      <c r="G2277" s="231"/>
      <c r="H2277" s="235"/>
      <c r="I2277" s="235"/>
      <c r="J2277" s="236"/>
      <c r="K2277" s="236"/>
    </row>
    <row r="2278" spans="2:11">
      <c r="B2278" s="235"/>
      <c r="C2278" s="231"/>
      <c r="D2278" s="231"/>
      <c r="E2278" s="231"/>
      <c r="F2278" s="231"/>
      <c r="G2278" s="231"/>
      <c r="H2278" s="235"/>
      <c r="I2278" s="235"/>
      <c r="J2278" s="236"/>
      <c r="K2278" s="236"/>
    </row>
    <row r="2279" spans="2:11">
      <c r="B2279" s="235"/>
      <c r="C2279" s="231"/>
      <c r="D2279" s="231"/>
      <c r="E2279" s="231"/>
      <c r="F2279" s="231"/>
      <c r="G2279" s="231"/>
      <c r="H2279" s="235"/>
      <c r="I2279" s="235"/>
      <c r="J2279" s="236"/>
      <c r="K2279" s="236"/>
    </row>
    <row r="2280" spans="2:11">
      <c r="B2280" s="235"/>
      <c r="C2280" s="231"/>
      <c r="D2280" s="231"/>
      <c r="E2280" s="231"/>
      <c r="F2280" s="231"/>
      <c r="G2280" s="231"/>
      <c r="H2280" s="235"/>
      <c r="I2280" s="235"/>
      <c r="J2280" s="236"/>
      <c r="K2280" s="236"/>
    </row>
    <row r="2281" spans="2:11">
      <c r="B2281" s="235"/>
      <c r="C2281" s="231"/>
      <c r="D2281" s="231"/>
      <c r="E2281" s="231"/>
      <c r="F2281" s="231"/>
      <c r="G2281" s="231"/>
      <c r="H2281" s="235"/>
      <c r="I2281" s="235"/>
      <c r="J2281" s="236"/>
      <c r="K2281" s="236"/>
    </row>
    <row r="2282" spans="2:11">
      <c r="B2282" s="235"/>
      <c r="C2282" s="231"/>
      <c r="D2282" s="231"/>
      <c r="E2282" s="231"/>
      <c r="F2282" s="231"/>
      <c r="G2282" s="231"/>
      <c r="H2282" s="235"/>
      <c r="I2282" s="235"/>
      <c r="J2282" s="236"/>
      <c r="K2282" s="236"/>
    </row>
    <row r="2283" spans="2:11">
      <c r="B2283" s="235"/>
      <c r="C2283" s="231"/>
      <c r="D2283" s="231"/>
      <c r="E2283" s="231"/>
      <c r="F2283" s="231"/>
      <c r="G2283" s="231"/>
      <c r="H2283" s="235"/>
      <c r="I2283" s="235"/>
      <c r="J2283" s="236"/>
      <c r="K2283" s="236"/>
    </row>
    <row r="2284" spans="2:11">
      <c r="B2284" s="235"/>
      <c r="C2284" s="231"/>
      <c r="D2284" s="231"/>
      <c r="E2284" s="231"/>
      <c r="F2284" s="231"/>
      <c r="G2284" s="231"/>
      <c r="H2284" s="235"/>
      <c r="I2284" s="235"/>
      <c r="J2284" s="236"/>
      <c r="K2284" s="236"/>
    </row>
    <row r="2285" spans="2:11">
      <c r="B2285" s="235"/>
      <c r="C2285" s="231"/>
      <c r="D2285" s="231"/>
      <c r="E2285" s="231"/>
      <c r="F2285" s="231"/>
      <c r="G2285" s="231"/>
      <c r="H2285" s="235"/>
      <c r="I2285" s="235"/>
      <c r="J2285" s="236"/>
      <c r="K2285" s="236"/>
    </row>
    <row r="2286" spans="2:11">
      <c r="B2286" s="235"/>
      <c r="C2286" s="231"/>
      <c r="D2286" s="231"/>
      <c r="E2286" s="231"/>
      <c r="F2286" s="231"/>
      <c r="G2286" s="231"/>
      <c r="H2286" s="235"/>
      <c r="I2286" s="235"/>
      <c r="J2286" s="236"/>
      <c r="K2286" s="236"/>
    </row>
    <row r="2287" spans="2:11">
      <c r="B2287" s="235"/>
      <c r="C2287" s="231"/>
      <c r="D2287" s="231"/>
      <c r="E2287" s="231"/>
      <c r="F2287" s="231"/>
      <c r="G2287" s="231"/>
      <c r="H2287" s="235"/>
      <c r="I2287" s="235"/>
      <c r="J2287" s="236"/>
      <c r="K2287" s="236"/>
    </row>
    <row r="2288" spans="2:11">
      <c r="B2288" s="235"/>
      <c r="C2288" s="231"/>
      <c r="D2288" s="231"/>
      <c r="E2288" s="231"/>
      <c r="F2288" s="231"/>
      <c r="G2288" s="231"/>
      <c r="H2288" s="235"/>
      <c r="I2288" s="235"/>
      <c r="J2288" s="236"/>
      <c r="K2288" s="236"/>
    </row>
    <row r="2289" spans="2:11">
      <c r="B2289" s="235"/>
      <c r="C2289" s="231"/>
      <c r="D2289" s="231"/>
      <c r="E2289" s="231"/>
      <c r="F2289" s="231"/>
      <c r="G2289" s="231"/>
      <c r="H2289" s="235"/>
      <c r="I2289" s="235"/>
      <c r="J2289" s="236"/>
      <c r="K2289" s="236"/>
    </row>
    <row r="2290" spans="2:11">
      <c r="B2290" s="235"/>
      <c r="C2290" s="231"/>
      <c r="D2290" s="231"/>
      <c r="E2290" s="231"/>
      <c r="F2290" s="231"/>
      <c r="G2290" s="231"/>
      <c r="H2290" s="235"/>
      <c r="I2290" s="235"/>
      <c r="J2290" s="236"/>
      <c r="K2290" s="236"/>
    </row>
    <row r="2291" spans="2:11">
      <c r="B2291" s="235"/>
      <c r="C2291" s="231"/>
      <c r="D2291" s="231"/>
      <c r="E2291" s="231"/>
      <c r="F2291" s="231"/>
      <c r="G2291" s="231"/>
      <c r="H2291" s="235"/>
      <c r="I2291" s="235"/>
      <c r="J2291" s="236"/>
      <c r="K2291" s="236"/>
    </row>
    <row r="2292" spans="2:11">
      <c r="B2292" s="235"/>
      <c r="C2292" s="231"/>
      <c r="D2292" s="231"/>
      <c r="E2292" s="231"/>
      <c r="F2292" s="231"/>
      <c r="G2292" s="231"/>
      <c r="H2292" s="235"/>
      <c r="I2292" s="235"/>
      <c r="J2292" s="236"/>
      <c r="K2292" s="236"/>
    </row>
    <row r="2293" spans="2:11">
      <c r="B2293" s="235"/>
      <c r="C2293" s="231"/>
      <c r="D2293" s="231"/>
      <c r="E2293" s="231"/>
      <c r="F2293" s="231"/>
      <c r="G2293" s="231"/>
      <c r="H2293" s="235"/>
      <c r="I2293" s="235"/>
      <c r="J2293" s="236"/>
      <c r="K2293" s="236"/>
    </row>
    <row r="2294" spans="2:11">
      <c r="B2294" s="235"/>
      <c r="C2294" s="231"/>
      <c r="D2294" s="231"/>
      <c r="E2294" s="231"/>
      <c r="F2294" s="231"/>
      <c r="G2294" s="231"/>
      <c r="H2294" s="235"/>
      <c r="I2294" s="235"/>
      <c r="J2294" s="236"/>
      <c r="K2294" s="236"/>
    </row>
    <row r="2295" spans="2:11">
      <c r="B2295" s="235"/>
      <c r="C2295" s="231"/>
      <c r="D2295" s="231"/>
      <c r="E2295" s="231"/>
      <c r="F2295" s="231"/>
      <c r="G2295" s="231"/>
      <c r="H2295" s="235"/>
      <c r="I2295" s="235"/>
      <c r="J2295" s="236"/>
      <c r="K2295" s="236"/>
    </row>
    <row r="2296" spans="2:11">
      <c r="B2296" s="235"/>
      <c r="C2296" s="231"/>
      <c r="D2296" s="231"/>
      <c r="E2296" s="231"/>
      <c r="F2296" s="231"/>
      <c r="G2296" s="231"/>
      <c r="H2296" s="235"/>
      <c r="I2296" s="235"/>
      <c r="J2296" s="236"/>
      <c r="K2296" s="236"/>
    </row>
    <row r="2297" spans="2:11">
      <c r="B2297" s="235"/>
      <c r="C2297" s="231"/>
      <c r="D2297" s="231"/>
      <c r="E2297" s="231"/>
      <c r="F2297" s="231"/>
      <c r="G2297" s="231"/>
      <c r="H2297" s="235"/>
      <c r="I2297" s="235"/>
      <c r="J2297" s="236"/>
      <c r="K2297" s="236"/>
    </row>
    <row r="2298" spans="2:11">
      <c r="B2298" s="235"/>
      <c r="C2298" s="231"/>
      <c r="D2298" s="231"/>
      <c r="E2298" s="231"/>
      <c r="F2298" s="231"/>
      <c r="G2298" s="231"/>
      <c r="H2298" s="235"/>
      <c r="I2298" s="235"/>
      <c r="J2298" s="236"/>
      <c r="K2298" s="236"/>
    </row>
    <row r="2299" spans="2:11">
      <c r="B2299" s="235"/>
      <c r="C2299" s="231"/>
      <c r="D2299" s="231"/>
      <c r="E2299" s="231"/>
      <c r="F2299" s="231"/>
      <c r="G2299" s="231"/>
      <c r="H2299" s="235"/>
      <c r="I2299" s="235"/>
      <c r="J2299" s="236"/>
      <c r="K2299" s="236"/>
    </row>
    <row r="2300" spans="2:11">
      <c r="B2300" s="235"/>
      <c r="C2300" s="231"/>
      <c r="D2300" s="231"/>
      <c r="E2300" s="231"/>
      <c r="F2300" s="231"/>
      <c r="G2300" s="231"/>
      <c r="H2300" s="235"/>
      <c r="I2300" s="235"/>
      <c r="J2300" s="236"/>
      <c r="K2300" s="236"/>
    </row>
    <row r="2301" spans="2:11">
      <c r="B2301" s="235"/>
      <c r="C2301" s="231"/>
      <c r="D2301" s="231"/>
      <c r="E2301" s="231"/>
      <c r="F2301" s="231"/>
      <c r="G2301" s="231"/>
      <c r="H2301" s="235"/>
      <c r="I2301" s="235"/>
      <c r="J2301" s="236"/>
      <c r="K2301" s="236"/>
    </row>
    <row r="2302" spans="2:11">
      <c r="B2302" s="235"/>
      <c r="C2302" s="231"/>
      <c r="D2302" s="231"/>
      <c r="E2302" s="231"/>
      <c r="F2302" s="231"/>
      <c r="G2302" s="231"/>
      <c r="H2302" s="235"/>
      <c r="I2302" s="235"/>
      <c r="J2302" s="236"/>
      <c r="K2302" s="236"/>
    </row>
    <row r="2303" spans="2:11">
      <c r="B2303" s="235"/>
      <c r="C2303" s="231"/>
      <c r="D2303" s="231"/>
      <c r="E2303" s="231"/>
      <c r="F2303" s="231"/>
      <c r="G2303" s="231"/>
      <c r="H2303" s="235"/>
      <c r="I2303" s="235"/>
      <c r="J2303" s="236"/>
      <c r="K2303" s="236"/>
    </row>
    <row r="2304" spans="2:11">
      <c r="B2304" s="235"/>
      <c r="C2304" s="231"/>
      <c r="D2304" s="231"/>
      <c r="E2304" s="231"/>
      <c r="F2304" s="231"/>
      <c r="G2304" s="231"/>
      <c r="H2304" s="235"/>
      <c r="I2304" s="235"/>
      <c r="J2304" s="236"/>
      <c r="K2304" s="236"/>
    </row>
    <row r="2305" spans="2:11">
      <c r="B2305" s="235"/>
      <c r="C2305" s="231"/>
      <c r="D2305" s="231"/>
      <c r="E2305" s="231"/>
      <c r="F2305" s="231"/>
      <c r="G2305" s="231"/>
      <c r="H2305" s="235"/>
      <c r="I2305" s="235"/>
      <c r="J2305" s="236"/>
      <c r="K2305" s="236"/>
    </row>
    <row r="2306" spans="2:11">
      <c r="B2306" s="235"/>
      <c r="C2306" s="231"/>
      <c r="D2306" s="231"/>
      <c r="E2306" s="231"/>
      <c r="F2306" s="231"/>
      <c r="G2306" s="231"/>
      <c r="H2306" s="235"/>
      <c r="I2306" s="235"/>
      <c r="J2306" s="236"/>
      <c r="K2306" s="236"/>
    </row>
    <row r="2307" spans="2:11">
      <c r="B2307" s="235"/>
      <c r="C2307" s="231"/>
      <c r="D2307" s="231"/>
      <c r="E2307" s="231"/>
      <c r="F2307" s="231"/>
      <c r="G2307" s="231"/>
      <c r="H2307" s="235"/>
      <c r="I2307" s="235"/>
      <c r="J2307" s="236"/>
      <c r="K2307" s="236"/>
    </row>
    <row r="2308" spans="2:11">
      <c r="B2308" s="235"/>
      <c r="C2308" s="231"/>
      <c r="D2308" s="231"/>
      <c r="E2308" s="231"/>
      <c r="F2308" s="231"/>
      <c r="G2308" s="231"/>
      <c r="H2308" s="235"/>
      <c r="I2308" s="235"/>
      <c r="J2308" s="236"/>
      <c r="K2308" s="236"/>
    </row>
    <row r="2309" spans="2:11">
      <c r="B2309" s="235"/>
      <c r="C2309" s="231"/>
      <c r="D2309" s="231"/>
      <c r="E2309" s="231"/>
      <c r="F2309" s="231"/>
      <c r="G2309" s="231"/>
      <c r="H2309" s="235"/>
      <c r="I2309" s="235"/>
      <c r="J2309" s="236"/>
      <c r="K2309" s="236"/>
    </row>
    <row r="2310" spans="2:11">
      <c r="B2310" s="235"/>
      <c r="C2310" s="231"/>
      <c r="D2310" s="231"/>
      <c r="E2310" s="231"/>
      <c r="F2310" s="231"/>
      <c r="G2310" s="231"/>
      <c r="H2310" s="235"/>
      <c r="I2310" s="235"/>
      <c r="J2310" s="236"/>
      <c r="K2310" s="236"/>
    </row>
    <row r="2311" spans="2:11">
      <c r="B2311" s="235"/>
      <c r="C2311" s="231"/>
      <c r="D2311" s="231"/>
      <c r="E2311" s="231"/>
      <c r="F2311" s="231"/>
      <c r="G2311" s="231"/>
      <c r="H2311" s="235"/>
      <c r="I2311" s="235"/>
      <c r="J2311" s="236"/>
      <c r="K2311" s="236"/>
    </row>
    <row r="2312" spans="2:11">
      <c r="B2312" s="235"/>
      <c r="C2312" s="231"/>
      <c r="D2312" s="231"/>
      <c r="E2312" s="231"/>
      <c r="F2312" s="231"/>
      <c r="G2312" s="231"/>
      <c r="H2312" s="235"/>
      <c r="I2312" s="235"/>
      <c r="J2312" s="236"/>
      <c r="K2312" s="236"/>
    </row>
    <row r="2313" spans="2:11">
      <c r="B2313" s="235"/>
      <c r="C2313" s="231"/>
      <c r="D2313" s="231"/>
      <c r="E2313" s="231"/>
      <c r="F2313" s="231"/>
      <c r="G2313" s="231"/>
      <c r="H2313" s="235"/>
      <c r="I2313" s="235"/>
      <c r="J2313" s="236"/>
      <c r="K2313" s="236"/>
    </row>
    <row r="2314" spans="2:11">
      <c r="B2314" s="235"/>
      <c r="C2314" s="231"/>
      <c r="D2314" s="231"/>
      <c r="E2314" s="231"/>
      <c r="F2314" s="231"/>
      <c r="G2314" s="231"/>
      <c r="H2314" s="235"/>
      <c r="I2314" s="235"/>
      <c r="J2314" s="236"/>
      <c r="K2314" s="236"/>
    </row>
    <row r="2315" spans="2:11">
      <c r="B2315" s="235"/>
      <c r="C2315" s="231"/>
      <c r="D2315" s="231"/>
      <c r="E2315" s="231"/>
      <c r="F2315" s="231"/>
      <c r="G2315" s="231"/>
      <c r="H2315" s="235"/>
      <c r="I2315" s="235"/>
      <c r="J2315" s="236"/>
      <c r="K2315" s="236"/>
    </row>
    <row r="2316" spans="2:11">
      <c r="B2316" s="235"/>
      <c r="C2316" s="231"/>
      <c r="D2316" s="231"/>
      <c r="E2316" s="231"/>
      <c r="F2316" s="231"/>
      <c r="G2316" s="231"/>
      <c r="H2316" s="235"/>
      <c r="I2316" s="235"/>
      <c r="J2316" s="236"/>
      <c r="K2316" s="236"/>
    </row>
    <row r="2317" spans="2:11">
      <c r="B2317" s="235"/>
      <c r="C2317" s="231"/>
      <c r="D2317" s="231"/>
      <c r="E2317" s="231"/>
      <c r="F2317" s="231"/>
      <c r="G2317" s="231"/>
      <c r="H2317" s="235"/>
      <c r="I2317" s="235"/>
      <c r="J2317" s="236"/>
      <c r="K2317" s="236"/>
    </row>
    <row r="2318" spans="2:11">
      <c r="B2318" s="235"/>
      <c r="C2318" s="231"/>
      <c r="D2318" s="231"/>
      <c r="E2318" s="231"/>
      <c r="F2318" s="231"/>
      <c r="G2318" s="231"/>
      <c r="H2318" s="235"/>
      <c r="I2318" s="235"/>
      <c r="J2318" s="236"/>
      <c r="K2318" s="236"/>
    </row>
    <row r="2319" spans="2:11">
      <c r="B2319" s="235"/>
      <c r="C2319" s="231"/>
      <c r="D2319" s="231"/>
      <c r="E2319" s="231"/>
      <c r="F2319" s="231"/>
      <c r="G2319" s="231"/>
      <c r="H2319" s="235"/>
      <c r="I2319" s="235"/>
      <c r="J2319" s="236"/>
      <c r="K2319" s="236"/>
    </row>
    <row r="2320" spans="2:11">
      <c r="B2320" s="235"/>
      <c r="C2320" s="231"/>
      <c r="D2320" s="231"/>
      <c r="E2320" s="231"/>
      <c r="F2320" s="231"/>
      <c r="G2320" s="231"/>
      <c r="H2320" s="235"/>
      <c r="I2320" s="235"/>
      <c r="J2320" s="236"/>
      <c r="K2320" s="236"/>
    </row>
    <row r="2321" spans="2:11">
      <c r="B2321" s="235"/>
      <c r="C2321" s="231"/>
      <c r="D2321" s="231"/>
      <c r="E2321" s="231"/>
      <c r="F2321" s="231"/>
      <c r="G2321" s="231"/>
      <c r="H2321" s="235"/>
      <c r="I2321" s="235"/>
      <c r="J2321" s="236"/>
      <c r="K2321" s="236"/>
    </row>
    <row r="2322" spans="2:11">
      <c r="B2322" s="235"/>
      <c r="C2322" s="231"/>
      <c r="D2322" s="231"/>
      <c r="E2322" s="231"/>
      <c r="F2322" s="231"/>
      <c r="G2322" s="231"/>
      <c r="H2322" s="235"/>
      <c r="I2322" s="235"/>
      <c r="J2322" s="236"/>
      <c r="K2322" s="236"/>
    </row>
    <row r="2323" spans="2:11">
      <c r="B2323" s="235"/>
      <c r="C2323" s="231"/>
      <c r="D2323" s="231"/>
      <c r="E2323" s="231"/>
      <c r="F2323" s="231"/>
      <c r="G2323" s="231"/>
      <c r="H2323" s="235"/>
      <c r="I2323" s="235"/>
      <c r="J2323" s="236"/>
      <c r="K2323" s="236"/>
    </row>
    <row r="2324" spans="2:11">
      <c r="B2324" s="235"/>
      <c r="C2324" s="231"/>
      <c r="D2324" s="231"/>
      <c r="E2324" s="231"/>
      <c r="F2324" s="231"/>
      <c r="G2324" s="231"/>
      <c r="H2324" s="235"/>
      <c r="I2324" s="235"/>
      <c r="J2324" s="236"/>
      <c r="K2324" s="236"/>
    </row>
    <row r="2325" spans="2:11">
      <c r="B2325" s="235"/>
      <c r="C2325" s="231"/>
      <c r="D2325" s="231"/>
      <c r="E2325" s="231"/>
      <c r="F2325" s="231"/>
      <c r="G2325" s="231"/>
      <c r="H2325" s="235"/>
      <c r="I2325" s="235"/>
      <c r="J2325" s="236"/>
      <c r="K2325" s="236"/>
    </row>
    <row r="2326" spans="2:11">
      <c r="B2326" s="235"/>
      <c r="C2326" s="231"/>
      <c r="D2326" s="231"/>
      <c r="E2326" s="231"/>
      <c r="F2326" s="231"/>
      <c r="G2326" s="231"/>
      <c r="H2326" s="235"/>
      <c r="I2326" s="235"/>
      <c r="J2326" s="236"/>
      <c r="K2326" s="236"/>
    </row>
    <row r="2327" spans="2:11">
      <c r="B2327" s="235"/>
      <c r="C2327" s="231"/>
      <c r="D2327" s="231"/>
      <c r="E2327" s="231"/>
      <c r="F2327" s="231"/>
      <c r="G2327" s="231"/>
      <c r="H2327" s="235"/>
      <c r="I2327" s="235"/>
      <c r="J2327" s="236"/>
      <c r="K2327" s="236"/>
    </row>
    <row r="2328" spans="2:11">
      <c r="B2328" s="235"/>
      <c r="C2328" s="231"/>
      <c r="D2328" s="231"/>
      <c r="E2328" s="231"/>
      <c r="F2328" s="231"/>
      <c r="G2328" s="231"/>
      <c r="H2328" s="235"/>
      <c r="I2328" s="235"/>
      <c r="J2328" s="236"/>
      <c r="K2328" s="236"/>
    </row>
    <row r="2329" spans="2:11">
      <c r="B2329" s="235"/>
      <c r="C2329" s="231"/>
      <c r="D2329" s="231"/>
      <c r="E2329" s="231"/>
      <c r="F2329" s="231"/>
      <c r="G2329" s="231"/>
      <c r="H2329" s="235"/>
      <c r="I2329" s="235"/>
      <c r="J2329" s="236"/>
      <c r="K2329" s="236"/>
    </row>
    <row r="2330" spans="2:11">
      <c r="B2330" s="235"/>
      <c r="C2330" s="231"/>
      <c r="D2330" s="231"/>
      <c r="E2330" s="231"/>
      <c r="F2330" s="231"/>
      <c r="G2330" s="231"/>
      <c r="H2330" s="235"/>
      <c r="I2330" s="235"/>
      <c r="J2330" s="236"/>
      <c r="K2330" s="236"/>
    </row>
    <row r="2331" spans="2:11">
      <c r="B2331" s="235"/>
      <c r="C2331" s="231"/>
      <c r="D2331" s="231"/>
      <c r="E2331" s="231"/>
      <c r="F2331" s="231"/>
      <c r="G2331" s="231"/>
      <c r="H2331" s="235"/>
      <c r="I2331" s="235"/>
      <c r="J2331" s="236"/>
      <c r="K2331" s="236"/>
    </row>
    <row r="2332" spans="2:11">
      <c r="B2332" s="235"/>
      <c r="C2332" s="231"/>
      <c r="D2332" s="231"/>
      <c r="E2332" s="231"/>
      <c r="F2332" s="231"/>
      <c r="G2332" s="231"/>
      <c r="H2332" s="235"/>
      <c r="I2332" s="235"/>
      <c r="J2332" s="236"/>
      <c r="K2332" s="236"/>
    </row>
    <row r="2333" spans="2:11">
      <c r="B2333" s="235"/>
      <c r="C2333" s="231"/>
      <c r="D2333" s="231"/>
      <c r="E2333" s="231"/>
      <c r="F2333" s="231"/>
      <c r="G2333" s="231"/>
      <c r="H2333" s="235"/>
      <c r="I2333" s="235"/>
      <c r="J2333" s="236"/>
      <c r="K2333" s="236"/>
    </row>
    <row r="2334" spans="2:11">
      <c r="B2334" s="235"/>
      <c r="C2334" s="231"/>
      <c r="D2334" s="231"/>
      <c r="E2334" s="231"/>
      <c r="F2334" s="231"/>
      <c r="G2334" s="231"/>
      <c r="H2334" s="235"/>
      <c r="I2334" s="235"/>
      <c r="J2334" s="236"/>
      <c r="K2334" s="236"/>
    </row>
    <row r="2335" spans="2:11">
      <c r="B2335" s="235"/>
      <c r="C2335" s="231"/>
      <c r="D2335" s="231"/>
      <c r="E2335" s="231"/>
      <c r="F2335" s="231"/>
      <c r="G2335" s="231"/>
      <c r="H2335" s="235"/>
      <c r="I2335" s="235"/>
      <c r="J2335" s="236"/>
      <c r="K2335" s="236"/>
    </row>
    <row r="2336" spans="2:11">
      <c r="B2336" s="235"/>
      <c r="C2336" s="231"/>
      <c r="D2336" s="231"/>
      <c r="E2336" s="231"/>
      <c r="F2336" s="231"/>
      <c r="G2336" s="231"/>
      <c r="H2336" s="235"/>
      <c r="I2336" s="235"/>
      <c r="J2336" s="236"/>
      <c r="K2336" s="236"/>
    </row>
    <row r="2337" spans="2:11">
      <c r="B2337" s="235"/>
      <c r="C2337" s="231"/>
      <c r="D2337" s="231"/>
      <c r="E2337" s="231"/>
      <c r="F2337" s="231"/>
      <c r="G2337" s="231"/>
      <c r="H2337" s="235"/>
      <c r="I2337" s="235"/>
      <c r="J2337" s="236"/>
      <c r="K2337" s="236"/>
    </row>
    <row r="2338" spans="2:11">
      <c r="B2338" s="235"/>
      <c r="C2338" s="231"/>
      <c r="D2338" s="231"/>
      <c r="E2338" s="231"/>
      <c r="F2338" s="231"/>
      <c r="G2338" s="231"/>
      <c r="H2338" s="235"/>
      <c r="I2338" s="235"/>
      <c r="J2338" s="236"/>
      <c r="K2338" s="236"/>
    </row>
    <row r="2339" spans="2:11">
      <c r="B2339" s="235"/>
      <c r="C2339" s="231"/>
      <c r="D2339" s="231"/>
      <c r="E2339" s="231"/>
      <c r="F2339" s="231"/>
      <c r="G2339" s="231"/>
      <c r="H2339" s="235"/>
      <c r="I2339" s="235"/>
      <c r="J2339" s="236"/>
      <c r="K2339" s="236"/>
    </row>
    <row r="2340" spans="2:11">
      <c r="B2340" s="235"/>
      <c r="C2340" s="231"/>
      <c r="D2340" s="231"/>
      <c r="E2340" s="231"/>
      <c r="F2340" s="231"/>
      <c r="G2340" s="231"/>
      <c r="H2340" s="235"/>
      <c r="I2340" s="235"/>
      <c r="J2340" s="236"/>
      <c r="K2340" s="236"/>
    </row>
    <row r="2341" spans="2:11">
      <c r="B2341" s="235"/>
      <c r="C2341" s="231"/>
      <c r="D2341" s="231"/>
      <c r="E2341" s="231"/>
      <c r="F2341" s="231"/>
      <c r="G2341" s="231"/>
      <c r="H2341" s="235"/>
      <c r="I2341" s="235"/>
      <c r="J2341" s="236"/>
      <c r="K2341" s="236"/>
    </row>
    <row r="2342" spans="2:11">
      <c r="B2342" s="235"/>
      <c r="C2342" s="231"/>
      <c r="D2342" s="231"/>
      <c r="E2342" s="231"/>
      <c r="F2342" s="231"/>
      <c r="G2342" s="231"/>
      <c r="H2342" s="235"/>
      <c r="I2342" s="235"/>
      <c r="J2342" s="236"/>
      <c r="K2342" s="236"/>
    </row>
    <row r="2343" spans="2:11">
      <c r="B2343" s="235"/>
      <c r="C2343" s="231"/>
      <c r="D2343" s="231"/>
      <c r="E2343" s="231"/>
      <c r="F2343" s="231"/>
      <c r="G2343" s="231"/>
      <c r="H2343" s="235"/>
      <c r="I2343" s="235"/>
      <c r="J2343" s="236"/>
      <c r="K2343" s="236"/>
    </row>
    <row r="2344" spans="2:11">
      <c r="B2344" s="235"/>
      <c r="C2344" s="231"/>
      <c r="D2344" s="231"/>
      <c r="E2344" s="231"/>
      <c r="F2344" s="231"/>
      <c r="G2344" s="231"/>
      <c r="H2344" s="235"/>
      <c r="I2344" s="235"/>
      <c r="J2344" s="236"/>
      <c r="K2344" s="236"/>
    </row>
    <row r="2345" spans="2:11">
      <c r="B2345" s="235"/>
      <c r="C2345" s="231"/>
      <c r="D2345" s="231"/>
      <c r="E2345" s="231"/>
      <c r="F2345" s="231"/>
      <c r="G2345" s="231"/>
      <c r="H2345" s="235"/>
      <c r="I2345" s="235"/>
      <c r="J2345" s="236"/>
      <c r="K2345" s="236"/>
    </row>
    <row r="2346" spans="2:11">
      <c r="B2346" s="235"/>
      <c r="C2346" s="231"/>
      <c r="D2346" s="231"/>
      <c r="E2346" s="231"/>
      <c r="F2346" s="231"/>
      <c r="G2346" s="231"/>
      <c r="H2346" s="235"/>
      <c r="I2346" s="235"/>
      <c r="J2346" s="236"/>
      <c r="K2346" s="236"/>
    </row>
    <row r="2347" spans="2:11">
      <c r="B2347" s="235"/>
      <c r="C2347" s="231"/>
      <c r="D2347" s="231"/>
      <c r="E2347" s="231"/>
      <c r="F2347" s="231"/>
      <c r="G2347" s="231"/>
      <c r="H2347" s="235"/>
      <c r="I2347" s="235"/>
      <c r="J2347" s="236"/>
      <c r="K2347" s="236"/>
    </row>
    <row r="2348" spans="2:11">
      <c r="B2348" s="235"/>
      <c r="C2348" s="231"/>
      <c r="D2348" s="231"/>
      <c r="E2348" s="231"/>
      <c r="F2348" s="231"/>
      <c r="G2348" s="231"/>
      <c r="H2348" s="235"/>
      <c r="I2348" s="235"/>
      <c r="J2348" s="236"/>
      <c r="K2348" s="236"/>
    </row>
    <row r="2349" spans="2:11">
      <c r="B2349" s="235"/>
      <c r="C2349" s="231"/>
      <c r="D2349" s="231"/>
      <c r="E2349" s="231"/>
      <c r="F2349" s="231"/>
      <c r="G2349" s="231"/>
      <c r="H2349" s="235"/>
      <c r="I2349" s="235"/>
      <c r="J2349" s="236"/>
      <c r="K2349" s="236"/>
    </row>
    <row r="2350" spans="2:11">
      <c r="B2350" s="235"/>
      <c r="C2350" s="231"/>
      <c r="D2350" s="231"/>
      <c r="E2350" s="231"/>
      <c r="F2350" s="231"/>
      <c r="G2350" s="231"/>
      <c r="H2350" s="235"/>
      <c r="I2350" s="235"/>
      <c r="J2350" s="236"/>
      <c r="K2350" s="236"/>
    </row>
    <row r="2351" spans="2:11">
      <c r="B2351" s="235"/>
      <c r="C2351" s="231"/>
      <c r="D2351" s="231"/>
      <c r="E2351" s="231"/>
      <c r="F2351" s="231"/>
      <c r="G2351" s="231"/>
      <c r="H2351" s="235"/>
      <c r="I2351" s="235"/>
      <c r="J2351" s="236"/>
      <c r="K2351" s="236"/>
    </row>
    <row r="2352" spans="2:11">
      <c r="B2352" s="235"/>
      <c r="C2352" s="231"/>
      <c r="D2352" s="231"/>
      <c r="E2352" s="231"/>
      <c r="F2352" s="231"/>
      <c r="G2352" s="231"/>
      <c r="H2352" s="235"/>
      <c r="I2352" s="235"/>
      <c r="J2352" s="236"/>
      <c r="K2352" s="236"/>
    </row>
    <row r="2353" spans="2:11">
      <c r="B2353" s="235"/>
      <c r="C2353" s="231"/>
      <c r="D2353" s="231"/>
      <c r="E2353" s="231"/>
      <c r="F2353" s="231"/>
      <c r="G2353" s="231"/>
      <c r="H2353" s="235"/>
      <c r="I2353" s="235"/>
      <c r="J2353" s="236"/>
      <c r="K2353" s="236"/>
    </row>
    <row r="2354" spans="2:11">
      <c r="B2354" s="235"/>
      <c r="C2354" s="231"/>
      <c r="D2354" s="231"/>
      <c r="E2354" s="231"/>
      <c r="F2354" s="231"/>
      <c r="G2354" s="231"/>
      <c r="H2354" s="235"/>
      <c r="I2354" s="235"/>
      <c r="J2354" s="236"/>
      <c r="K2354" s="236"/>
    </row>
    <row r="2355" spans="2:11">
      <c r="B2355" s="235"/>
      <c r="C2355" s="231"/>
      <c r="D2355" s="231"/>
      <c r="E2355" s="231"/>
      <c r="F2355" s="231"/>
      <c r="G2355" s="231"/>
      <c r="H2355" s="235"/>
      <c r="I2355" s="235"/>
      <c r="J2355" s="236"/>
      <c r="K2355" s="236"/>
    </row>
    <row r="2356" spans="2:11">
      <c r="B2356" s="235"/>
      <c r="C2356" s="231"/>
      <c r="D2356" s="231"/>
      <c r="E2356" s="231"/>
      <c r="F2356" s="231"/>
      <c r="G2356" s="231"/>
      <c r="H2356" s="235"/>
      <c r="I2356" s="235"/>
      <c r="J2356" s="236"/>
      <c r="K2356" s="236"/>
    </row>
    <row r="2357" spans="2:11">
      <c r="B2357" s="235"/>
      <c r="C2357" s="231"/>
      <c r="D2357" s="231"/>
      <c r="E2357" s="231"/>
      <c r="F2357" s="231"/>
      <c r="G2357" s="231"/>
      <c r="H2357" s="235"/>
      <c r="I2357" s="235"/>
      <c r="J2357" s="236"/>
      <c r="K2357" s="236"/>
    </row>
    <row r="2358" spans="2:11">
      <c r="B2358" s="235"/>
      <c r="C2358" s="231"/>
      <c r="D2358" s="231"/>
      <c r="E2358" s="231"/>
      <c r="F2358" s="231"/>
      <c r="G2358" s="231"/>
      <c r="H2358" s="235"/>
      <c r="I2358" s="235"/>
      <c r="J2358" s="236"/>
      <c r="K2358" s="236"/>
    </row>
    <row r="2359" spans="2:11">
      <c r="B2359" s="235"/>
      <c r="C2359" s="231"/>
      <c r="D2359" s="231"/>
      <c r="E2359" s="231"/>
      <c r="F2359" s="231"/>
      <c r="G2359" s="231"/>
      <c r="H2359" s="235"/>
      <c r="I2359" s="235"/>
      <c r="J2359" s="236"/>
      <c r="K2359" s="236"/>
    </row>
    <row r="2360" spans="2:11">
      <c r="B2360" s="235"/>
      <c r="C2360" s="231"/>
      <c r="D2360" s="231"/>
      <c r="E2360" s="231"/>
      <c r="F2360" s="231"/>
      <c r="G2360" s="231"/>
      <c r="H2360" s="235"/>
      <c r="I2360" s="235"/>
      <c r="J2360" s="236"/>
      <c r="K2360" s="236"/>
    </row>
    <row r="2361" spans="2:11">
      <c r="B2361" s="235"/>
      <c r="C2361" s="231"/>
      <c r="D2361" s="231"/>
      <c r="E2361" s="231"/>
      <c r="F2361" s="231"/>
      <c r="G2361" s="231"/>
      <c r="H2361" s="235"/>
      <c r="I2361" s="235"/>
      <c r="J2361" s="236"/>
      <c r="K2361" s="236"/>
    </row>
    <row r="2362" spans="2:11">
      <c r="B2362" s="235"/>
      <c r="C2362" s="231"/>
      <c r="D2362" s="231"/>
      <c r="E2362" s="231"/>
      <c r="F2362" s="231"/>
      <c r="G2362" s="231"/>
      <c r="H2362" s="235"/>
      <c r="I2362" s="235"/>
      <c r="J2362" s="236"/>
      <c r="K2362" s="236"/>
    </row>
    <row r="2363" spans="2:11">
      <c r="B2363" s="235"/>
      <c r="C2363" s="231"/>
      <c r="D2363" s="231"/>
      <c r="E2363" s="231"/>
      <c r="F2363" s="231"/>
      <c r="G2363" s="231"/>
      <c r="H2363" s="235"/>
      <c r="I2363" s="235"/>
      <c r="J2363" s="236"/>
      <c r="K2363" s="236"/>
    </row>
    <row r="2364" spans="2:11">
      <c r="B2364" s="235"/>
      <c r="C2364" s="231"/>
      <c r="D2364" s="231"/>
      <c r="E2364" s="231"/>
      <c r="F2364" s="231"/>
      <c r="G2364" s="231"/>
      <c r="H2364" s="235"/>
      <c r="I2364" s="235"/>
      <c r="J2364" s="236"/>
      <c r="K2364" s="236"/>
    </row>
    <row r="2365" spans="2:11">
      <c r="B2365" s="235"/>
      <c r="C2365" s="231"/>
      <c r="D2365" s="231"/>
      <c r="E2365" s="231"/>
      <c r="F2365" s="231"/>
      <c r="G2365" s="231"/>
      <c r="H2365" s="235"/>
      <c r="I2365" s="235"/>
      <c r="J2365" s="236"/>
      <c r="K2365" s="236"/>
    </row>
    <row r="2366" spans="2:11">
      <c r="B2366" s="235"/>
      <c r="C2366" s="231"/>
      <c r="D2366" s="231"/>
      <c r="E2366" s="231"/>
      <c r="F2366" s="231"/>
      <c r="G2366" s="231"/>
      <c r="H2366" s="235"/>
      <c r="I2366" s="235"/>
      <c r="J2366" s="236"/>
      <c r="K2366" s="236"/>
    </row>
    <row r="2367" spans="2:11">
      <c r="B2367" s="235"/>
      <c r="C2367" s="231"/>
      <c r="D2367" s="231"/>
      <c r="E2367" s="231"/>
      <c r="F2367" s="231"/>
      <c r="G2367" s="231"/>
      <c r="H2367" s="235"/>
      <c r="I2367" s="235"/>
      <c r="J2367" s="236"/>
      <c r="K2367" s="236"/>
    </row>
    <row r="2368" spans="2:11">
      <c r="B2368" s="235"/>
      <c r="C2368" s="231"/>
      <c r="D2368" s="231"/>
      <c r="E2368" s="231"/>
      <c r="F2368" s="231"/>
      <c r="G2368" s="231"/>
      <c r="H2368" s="235"/>
      <c r="I2368" s="235"/>
      <c r="J2368" s="236"/>
      <c r="K2368" s="236"/>
    </row>
    <row r="2369" spans="2:11">
      <c r="B2369" s="235"/>
      <c r="C2369" s="231"/>
      <c r="D2369" s="231"/>
      <c r="E2369" s="231"/>
      <c r="F2369" s="231"/>
      <c r="G2369" s="231"/>
      <c r="H2369" s="235"/>
      <c r="I2369" s="235"/>
      <c r="J2369" s="236"/>
      <c r="K2369" s="236"/>
    </row>
    <row r="2370" spans="2:11">
      <c r="B2370" s="235"/>
      <c r="C2370" s="231"/>
      <c r="D2370" s="231"/>
      <c r="E2370" s="231"/>
      <c r="F2370" s="231"/>
      <c r="G2370" s="231"/>
      <c r="H2370" s="235"/>
      <c r="I2370" s="235"/>
      <c r="J2370" s="236"/>
      <c r="K2370" s="236"/>
    </row>
    <row r="2371" spans="2:11">
      <c r="B2371" s="235"/>
      <c r="C2371" s="231"/>
      <c r="D2371" s="231"/>
      <c r="E2371" s="231"/>
      <c r="F2371" s="231"/>
      <c r="G2371" s="231"/>
      <c r="H2371" s="235"/>
      <c r="I2371" s="235"/>
      <c r="J2371" s="236"/>
      <c r="K2371" s="236"/>
    </row>
    <row r="2372" spans="2:11">
      <c r="B2372" s="235"/>
      <c r="C2372" s="231"/>
      <c r="D2372" s="231"/>
      <c r="E2372" s="231"/>
      <c r="F2372" s="231"/>
      <c r="G2372" s="231"/>
      <c r="H2372" s="235"/>
      <c r="I2372" s="235"/>
      <c r="J2372" s="236"/>
      <c r="K2372" s="236"/>
    </row>
    <row r="2373" spans="2:11">
      <c r="B2373" s="235"/>
      <c r="C2373" s="231"/>
      <c r="D2373" s="231"/>
      <c r="E2373" s="231"/>
      <c r="F2373" s="231"/>
      <c r="G2373" s="231"/>
      <c r="H2373" s="235"/>
      <c r="I2373" s="235"/>
      <c r="J2373" s="236"/>
      <c r="K2373" s="236"/>
    </row>
    <row r="2374" spans="2:11">
      <c r="B2374" s="235"/>
      <c r="C2374" s="231"/>
      <c r="D2374" s="231"/>
      <c r="E2374" s="231"/>
      <c r="F2374" s="231"/>
      <c r="G2374" s="231"/>
      <c r="H2374" s="235"/>
      <c r="I2374" s="235"/>
      <c r="J2374" s="236"/>
      <c r="K2374" s="236"/>
    </row>
    <row r="2375" spans="2:11">
      <c r="B2375" s="235"/>
      <c r="C2375" s="231"/>
      <c r="D2375" s="231"/>
      <c r="E2375" s="231"/>
      <c r="F2375" s="231"/>
      <c r="G2375" s="231"/>
      <c r="H2375" s="235"/>
      <c r="I2375" s="235"/>
      <c r="J2375" s="236"/>
      <c r="K2375" s="236"/>
    </row>
    <row r="2376" spans="2:11">
      <c r="B2376" s="235"/>
      <c r="C2376" s="231"/>
      <c r="D2376" s="231"/>
      <c r="E2376" s="231"/>
      <c r="F2376" s="231"/>
      <c r="G2376" s="231"/>
      <c r="H2376" s="235"/>
      <c r="I2376" s="235"/>
      <c r="J2376" s="236"/>
      <c r="K2376" s="236"/>
    </row>
    <row r="2377" spans="2:11">
      <c r="B2377" s="235"/>
      <c r="C2377" s="231"/>
      <c r="D2377" s="231"/>
      <c r="E2377" s="231"/>
      <c r="F2377" s="231"/>
      <c r="G2377" s="231"/>
      <c r="H2377" s="235"/>
      <c r="I2377" s="235"/>
      <c r="J2377" s="236"/>
      <c r="K2377" s="236"/>
    </row>
    <row r="2378" spans="2:11">
      <c r="B2378" s="235"/>
      <c r="C2378" s="231"/>
      <c r="D2378" s="231"/>
      <c r="E2378" s="231"/>
      <c r="F2378" s="231"/>
      <c r="G2378" s="231"/>
      <c r="H2378" s="235"/>
      <c r="I2378" s="235"/>
      <c r="J2378" s="236"/>
      <c r="K2378" s="236"/>
    </row>
    <row r="2379" spans="2:11">
      <c r="B2379" s="235"/>
      <c r="C2379" s="231"/>
      <c r="D2379" s="231"/>
      <c r="E2379" s="231"/>
      <c r="F2379" s="231"/>
      <c r="G2379" s="231"/>
      <c r="H2379" s="235"/>
      <c r="I2379" s="235"/>
      <c r="J2379" s="236"/>
      <c r="K2379" s="236"/>
    </row>
    <row r="2380" spans="2:11">
      <c r="B2380" s="235"/>
      <c r="C2380" s="231"/>
      <c r="D2380" s="231"/>
      <c r="E2380" s="231"/>
      <c r="F2380" s="231"/>
      <c r="G2380" s="231"/>
      <c r="H2380" s="235"/>
      <c r="I2380" s="235"/>
      <c r="J2380" s="236"/>
      <c r="K2380" s="236"/>
    </row>
    <row r="2381" spans="2:11">
      <c r="B2381" s="235"/>
      <c r="C2381" s="231"/>
      <c r="D2381" s="231"/>
      <c r="E2381" s="231"/>
      <c r="F2381" s="231"/>
      <c r="G2381" s="231"/>
      <c r="H2381" s="235"/>
      <c r="I2381" s="235"/>
      <c r="J2381" s="236"/>
      <c r="K2381" s="236"/>
    </row>
    <row r="2382" spans="2:11">
      <c r="B2382" s="235"/>
      <c r="C2382" s="231"/>
      <c r="D2382" s="231"/>
      <c r="E2382" s="231"/>
      <c r="F2382" s="231"/>
      <c r="G2382" s="231"/>
      <c r="H2382" s="235"/>
      <c r="I2382" s="235"/>
      <c r="J2382" s="236"/>
      <c r="K2382" s="236"/>
    </row>
    <row r="2383" spans="2:11">
      <c r="B2383" s="235"/>
      <c r="C2383" s="231"/>
      <c r="D2383" s="231"/>
      <c r="E2383" s="231"/>
      <c r="F2383" s="231"/>
      <c r="G2383" s="231"/>
      <c r="H2383" s="235"/>
      <c r="I2383" s="235"/>
      <c r="J2383" s="236"/>
      <c r="K2383" s="236"/>
    </row>
    <row r="2384" spans="2:11">
      <c r="B2384" s="235"/>
      <c r="C2384" s="231"/>
      <c r="D2384" s="231"/>
      <c r="E2384" s="231"/>
      <c r="F2384" s="231"/>
      <c r="G2384" s="231"/>
      <c r="H2384" s="235"/>
      <c r="I2384" s="235"/>
      <c r="J2384" s="236"/>
      <c r="K2384" s="236"/>
    </row>
    <row r="2385" spans="2:11">
      <c r="B2385" s="235"/>
      <c r="C2385" s="231"/>
      <c r="D2385" s="231"/>
      <c r="E2385" s="231"/>
      <c r="F2385" s="231"/>
      <c r="G2385" s="231"/>
      <c r="H2385" s="235"/>
      <c r="I2385" s="235"/>
      <c r="J2385" s="236"/>
      <c r="K2385" s="236"/>
    </row>
    <row r="2386" spans="2:11">
      <c r="B2386" s="235"/>
      <c r="C2386" s="231"/>
      <c r="D2386" s="231"/>
      <c r="E2386" s="231"/>
      <c r="F2386" s="231"/>
      <c r="G2386" s="231"/>
      <c r="H2386" s="235"/>
      <c r="I2386" s="235"/>
      <c r="J2386" s="236"/>
      <c r="K2386" s="236"/>
    </row>
    <row r="2387" spans="2:11">
      <c r="B2387" s="235"/>
      <c r="C2387" s="231"/>
      <c r="D2387" s="231"/>
      <c r="E2387" s="231"/>
      <c r="F2387" s="231"/>
      <c r="G2387" s="231"/>
      <c r="H2387" s="235"/>
      <c r="I2387" s="235"/>
      <c r="J2387" s="236"/>
      <c r="K2387" s="236"/>
    </row>
    <row r="2388" spans="2:11">
      <c r="B2388" s="235"/>
      <c r="C2388" s="231"/>
      <c r="D2388" s="231"/>
      <c r="E2388" s="231"/>
      <c r="F2388" s="231"/>
      <c r="G2388" s="231"/>
      <c r="H2388" s="235"/>
      <c r="I2388" s="235"/>
      <c r="J2388" s="236"/>
      <c r="K2388" s="236"/>
    </row>
    <row r="2389" spans="2:11">
      <c r="B2389" s="235"/>
      <c r="C2389" s="231"/>
      <c r="D2389" s="231"/>
      <c r="E2389" s="231"/>
      <c r="F2389" s="231"/>
      <c r="G2389" s="231"/>
      <c r="H2389" s="235"/>
      <c r="I2389" s="235"/>
      <c r="J2389" s="236"/>
      <c r="K2389" s="236"/>
    </row>
    <row r="2390" spans="2:11">
      <c r="B2390" s="235"/>
      <c r="C2390" s="231"/>
      <c r="D2390" s="231"/>
      <c r="E2390" s="231"/>
      <c r="F2390" s="231"/>
      <c r="G2390" s="231"/>
      <c r="H2390" s="235"/>
      <c r="I2390" s="235"/>
      <c r="J2390" s="236"/>
      <c r="K2390" s="236"/>
    </row>
    <row r="2391" spans="2:11">
      <c r="B2391" s="235"/>
      <c r="C2391" s="231"/>
      <c r="D2391" s="231"/>
      <c r="E2391" s="231"/>
      <c r="F2391" s="231"/>
      <c r="G2391" s="231"/>
      <c r="H2391" s="235"/>
      <c r="I2391" s="235"/>
      <c r="J2391" s="236"/>
      <c r="K2391" s="236"/>
    </row>
    <row r="2392" spans="2:11">
      <c r="B2392" s="235"/>
      <c r="C2392" s="231"/>
      <c r="D2392" s="231"/>
      <c r="E2392" s="231"/>
      <c r="F2392" s="231"/>
      <c r="G2392" s="231"/>
      <c r="H2392" s="235"/>
      <c r="I2392" s="235"/>
      <c r="J2392" s="236"/>
      <c r="K2392" s="236"/>
    </row>
    <row r="2393" spans="2:11">
      <c r="B2393" s="235"/>
      <c r="C2393" s="231"/>
      <c r="D2393" s="231"/>
      <c r="E2393" s="231"/>
      <c r="F2393" s="231"/>
      <c r="G2393" s="231"/>
      <c r="H2393" s="235"/>
      <c r="I2393" s="235"/>
      <c r="J2393" s="236"/>
      <c r="K2393" s="236"/>
    </row>
    <row r="2394" spans="2:11">
      <c r="B2394" s="235"/>
      <c r="C2394" s="231"/>
      <c r="D2394" s="231"/>
      <c r="E2394" s="231"/>
      <c r="F2394" s="231"/>
      <c r="G2394" s="231"/>
      <c r="H2394" s="235"/>
      <c r="I2394" s="235"/>
      <c r="J2394" s="236"/>
      <c r="K2394" s="236"/>
    </row>
    <row r="2395" spans="2:11">
      <c r="B2395" s="235"/>
      <c r="C2395" s="231"/>
      <c r="D2395" s="231"/>
      <c r="E2395" s="231"/>
      <c r="F2395" s="231"/>
      <c r="G2395" s="231"/>
      <c r="H2395" s="235"/>
      <c r="I2395" s="235"/>
      <c r="J2395" s="236"/>
      <c r="K2395" s="236"/>
    </row>
    <row r="2396" spans="2:11">
      <c r="B2396" s="235"/>
      <c r="C2396" s="231"/>
      <c r="D2396" s="231"/>
      <c r="E2396" s="231"/>
      <c r="F2396" s="231"/>
      <c r="G2396" s="231"/>
      <c r="H2396" s="235"/>
      <c r="I2396" s="235"/>
      <c r="J2396" s="236"/>
      <c r="K2396" s="236"/>
    </row>
    <row r="2397" spans="2:11">
      <c r="B2397" s="235"/>
      <c r="C2397" s="231"/>
      <c r="D2397" s="231"/>
      <c r="E2397" s="231"/>
      <c r="F2397" s="231"/>
      <c r="G2397" s="231"/>
      <c r="H2397" s="235"/>
      <c r="I2397" s="235"/>
      <c r="J2397" s="236"/>
      <c r="K2397" s="236"/>
    </row>
    <row r="2398" spans="2:11">
      <c r="B2398" s="235"/>
      <c r="C2398" s="231"/>
      <c r="D2398" s="231"/>
      <c r="E2398" s="231"/>
      <c r="F2398" s="231"/>
      <c r="G2398" s="231"/>
      <c r="H2398" s="235"/>
      <c r="I2398" s="235"/>
      <c r="J2398" s="236"/>
      <c r="K2398" s="236"/>
    </row>
    <row r="2399" spans="2:11">
      <c r="B2399" s="235"/>
      <c r="C2399" s="231"/>
      <c r="D2399" s="231"/>
      <c r="E2399" s="231"/>
      <c r="F2399" s="231"/>
      <c r="G2399" s="231"/>
      <c r="H2399" s="235"/>
      <c r="I2399" s="235"/>
      <c r="J2399" s="236"/>
      <c r="K2399" s="236"/>
    </row>
    <row r="2400" spans="2:11">
      <c r="B2400" s="235"/>
      <c r="C2400" s="231"/>
      <c r="D2400" s="231"/>
      <c r="E2400" s="231"/>
      <c r="F2400" s="231"/>
      <c r="G2400" s="231"/>
      <c r="H2400" s="235"/>
      <c r="I2400" s="235"/>
      <c r="J2400" s="236"/>
      <c r="K2400" s="236"/>
    </row>
    <row r="2401" spans="2:11">
      <c r="B2401" s="235"/>
      <c r="C2401" s="231"/>
      <c r="D2401" s="231"/>
      <c r="E2401" s="231"/>
      <c r="F2401" s="231"/>
      <c r="G2401" s="231"/>
      <c r="H2401" s="235"/>
      <c r="I2401" s="235"/>
      <c r="J2401" s="236"/>
      <c r="K2401" s="236"/>
    </row>
    <row r="2402" spans="2:11">
      <c r="B2402" s="235"/>
      <c r="C2402" s="231"/>
      <c r="D2402" s="231"/>
      <c r="E2402" s="231"/>
      <c r="F2402" s="231"/>
      <c r="G2402" s="231"/>
      <c r="H2402" s="235"/>
      <c r="I2402" s="235"/>
      <c r="J2402" s="236"/>
      <c r="K2402" s="236"/>
    </row>
    <row r="2403" spans="2:11">
      <c r="B2403" s="235"/>
      <c r="C2403" s="231"/>
      <c r="D2403" s="231"/>
      <c r="E2403" s="231"/>
      <c r="F2403" s="231"/>
      <c r="G2403" s="231"/>
      <c r="H2403" s="235"/>
      <c r="I2403" s="235"/>
      <c r="J2403" s="236"/>
      <c r="K2403" s="236"/>
    </row>
    <row r="2404" spans="2:11">
      <c r="B2404" s="235"/>
      <c r="C2404" s="231"/>
      <c r="D2404" s="231"/>
      <c r="E2404" s="231"/>
      <c r="F2404" s="231"/>
      <c r="G2404" s="231"/>
      <c r="H2404" s="235"/>
      <c r="I2404" s="235"/>
      <c r="J2404" s="236"/>
      <c r="K2404" s="236"/>
    </row>
    <row r="2405" spans="2:11">
      <c r="B2405" s="235"/>
      <c r="C2405" s="231"/>
      <c r="D2405" s="231"/>
      <c r="E2405" s="231"/>
      <c r="F2405" s="231"/>
      <c r="G2405" s="231"/>
      <c r="H2405" s="235"/>
      <c r="I2405" s="235"/>
      <c r="J2405" s="236"/>
      <c r="K2405" s="236"/>
    </row>
    <row r="2406" spans="2:11">
      <c r="B2406" s="235"/>
      <c r="C2406" s="231"/>
      <c r="D2406" s="231"/>
      <c r="E2406" s="231"/>
      <c r="F2406" s="231"/>
      <c r="G2406" s="231"/>
      <c r="H2406" s="235"/>
      <c r="I2406" s="235"/>
      <c r="J2406" s="236"/>
      <c r="K2406" s="236"/>
    </row>
    <row r="2407" spans="2:11">
      <c r="B2407" s="235"/>
      <c r="C2407" s="231"/>
      <c r="D2407" s="231"/>
      <c r="E2407" s="231"/>
      <c r="F2407" s="231"/>
      <c r="G2407" s="231"/>
      <c r="H2407" s="235"/>
      <c r="I2407" s="235"/>
      <c r="J2407" s="236"/>
      <c r="K2407" s="236"/>
    </row>
    <row r="2408" spans="2:11">
      <c r="B2408" s="235"/>
      <c r="C2408" s="231"/>
      <c r="D2408" s="231"/>
      <c r="E2408" s="231"/>
      <c r="F2408" s="231"/>
      <c r="G2408" s="231"/>
      <c r="H2408" s="235"/>
      <c r="I2408" s="235"/>
      <c r="J2408" s="236"/>
      <c r="K2408" s="236"/>
    </row>
    <row r="2409" spans="2:11">
      <c r="B2409" s="235"/>
      <c r="C2409" s="231"/>
      <c r="D2409" s="231"/>
      <c r="E2409" s="231"/>
      <c r="F2409" s="231"/>
      <c r="G2409" s="231"/>
      <c r="H2409" s="235"/>
      <c r="I2409" s="235"/>
      <c r="J2409" s="236"/>
      <c r="K2409" s="236"/>
    </row>
    <row r="2410" spans="2:11">
      <c r="B2410" s="235"/>
      <c r="C2410" s="231"/>
      <c r="D2410" s="231"/>
      <c r="E2410" s="231"/>
      <c r="F2410" s="231"/>
      <c r="G2410" s="231"/>
      <c r="H2410" s="235"/>
      <c r="I2410" s="235"/>
      <c r="J2410" s="236"/>
      <c r="K2410" s="236"/>
    </row>
    <row r="2411" spans="2:11">
      <c r="B2411" s="235"/>
      <c r="C2411" s="231"/>
      <c r="D2411" s="231"/>
      <c r="E2411" s="231"/>
      <c r="F2411" s="231"/>
      <c r="G2411" s="231"/>
      <c r="H2411" s="235"/>
      <c r="I2411" s="235"/>
      <c r="J2411" s="236"/>
      <c r="K2411" s="236"/>
    </row>
    <row r="2412" spans="2:11">
      <c r="B2412" s="235"/>
      <c r="C2412" s="231"/>
      <c r="D2412" s="231"/>
      <c r="E2412" s="231"/>
      <c r="F2412" s="231"/>
      <c r="G2412" s="231"/>
      <c r="H2412" s="235"/>
      <c r="I2412" s="235"/>
      <c r="J2412" s="236"/>
      <c r="K2412" s="236"/>
    </row>
    <row r="2413" spans="2:11">
      <c r="B2413" s="235"/>
      <c r="C2413" s="231"/>
      <c r="D2413" s="231"/>
      <c r="E2413" s="231"/>
      <c r="F2413" s="231"/>
      <c r="G2413" s="231"/>
      <c r="H2413" s="235"/>
      <c r="I2413" s="235"/>
      <c r="J2413" s="236"/>
      <c r="K2413" s="236"/>
    </row>
    <row r="2414" spans="2:11">
      <c r="B2414" s="235"/>
      <c r="C2414" s="231"/>
      <c r="D2414" s="231"/>
      <c r="E2414" s="231"/>
      <c r="F2414" s="231"/>
      <c r="G2414" s="231"/>
      <c r="H2414" s="235"/>
      <c r="I2414" s="235"/>
      <c r="J2414" s="236"/>
      <c r="K2414" s="236"/>
    </row>
    <row r="2415" spans="2:11">
      <c r="B2415" s="235"/>
      <c r="C2415" s="231"/>
      <c r="D2415" s="231"/>
      <c r="E2415" s="231"/>
      <c r="F2415" s="231"/>
      <c r="G2415" s="231"/>
      <c r="H2415" s="235"/>
      <c r="I2415" s="235"/>
      <c r="J2415" s="236"/>
      <c r="K2415" s="236"/>
    </row>
    <row r="2416" spans="2:11">
      <c r="B2416" s="235"/>
      <c r="C2416" s="231"/>
      <c r="D2416" s="231"/>
      <c r="E2416" s="231"/>
      <c r="F2416" s="231"/>
      <c r="G2416" s="231"/>
      <c r="H2416" s="235"/>
      <c r="I2416" s="235"/>
      <c r="J2416" s="236"/>
      <c r="K2416" s="236"/>
    </row>
    <row r="2417" spans="2:11">
      <c r="B2417" s="235"/>
      <c r="C2417" s="231"/>
      <c r="D2417" s="231"/>
      <c r="E2417" s="231"/>
      <c r="F2417" s="231"/>
      <c r="G2417" s="231"/>
      <c r="H2417" s="235"/>
      <c r="I2417" s="235"/>
      <c r="J2417" s="236"/>
      <c r="K2417" s="236"/>
    </row>
    <row r="2418" spans="2:11">
      <c r="B2418" s="235"/>
      <c r="C2418" s="231"/>
      <c r="D2418" s="231"/>
      <c r="E2418" s="231"/>
      <c r="F2418" s="231"/>
      <c r="G2418" s="231"/>
      <c r="H2418" s="235"/>
      <c r="I2418" s="235"/>
      <c r="J2418" s="236"/>
      <c r="K2418" s="236"/>
    </row>
    <row r="2419" spans="2:11">
      <c r="B2419" s="235"/>
      <c r="C2419" s="231"/>
      <c r="D2419" s="231"/>
      <c r="E2419" s="231"/>
      <c r="F2419" s="231"/>
      <c r="G2419" s="231"/>
      <c r="H2419" s="235"/>
      <c r="I2419" s="235"/>
      <c r="J2419" s="236"/>
      <c r="K2419" s="236"/>
    </row>
    <row r="2420" spans="2:11">
      <c r="B2420" s="235"/>
      <c r="C2420" s="231"/>
      <c r="D2420" s="231"/>
      <c r="E2420" s="231"/>
      <c r="F2420" s="231"/>
      <c r="G2420" s="231"/>
      <c r="H2420" s="235"/>
      <c r="I2420" s="235"/>
      <c r="J2420" s="236"/>
      <c r="K2420" s="236"/>
    </row>
    <row r="2421" spans="2:11">
      <c r="B2421" s="235"/>
      <c r="C2421" s="231"/>
      <c r="D2421" s="231"/>
      <c r="E2421" s="231"/>
      <c r="F2421" s="231"/>
      <c r="G2421" s="231"/>
      <c r="H2421" s="235"/>
      <c r="I2421" s="235"/>
      <c r="J2421" s="236"/>
      <c r="K2421" s="236"/>
    </row>
    <row r="2422" spans="2:11">
      <c r="B2422" s="235"/>
      <c r="C2422" s="231"/>
      <c r="D2422" s="231"/>
      <c r="E2422" s="231"/>
      <c r="F2422" s="231"/>
      <c r="G2422" s="231"/>
      <c r="H2422" s="235"/>
      <c r="I2422" s="235"/>
      <c r="J2422" s="236"/>
      <c r="K2422" s="236"/>
    </row>
    <row r="2423" spans="2:11">
      <c r="B2423" s="235"/>
      <c r="C2423" s="231"/>
      <c r="D2423" s="231"/>
      <c r="E2423" s="231"/>
      <c r="F2423" s="231"/>
      <c r="G2423" s="231"/>
      <c r="H2423" s="235"/>
      <c r="I2423" s="235"/>
      <c r="J2423" s="236"/>
      <c r="K2423" s="236"/>
    </row>
    <row r="2424" spans="2:11">
      <c r="B2424" s="235"/>
      <c r="C2424" s="231"/>
      <c r="D2424" s="231"/>
      <c r="E2424" s="231"/>
      <c r="F2424" s="231"/>
      <c r="G2424" s="231"/>
      <c r="H2424" s="235"/>
      <c r="I2424" s="235"/>
      <c r="J2424" s="236"/>
      <c r="K2424" s="236"/>
    </row>
    <row r="2425" spans="2:11">
      <c r="B2425" s="235"/>
      <c r="C2425" s="231"/>
      <c r="D2425" s="231"/>
      <c r="E2425" s="231"/>
      <c r="F2425" s="231"/>
      <c r="G2425" s="231"/>
      <c r="H2425" s="235"/>
      <c r="I2425" s="235"/>
      <c r="J2425" s="236"/>
      <c r="K2425" s="236"/>
    </row>
    <row r="2426" spans="2:11">
      <c r="B2426" s="235"/>
      <c r="C2426" s="231"/>
      <c r="D2426" s="231"/>
      <c r="E2426" s="231"/>
      <c r="F2426" s="231"/>
      <c r="G2426" s="231"/>
      <c r="H2426" s="235"/>
      <c r="I2426" s="235"/>
      <c r="J2426" s="236"/>
      <c r="K2426" s="236"/>
    </row>
    <row r="2427" spans="2:11">
      <c r="B2427" s="235"/>
      <c r="C2427" s="231"/>
      <c r="D2427" s="231"/>
      <c r="E2427" s="231"/>
      <c r="F2427" s="231"/>
      <c r="G2427" s="231"/>
      <c r="H2427" s="235"/>
      <c r="I2427" s="235"/>
      <c r="J2427" s="236"/>
      <c r="K2427" s="236"/>
    </row>
    <row r="2428" spans="2:11">
      <c r="B2428" s="235"/>
      <c r="C2428" s="231"/>
      <c r="D2428" s="231"/>
      <c r="E2428" s="231"/>
      <c r="F2428" s="231"/>
      <c r="G2428" s="231"/>
      <c r="H2428" s="235"/>
      <c r="I2428" s="235"/>
      <c r="J2428" s="236"/>
      <c r="K2428" s="236"/>
    </row>
    <row r="2429" spans="2:11">
      <c r="B2429" s="235"/>
      <c r="C2429" s="231"/>
      <c r="D2429" s="231"/>
      <c r="E2429" s="231"/>
      <c r="F2429" s="231"/>
      <c r="G2429" s="231"/>
      <c r="H2429" s="235"/>
      <c r="I2429" s="235"/>
      <c r="J2429" s="236"/>
      <c r="K2429" s="236"/>
    </row>
    <row r="2430" spans="2:11">
      <c r="B2430" s="235"/>
      <c r="C2430" s="231"/>
      <c r="D2430" s="231"/>
      <c r="E2430" s="231"/>
      <c r="F2430" s="231"/>
      <c r="G2430" s="231"/>
      <c r="H2430" s="235"/>
      <c r="I2430" s="235"/>
      <c r="J2430" s="236"/>
      <c r="K2430" s="236"/>
    </row>
    <row r="2431" spans="2:11">
      <c r="B2431" s="235"/>
      <c r="C2431" s="231"/>
      <c r="D2431" s="231"/>
      <c r="E2431" s="231"/>
      <c r="F2431" s="231"/>
      <c r="G2431" s="231"/>
      <c r="H2431" s="235"/>
      <c r="I2431" s="235"/>
      <c r="J2431" s="236"/>
      <c r="K2431" s="236"/>
    </row>
    <row r="2432" spans="2:11">
      <c r="B2432" s="235"/>
      <c r="C2432" s="231"/>
      <c r="D2432" s="231"/>
      <c r="E2432" s="231"/>
      <c r="F2432" s="231"/>
      <c r="G2432" s="231"/>
      <c r="H2432" s="235"/>
      <c r="I2432" s="235"/>
      <c r="J2432" s="236"/>
      <c r="K2432" s="236"/>
    </row>
    <row r="2433" spans="2:11">
      <c r="B2433" s="235"/>
      <c r="C2433" s="231"/>
      <c r="D2433" s="231"/>
      <c r="E2433" s="231"/>
      <c r="F2433" s="231"/>
      <c r="G2433" s="231"/>
      <c r="H2433" s="235"/>
      <c r="I2433" s="235"/>
      <c r="J2433" s="236"/>
      <c r="K2433" s="236"/>
    </row>
    <row r="2434" spans="2:11">
      <c r="B2434" s="235"/>
      <c r="C2434" s="231"/>
      <c r="D2434" s="231"/>
      <c r="E2434" s="231"/>
      <c r="F2434" s="231"/>
      <c r="G2434" s="231"/>
      <c r="H2434" s="235"/>
      <c r="I2434" s="235"/>
      <c r="J2434" s="236"/>
      <c r="K2434" s="236"/>
    </row>
    <row r="2435" spans="2:11">
      <c r="B2435" s="235"/>
      <c r="C2435" s="231"/>
      <c r="D2435" s="231"/>
      <c r="E2435" s="231"/>
      <c r="F2435" s="231"/>
      <c r="G2435" s="231"/>
      <c r="H2435" s="235"/>
      <c r="I2435" s="235"/>
      <c r="J2435" s="236"/>
      <c r="K2435" s="236"/>
    </row>
    <row r="2436" spans="2:11">
      <c r="B2436" s="235"/>
      <c r="C2436" s="231"/>
      <c r="D2436" s="231"/>
      <c r="E2436" s="231"/>
      <c r="F2436" s="231"/>
      <c r="G2436" s="231"/>
      <c r="H2436" s="235"/>
      <c r="I2436" s="235"/>
      <c r="J2436" s="236"/>
      <c r="K2436" s="236"/>
    </row>
    <row r="2437" spans="2:11">
      <c r="B2437" s="235"/>
      <c r="C2437" s="231"/>
      <c r="D2437" s="231"/>
      <c r="E2437" s="231"/>
      <c r="F2437" s="231"/>
      <c r="G2437" s="231"/>
      <c r="H2437" s="235"/>
      <c r="I2437" s="235"/>
      <c r="J2437" s="236"/>
      <c r="K2437" s="236"/>
    </row>
    <row r="2438" spans="2:11">
      <c r="B2438" s="235"/>
      <c r="C2438" s="231"/>
      <c r="D2438" s="231"/>
      <c r="E2438" s="231"/>
      <c r="F2438" s="231"/>
      <c r="G2438" s="231"/>
      <c r="H2438" s="235"/>
      <c r="I2438" s="235"/>
      <c r="J2438" s="236"/>
      <c r="K2438" s="236"/>
    </row>
    <row r="2439" spans="2:11">
      <c r="B2439" s="235"/>
      <c r="C2439" s="231"/>
      <c r="D2439" s="231"/>
      <c r="E2439" s="231"/>
      <c r="F2439" s="231"/>
      <c r="G2439" s="231"/>
      <c r="H2439" s="235"/>
      <c r="I2439" s="235"/>
      <c r="J2439" s="236"/>
      <c r="K2439" s="236"/>
    </row>
    <row r="2440" spans="2:11">
      <c r="B2440" s="235"/>
      <c r="C2440" s="231"/>
      <c r="D2440" s="231"/>
      <c r="E2440" s="231"/>
      <c r="F2440" s="231"/>
      <c r="G2440" s="231"/>
      <c r="H2440" s="235"/>
      <c r="I2440" s="235"/>
      <c r="J2440" s="236"/>
      <c r="K2440" s="236"/>
    </row>
    <row r="2441" spans="2:11">
      <c r="B2441" s="235"/>
      <c r="C2441" s="231"/>
      <c r="D2441" s="231"/>
      <c r="E2441" s="231"/>
      <c r="F2441" s="231"/>
      <c r="G2441" s="231"/>
      <c r="H2441" s="235"/>
      <c r="I2441" s="235"/>
      <c r="J2441" s="236"/>
      <c r="K2441" s="236"/>
    </row>
    <row r="2442" spans="2:11">
      <c r="B2442" s="235"/>
      <c r="C2442" s="231"/>
      <c r="D2442" s="231"/>
      <c r="E2442" s="231"/>
      <c r="F2442" s="231"/>
      <c r="G2442" s="231"/>
      <c r="H2442" s="235"/>
      <c r="I2442" s="235"/>
      <c r="J2442" s="236"/>
      <c r="K2442" s="236"/>
    </row>
    <row r="2443" spans="2:11">
      <c r="B2443" s="235"/>
      <c r="C2443" s="231"/>
      <c r="D2443" s="231"/>
      <c r="E2443" s="231"/>
      <c r="F2443" s="231"/>
      <c r="G2443" s="231"/>
      <c r="H2443" s="235"/>
      <c r="I2443" s="235"/>
      <c r="J2443" s="236"/>
      <c r="K2443" s="236"/>
    </row>
    <row r="2444" spans="2:11">
      <c r="B2444" s="235"/>
      <c r="C2444" s="231"/>
      <c r="D2444" s="231"/>
      <c r="E2444" s="231"/>
      <c r="F2444" s="231"/>
      <c r="G2444" s="231"/>
      <c r="H2444" s="235"/>
      <c r="I2444" s="235"/>
      <c r="J2444" s="236"/>
      <c r="K2444" s="236"/>
    </row>
    <row r="2445" spans="2:11">
      <c r="B2445" s="235"/>
      <c r="C2445" s="231"/>
      <c r="D2445" s="231"/>
      <c r="E2445" s="231"/>
      <c r="F2445" s="231"/>
      <c r="G2445" s="231"/>
      <c r="H2445" s="235"/>
      <c r="I2445" s="235"/>
      <c r="J2445" s="236"/>
      <c r="K2445" s="236"/>
    </row>
    <row r="2446" spans="2:11">
      <c r="B2446" s="235"/>
      <c r="C2446" s="231"/>
      <c r="D2446" s="231"/>
      <c r="E2446" s="231"/>
      <c r="F2446" s="231"/>
      <c r="G2446" s="231"/>
      <c r="H2446" s="235"/>
      <c r="I2446" s="235"/>
      <c r="J2446" s="236"/>
      <c r="K2446" s="236"/>
    </row>
    <row r="2447" spans="2:11">
      <c r="B2447" s="235"/>
      <c r="C2447" s="231"/>
      <c r="D2447" s="231"/>
      <c r="E2447" s="231"/>
      <c r="F2447" s="231"/>
      <c r="G2447" s="231"/>
      <c r="H2447" s="235"/>
      <c r="I2447" s="235"/>
      <c r="J2447" s="236"/>
      <c r="K2447" s="236"/>
    </row>
    <row r="2448" spans="2:11">
      <c r="B2448" s="235"/>
      <c r="C2448" s="231"/>
      <c r="D2448" s="231"/>
      <c r="E2448" s="231"/>
      <c r="F2448" s="231"/>
      <c r="G2448" s="231"/>
      <c r="H2448" s="235"/>
      <c r="I2448" s="235"/>
      <c r="J2448" s="236"/>
      <c r="K2448" s="236"/>
    </row>
    <row r="2449" spans="2:11">
      <c r="B2449" s="235"/>
      <c r="C2449" s="231"/>
      <c r="D2449" s="231"/>
      <c r="E2449" s="231"/>
      <c r="F2449" s="231"/>
      <c r="G2449" s="231"/>
      <c r="H2449" s="235"/>
      <c r="I2449" s="235"/>
      <c r="J2449" s="236"/>
      <c r="K2449" s="236"/>
    </row>
    <row r="2450" spans="2:11">
      <c r="B2450" s="235"/>
      <c r="C2450" s="231"/>
      <c r="D2450" s="231"/>
      <c r="E2450" s="231"/>
      <c r="F2450" s="231"/>
      <c r="G2450" s="231"/>
      <c r="H2450" s="235"/>
      <c r="I2450" s="235"/>
      <c r="J2450" s="236"/>
      <c r="K2450" s="236"/>
    </row>
    <row r="2451" spans="2:11">
      <c r="B2451" s="235"/>
      <c r="C2451" s="231"/>
      <c r="D2451" s="231"/>
      <c r="E2451" s="231"/>
      <c r="F2451" s="231"/>
      <c r="G2451" s="231"/>
      <c r="H2451" s="235"/>
      <c r="I2451" s="235"/>
      <c r="J2451" s="236"/>
      <c r="K2451" s="236"/>
    </row>
    <row r="2452" spans="2:11">
      <c r="B2452" s="235"/>
      <c r="C2452" s="231"/>
      <c r="D2452" s="231"/>
      <c r="E2452" s="231"/>
      <c r="F2452" s="231"/>
      <c r="G2452" s="231"/>
      <c r="H2452" s="235"/>
      <c r="I2452" s="235"/>
      <c r="J2452" s="236"/>
      <c r="K2452" s="236"/>
    </row>
    <row r="2453" spans="2:11">
      <c r="B2453" s="235"/>
      <c r="C2453" s="231"/>
      <c r="D2453" s="231"/>
      <c r="E2453" s="231"/>
      <c r="F2453" s="231"/>
      <c r="G2453" s="231"/>
      <c r="H2453" s="235"/>
      <c r="I2453" s="235"/>
      <c r="J2453" s="236"/>
      <c r="K2453" s="236"/>
    </row>
    <row r="2454" spans="2:11">
      <c r="B2454" s="235"/>
      <c r="C2454" s="231"/>
      <c r="D2454" s="231"/>
      <c r="E2454" s="231"/>
      <c r="F2454" s="231"/>
      <c r="G2454" s="231"/>
      <c r="H2454" s="235"/>
      <c r="I2454" s="235"/>
      <c r="J2454" s="236"/>
      <c r="K2454" s="236"/>
    </row>
    <row r="2455" spans="2:11">
      <c r="B2455" s="235"/>
      <c r="C2455" s="231"/>
      <c r="D2455" s="231"/>
      <c r="E2455" s="231"/>
      <c r="F2455" s="231"/>
      <c r="G2455" s="231"/>
      <c r="H2455" s="235"/>
      <c r="I2455" s="235"/>
      <c r="J2455" s="236"/>
      <c r="K2455" s="236"/>
    </row>
    <row r="2456" spans="2:11">
      <c r="B2456" s="235"/>
      <c r="C2456" s="231"/>
      <c r="D2456" s="231"/>
      <c r="E2456" s="231"/>
      <c r="F2456" s="231"/>
      <c r="G2456" s="231"/>
      <c r="H2456" s="235"/>
      <c r="I2456" s="235"/>
      <c r="J2456" s="236"/>
      <c r="K2456" s="236"/>
    </row>
    <row r="2457" spans="2:11">
      <c r="B2457" s="235"/>
      <c r="C2457" s="231"/>
      <c r="D2457" s="231"/>
      <c r="E2457" s="231"/>
      <c r="F2457" s="231"/>
      <c r="G2457" s="231"/>
      <c r="H2457" s="235"/>
      <c r="I2457" s="235"/>
      <c r="J2457" s="236"/>
      <c r="K2457" s="236"/>
    </row>
    <row r="2458" spans="2:11">
      <c r="B2458" s="235"/>
      <c r="C2458" s="231"/>
      <c r="D2458" s="231"/>
      <c r="E2458" s="231"/>
      <c r="F2458" s="231"/>
      <c r="G2458" s="231"/>
      <c r="H2458" s="235"/>
      <c r="I2458" s="235"/>
      <c r="J2458" s="236"/>
      <c r="K2458" s="236"/>
    </row>
    <row r="2459" spans="2:11">
      <c r="B2459" s="235"/>
      <c r="C2459" s="231"/>
      <c r="D2459" s="231"/>
      <c r="E2459" s="231"/>
      <c r="F2459" s="231"/>
      <c r="G2459" s="231"/>
      <c r="H2459" s="235"/>
      <c r="I2459" s="235"/>
      <c r="J2459" s="236"/>
      <c r="K2459" s="236"/>
    </row>
    <row r="2460" spans="2:11">
      <c r="B2460" s="235"/>
      <c r="C2460" s="231"/>
      <c r="D2460" s="231"/>
      <c r="E2460" s="231"/>
      <c r="F2460" s="231"/>
      <c r="G2460" s="231"/>
      <c r="H2460" s="235"/>
      <c r="I2460" s="235"/>
      <c r="J2460" s="236"/>
      <c r="K2460" s="236"/>
    </row>
    <row r="2461" spans="2:11">
      <c r="B2461" s="235"/>
      <c r="C2461" s="231"/>
      <c r="D2461" s="231"/>
      <c r="E2461" s="231"/>
      <c r="F2461" s="231"/>
      <c r="G2461" s="231"/>
      <c r="H2461" s="235"/>
      <c r="I2461" s="235"/>
      <c r="J2461" s="236"/>
      <c r="K2461" s="236"/>
    </row>
    <row r="2462" spans="2:11">
      <c r="B2462" s="235"/>
      <c r="C2462" s="231"/>
      <c r="D2462" s="231"/>
      <c r="E2462" s="231"/>
      <c r="F2462" s="231"/>
      <c r="G2462" s="231"/>
      <c r="H2462" s="235"/>
      <c r="I2462" s="235"/>
      <c r="J2462" s="236"/>
      <c r="K2462" s="236"/>
    </row>
    <row r="2463" spans="2:11">
      <c r="B2463" s="235"/>
      <c r="C2463" s="231"/>
      <c r="D2463" s="231"/>
      <c r="E2463" s="231"/>
      <c r="F2463" s="231"/>
      <c r="G2463" s="231"/>
      <c r="H2463" s="235"/>
      <c r="I2463" s="235"/>
      <c r="J2463" s="236"/>
      <c r="K2463" s="236"/>
    </row>
    <row r="2464" spans="2:11">
      <c r="B2464" s="235"/>
      <c r="C2464" s="231"/>
      <c r="D2464" s="231"/>
      <c r="E2464" s="231"/>
      <c r="F2464" s="231"/>
      <c r="G2464" s="231"/>
      <c r="H2464" s="235"/>
      <c r="I2464" s="235"/>
      <c r="J2464" s="236"/>
      <c r="K2464" s="236"/>
    </row>
    <row r="2465" spans="2:11">
      <c r="B2465" s="235"/>
      <c r="C2465" s="231"/>
      <c r="D2465" s="231"/>
      <c r="E2465" s="231"/>
      <c r="F2465" s="231"/>
      <c r="G2465" s="231"/>
      <c r="H2465" s="235"/>
      <c r="I2465" s="235"/>
      <c r="J2465" s="236"/>
      <c r="K2465" s="236"/>
    </row>
    <row r="2466" spans="2:11">
      <c r="B2466" s="235"/>
      <c r="C2466" s="231"/>
      <c r="D2466" s="231"/>
      <c r="E2466" s="231"/>
      <c r="F2466" s="231"/>
      <c r="G2466" s="231"/>
      <c r="H2466" s="235"/>
      <c r="I2466" s="235"/>
      <c r="J2466" s="236"/>
      <c r="K2466" s="236"/>
    </row>
    <row r="2467" spans="2:11">
      <c r="B2467" s="235"/>
      <c r="C2467" s="231"/>
      <c r="D2467" s="231"/>
      <c r="E2467" s="231"/>
      <c r="F2467" s="231"/>
      <c r="G2467" s="231"/>
      <c r="H2467" s="235"/>
      <c r="I2467" s="235"/>
      <c r="J2467" s="236"/>
      <c r="K2467" s="236"/>
    </row>
    <row r="2468" spans="2:11">
      <c r="B2468" s="235"/>
      <c r="C2468" s="231"/>
      <c r="D2468" s="231"/>
      <c r="E2468" s="231"/>
      <c r="F2468" s="231"/>
      <c r="G2468" s="231"/>
      <c r="H2468" s="235"/>
      <c r="I2468" s="235"/>
      <c r="J2468" s="236"/>
      <c r="K2468" s="236"/>
    </row>
    <row r="2469" spans="2:11">
      <c r="B2469" s="235"/>
      <c r="C2469" s="231"/>
      <c r="D2469" s="231"/>
      <c r="E2469" s="231"/>
      <c r="F2469" s="231"/>
      <c r="G2469" s="231"/>
      <c r="H2469" s="235"/>
      <c r="I2469" s="235"/>
      <c r="J2469" s="236"/>
      <c r="K2469" s="236"/>
    </row>
    <row r="2470" spans="2:11">
      <c r="B2470" s="235"/>
      <c r="C2470" s="231"/>
      <c r="D2470" s="231"/>
      <c r="E2470" s="231"/>
      <c r="F2470" s="231"/>
      <c r="G2470" s="231"/>
      <c r="H2470" s="235"/>
      <c r="I2470" s="235"/>
      <c r="J2470" s="236"/>
      <c r="K2470" s="236"/>
    </row>
    <row r="2471" spans="2:11">
      <c r="B2471" s="235"/>
      <c r="C2471" s="231"/>
      <c r="D2471" s="231"/>
      <c r="E2471" s="231"/>
      <c r="F2471" s="231"/>
      <c r="G2471" s="231"/>
      <c r="H2471" s="235"/>
      <c r="I2471" s="235"/>
      <c r="J2471" s="236"/>
      <c r="K2471" s="236"/>
    </row>
    <row r="2472" spans="2:11">
      <c r="B2472" s="235"/>
      <c r="C2472" s="231"/>
      <c r="D2472" s="231"/>
      <c r="E2472" s="231"/>
      <c r="F2472" s="231"/>
      <c r="G2472" s="231"/>
      <c r="H2472" s="235"/>
      <c r="I2472" s="235"/>
      <c r="J2472" s="236"/>
      <c r="K2472" s="236"/>
    </row>
    <row r="2473" spans="2:11">
      <c r="B2473" s="235"/>
      <c r="C2473" s="231"/>
      <c r="D2473" s="231"/>
      <c r="E2473" s="231"/>
      <c r="F2473" s="231"/>
      <c r="G2473" s="231"/>
      <c r="H2473" s="235"/>
      <c r="I2473" s="235"/>
      <c r="J2473" s="236"/>
      <c r="K2473" s="236"/>
    </row>
    <row r="2474" spans="2:11">
      <c r="B2474" s="235"/>
      <c r="C2474" s="231"/>
      <c r="D2474" s="231"/>
      <c r="E2474" s="231"/>
      <c r="F2474" s="231"/>
      <c r="G2474" s="231"/>
      <c r="H2474" s="235"/>
      <c r="I2474" s="235"/>
      <c r="J2474" s="236"/>
      <c r="K2474" s="236"/>
    </row>
    <row r="2475" spans="2:11">
      <c r="B2475" s="235"/>
      <c r="C2475" s="231"/>
      <c r="D2475" s="231"/>
      <c r="E2475" s="231"/>
      <c r="F2475" s="231"/>
      <c r="G2475" s="231"/>
      <c r="H2475" s="235"/>
      <c r="I2475" s="235"/>
      <c r="J2475" s="236"/>
      <c r="K2475" s="236"/>
    </row>
    <row r="2476" spans="2:11">
      <c r="B2476" s="235"/>
      <c r="C2476" s="231"/>
      <c r="D2476" s="231"/>
      <c r="E2476" s="231"/>
      <c r="F2476" s="231"/>
      <c r="G2476" s="231"/>
      <c r="H2476" s="235"/>
      <c r="I2476" s="235"/>
      <c r="J2476" s="236"/>
      <c r="K2476" s="236"/>
    </row>
    <row r="2477" spans="2:11">
      <c r="B2477" s="235"/>
      <c r="C2477" s="231"/>
      <c r="D2477" s="231"/>
      <c r="E2477" s="231"/>
      <c r="F2477" s="231"/>
      <c r="G2477" s="231"/>
      <c r="H2477" s="235"/>
      <c r="I2477" s="235"/>
      <c r="J2477" s="236"/>
      <c r="K2477" s="236"/>
    </row>
    <row r="2478" spans="2:11">
      <c r="B2478" s="235"/>
      <c r="C2478" s="231"/>
      <c r="D2478" s="231"/>
      <c r="E2478" s="231"/>
      <c r="F2478" s="231"/>
      <c r="G2478" s="231"/>
      <c r="H2478" s="235"/>
      <c r="I2478" s="235"/>
      <c r="J2478" s="236"/>
      <c r="K2478" s="236"/>
    </row>
    <row r="2479" spans="2:11">
      <c r="B2479" s="235"/>
      <c r="C2479" s="231"/>
      <c r="D2479" s="231"/>
      <c r="E2479" s="231"/>
      <c r="F2479" s="231"/>
      <c r="G2479" s="231"/>
      <c r="H2479" s="235"/>
      <c r="I2479" s="235"/>
      <c r="J2479" s="236"/>
      <c r="K2479" s="236"/>
    </row>
    <row r="2480" spans="2:11">
      <c r="B2480" s="235"/>
      <c r="C2480" s="231"/>
      <c r="D2480" s="231"/>
      <c r="E2480" s="231"/>
      <c r="F2480" s="231"/>
      <c r="G2480" s="231"/>
      <c r="H2480" s="235"/>
      <c r="I2480" s="235"/>
      <c r="J2480" s="236"/>
      <c r="K2480" s="236"/>
    </row>
    <row r="2481" spans="2:11">
      <c r="B2481" s="235"/>
      <c r="C2481" s="231"/>
      <c r="D2481" s="231"/>
      <c r="E2481" s="231"/>
      <c r="F2481" s="231"/>
      <c r="G2481" s="231"/>
      <c r="H2481" s="235"/>
      <c r="I2481" s="235"/>
      <c r="J2481" s="236"/>
      <c r="K2481" s="236"/>
    </row>
    <row r="2482" spans="2:11">
      <c r="B2482" s="235"/>
      <c r="C2482" s="231"/>
      <c r="D2482" s="231"/>
      <c r="E2482" s="231"/>
      <c r="F2482" s="231"/>
      <c r="G2482" s="231"/>
      <c r="H2482" s="235"/>
      <c r="I2482" s="235"/>
      <c r="J2482" s="236"/>
      <c r="K2482" s="236"/>
    </row>
    <row r="2483" spans="2:11">
      <c r="B2483" s="235"/>
      <c r="C2483" s="231"/>
      <c r="D2483" s="231"/>
      <c r="E2483" s="231"/>
      <c r="F2483" s="231"/>
      <c r="G2483" s="231"/>
      <c r="H2483" s="235"/>
      <c r="I2483" s="235"/>
      <c r="J2483" s="236"/>
      <c r="K2483" s="236"/>
    </row>
    <row r="2484" spans="2:11">
      <c r="B2484" s="235"/>
      <c r="C2484" s="231"/>
      <c r="D2484" s="231"/>
      <c r="E2484" s="231"/>
      <c r="F2484" s="231"/>
      <c r="G2484" s="231"/>
      <c r="H2484" s="235"/>
      <c r="I2484" s="235"/>
      <c r="J2484" s="236"/>
      <c r="K2484" s="236"/>
    </row>
    <row r="2485" spans="2:11">
      <c r="B2485" s="235"/>
      <c r="C2485" s="231"/>
      <c r="D2485" s="231"/>
      <c r="E2485" s="231"/>
      <c r="F2485" s="231"/>
      <c r="G2485" s="231"/>
      <c r="H2485" s="235"/>
      <c r="I2485" s="235"/>
      <c r="J2485" s="236"/>
      <c r="K2485" s="236"/>
    </row>
    <row r="2486" spans="2:11">
      <c r="B2486" s="235"/>
      <c r="C2486" s="231"/>
      <c r="D2486" s="231"/>
      <c r="E2486" s="231"/>
      <c r="F2486" s="231"/>
      <c r="G2486" s="231"/>
      <c r="H2486" s="235"/>
      <c r="I2486" s="235"/>
      <c r="J2486" s="236"/>
      <c r="K2486" s="236"/>
    </row>
    <row r="2487" spans="2:11">
      <c r="B2487" s="235"/>
      <c r="C2487" s="231"/>
      <c r="D2487" s="231"/>
      <c r="E2487" s="231"/>
      <c r="F2487" s="231"/>
      <c r="G2487" s="231"/>
      <c r="H2487" s="235"/>
      <c r="I2487" s="235"/>
      <c r="J2487" s="236"/>
      <c r="K2487" s="236"/>
    </row>
    <row r="2488" spans="2:11">
      <c r="B2488" s="235"/>
      <c r="C2488" s="231"/>
      <c r="D2488" s="231"/>
      <c r="E2488" s="231"/>
      <c r="F2488" s="231"/>
      <c r="G2488" s="231"/>
      <c r="H2488" s="235"/>
      <c r="I2488" s="235"/>
      <c r="J2488" s="236"/>
      <c r="K2488" s="236"/>
    </row>
    <row r="2489" spans="2:11">
      <c r="B2489" s="235"/>
      <c r="C2489" s="231"/>
      <c r="D2489" s="231"/>
      <c r="E2489" s="231"/>
      <c r="F2489" s="231"/>
      <c r="G2489" s="231"/>
      <c r="H2489" s="235"/>
      <c r="I2489" s="235"/>
      <c r="J2489" s="236"/>
      <c r="K2489" s="236"/>
    </row>
    <row r="2490" spans="2:11">
      <c r="B2490" s="235"/>
      <c r="C2490" s="231"/>
      <c r="D2490" s="231"/>
      <c r="E2490" s="231"/>
      <c r="F2490" s="231"/>
      <c r="G2490" s="231"/>
      <c r="H2490" s="235"/>
      <c r="I2490" s="235"/>
      <c r="J2490" s="236"/>
      <c r="K2490" s="236"/>
    </row>
    <row r="2491" spans="2:11">
      <c r="B2491" s="235"/>
      <c r="C2491" s="231"/>
      <c r="D2491" s="231"/>
      <c r="E2491" s="231"/>
      <c r="F2491" s="231"/>
      <c r="G2491" s="231"/>
      <c r="H2491" s="235"/>
      <c r="I2491" s="235"/>
      <c r="J2491" s="236"/>
      <c r="K2491" s="236"/>
    </row>
    <row r="2492" spans="2:11">
      <c r="B2492" s="235"/>
      <c r="C2492" s="231"/>
      <c r="D2492" s="231"/>
      <c r="E2492" s="231"/>
      <c r="F2492" s="231"/>
      <c r="G2492" s="231"/>
      <c r="H2492" s="235"/>
      <c r="I2492" s="235"/>
      <c r="J2492" s="236"/>
      <c r="K2492" s="236"/>
    </row>
    <row r="2493" spans="2:11">
      <c r="B2493" s="235"/>
      <c r="C2493" s="231"/>
      <c r="D2493" s="231"/>
      <c r="E2493" s="231"/>
      <c r="F2493" s="231"/>
      <c r="G2493" s="231"/>
      <c r="H2493" s="235"/>
      <c r="I2493" s="235"/>
      <c r="J2493" s="236"/>
      <c r="K2493" s="236"/>
    </row>
    <row r="2494" spans="2:11">
      <c r="B2494" s="235"/>
      <c r="C2494" s="231"/>
      <c r="D2494" s="231"/>
      <c r="E2494" s="231"/>
      <c r="F2494" s="231"/>
      <c r="G2494" s="231"/>
      <c r="H2494" s="235"/>
      <c r="I2494" s="235"/>
      <c r="J2494" s="236"/>
      <c r="K2494" s="236"/>
    </row>
    <row r="2495" spans="2:11">
      <c r="B2495" s="235"/>
      <c r="C2495" s="231"/>
      <c r="D2495" s="231"/>
      <c r="E2495" s="231"/>
      <c r="F2495" s="231"/>
      <c r="G2495" s="231"/>
      <c r="H2495" s="235"/>
      <c r="I2495" s="235"/>
      <c r="J2495" s="236"/>
      <c r="K2495" s="236"/>
    </row>
    <row r="2496" spans="2:11">
      <c r="B2496" s="235"/>
      <c r="C2496" s="231"/>
      <c r="D2496" s="231"/>
      <c r="E2496" s="231"/>
      <c r="F2496" s="231"/>
      <c r="G2496" s="231"/>
      <c r="H2496" s="235"/>
      <c r="I2496" s="235"/>
      <c r="J2496" s="236"/>
      <c r="K2496" s="236"/>
    </row>
    <row r="2497" spans="2:11">
      <c r="B2497" s="235"/>
      <c r="C2497" s="231"/>
      <c r="D2497" s="231"/>
      <c r="E2497" s="231"/>
      <c r="F2497" s="231"/>
      <c r="G2497" s="231"/>
      <c r="H2497" s="235"/>
      <c r="I2497" s="235"/>
      <c r="J2497" s="236"/>
      <c r="K2497" s="236"/>
    </row>
    <row r="2498" spans="2:11">
      <c r="B2498" s="235"/>
      <c r="C2498" s="231"/>
      <c r="D2498" s="231"/>
      <c r="E2498" s="231"/>
      <c r="F2498" s="231"/>
      <c r="G2498" s="231"/>
      <c r="H2498" s="235"/>
      <c r="I2498" s="235"/>
      <c r="J2498" s="236"/>
      <c r="K2498" s="236"/>
    </row>
    <row r="2499" spans="2:11">
      <c r="B2499" s="235"/>
      <c r="C2499" s="231"/>
      <c r="D2499" s="231"/>
      <c r="E2499" s="231"/>
      <c r="F2499" s="231"/>
      <c r="G2499" s="231"/>
      <c r="H2499" s="235"/>
      <c r="I2499" s="235"/>
      <c r="J2499" s="236"/>
      <c r="K2499" s="236"/>
    </row>
    <row r="2500" spans="2:11">
      <c r="B2500" s="235"/>
      <c r="C2500" s="231"/>
      <c r="D2500" s="231"/>
      <c r="E2500" s="231"/>
      <c r="F2500" s="231"/>
      <c r="G2500" s="231"/>
      <c r="H2500" s="235"/>
      <c r="I2500" s="235"/>
      <c r="J2500" s="236"/>
      <c r="K2500" s="236"/>
    </row>
    <row r="2501" spans="2:11">
      <c r="B2501" s="235"/>
      <c r="C2501" s="231"/>
      <c r="D2501" s="231"/>
      <c r="E2501" s="231"/>
      <c r="F2501" s="231"/>
      <c r="G2501" s="231"/>
      <c r="H2501" s="235"/>
      <c r="I2501" s="235"/>
      <c r="J2501" s="236"/>
      <c r="K2501" s="236"/>
    </row>
    <row r="2502" spans="2:11">
      <c r="B2502" s="235"/>
      <c r="C2502" s="231"/>
      <c r="D2502" s="231"/>
      <c r="E2502" s="231"/>
      <c r="F2502" s="231"/>
      <c r="G2502" s="231"/>
      <c r="H2502" s="235"/>
      <c r="I2502" s="235"/>
      <c r="J2502" s="236"/>
      <c r="K2502" s="236"/>
    </row>
    <row r="2503" spans="2:11">
      <c r="B2503" s="235"/>
      <c r="C2503" s="231"/>
      <c r="D2503" s="231"/>
      <c r="E2503" s="231"/>
      <c r="F2503" s="231"/>
      <c r="G2503" s="231"/>
      <c r="H2503" s="235"/>
      <c r="I2503" s="235"/>
      <c r="J2503" s="236"/>
      <c r="K2503" s="236"/>
    </row>
    <row r="2504" spans="2:11">
      <c r="B2504" s="235"/>
      <c r="C2504" s="231"/>
      <c r="D2504" s="231"/>
      <c r="E2504" s="231"/>
      <c r="F2504" s="231"/>
      <c r="G2504" s="231"/>
      <c r="H2504" s="235"/>
      <c r="I2504" s="235"/>
      <c r="J2504" s="236"/>
      <c r="K2504" s="236"/>
    </row>
    <row r="2505" spans="2:11">
      <c r="B2505" s="235"/>
      <c r="C2505" s="231"/>
      <c r="D2505" s="231"/>
      <c r="E2505" s="231"/>
      <c r="F2505" s="231"/>
      <c r="G2505" s="231"/>
      <c r="H2505" s="235"/>
      <c r="I2505" s="235"/>
      <c r="J2505" s="236"/>
      <c r="K2505" s="236"/>
    </row>
    <row r="2506" spans="2:11">
      <c r="B2506" s="235"/>
      <c r="C2506" s="231"/>
      <c r="D2506" s="231"/>
      <c r="E2506" s="231"/>
      <c r="F2506" s="231"/>
      <c r="G2506" s="231"/>
      <c r="H2506" s="235"/>
      <c r="I2506" s="235"/>
      <c r="J2506" s="236"/>
      <c r="K2506" s="236"/>
    </row>
    <row r="2507" spans="2:11">
      <c r="B2507" s="235"/>
      <c r="C2507" s="231"/>
      <c r="D2507" s="231"/>
      <c r="E2507" s="231"/>
      <c r="F2507" s="231"/>
      <c r="G2507" s="231"/>
      <c r="H2507" s="235"/>
      <c r="I2507" s="235"/>
      <c r="J2507" s="236"/>
      <c r="K2507" s="236"/>
    </row>
    <row r="2508" spans="2:11">
      <c r="B2508" s="235"/>
      <c r="C2508" s="231"/>
      <c r="D2508" s="231"/>
      <c r="E2508" s="231"/>
      <c r="F2508" s="231"/>
      <c r="G2508" s="231"/>
      <c r="H2508" s="235"/>
      <c r="I2508" s="235"/>
      <c r="J2508" s="236"/>
      <c r="K2508" s="236"/>
    </row>
    <row r="2509" spans="2:11">
      <c r="B2509" s="235"/>
      <c r="C2509" s="231"/>
      <c r="D2509" s="231"/>
      <c r="E2509" s="231"/>
      <c r="F2509" s="231"/>
      <c r="G2509" s="231"/>
      <c r="H2509" s="235"/>
      <c r="I2509" s="235"/>
      <c r="J2509" s="236"/>
      <c r="K2509" s="236"/>
    </row>
    <row r="2510" spans="2:11">
      <c r="B2510" s="235"/>
      <c r="C2510" s="231"/>
      <c r="D2510" s="231"/>
      <c r="E2510" s="231"/>
      <c r="F2510" s="231"/>
      <c r="G2510" s="231"/>
      <c r="H2510" s="235"/>
      <c r="I2510" s="235"/>
      <c r="J2510" s="236"/>
      <c r="K2510" s="236"/>
    </row>
    <row r="2511" spans="2:11">
      <c r="B2511" s="235"/>
      <c r="C2511" s="231"/>
      <c r="D2511" s="231"/>
      <c r="E2511" s="231"/>
      <c r="F2511" s="231"/>
      <c r="G2511" s="231"/>
      <c r="H2511" s="235"/>
      <c r="I2511" s="235"/>
      <c r="J2511" s="236"/>
      <c r="K2511" s="236"/>
    </row>
    <row r="2512" spans="2:11">
      <c r="B2512" s="235"/>
      <c r="C2512" s="231"/>
      <c r="D2512" s="231"/>
      <c r="E2512" s="231"/>
      <c r="F2512" s="231"/>
      <c r="G2512" s="231"/>
      <c r="H2512" s="235"/>
      <c r="I2512" s="235"/>
      <c r="J2512" s="236"/>
      <c r="K2512" s="236"/>
    </row>
    <row r="2513" spans="2:11">
      <c r="B2513" s="235"/>
      <c r="C2513" s="231"/>
      <c r="D2513" s="231"/>
      <c r="E2513" s="231"/>
      <c r="F2513" s="231"/>
      <c r="G2513" s="231"/>
      <c r="H2513" s="235"/>
      <c r="I2513" s="235"/>
      <c r="J2513" s="236"/>
      <c r="K2513" s="236"/>
    </row>
    <row r="2514" spans="2:11">
      <c r="B2514" s="235"/>
      <c r="C2514" s="231"/>
      <c r="D2514" s="231"/>
      <c r="E2514" s="231"/>
      <c r="F2514" s="231"/>
      <c r="G2514" s="231"/>
      <c r="H2514" s="235"/>
      <c r="I2514" s="235"/>
      <c r="J2514" s="236"/>
      <c r="K2514" s="236"/>
    </row>
    <row r="2515" spans="2:11">
      <c r="B2515" s="235"/>
      <c r="C2515" s="231"/>
      <c r="D2515" s="231"/>
      <c r="E2515" s="231"/>
      <c r="F2515" s="231"/>
      <c r="G2515" s="231"/>
      <c r="H2515" s="235"/>
      <c r="I2515" s="235"/>
      <c r="J2515" s="236"/>
      <c r="K2515" s="236"/>
    </row>
    <row r="2516" spans="2:11">
      <c r="B2516" s="235"/>
      <c r="C2516" s="231"/>
      <c r="D2516" s="231"/>
      <c r="E2516" s="231"/>
      <c r="F2516" s="231"/>
      <c r="G2516" s="231"/>
      <c r="H2516" s="235"/>
      <c r="I2516" s="235"/>
      <c r="J2516" s="236"/>
      <c r="K2516" s="236"/>
    </row>
    <row r="2517" spans="2:11">
      <c r="B2517" s="235"/>
      <c r="C2517" s="231"/>
      <c r="D2517" s="231"/>
      <c r="E2517" s="231"/>
      <c r="F2517" s="231"/>
      <c r="G2517" s="231"/>
      <c r="H2517" s="235"/>
      <c r="I2517" s="235"/>
      <c r="J2517" s="236"/>
      <c r="K2517" s="236"/>
    </row>
    <row r="2518" spans="2:11">
      <c r="B2518" s="235"/>
      <c r="C2518" s="231"/>
      <c r="D2518" s="231"/>
      <c r="E2518" s="231"/>
      <c r="F2518" s="231"/>
      <c r="G2518" s="231"/>
      <c r="H2518" s="235"/>
      <c r="I2518" s="235"/>
      <c r="J2518" s="236"/>
      <c r="K2518" s="236"/>
    </row>
    <row r="2519" spans="2:11">
      <c r="B2519" s="235"/>
      <c r="C2519" s="231"/>
      <c r="D2519" s="231"/>
      <c r="E2519" s="231"/>
      <c r="F2519" s="231"/>
      <c r="G2519" s="231"/>
      <c r="H2519" s="235"/>
      <c r="I2519" s="235"/>
      <c r="J2519" s="236"/>
      <c r="K2519" s="236"/>
    </row>
    <row r="2520" spans="2:11">
      <c r="B2520" s="235"/>
      <c r="C2520" s="231"/>
      <c r="D2520" s="231"/>
      <c r="E2520" s="231"/>
      <c r="F2520" s="231"/>
      <c r="G2520" s="231"/>
      <c r="H2520" s="235"/>
      <c r="I2520" s="235"/>
      <c r="J2520" s="236"/>
      <c r="K2520" s="236"/>
    </row>
    <row r="2521" spans="2:11">
      <c r="B2521" s="235"/>
      <c r="C2521" s="231"/>
      <c r="D2521" s="231"/>
      <c r="E2521" s="231"/>
      <c r="F2521" s="231"/>
      <c r="G2521" s="231"/>
      <c r="H2521" s="235"/>
      <c r="I2521" s="235"/>
      <c r="J2521" s="236"/>
      <c r="K2521" s="236"/>
    </row>
    <row r="2522" spans="2:11">
      <c r="B2522" s="235"/>
      <c r="C2522" s="231"/>
      <c r="D2522" s="231"/>
      <c r="E2522" s="231"/>
      <c r="F2522" s="231"/>
      <c r="G2522" s="231"/>
      <c r="H2522" s="235"/>
      <c r="I2522" s="235"/>
      <c r="J2522" s="236"/>
      <c r="K2522" s="236"/>
    </row>
    <row r="2523" spans="2:11">
      <c r="B2523" s="235"/>
      <c r="C2523" s="231"/>
      <c r="D2523" s="231"/>
      <c r="E2523" s="231"/>
      <c r="F2523" s="231"/>
      <c r="G2523" s="231"/>
      <c r="H2523" s="235"/>
      <c r="I2523" s="235"/>
      <c r="J2523" s="236"/>
      <c r="K2523" s="236"/>
    </row>
    <row r="2524" spans="2:11">
      <c r="B2524" s="235"/>
      <c r="C2524" s="231"/>
      <c r="D2524" s="231"/>
      <c r="E2524" s="231"/>
      <c r="F2524" s="231"/>
      <c r="G2524" s="231"/>
      <c r="H2524" s="235"/>
      <c r="I2524" s="235"/>
      <c r="J2524" s="236"/>
      <c r="K2524" s="236"/>
    </row>
    <row r="2525" spans="2:11">
      <c r="B2525" s="235"/>
      <c r="C2525" s="231"/>
      <c r="D2525" s="231"/>
      <c r="E2525" s="231"/>
      <c r="F2525" s="231"/>
      <c r="G2525" s="231"/>
      <c r="H2525" s="235"/>
      <c r="I2525" s="235"/>
      <c r="J2525" s="236"/>
      <c r="K2525" s="236"/>
    </row>
    <row r="2526" spans="2:11">
      <c r="B2526" s="235"/>
      <c r="C2526" s="231"/>
      <c r="D2526" s="231"/>
      <c r="E2526" s="231"/>
      <c r="F2526" s="231"/>
      <c r="G2526" s="231"/>
      <c r="H2526" s="235"/>
      <c r="I2526" s="235"/>
      <c r="J2526" s="236"/>
      <c r="K2526" s="236"/>
    </row>
    <row r="2527" spans="2:11">
      <c r="B2527" s="235"/>
      <c r="C2527" s="231"/>
      <c r="D2527" s="231"/>
      <c r="E2527" s="231"/>
      <c r="F2527" s="231"/>
      <c r="G2527" s="231"/>
      <c r="H2527" s="235"/>
      <c r="I2527" s="235"/>
      <c r="J2527" s="236"/>
      <c r="K2527" s="236"/>
    </row>
    <row r="2528" spans="2:11">
      <c r="B2528" s="235"/>
      <c r="C2528" s="231"/>
      <c r="D2528" s="231"/>
      <c r="E2528" s="231"/>
      <c r="F2528" s="231"/>
      <c r="G2528" s="231"/>
      <c r="H2528" s="235"/>
      <c r="I2528" s="235"/>
      <c r="J2528" s="236"/>
      <c r="K2528" s="236"/>
    </row>
    <row r="2529" spans="2:11">
      <c r="B2529" s="235"/>
      <c r="C2529" s="231"/>
      <c r="D2529" s="231"/>
      <c r="E2529" s="231"/>
      <c r="F2529" s="231"/>
      <c r="G2529" s="231"/>
      <c r="H2529" s="235"/>
      <c r="I2529" s="235"/>
      <c r="J2529" s="236"/>
      <c r="K2529" s="236"/>
    </row>
    <row r="2530" spans="2:11">
      <c r="B2530" s="235"/>
      <c r="C2530" s="231"/>
      <c r="D2530" s="231"/>
      <c r="E2530" s="231"/>
      <c r="F2530" s="231"/>
      <c r="G2530" s="231"/>
      <c r="H2530" s="235"/>
      <c r="I2530" s="235"/>
      <c r="J2530" s="236"/>
      <c r="K2530" s="236"/>
    </row>
    <row r="2531" spans="2:11">
      <c r="B2531" s="235"/>
      <c r="C2531" s="231"/>
      <c r="D2531" s="231"/>
      <c r="E2531" s="231"/>
      <c r="F2531" s="231"/>
      <c r="G2531" s="231"/>
      <c r="H2531" s="235"/>
      <c r="I2531" s="235"/>
      <c r="J2531" s="236"/>
      <c r="K2531" s="236"/>
    </row>
    <row r="2532" spans="2:11">
      <c r="B2532" s="235"/>
      <c r="C2532" s="231"/>
      <c r="D2532" s="231"/>
      <c r="E2532" s="231"/>
      <c r="F2532" s="231"/>
      <c r="G2532" s="231"/>
      <c r="H2532" s="235"/>
      <c r="I2532" s="235"/>
      <c r="J2532" s="236"/>
      <c r="K2532" s="236"/>
    </row>
    <row r="2533" spans="2:11">
      <c r="B2533" s="235"/>
      <c r="C2533" s="231"/>
      <c r="D2533" s="231"/>
      <c r="E2533" s="231"/>
      <c r="F2533" s="231"/>
      <c r="G2533" s="231"/>
      <c r="H2533" s="235"/>
      <c r="I2533" s="235"/>
      <c r="J2533" s="236"/>
      <c r="K2533" s="236"/>
    </row>
    <row r="2534" spans="2:11">
      <c r="B2534" s="235"/>
      <c r="C2534" s="231"/>
      <c r="D2534" s="231"/>
      <c r="E2534" s="231"/>
      <c r="F2534" s="231"/>
      <c r="G2534" s="231"/>
      <c r="H2534" s="235"/>
      <c r="I2534" s="235"/>
      <c r="J2534" s="236"/>
      <c r="K2534" s="236"/>
    </row>
    <row r="2535" spans="2:11">
      <c r="B2535" s="235"/>
      <c r="C2535" s="231"/>
      <c r="D2535" s="231"/>
      <c r="E2535" s="231"/>
      <c r="F2535" s="231"/>
      <c r="G2535" s="231"/>
      <c r="H2535" s="235"/>
      <c r="I2535" s="235"/>
      <c r="J2535" s="236"/>
      <c r="K2535" s="236"/>
    </row>
    <row r="2536" spans="2:11">
      <c r="B2536" s="235"/>
      <c r="C2536" s="231"/>
      <c r="D2536" s="231"/>
      <c r="E2536" s="231"/>
      <c r="F2536" s="231"/>
      <c r="G2536" s="231"/>
      <c r="H2536" s="235"/>
      <c r="I2536" s="235"/>
      <c r="J2536" s="236"/>
      <c r="K2536" s="236"/>
    </row>
    <row r="2537" spans="2:11">
      <c r="B2537" s="235"/>
      <c r="C2537" s="231"/>
      <c r="D2537" s="231"/>
      <c r="E2537" s="231"/>
      <c r="F2537" s="231"/>
      <c r="G2537" s="231"/>
      <c r="H2537" s="235"/>
      <c r="I2537" s="235"/>
      <c r="J2537" s="236"/>
      <c r="K2537" s="236"/>
    </row>
    <row r="2538" spans="2:11">
      <c r="B2538" s="235"/>
      <c r="C2538" s="231"/>
      <c r="D2538" s="231"/>
      <c r="E2538" s="231"/>
      <c r="F2538" s="231"/>
      <c r="G2538" s="231"/>
      <c r="H2538" s="235"/>
      <c r="I2538" s="235"/>
      <c r="J2538" s="236"/>
      <c r="K2538" s="236"/>
    </row>
    <row r="2539" spans="2:11">
      <c r="B2539" s="235"/>
      <c r="C2539" s="231"/>
      <c r="D2539" s="231"/>
      <c r="E2539" s="231"/>
      <c r="F2539" s="231"/>
      <c r="G2539" s="231"/>
      <c r="H2539" s="235"/>
      <c r="I2539" s="235"/>
      <c r="J2539" s="236"/>
      <c r="K2539" s="236"/>
    </row>
    <row r="2540" spans="2:11">
      <c r="B2540" s="235"/>
      <c r="C2540" s="231"/>
      <c r="D2540" s="231"/>
      <c r="E2540" s="231"/>
      <c r="F2540" s="231"/>
      <c r="G2540" s="231"/>
      <c r="H2540" s="235"/>
      <c r="I2540" s="235"/>
      <c r="J2540" s="236"/>
      <c r="K2540" s="236"/>
    </row>
    <row r="2541" spans="2:11">
      <c r="B2541" s="235"/>
      <c r="C2541" s="231"/>
      <c r="D2541" s="231"/>
      <c r="E2541" s="231"/>
      <c r="F2541" s="231"/>
      <c r="G2541" s="231"/>
      <c r="H2541" s="235"/>
      <c r="I2541" s="235"/>
      <c r="J2541" s="236"/>
      <c r="K2541" s="236"/>
    </row>
    <row r="2542" spans="2:11">
      <c r="B2542" s="235"/>
      <c r="C2542" s="231"/>
      <c r="D2542" s="231"/>
      <c r="E2542" s="231"/>
      <c r="F2542" s="231"/>
      <c r="G2542" s="231"/>
      <c r="H2542" s="235"/>
      <c r="I2542" s="235"/>
      <c r="J2542" s="236"/>
      <c r="K2542" s="236"/>
    </row>
    <row r="2543" spans="2:11">
      <c r="B2543" s="235"/>
      <c r="C2543" s="231"/>
      <c r="D2543" s="231"/>
      <c r="E2543" s="231"/>
      <c r="F2543" s="231"/>
      <c r="G2543" s="231"/>
      <c r="H2543" s="235"/>
      <c r="I2543" s="235"/>
      <c r="J2543" s="236"/>
      <c r="K2543" s="236"/>
    </row>
    <row r="2544" spans="2:11">
      <c r="B2544" s="235"/>
      <c r="C2544" s="231"/>
      <c r="D2544" s="231"/>
      <c r="E2544" s="231"/>
      <c r="F2544" s="231"/>
      <c r="G2544" s="231"/>
      <c r="H2544" s="235"/>
      <c r="I2544" s="235"/>
      <c r="J2544" s="236"/>
      <c r="K2544" s="236"/>
    </row>
    <row r="2545" spans="2:11">
      <c r="B2545" s="235"/>
      <c r="C2545" s="231"/>
      <c r="D2545" s="231"/>
      <c r="E2545" s="231"/>
      <c r="F2545" s="231"/>
      <c r="G2545" s="231"/>
      <c r="H2545" s="235"/>
      <c r="I2545" s="235"/>
      <c r="J2545" s="236"/>
      <c r="K2545" s="236"/>
    </row>
    <row r="2546" spans="2:11">
      <c r="B2546" s="235"/>
      <c r="C2546" s="231"/>
      <c r="D2546" s="231"/>
      <c r="E2546" s="231"/>
      <c r="F2546" s="231"/>
      <c r="G2546" s="231"/>
      <c r="H2546" s="235"/>
      <c r="I2546" s="235"/>
      <c r="J2546" s="236"/>
      <c r="K2546" s="236"/>
    </row>
    <row r="2547" spans="2:11">
      <c r="B2547" s="235"/>
      <c r="C2547" s="231"/>
      <c r="D2547" s="231"/>
      <c r="E2547" s="231"/>
      <c r="F2547" s="231"/>
      <c r="G2547" s="231"/>
      <c r="H2547" s="235"/>
      <c r="I2547" s="235"/>
      <c r="J2547" s="236"/>
      <c r="K2547" s="236"/>
    </row>
    <row r="2548" spans="2:11">
      <c r="B2548" s="235"/>
      <c r="C2548" s="231"/>
      <c r="D2548" s="231"/>
      <c r="E2548" s="231"/>
      <c r="F2548" s="231"/>
      <c r="G2548" s="231"/>
      <c r="H2548" s="235"/>
      <c r="I2548" s="235"/>
      <c r="J2548" s="236"/>
      <c r="K2548" s="236"/>
    </row>
    <row r="2549" spans="2:11">
      <c r="B2549" s="235"/>
      <c r="C2549" s="231"/>
      <c r="D2549" s="231"/>
      <c r="E2549" s="231"/>
      <c r="F2549" s="231"/>
      <c r="G2549" s="231"/>
      <c r="H2549" s="235"/>
      <c r="I2549" s="235"/>
      <c r="J2549" s="236"/>
      <c r="K2549" s="236"/>
    </row>
    <row r="2550" spans="2:11">
      <c r="B2550" s="235"/>
      <c r="C2550" s="231"/>
      <c r="D2550" s="231"/>
      <c r="E2550" s="231"/>
      <c r="F2550" s="231"/>
      <c r="G2550" s="231"/>
      <c r="H2550" s="235"/>
      <c r="I2550" s="235"/>
      <c r="J2550" s="236"/>
      <c r="K2550" s="236"/>
    </row>
    <row r="2551" spans="2:11">
      <c r="B2551" s="235"/>
      <c r="C2551" s="231"/>
      <c r="D2551" s="231"/>
      <c r="E2551" s="231"/>
      <c r="F2551" s="231"/>
      <c r="G2551" s="231"/>
      <c r="H2551" s="235"/>
      <c r="I2551" s="235"/>
      <c r="J2551" s="236"/>
      <c r="K2551" s="236"/>
    </row>
    <row r="2552" spans="2:11">
      <c r="B2552" s="235"/>
      <c r="C2552" s="231"/>
      <c r="D2552" s="231"/>
      <c r="E2552" s="231"/>
      <c r="F2552" s="231"/>
      <c r="G2552" s="231"/>
      <c r="H2552" s="235"/>
      <c r="I2552" s="235"/>
      <c r="J2552" s="236"/>
      <c r="K2552" s="236"/>
    </row>
    <row r="2553" spans="2:11">
      <c r="B2553" s="235"/>
      <c r="C2553" s="231"/>
      <c r="D2553" s="231"/>
      <c r="E2553" s="231"/>
      <c r="F2553" s="231"/>
      <c r="G2553" s="231"/>
      <c r="H2553" s="235"/>
      <c r="I2553" s="235"/>
      <c r="J2553" s="236"/>
      <c r="K2553" s="236"/>
    </row>
    <row r="2554" spans="2:11">
      <c r="B2554" s="235"/>
      <c r="C2554" s="231"/>
      <c r="D2554" s="231"/>
      <c r="E2554" s="231"/>
      <c r="F2554" s="231"/>
      <c r="G2554" s="231"/>
      <c r="H2554" s="235"/>
      <c r="I2554" s="235"/>
      <c r="J2554" s="236"/>
      <c r="K2554" s="236"/>
    </row>
    <row r="2555" spans="2:11">
      <c r="B2555" s="235"/>
      <c r="C2555" s="231"/>
      <c r="D2555" s="231"/>
      <c r="E2555" s="231"/>
      <c r="F2555" s="231"/>
      <c r="G2555" s="231"/>
      <c r="H2555" s="235"/>
      <c r="I2555" s="235"/>
      <c r="J2555" s="236"/>
      <c r="K2555" s="236"/>
    </row>
    <row r="2556" spans="2:11">
      <c r="B2556" s="235"/>
      <c r="C2556" s="231"/>
      <c r="D2556" s="231"/>
      <c r="E2556" s="231"/>
      <c r="F2556" s="231"/>
      <c r="G2556" s="231"/>
      <c r="H2556" s="235"/>
      <c r="I2556" s="235"/>
      <c r="J2556" s="236"/>
      <c r="K2556" s="236"/>
    </row>
    <row r="2557" spans="2:11">
      <c r="B2557" s="235"/>
      <c r="C2557" s="231"/>
      <c r="D2557" s="231"/>
      <c r="E2557" s="231"/>
      <c r="F2557" s="231"/>
      <c r="G2557" s="231"/>
      <c r="H2557" s="235"/>
      <c r="I2557" s="235"/>
      <c r="J2557" s="236"/>
      <c r="K2557" s="236"/>
    </row>
    <row r="2558" spans="2:11">
      <c r="B2558" s="235"/>
      <c r="C2558" s="231"/>
      <c r="D2558" s="231"/>
      <c r="E2558" s="231"/>
      <c r="F2558" s="231"/>
      <c r="G2558" s="231"/>
      <c r="H2558" s="235"/>
      <c r="I2558" s="235"/>
      <c r="J2558" s="236"/>
      <c r="K2558" s="236"/>
    </row>
    <row r="2559" spans="2:11">
      <c r="B2559" s="235"/>
      <c r="C2559" s="231"/>
      <c r="D2559" s="231"/>
      <c r="E2559" s="231"/>
      <c r="F2559" s="231"/>
      <c r="G2559" s="231"/>
      <c r="H2559" s="235"/>
      <c r="I2559" s="235"/>
      <c r="J2559" s="236"/>
      <c r="K2559" s="236"/>
    </row>
    <row r="2560" spans="2:11">
      <c r="B2560" s="235"/>
      <c r="C2560" s="231"/>
      <c r="D2560" s="231"/>
      <c r="E2560" s="231"/>
      <c r="F2560" s="231"/>
      <c r="G2560" s="231"/>
      <c r="H2560" s="235"/>
      <c r="I2560" s="235"/>
      <c r="J2560" s="236"/>
      <c r="K2560" s="236"/>
    </row>
    <row r="2561" spans="2:11">
      <c r="B2561" s="235"/>
      <c r="C2561" s="231"/>
      <c r="D2561" s="231"/>
      <c r="E2561" s="231"/>
      <c r="F2561" s="231"/>
      <c r="G2561" s="231"/>
      <c r="H2561" s="235"/>
      <c r="I2561" s="235"/>
      <c r="J2561" s="236"/>
      <c r="K2561" s="236"/>
    </row>
    <row r="2562" spans="2:11">
      <c r="B2562" s="235"/>
      <c r="C2562" s="231"/>
      <c r="D2562" s="231"/>
      <c r="E2562" s="231"/>
      <c r="F2562" s="231"/>
      <c r="G2562" s="231"/>
      <c r="H2562" s="235"/>
      <c r="I2562" s="235"/>
      <c r="J2562" s="236"/>
      <c r="K2562" s="236"/>
    </row>
    <row r="2563" spans="2:11">
      <c r="B2563" s="235"/>
      <c r="C2563" s="231"/>
      <c r="D2563" s="231"/>
      <c r="E2563" s="231"/>
      <c r="F2563" s="231"/>
      <c r="G2563" s="231"/>
      <c r="H2563" s="235"/>
      <c r="I2563" s="235"/>
      <c r="J2563" s="236"/>
      <c r="K2563" s="236"/>
    </row>
    <row r="2564" spans="2:11">
      <c r="B2564" s="235"/>
      <c r="C2564" s="231"/>
      <c r="D2564" s="231"/>
      <c r="E2564" s="231"/>
      <c r="F2564" s="231"/>
      <c r="G2564" s="231"/>
      <c r="H2564" s="235"/>
      <c r="I2564" s="235"/>
      <c r="J2564" s="236"/>
      <c r="K2564" s="236"/>
    </row>
    <row r="2565" spans="2:11">
      <c r="B2565" s="235"/>
      <c r="C2565" s="231"/>
      <c r="D2565" s="231"/>
      <c r="E2565" s="231"/>
      <c r="F2565" s="231"/>
      <c r="G2565" s="231"/>
      <c r="H2565" s="235"/>
      <c r="I2565" s="235"/>
      <c r="J2565" s="236"/>
      <c r="K2565" s="236"/>
    </row>
    <row r="2566" spans="2:11">
      <c r="B2566" s="235"/>
      <c r="C2566" s="231"/>
      <c r="D2566" s="231"/>
      <c r="E2566" s="231"/>
      <c r="F2566" s="231"/>
      <c r="G2566" s="231"/>
      <c r="H2566" s="235"/>
      <c r="I2566" s="235"/>
      <c r="J2566" s="236"/>
      <c r="K2566" s="236"/>
    </row>
    <row r="2567" spans="2:11">
      <c r="B2567" s="235"/>
      <c r="C2567" s="231"/>
      <c r="D2567" s="231"/>
      <c r="E2567" s="231"/>
      <c r="F2567" s="231"/>
      <c r="G2567" s="231"/>
      <c r="H2567" s="235"/>
      <c r="I2567" s="235"/>
      <c r="J2567" s="236"/>
      <c r="K2567" s="236"/>
    </row>
    <row r="2568" spans="2:11">
      <c r="B2568" s="235"/>
      <c r="C2568" s="231"/>
      <c r="D2568" s="231"/>
      <c r="E2568" s="231"/>
      <c r="F2568" s="231"/>
      <c r="G2568" s="231"/>
      <c r="H2568" s="235"/>
      <c r="I2568" s="235"/>
      <c r="J2568" s="236"/>
      <c r="K2568" s="236"/>
    </row>
    <row r="2569" spans="2:11">
      <c r="B2569" s="235"/>
      <c r="C2569" s="231"/>
      <c r="D2569" s="231"/>
      <c r="E2569" s="231"/>
      <c r="F2569" s="231"/>
      <c r="G2569" s="231"/>
      <c r="H2569" s="235"/>
      <c r="I2569" s="235"/>
      <c r="J2569" s="236"/>
      <c r="K2569" s="236"/>
    </row>
    <row r="2570" spans="2:11">
      <c r="B2570" s="235"/>
      <c r="C2570" s="231"/>
      <c r="D2570" s="231"/>
      <c r="E2570" s="231"/>
      <c r="F2570" s="231"/>
      <c r="G2570" s="231"/>
      <c r="H2570" s="235"/>
      <c r="I2570" s="235"/>
      <c r="J2570" s="236"/>
      <c r="K2570" s="236"/>
    </row>
    <row r="2571" spans="2:11">
      <c r="B2571" s="235"/>
      <c r="C2571" s="231"/>
      <c r="D2571" s="231"/>
      <c r="E2571" s="231"/>
      <c r="F2571" s="231"/>
      <c r="G2571" s="231"/>
      <c r="H2571" s="235"/>
      <c r="I2571" s="235"/>
      <c r="J2571" s="236"/>
      <c r="K2571" s="236"/>
    </row>
    <row r="2572" spans="2:11">
      <c r="B2572" s="235"/>
      <c r="C2572" s="231"/>
      <c r="D2572" s="231"/>
      <c r="E2572" s="231"/>
      <c r="F2572" s="231"/>
      <c r="G2572" s="231"/>
      <c r="H2572" s="235"/>
      <c r="I2572" s="235"/>
      <c r="J2572" s="236"/>
      <c r="K2572" s="236"/>
    </row>
    <row r="2573" spans="2:11">
      <c r="B2573" s="235"/>
      <c r="C2573" s="231"/>
      <c r="D2573" s="231"/>
      <c r="E2573" s="231"/>
      <c r="F2573" s="231"/>
      <c r="G2573" s="231"/>
      <c r="H2573" s="235"/>
      <c r="I2573" s="235"/>
      <c r="J2573" s="236"/>
      <c r="K2573" s="236"/>
    </row>
    <row r="2574" spans="2:11">
      <c r="B2574" s="235"/>
      <c r="C2574" s="231"/>
      <c r="D2574" s="231"/>
      <c r="E2574" s="231"/>
      <c r="F2574" s="231"/>
      <c r="G2574" s="231"/>
      <c r="H2574" s="235"/>
      <c r="I2574" s="235"/>
      <c r="J2574" s="236"/>
      <c r="K2574" s="236"/>
    </row>
    <row r="2575" spans="2:11">
      <c r="B2575" s="235"/>
      <c r="C2575" s="231"/>
      <c r="D2575" s="231"/>
      <c r="E2575" s="231"/>
      <c r="F2575" s="231"/>
      <c r="G2575" s="231"/>
      <c r="H2575" s="235"/>
      <c r="I2575" s="235"/>
      <c r="J2575" s="236"/>
      <c r="K2575" s="236"/>
    </row>
    <row r="2576" spans="2:11">
      <c r="B2576" s="235"/>
      <c r="C2576" s="231"/>
      <c r="D2576" s="231"/>
      <c r="E2576" s="231"/>
      <c r="F2576" s="231"/>
      <c r="G2576" s="231"/>
      <c r="H2576" s="235"/>
      <c r="I2576" s="235"/>
      <c r="J2576" s="236"/>
      <c r="K2576" s="236"/>
    </row>
    <row r="2577" spans="2:11">
      <c r="B2577" s="235"/>
      <c r="C2577" s="231"/>
      <c r="D2577" s="231"/>
      <c r="E2577" s="231"/>
      <c r="F2577" s="231"/>
      <c r="G2577" s="231"/>
      <c r="H2577" s="235"/>
      <c r="I2577" s="235"/>
      <c r="J2577" s="236"/>
      <c r="K2577" s="236"/>
    </row>
    <row r="2578" spans="2:11">
      <c r="B2578" s="235"/>
      <c r="C2578" s="231"/>
      <c r="D2578" s="231"/>
      <c r="E2578" s="231"/>
      <c r="F2578" s="231"/>
      <c r="G2578" s="231"/>
      <c r="H2578" s="235"/>
      <c r="I2578" s="235"/>
      <c r="J2578" s="236"/>
      <c r="K2578" s="236"/>
    </row>
    <row r="2579" spans="2:11">
      <c r="B2579" s="235"/>
      <c r="C2579" s="231"/>
      <c r="D2579" s="231"/>
      <c r="E2579" s="231"/>
      <c r="F2579" s="231"/>
      <c r="G2579" s="231"/>
      <c r="H2579" s="235"/>
      <c r="I2579" s="235"/>
      <c r="J2579" s="236"/>
      <c r="K2579" s="236"/>
    </row>
    <row r="2580" spans="2:11">
      <c r="B2580" s="235"/>
      <c r="C2580" s="231"/>
      <c r="D2580" s="231"/>
      <c r="E2580" s="231"/>
      <c r="F2580" s="231"/>
      <c r="G2580" s="231"/>
      <c r="H2580" s="235"/>
      <c r="I2580" s="235"/>
      <c r="J2580" s="236"/>
      <c r="K2580" s="236"/>
    </row>
    <row r="2581" spans="2:11">
      <c r="B2581" s="235"/>
      <c r="C2581" s="231"/>
      <c r="D2581" s="231"/>
      <c r="E2581" s="231"/>
      <c r="F2581" s="231"/>
      <c r="G2581" s="231"/>
      <c r="H2581" s="235"/>
      <c r="I2581" s="235"/>
      <c r="J2581" s="236"/>
      <c r="K2581" s="236"/>
    </row>
    <row r="2582" spans="2:11">
      <c r="B2582" s="235"/>
      <c r="C2582" s="231"/>
      <c r="D2582" s="231"/>
      <c r="E2582" s="231"/>
      <c r="F2582" s="231"/>
      <c r="G2582" s="231"/>
      <c r="H2582" s="235"/>
      <c r="I2582" s="235"/>
      <c r="J2582" s="236"/>
      <c r="K2582" s="236"/>
    </row>
    <row r="2583" spans="2:11">
      <c r="B2583" s="235"/>
      <c r="C2583" s="231"/>
      <c r="D2583" s="231"/>
      <c r="E2583" s="231"/>
      <c r="F2583" s="231"/>
      <c r="G2583" s="231"/>
      <c r="H2583" s="235"/>
      <c r="I2583" s="235"/>
      <c r="J2583" s="236"/>
      <c r="K2583" s="236"/>
    </row>
    <row r="2584" spans="2:11">
      <c r="B2584" s="235"/>
      <c r="C2584" s="231"/>
      <c r="D2584" s="231"/>
      <c r="E2584" s="231"/>
      <c r="F2584" s="231"/>
      <c r="G2584" s="231"/>
      <c r="H2584" s="235"/>
      <c r="I2584" s="235"/>
      <c r="J2584" s="236"/>
      <c r="K2584" s="236"/>
    </row>
    <row r="2585" spans="2:11">
      <c r="B2585" s="235"/>
      <c r="C2585" s="231"/>
      <c r="D2585" s="231"/>
      <c r="E2585" s="231"/>
      <c r="F2585" s="231"/>
      <c r="G2585" s="231"/>
      <c r="H2585" s="235"/>
      <c r="I2585" s="235"/>
      <c r="J2585" s="236"/>
      <c r="K2585" s="236"/>
    </row>
    <row r="2586" spans="2:11">
      <c r="B2586" s="235"/>
      <c r="C2586" s="231"/>
      <c r="D2586" s="231"/>
      <c r="E2586" s="231"/>
      <c r="F2586" s="231"/>
      <c r="G2586" s="231"/>
      <c r="H2586" s="235"/>
      <c r="I2586" s="235"/>
      <c r="J2586" s="236"/>
      <c r="K2586" s="236"/>
    </row>
    <row r="2587" spans="2:11">
      <c r="B2587" s="235"/>
      <c r="C2587" s="231"/>
      <c r="D2587" s="231"/>
      <c r="E2587" s="231"/>
      <c r="F2587" s="231"/>
      <c r="G2587" s="231"/>
      <c r="H2587" s="235"/>
      <c r="I2587" s="235"/>
      <c r="J2587" s="236"/>
      <c r="K2587" s="236"/>
    </row>
    <row r="2588" spans="2:11">
      <c r="B2588" s="235"/>
      <c r="C2588" s="231"/>
      <c r="D2588" s="231"/>
      <c r="E2588" s="231"/>
      <c r="F2588" s="231"/>
      <c r="G2588" s="231"/>
      <c r="H2588" s="235"/>
      <c r="I2588" s="235"/>
      <c r="J2588" s="236"/>
      <c r="K2588" s="236"/>
    </row>
    <row r="2589" spans="2:11">
      <c r="B2589" s="235"/>
      <c r="C2589" s="231"/>
      <c r="D2589" s="231"/>
      <c r="E2589" s="231"/>
      <c r="F2589" s="231"/>
      <c r="G2589" s="231"/>
      <c r="H2589" s="235"/>
      <c r="I2589" s="235"/>
      <c r="J2589" s="236"/>
      <c r="K2589" s="236"/>
    </row>
    <row r="2590" spans="2:11">
      <c r="B2590" s="235"/>
      <c r="C2590" s="231"/>
      <c r="D2590" s="231"/>
      <c r="E2590" s="231"/>
      <c r="F2590" s="231"/>
      <c r="G2590" s="231"/>
      <c r="H2590" s="235"/>
      <c r="I2590" s="235"/>
      <c r="J2590" s="236"/>
      <c r="K2590" s="236"/>
    </row>
    <row r="2591" spans="2:11">
      <c r="B2591" s="235"/>
      <c r="C2591" s="231"/>
      <c r="D2591" s="231"/>
      <c r="E2591" s="231"/>
      <c r="F2591" s="231"/>
      <c r="G2591" s="231"/>
      <c r="H2591" s="235"/>
      <c r="I2591" s="235"/>
      <c r="J2591" s="236"/>
      <c r="K2591" s="236"/>
    </row>
    <row r="2592" spans="2:11">
      <c r="B2592" s="235"/>
      <c r="C2592" s="231"/>
      <c r="D2592" s="231"/>
      <c r="E2592" s="231"/>
      <c r="F2592" s="231"/>
      <c r="G2592" s="231"/>
      <c r="H2592" s="235"/>
      <c r="I2592" s="235"/>
      <c r="J2592" s="236"/>
      <c r="K2592" s="236"/>
    </row>
    <row r="2593" spans="2:11">
      <c r="B2593" s="235"/>
      <c r="C2593" s="231"/>
      <c r="D2593" s="231"/>
      <c r="E2593" s="231"/>
      <c r="F2593" s="231"/>
      <c r="G2593" s="231"/>
      <c r="H2593" s="235"/>
      <c r="I2593" s="235"/>
      <c r="J2593" s="236"/>
      <c r="K2593" s="236"/>
    </row>
    <row r="2594" spans="2:11">
      <c r="B2594" s="235"/>
      <c r="C2594" s="231"/>
      <c r="D2594" s="231"/>
      <c r="E2594" s="231"/>
      <c r="F2594" s="231"/>
      <c r="G2594" s="231"/>
      <c r="H2594" s="235"/>
      <c r="I2594" s="235"/>
      <c r="J2594" s="236"/>
      <c r="K2594" s="236"/>
    </row>
    <row r="2595" spans="2:11">
      <c r="B2595" s="235"/>
      <c r="C2595" s="231"/>
      <c r="D2595" s="231"/>
      <c r="E2595" s="231"/>
      <c r="F2595" s="231"/>
      <c r="G2595" s="231"/>
      <c r="H2595" s="235"/>
      <c r="I2595" s="235"/>
      <c r="J2595" s="236"/>
      <c r="K2595" s="236"/>
    </row>
    <row r="2596" spans="2:11">
      <c r="B2596" s="235"/>
      <c r="C2596" s="231"/>
      <c r="D2596" s="231"/>
      <c r="E2596" s="231"/>
      <c r="F2596" s="231"/>
      <c r="G2596" s="231"/>
      <c r="H2596" s="235"/>
      <c r="I2596" s="235"/>
      <c r="J2596" s="236"/>
      <c r="K2596" s="236"/>
    </row>
    <row r="2597" spans="2:11">
      <c r="B2597" s="235"/>
      <c r="C2597" s="231"/>
      <c r="D2597" s="231"/>
      <c r="E2597" s="231"/>
      <c r="F2597" s="231"/>
      <c r="G2597" s="231"/>
      <c r="H2597" s="235"/>
      <c r="I2597" s="235"/>
      <c r="J2597" s="236"/>
      <c r="K2597" s="236"/>
    </row>
    <row r="2598" spans="2:11">
      <c r="B2598" s="235"/>
      <c r="C2598" s="231"/>
      <c r="D2598" s="231"/>
      <c r="E2598" s="231"/>
      <c r="F2598" s="231"/>
      <c r="G2598" s="231"/>
      <c r="H2598" s="235"/>
      <c r="I2598" s="235"/>
      <c r="J2598" s="236"/>
      <c r="K2598" s="236"/>
    </row>
    <row r="2599" spans="2:11">
      <c r="B2599" s="235"/>
      <c r="C2599" s="231"/>
      <c r="D2599" s="231"/>
      <c r="E2599" s="231"/>
      <c r="F2599" s="231"/>
      <c r="G2599" s="231"/>
      <c r="H2599" s="235"/>
      <c r="I2599" s="235"/>
      <c r="J2599" s="236"/>
      <c r="K2599" s="236"/>
    </row>
    <row r="2600" spans="2:11">
      <c r="B2600" s="235"/>
      <c r="C2600" s="231"/>
      <c r="D2600" s="231"/>
      <c r="E2600" s="231"/>
      <c r="F2600" s="231"/>
      <c r="G2600" s="231"/>
      <c r="H2600" s="235"/>
      <c r="I2600" s="235"/>
      <c r="J2600" s="236"/>
      <c r="K2600" s="236"/>
    </row>
    <row r="2601" spans="2:11">
      <c r="B2601" s="235"/>
      <c r="C2601" s="231"/>
      <c r="D2601" s="231"/>
      <c r="E2601" s="231"/>
      <c r="F2601" s="231"/>
      <c r="G2601" s="231"/>
      <c r="H2601" s="235"/>
      <c r="I2601" s="235"/>
      <c r="J2601" s="236"/>
      <c r="K2601" s="236"/>
    </row>
    <row r="2602" spans="2:11">
      <c r="B2602" s="235"/>
      <c r="C2602" s="231"/>
      <c r="D2602" s="231"/>
      <c r="E2602" s="231"/>
      <c r="F2602" s="231"/>
      <c r="G2602" s="231"/>
      <c r="H2602" s="235"/>
      <c r="I2602" s="235"/>
      <c r="J2602" s="236"/>
      <c r="K2602" s="236"/>
    </row>
    <row r="2603" spans="2:11">
      <c r="B2603" s="235"/>
      <c r="C2603" s="231"/>
      <c r="D2603" s="231"/>
      <c r="E2603" s="231"/>
      <c r="F2603" s="231"/>
      <c r="G2603" s="231"/>
      <c r="H2603" s="235"/>
      <c r="I2603" s="235"/>
      <c r="J2603" s="236"/>
      <c r="K2603" s="236"/>
    </row>
    <row r="2604" spans="2:11">
      <c r="B2604" s="235"/>
      <c r="C2604" s="231"/>
      <c r="D2604" s="231"/>
      <c r="E2604" s="231"/>
      <c r="F2604" s="231"/>
      <c r="G2604" s="231"/>
      <c r="H2604" s="235"/>
      <c r="I2604" s="235"/>
      <c r="J2604" s="236"/>
      <c r="K2604" s="236"/>
    </row>
    <row r="2605" spans="2:11">
      <c r="B2605" s="235"/>
      <c r="C2605" s="231"/>
      <c r="D2605" s="231"/>
      <c r="E2605" s="231"/>
      <c r="F2605" s="231"/>
      <c r="G2605" s="231"/>
      <c r="H2605" s="235"/>
      <c r="I2605" s="235"/>
      <c r="J2605" s="236"/>
      <c r="K2605" s="236"/>
    </row>
    <row r="2606" spans="2:11">
      <c r="B2606" s="235"/>
      <c r="C2606" s="231"/>
      <c r="D2606" s="231"/>
      <c r="E2606" s="231"/>
      <c r="F2606" s="231"/>
      <c r="G2606" s="231"/>
      <c r="H2606" s="235"/>
      <c r="I2606" s="235"/>
      <c r="J2606" s="236"/>
      <c r="K2606" s="236"/>
    </row>
    <row r="2607" spans="2:11">
      <c r="B2607" s="235"/>
      <c r="C2607" s="231"/>
      <c r="D2607" s="231"/>
      <c r="E2607" s="231"/>
      <c r="F2607" s="231"/>
      <c r="G2607" s="231"/>
      <c r="H2607" s="235"/>
      <c r="I2607" s="235"/>
      <c r="J2607" s="236"/>
      <c r="K2607" s="236"/>
    </row>
    <row r="2608" spans="2:11">
      <c r="B2608" s="235"/>
      <c r="C2608" s="231"/>
      <c r="D2608" s="231"/>
      <c r="E2608" s="231"/>
      <c r="F2608" s="231"/>
      <c r="G2608" s="231"/>
      <c r="H2608" s="235"/>
      <c r="I2608" s="235"/>
      <c r="J2608" s="236"/>
      <c r="K2608" s="236"/>
    </row>
    <row r="2609" spans="2:11">
      <c r="B2609" s="235"/>
      <c r="C2609" s="231"/>
      <c r="D2609" s="231"/>
      <c r="E2609" s="231"/>
      <c r="F2609" s="231"/>
      <c r="G2609" s="231"/>
      <c r="H2609" s="235"/>
      <c r="I2609" s="235"/>
      <c r="J2609" s="236"/>
      <c r="K2609" s="236"/>
    </row>
    <row r="2610" spans="2:11">
      <c r="B2610" s="235"/>
      <c r="C2610" s="231"/>
      <c r="D2610" s="231"/>
      <c r="E2610" s="231"/>
      <c r="F2610" s="231"/>
      <c r="G2610" s="231"/>
      <c r="H2610" s="235"/>
      <c r="I2610" s="235"/>
      <c r="J2610" s="236"/>
      <c r="K2610" s="236"/>
    </row>
    <row r="2611" spans="2:11">
      <c r="B2611" s="235"/>
      <c r="C2611" s="231"/>
      <c r="D2611" s="231"/>
      <c r="E2611" s="231"/>
      <c r="F2611" s="231"/>
      <c r="G2611" s="231"/>
      <c r="H2611" s="235"/>
      <c r="I2611" s="235"/>
      <c r="J2611" s="236"/>
      <c r="K2611" s="236"/>
    </row>
    <row r="2612" spans="2:11">
      <c r="B2612" s="235"/>
      <c r="C2612" s="231"/>
      <c r="D2612" s="231"/>
      <c r="E2612" s="231"/>
      <c r="F2612" s="231"/>
      <c r="G2612" s="231"/>
      <c r="H2612" s="235"/>
      <c r="I2612" s="235"/>
      <c r="J2612" s="236"/>
      <c r="K2612" s="236"/>
    </row>
    <row r="2613" spans="2:11">
      <c r="B2613" s="235"/>
      <c r="C2613" s="231"/>
      <c r="D2613" s="231"/>
      <c r="E2613" s="231"/>
      <c r="F2613" s="231"/>
      <c r="G2613" s="231"/>
      <c r="H2613" s="235"/>
      <c r="I2613" s="235"/>
      <c r="J2613" s="236"/>
      <c r="K2613" s="236"/>
    </row>
    <row r="2614" spans="2:11">
      <c r="B2614" s="235"/>
      <c r="C2614" s="231"/>
      <c r="D2614" s="231"/>
      <c r="E2614" s="231"/>
      <c r="F2614" s="231"/>
      <c r="G2614" s="231"/>
      <c r="H2614" s="235"/>
      <c r="I2614" s="235"/>
      <c r="J2614" s="236"/>
      <c r="K2614" s="236"/>
    </row>
    <row r="2615" spans="2:11">
      <c r="B2615" s="235"/>
      <c r="C2615" s="231"/>
      <c r="D2615" s="231"/>
      <c r="E2615" s="231"/>
      <c r="F2615" s="231"/>
      <c r="G2615" s="231"/>
      <c r="H2615" s="235"/>
      <c r="I2615" s="235"/>
      <c r="J2615" s="236"/>
      <c r="K2615" s="236"/>
    </row>
    <row r="2616" spans="2:11">
      <c r="B2616" s="235"/>
      <c r="C2616" s="231"/>
      <c r="D2616" s="231"/>
      <c r="E2616" s="231"/>
      <c r="F2616" s="231"/>
      <c r="G2616" s="231"/>
      <c r="H2616" s="235"/>
      <c r="I2616" s="235"/>
      <c r="J2616" s="236"/>
      <c r="K2616" s="236"/>
    </row>
    <row r="2617" spans="2:11">
      <c r="B2617" s="235"/>
      <c r="C2617" s="231"/>
      <c r="D2617" s="231"/>
      <c r="E2617" s="231"/>
      <c r="F2617" s="231"/>
      <c r="G2617" s="231"/>
      <c r="H2617" s="235"/>
      <c r="I2617" s="235"/>
      <c r="J2617" s="236"/>
      <c r="K2617" s="236"/>
    </row>
    <row r="2618" spans="2:11">
      <c r="B2618" s="235"/>
      <c r="C2618" s="231"/>
      <c r="D2618" s="231"/>
      <c r="E2618" s="231"/>
      <c r="F2618" s="231"/>
      <c r="G2618" s="231"/>
      <c r="H2618" s="235"/>
      <c r="I2618" s="235"/>
      <c r="J2618" s="236"/>
      <c r="K2618" s="236"/>
    </row>
    <row r="2619" spans="2:11">
      <c r="B2619" s="235"/>
      <c r="C2619" s="231"/>
      <c r="D2619" s="231"/>
      <c r="E2619" s="231"/>
      <c r="F2619" s="231"/>
      <c r="G2619" s="231"/>
      <c r="H2619" s="235"/>
      <c r="I2619" s="235"/>
      <c r="J2619" s="236"/>
      <c r="K2619" s="236"/>
    </row>
    <row r="2620" spans="2:11">
      <c r="B2620" s="235"/>
      <c r="C2620" s="231"/>
      <c r="D2620" s="231"/>
      <c r="E2620" s="231"/>
      <c r="F2620" s="231"/>
      <c r="G2620" s="231"/>
      <c r="H2620" s="235"/>
      <c r="I2620" s="235"/>
      <c r="J2620" s="236"/>
      <c r="K2620" s="236"/>
    </row>
    <row r="2621" spans="2:11">
      <c r="B2621" s="235"/>
      <c r="C2621" s="231"/>
      <c r="D2621" s="231"/>
      <c r="E2621" s="231"/>
      <c r="F2621" s="231"/>
      <c r="G2621" s="231"/>
      <c r="H2621" s="235"/>
      <c r="I2621" s="235"/>
      <c r="J2621" s="236"/>
      <c r="K2621" s="236"/>
    </row>
    <row r="2622" spans="2:11">
      <c r="B2622" s="235"/>
      <c r="C2622" s="231"/>
      <c r="D2622" s="231"/>
      <c r="E2622" s="231"/>
      <c r="F2622" s="231"/>
      <c r="G2622" s="231"/>
      <c r="H2622" s="235"/>
      <c r="I2622" s="235"/>
      <c r="J2622" s="236"/>
      <c r="K2622" s="236"/>
    </row>
    <row r="2623" spans="2:11">
      <c r="B2623" s="235"/>
      <c r="C2623" s="231"/>
      <c r="D2623" s="231"/>
      <c r="E2623" s="231"/>
      <c r="F2623" s="231"/>
      <c r="G2623" s="231"/>
      <c r="H2623" s="235"/>
      <c r="I2623" s="235"/>
      <c r="J2623" s="236"/>
      <c r="K2623" s="236"/>
    </row>
    <row r="2624" spans="2:11">
      <c r="B2624" s="235"/>
      <c r="C2624" s="231"/>
      <c r="D2624" s="231"/>
      <c r="E2624" s="231"/>
      <c r="F2624" s="231"/>
      <c r="G2624" s="231"/>
      <c r="H2624" s="235"/>
      <c r="I2624" s="235"/>
      <c r="J2624" s="236"/>
      <c r="K2624" s="236"/>
    </row>
    <row r="2625" spans="2:11">
      <c r="B2625" s="235"/>
      <c r="C2625" s="231"/>
      <c r="D2625" s="231"/>
      <c r="E2625" s="231"/>
      <c r="F2625" s="231"/>
      <c r="G2625" s="231"/>
      <c r="H2625" s="235"/>
      <c r="I2625" s="235"/>
      <c r="J2625" s="236"/>
      <c r="K2625" s="236"/>
    </row>
    <row r="2626" spans="2:11">
      <c r="B2626" s="235"/>
      <c r="C2626" s="231"/>
      <c r="D2626" s="231"/>
      <c r="E2626" s="231"/>
      <c r="F2626" s="231"/>
      <c r="G2626" s="231"/>
      <c r="H2626" s="235"/>
      <c r="I2626" s="235"/>
      <c r="J2626" s="236"/>
      <c r="K2626" s="236"/>
    </row>
    <row r="2627" spans="2:11">
      <c r="B2627" s="235"/>
      <c r="C2627" s="231"/>
      <c r="D2627" s="231"/>
      <c r="E2627" s="231"/>
      <c r="F2627" s="231"/>
      <c r="G2627" s="231"/>
      <c r="H2627" s="235"/>
      <c r="I2627" s="235"/>
      <c r="J2627" s="236"/>
      <c r="K2627" s="236"/>
    </row>
    <row r="2628" spans="2:11">
      <c r="B2628" s="235"/>
      <c r="C2628" s="231"/>
      <c r="D2628" s="231"/>
      <c r="E2628" s="231"/>
      <c r="F2628" s="231"/>
      <c r="G2628" s="231"/>
      <c r="H2628" s="235"/>
      <c r="I2628" s="235"/>
      <c r="J2628" s="236"/>
      <c r="K2628" s="236"/>
    </row>
    <row r="2629" spans="2:11">
      <c r="B2629" s="235"/>
      <c r="C2629" s="231"/>
      <c r="D2629" s="231"/>
      <c r="E2629" s="231"/>
      <c r="F2629" s="231"/>
      <c r="G2629" s="231"/>
      <c r="H2629" s="235"/>
      <c r="I2629" s="235"/>
      <c r="J2629" s="236"/>
      <c r="K2629" s="236"/>
    </row>
    <row r="2630" spans="2:11">
      <c r="B2630" s="235"/>
      <c r="C2630" s="231"/>
      <c r="D2630" s="231"/>
      <c r="E2630" s="231"/>
      <c r="F2630" s="231"/>
      <c r="G2630" s="231"/>
      <c r="H2630" s="235"/>
      <c r="I2630" s="235"/>
      <c r="J2630" s="236"/>
      <c r="K2630" s="236"/>
    </row>
    <row r="2631" spans="2:11">
      <c r="B2631" s="235"/>
      <c r="C2631" s="231"/>
      <c r="D2631" s="231"/>
      <c r="E2631" s="231"/>
      <c r="F2631" s="231"/>
      <c r="G2631" s="231"/>
      <c r="H2631" s="235"/>
      <c r="I2631" s="235"/>
      <c r="J2631" s="236"/>
      <c r="K2631" s="236"/>
    </row>
    <row r="2632" spans="2:11">
      <c r="B2632" s="235"/>
      <c r="C2632" s="231"/>
      <c r="D2632" s="231"/>
      <c r="E2632" s="231"/>
      <c r="F2632" s="231"/>
      <c r="G2632" s="231"/>
      <c r="H2632" s="235"/>
      <c r="I2632" s="235"/>
      <c r="J2632" s="236"/>
      <c r="K2632" s="236"/>
    </row>
    <row r="2633" spans="2:11">
      <c r="B2633" s="235"/>
      <c r="C2633" s="231"/>
      <c r="D2633" s="231"/>
      <c r="E2633" s="231"/>
      <c r="F2633" s="231"/>
      <c r="G2633" s="231"/>
      <c r="H2633" s="235"/>
      <c r="I2633" s="235"/>
      <c r="J2633" s="236"/>
      <c r="K2633" s="236"/>
    </row>
    <row r="2634" spans="2:11">
      <c r="B2634" s="235"/>
      <c r="C2634" s="231"/>
      <c r="D2634" s="231"/>
      <c r="E2634" s="231"/>
      <c r="F2634" s="231"/>
      <c r="G2634" s="231"/>
      <c r="H2634" s="235"/>
      <c r="I2634" s="235"/>
      <c r="J2634" s="236"/>
      <c r="K2634" s="236"/>
    </row>
    <row r="2635" spans="2:11">
      <c r="B2635" s="235"/>
      <c r="C2635" s="231"/>
      <c r="D2635" s="231"/>
      <c r="E2635" s="231"/>
      <c r="F2635" s="231"/>
      <c r="G2635" s="231"/>
      <c r="H2635" s="235"/>
      <c r="I2635" s="235"/>
      <c r="J2635" s="236"/>
      <c r="K2635" s="236"/>
    </row>
    <row r="2636" spans="2:11">
      <c r="B2636" s="235"/>
      <c r="C2636" s="231"/>
      <c r="D2636" s="231"/>
      <c r="E2636" s="231"/>
      <c r="F2636" s="231"/>
      <c r="G2636" s="231"/>
      <c r="H2636" s="235"/>
      <c r="I2636" s="235"/>
      <c r="J2636" s="236"/>
      <c r="K2636" s="236"/>
    </row>
    <row r="2637" spans="2:11">
      <c r="B2637" s="235"/>
      <c r="C2637" s="231"/>
      <c r="D2637" s="231"/>
      <c r="E2637" s="231"/>
      <c r="F2637" s="231"/>
      <c r="G2637" s="231"/>
      <c r="H2637" s="235"/>
      <c r="I2637" s="235"/>
      <c r="J2637" s="236"/>
      <c r="K2637" s="236"/>
    </row>
    <row r="2638" spans="2:11">
      <c r="B2638" s="235"/>
      <c r="C2638" s="231"/>
      <c r="D2638" s="231"/>
      <c r="E2638" s="231"/>
      <c r="F2638" s="231"/>
      <c r="G2638" s="231"/>
      <c r="H2638" s="235"/>
      <c r="I2638" s="235"/>
      <c r="J2638" s="236"/>
      <c r="K2638" s="236"/>
    </row>
    <row r="2639" spans="2:11">
      <c r="B2639" s="235"/>
      <c r="C2639" s="231"/>
      <c r="D2639" s="231"/>
      <c r="E2639" s="231"/>
      <c r="F2639" s="231"/>
      <c r="G2639" s="231"/>
      <c r="H2639" s="235"/>
      <c r="I2639" s="235"/>
      <c r="J2639" s="236"/>
      <c r="K2639" s="236"/>
    </row>
    <row r="2640" spans="2:11">
      <c r="B2640" s="235"/>
      <c r="C2640" s="231"/>
      <c r="D2640" s="231"/>
      <c r="E2640" s="231"/>
      <c r="F2640" s="231"/>
      <c r="G2640" s="231"/>
      <c r="H2640" s="235"/>
      <c r="I2640" s="235"/>
      <c r="J2640" s="236"/>
      <c r="K2640" s="236"/>
    </row>
    <row r="2641" spans="2:11">
      <c r="B2641" s="235"/>
      <c r="C2641" s="231"/>
      <c r="D2641" s="231"/>
      <c r="E2641" s="231"/>
      <c r="F2641" s="231"/>
      <c r="G2641" s="231"/>
      <c r="H2641" s="235"/>
      <c r="I2641" s="235"/>
      <c r="J2641" s="236"/>
      <c r="K2641" s="236"/>
    </row>
    <row r="2642" spans="2:11">
      <c r="B2642" s="235"/>
      <c r="C2642" s="231"/>
      <c r="D2642" s="231"/>
      <c r="E2642" s="231"/>
      <c r="F2642" s="231"/>
      <c r="G2642" s="231"/>
      <c r="H2642" s="235"/>
      <c r="I2642" s="235"/>
      <c r="J2642" s="236"/>
      <c r="K2642" s="236"/>
    </row>
    <row r="2643" spans="2:11">
      <c r="B2643" s="235"/>
      <c r="C2643" s="231"/>
      <c r="D2643" s="231"/>
      <c r="E2643" s="231"/>
      <c r="F2643" s="231"/>
      <c r="G2643" s="231"/>
      <c r="H2643" s="235"/>
      <c r="I2643" s="235"/>
      <c r="J2643" s="236"/>
      <c r="K2643" s="236"/>
    </row>
    <row r="2644" spans="2:11">
      <c r="B2644" s="235"/>
      <c r="C2644" s="231"/>
      <c r="D2644" s="231"/>
      <c r="E2644" s="231"/>
      <c r="F2644" s="231"/>
      <c r="G2644" s="231"/>
      <c r="H2644" s="235"/>
      <c r="I2644" s="235"/>
      <c r="J2644" s="236"/>
      <c r="K2644" s="236"/>
    </row>
    <row r="2645" spans="2:11">
      <c r="B2645" s="235"/>
      <c r="C2645" s="231"/>
      <c r="D2645" s="231"/>
      <c r="E2645" s="231"/>
      <c r="F2645" s="231"/>
      <c r="G2645" s="231"/>
      <c r="H2645" s="235"/>
      <c r="I2645" s="235"/>
      <c r="J2645" s="236"/>
      <c r="K2645" s="236"/>
    </row>
    <row r="2646" spans="2:11">
      <c r="B2646" s="235"/>
      <c r="C2646" s="231"/>
      <c r="D2646" s="231"/>
      <c r="E2646" s="231"/>
      <c r="F2646" s="231"/>
      <c r="G2646" s="231"/>
      <c r="H2646" s="235"/>
      <c r="I2646" s="235"/>
      <c r="J2646" s="236"/>
      <c r="K2646" s="236"/>
    </row>
    <row r="2647" spans="2:11">
      <c r="B2647" s="235"/>
      <c r="C2647" s="231"/>
      <c r="D2647" s="231"/>
      <c r="E2647" s="231"/>
      <c r="F2647" s="231"/>
      <c r="G2647" s="231"/>
      <c r="H2647" s="235"/>
      <c r="I2647" s="235"/>
      <c r="J2647" s="236"/>
      <c r="K2647" s="236"/>
    </row>
    <row r="2648" spans="2:11">
      <c r="B2648" s="235"/>
      <c r="C2648" s="231"/>
      <c r="D2648" s="231"/>
      <c r="E2648" s="231"/>
      <c r="F2648" s="231"/>
      <c r="G2648" s="231"/>
      <c r="H2648" s="235"/>
      <c r="I2648" s="235"/>
      <c r="J2648" s="236"/>
      <c r="K2648" s="236"/>
    </row>
    <row r="2649" spans="2:11">
      <c r="B2649" s="235"/>
      <c r="C2649" s="231"/>
      <c r="D2649" s="231"/>
      <c r="E2649" s="231"/>
      <c r="F2649" s="231"/>
      <c r="G2649" s="231"/>
      <c r="H2649" s="235"/>
      <c r="I2649" s="235"/>
      <c r="J2649" s="236"/>
      <c r="K2649" s="236"/>
    </row>
    <row r="2650" spans="2:11">
      <c r="B2650" s="235"/>
      <c r="C2650" s="231"/>
      <c r="D2650" s="231"/>
      <c r="E2650" s="231"/>
      <c r="F2650" s="231"/>
      <c r="G2650" s="231"/>
      <c r="H2650" s="235"/>
      <c r="I2650" s="235"/>
      <c r="J2650" s="236"/>
      <c r="K2650" s="236"/>
    </row>
    <row r="2651" spans="2:11">
      <c r="B2651" s="235"/>
      <c r="C2651" s="231"/>
      <c r="D2651" s="231"/>
      <c r="E2651" s="231"/>
      <c r="F2651" s="231"/>
      <c r="G2651" s="231"/>
      <c r="H2651" s="235"/>
      <c r="I2651" s="235"/>
      <c r="J2651" s="236"/>
      <c r="K2651" s="236"/>
    </row>
    <row r="2652" spans="2:11">
      <c r="B2652" s="235"/>
      <c r="C2652" s="231"/>
      <c r="D2652" s="231"/>
      <c r="E2652" s="231"/>
      <c r="F2652" s="231"/>
      <c r="G2652" s="231"/>
      <c r="H2652" s="235"/>
      <c r="I2652" s="235"/>
      <c r="J2652" s="236"/>
      <c r="K2652" s="236"/>
    </row>
    <row r="2653" spans="2:11">
      <c r="B2653" s="235"/>
      <c r="C2653" s="231"/>
      <c r="D2653" s="231"/>
      <c r="E2653" s="231"/>
      <c r="F2653" s="231"/>
      <c r="G2653" s="231"/>
      <c r="H2653" s="235"/>
      <c r="I2653" s="235"/>
      <c r="J2653" s="236"/>
      <c r="K2653" s="236"/>
    </row>
    <row r="2654" spans="2:11">
      <c r="B2654" s="235"/>
      <c r="C2654" s="231"/>
      <c r="D2654" s="231"/>
      <c r="E2654" s="231"/>
      <c r="F2654" s="231"/>
      <c r="G2654" s="231"/>
      <c r="H2654" s="235"/>
      <c r="I2654" s="235"/>
      <c r="J2654" s="236"/>
      <c r="K2654" s="236"/>
    </row>
    <row r="2655" spans="2:11">
      <c r="B2655" s="235"/>
      <c r="C2655" s="231"/>
      <c r="D2655" s="231"/>
      <c r="E2655" s="231"/>
      <c r="F2655" s="231"/>
      <c r="G2655" s="231"/>
      <c r="H2655" s="235"/>
      <c r="I2655" s="235"/>
      <c r="J2655" s="236"/>
      <c r="K2655" s="236"/>
    </row>
    <row r="2656" spans="2:11">
      <c r="B2656" s="235"/>
      <c r="C2656" s="231"/>
      <c r="D2656" s="231"/>
      <c r="E2656" s="231"/>
      <c r="F2656" s="231"/>
      <c r="G2656" s="231"/>
      <c r="H2656" s="235"/>
      <c r="I2656" s="235"/>
      <c r="J2656" s="236"/>
      <c r="K2656" s="236"/>
    </row>
    <row r="2657" spans="2:11">
      <c r="B2657" s="235"/>
      <c r="C2657" s="231"/>
      <c r="D2657" s="231"/>
      <c r="E2657" s="231"/>
      <c r="F2657" s="231"/>
      <c r="G2657" s="231"/>
      <c r="H2657" s="235"/>
      <c r="I2657" s="235"/>
      <c r="J2657" s="236"/>
      <c r="K2657" s="236"/>
    </row>
    <row r="2658" spans="2:11">
      <c r="B2658" s="235"/>
      <c r="C2658" s="231"/>
      <c r="D2658" s="231"/>
      <c r="E2658" s="231"/>
      <c r="F2658" s="231"/>
      <c r="G2658" s="231"/>
      <c r="H2658" s="235"/>
      <c r="I2658" s="235"/>
      <c r="J2658" s="236"/>
      <c r="K2658" s="236"/>
    </row>
    <row r="2659" spans="2:11">
      <c r="B2659" s="235"/>
      <c r="C2659" s="231"/>
      <c r="D2659" s="231"/>
      <c r="E2659" s="231"/>
      <c r="F2659" s="231"/>
      <c r="G2659" s="231"/>
      <c r="H2659" s="235"/>
      <c r="I2659" s="235"/>
      <c r="J2659" s="236"/>
      <c r="K2659" s="236"/>
    </row>
    <row r="2660" spans="2:11">
      <c r="B2660" s="235"/>
      <c r="C2660" s="231"/>
      <c r="D2660" s="231"/>
      <c r="E2660" s="231"/>
      <c r="F2660" s="231"/>
      <c r="G2660" s="231"/>
      <c r="H2660" s="235"/>
      <c r="I2660" s="235"/>
      <c r="J2660" s="236"/>
      <c r="K2660" s="236"/>
    </row>
    <row r="2661" spans="2:11">
      <c r="B2661" s="235"/>
      <c r="C2661" s="231"/>
      <c r="D2661" s="231"/>
      <c r="E2661" s="231"/>
      <c r="F2661" s="231"/>
      <c r="G2661" s="231"/>
      <c r="H2661" s="235"/>
      <c r="I2661" s="235"/>
      <c r="J2661" s="236"/>
      <c r="K2661" s="236"/>
    </row>
    <row r="2662" spans="2:11">
      <c r="B2662" s="235"/>
      <c r="C2662" s="231"/>
      <c r="D2662" s="231"/>
      <c r="E2662" s="231"/>
      <c r="F2662" s="231"/>
      <c r="G2662" s="231"/>
      <c r="H2662" s="235"/>
      <c r="I2662" s="235"/>
      <c r="J2662" s="236"/>
      <c r="K2662" s="236"/>
    </row>
    <row r="2663" spans="2:11">
      <c r="B2663" s="235"/>
      <c r="C2663" s="231"/>
      <c r="D2663" s="231"/>
      <c r="E2663" s="231"/>
      <c r="F2663" s="231"/>
      <c r="G2663" s="231"/>
      <c r="H2663" s="235"/>
      <c r="I2663" s="235"/>
      <c r="J2663" s="236"/>
      <c r="K2663" s="236"/>
    </row>
    <row r="2664" spans="2:11">
      <c r="B2664" s="235"/>
      <c r="C2664" s="231"/>
      <c r="D2664" s="231"/>
      <c r="E2664" s="231"/>
      <c r="F2664" s="231"/>
      <c r="G2664" s="231"/>
      <c r="H2664" s="235"/>
      <c r="I2664" s="235"/>
      <c r="J2664" s="236"/>
      <c r="K2664" s="236"/>
    </row>
    <row r="2665" spans="2:11">
      <c r="B2665" s="235"/>
      <c r="C2665" s="231"/>
      <c r="D2665" s="231"/>
      <c r="E2665" s="231"/>
      <c r="F2665" s="231"/>
      <c r="G2665" s="231"/>
      <c r="H2665" s="235"/>
      <c r="I2665" s="235"/>
      <c r="J2665" s="236"/>
      <c r="K2665" s="236"/>
    </row>
    <row r="2666" spans="2:11">
      <c r="B2666" s="235"/>
      <c r="C2666" s="231"/>
      <c r="D2666" s="231"/>
      <c r="E2666" s="231"/>
      <c r="F2666" s="231"/>
      <c r="G2666" s="231"/>
      <c r="H2666" s="235"/>
      <c r="I2666" s="235"/>
      <c r="J2666" s="236"/>
      <c r="K2666" s="236"/>
    </row>
    <row r="2667" spans="2:11">
      <c r="B2667" s="235"/>
      <c r="C2667" s="231"/>
      <c r="D2667" s="231"/>
      <c r="E2667" s="231"/>
      <c r="F2667" s="231"/>
      <c r="G2667" s="231"/>
      <c r="H2667" s="235"/>
      <c r="I2667" s="235"/>
      <c r="J2667" s="236"/>
      <c r="K2667" s="236"/>
    </row>
    <row r="2668" spans="2:11">
      <c r="B2668" s="235"/>
      <c r="C2668" s="231"/>
      <c r="D2668" s="231"/>
      <c r="E2668" s="231"/>
      <c r="F2668" s="231"/>
      <c r="G2668" s="231"/>
      <c r="H2668" s="235"/>
      <c r="I2668" s="235"/>
      <c r="J2668" s="236"/>
      <c r="K2668" s="236"/>
    </row>
    <row r="2669" spans="2:11">
      <c r="B2669" s="235"/>
      <c r="C2669" s="231"/>
      <c r="D2669" s="231"/>
      <c r="E2669" s="231"/>
      <c r="F2669" s="231"/>
      <c r="G2669" s="231"/>
      <c r="H2669" s="235"/>
      <c r="I2669" s="235"/>
      <c r="J2669" s="236"/>
      <c r="K2669" s="236"/>
    </row>
    <row r="2670" spans="2:11">
      <c r="B2670" s="235"/>
      <c r="C2670" s="231"/>
      <c r="D2670" s="231"/>
      <c r="E2670" s="231"/>
      <c r="F2670" s="231"/>
      <c r="G2670" s="231"/>
      <c r="H2670" s="235"/>
      <c r="I2670" s="235"/>
      <c r="J2670" s="236"/>
      <c r="K2670" s="236"/>
    </row>
    <row r="2671" spans="2:11">
      <c r="B2671" s="235"/>
      <c r="C2671" s="231"/>
      <c r="D2671" s="231"/>
      <c r="E2671" s="231"/>
      <c r="F2671" s="231"/>
      <c r="G2671" s="231"/>
      <c r="H2671" s="235"/>
      <c r="I2671" s="235"/>
      <c r="J2671" s="236"/>
      <c r="K2671" s="236"/>
    </row>
    <row r="2672" spans="2:11">
      <c r="B2672" s="235"/>
      <c r="C2672" s="231"/>
      <c r="D2672" s="231"/>
      <c r="E2672" s="231"/>
      <c r="F2672" s="231"/>
      <c r="G2672" s="231"/>
      <c r="H2672" s="235"/>
      <c r="I2672" s="235"/>
      <c r="J2672" s="236"/>
      <c r="K2672" s="236"/>
    </row>
    <row r="2673" spans="2:11">
      <c r="B2673" s="235"/>
      <c r="C2673" s="231"/>
      <c r="D2673" s="231"/>
      <c r="E2673" s="231"/>
      <c r="F2673" s="231"/>
      <c r="G2673" s="231"/>
      <c r="H2673" s="235"/>
      <c r="I2673" s="235"/>
      <c r="J2673" s="236"/>
      <c r="K2673" s="236"/>
    </row>
    <row r="2674" spans="2:11">
      <c r="B2674" s="235"/>
      <c r="C2674" s="231"/>
      <c r="D2674" s="231"/>
      <c r="E2674" s="231"/>
      <c r="F2674" s="231"/>
      <c r="G2674" s="231"/>
      <c r="H2674" s="235"/>
      <c r="I2674" s="235"/>
      <c r="J2674" s="236"/>
      <c r="K2674" s="236"/>
    </row>
    <row r="2675" spans="2:11">
      <c r="B2675" s="235"/>
      <c r="C2675" s="231"/>
      <c r="D2675" s="231"/>
      <c r="E2675" s="231"/>
      <c r="F2675" s="231"/>
      <c r="G2675" s="231"/>
      <c r="H2675" s="235"/>
      <c r="I2675" s="235"/>
      <c r="J2675" s="236"/>
      <c r="K2675" s="236"/>
    </row>
    <row r="2676" spans="2:11">
      <c r="B2676" s="235"/>
      <c r="C2676" s="231"/>
      <c r="D2676" s="231"/>
      <c r="E2676" s="231"/>
      <c r="F2676" s="231"/>
      <c r="G2676" s="231"/>
      <c r="H2676" s="235"/>
      <c r="I2676" s="235"/>
      <c r="J2676" s="236"/>
      <c r="K2676" s="236"/>
    </row>
    <row r="2677" spans="2:11">
      <c r="B2677" s="235"/>
      <c r="C2677" s="231"/>
      <c r="D2677" s="231"/>
      <c r="E2677" s="231"/>
      <c r="F2677" s="231"/>
      <c r="G2677" s="231"/>
      <c r="H2677" s="235"/>
      <c r="I2677" s="235"/>
      <c r="J2677" s="236"/>
      <c r="K2677" s="236"/>
    </row>
    <row r="2678" spans="2:11">
      <c r="B2678" s="235"/>
      <c r="C2678" s="231"/>
      <c r="D2678" s="231"/>
      <c r="E2678" s="231"/>
      <c r="F2678" s="231"/>
      <c r="G2678" s="231"/>
      <c r="H2678" s="235"/>
      <c r="I2678" s="235"/>
      <c r="J2678" s="236"/>
      <c r="K2678" s="236"/>
    </row>
    <row r="2679" spans="2:11">
      <c r="B2679" s="235"/>
      <c r="C2679" s="231"/>
      <c r="D2679" s="231"/>
      <c r="E2679" s="231"/>
      <c r="F2679" s="231"/>
      <c r="G2679" s="231"/>
      <c r="H2679" s="235"/>
      <c r="I2679" s="235"/>
      <c r="J2679" s="236"/>
      <c r="K2679" s="236"/>
    </row>
    <row r="2680" spans="2:11">
      <c r="B2680" s="235"/>
      <c r="C2680" s="231"/>
      <c r="D2680" s="231"/>
      <c r="E2680" s="231"/>
      <c r="F2680" s="231"/>
      <c r="G2680" s="231"/>
      <c r="H2680" s="235"/>
      <c r="I2680" s="235"/>
      <c r="J2680" s="236"/>
      <c r="K2680" s="236"/>
    </row>
    <row r="2681" spans="2:11">
      <c r="B2681" s="235"/>
      <c r="C2681" s="231"/>
      <c r="D2681" s="231"/>
      <c r="E2681" s="231"/>
      <c r="F2681" s="231"/>
      <c r="G2681" s="231"/>
      <c r="H2681" s="235"/>
      <c r="I2681" s="235"/>
      <c r="J2681" s="236"/>
      <c r="K2681" s="236"/>
    </row>
    <row r="2682" spans="2:11">
      <c r="B2682" s="235"/>
      <c r="C2682" s="231"/>
      <c r="D2682" s="231"/>
      <c r="E2682" s="231"/>
      <c r="F2682" s="231"/>
      <c r="G2682" s="231"/>
      <c r="H2682" s="235"/>
      <c r="I2682" s="235"/>
      <c r="J2682" s="236"/>
      <c r="K2682" s="236"/>
    </row>
    <row r="2683" spans="2:11">
      <c r="B2683" s="235"/>
      <c r="C2683" s="231"/>
      <c r="D2683" s="231"/>
      <c r="E2683" s="231"/>
      <c r="F2683" s="231"/>
      <c r="G2683" s="231"/>
      <c r="H2683" s="235"/>
      <c r="I2683" s="235"/>
      <c r="J2683" s="236"/>
      <c r="K2683" s="236"/>
    </row>
    <row r="2684" spans="2:11">
      <c r="B2684" s="235"/>
      <c r="C2684" s="231"/>
      <c r="D2684" s="231"/>
      <c r="E2684" s="231"/>
      <c r="F2684" s="231"/>
      <c r="G2684" s="231"/>
      <c r="H2684" s="235"/>
      <c r="I2684" s="235"/>
      <c r="J2684" s="236"/>
      <c r="K2684" s="236"/>
    </row>
    <row r="2685" spans="2:11">
      <c r="B2685" s="235"/>
      <c r="C2685" s="231"/>
      <c r="D2685" s="231"/>
      <c r="E2685" s="231"/>
      <c r="F2685" s="231"/>
      <c r="G2685" s="231"/>
      <c r="H2685" s="235"/>
      <c r="I2685" s="235"/>
      <c r="J2685" s="236"/>
      <c r="K2685" s="236"/>
    </row>
    <row r="2686" spans="2:11">
      <c r="B2686" s="235"/>
      <c r="C2686" s="231"/>
      <c r="D2686" s="231"/>
      <c r="E2686" s="231"/>
      <c r="F2686" s="231"/>
      <c r="G2686" s="231"/>
      <c r="H2686" s="235"/>
      <c r="I2686" s="235"/>
      <c r="J2686" s="236"/>
      <c r="K2686" s="236"/>
    </row>
    <row r="2687" spans="2:11">
      <c r="B2687" s="235"/>
      <c r="C2687" s="231"/>
      <c r="D2687" s="231"/>
      <c r="E2687" s="231"/>
      <c r="F2687" s="231"/>
      <c r="G2687" s="231"/>
      <c r="H2687" s="235"/>
      <c r="I2687" s="235"/>
      <c r="J2687" s="236"/>
      <c r="K2687" s="236"/>
    </row>
    <row r="2688" spans="2:11">
      <c r="B2688" s="235"/>
      <c r="C2688" s="231"/>
      <c r="D2688" s="231"/>
      <c r="E2688" s="231"/>
      <c r="F2688" s="231"/>
      <c r="G2688" s="231"/>
      <c r="H2688" s="235"/>
      <c r="I2688" s="235"/>
      <c r="J2688" s="236"/>
      <c r="K2688" s="236"/>
    </row>
    <row r="2689" spans="2:11">
      <c r="B2689" s="235"/>
      <c r="C2689" s="231"/>
      <c r="D2689" s="231"/>
      <c r="E2689" s="231"/>
      <c r="F2689" s="231"/>
      <c r="G2689" s="231"/>
      <c r="H2689" s="235"/>
      <c r="I2689" s="235"/>
      <c r="J2689" s="236"/>
      <c r="K2689" s="236"/>
    </row>
    <row r="2690" spans="2:11">
      <c r="B2690" s="235"/>
      <c r="C2690" s="231"/>
      <c r="D2690" s="231"/>
      <c r="E2690" s="231"/>
      <c r="F2690" s="231"/>
      <c r="G2690" s="231"/>
      <c r="H2690" s="235"/>
      <c r="I2690" s="235"/>
      <c r="J2690" s="236"/>
      <c r="K2690" s="236"/>
    </row>
    <row r="2691" spans="2:11">
      <c r="B2691" s="235"/>
      <c r="C2691" s="231"/>
      <c r="D2691" s="231"/>
      <c r="E2691" s="231"/>
      <c r="F2691" s="231"/>
      <c r="G2691" s="231"/>
      <c r="H2691" s="235"/>
      <c r="I2691" s="235"/>
      <c r="J2691" s="236"/>
      <c r="K2691" s="236"/>
    </row>
    <row r="2692" spans="2:11">
      <c r="B2692" s="235"/>
      <c r="C2692" s="231"/>
      <c r="D2692" s="231"/>
      <c r="E2692" s="231"/>
      <c r="F2692" s="231"/>
      <c r="G2692" s="231"/>
      <c r="H2692" s="235"/>
      <c r="I2692" s="235"/>
      <c r="J2692" s="236"/>
      <c r="K2692" s="236"/>
    </row>
    <row r="2693" spans="2:11">
      <c r="B2693" s="235"/>
      <c r="C2693" s="231"/>
      <c r="D2693" s="231"/>
      <c r="E2693" s="231"/>
      <c r="F2693" s="231"/>
      <c r="G2693" s="231"/>
      <c r="H2693" s="235"/>
      <c r="I2693" s="235"/>
      <c r="J2693" s="236"/>
      <c r="K2693" s="236"/>
    </row>
    <row r="2694" spans="2:11">
      <c r="B2694" s="235"/>
      <c r="C2694" s="231"/>
      <c r="D2694" s="231"/>
      <c r="E2694" s="231"/>
      <c r="F2694" s="231"/>
      <c r="G2694" s="231"/>
      <c r="H2694" s="235"/>
      <c r="I2694" s="235"/>
      <c r="J2694" s="236"/>
      <c r="K2694" s="236"/>
    </row>
    <row r="2695" spans="2:11">
      <c r="B2695" s="235"/>
      <c r="C2695" s="231"/>
      <c r="D2695" s="231"/>
      <c r="E2695" s="231"/>
      <c r="F2695" s="231"/>
      <c r="G2695" s="231"/>
      <c r="H2695" s="235"/>
      <c r="I2695" s="235"/>
      <c r="J2695" s="236"/>
      <c r="K2695" s="236"/>
    </row>
    <row r="2696" spans="2:11">
      <c r="B2696" s="235"/>
      <c r="C2696" s="231"/>
      <c r="D2696" s="231"/>
      <c r="E2696" s="231"/>
      <c r="F2696" s="231"/>
      <c r="G2696" s="231"/>
      <c r="H2696" s="235"/>
      <c r="I2696" s="235"/>
      <c r="J2696" s="236"/>
      <c r="K2696" s="236"/>
    </row>
    <row r="2697" spans="2:11">
      <c r="B2697" s="235"/>
      <c r="C2697" s="231"/>
      <c r="D2697" s="231"/>
      <c r="E2697" s="231"/>
      <c r="F2697" s="231"/>
      <c r="G2697" s="231"/>
      <c r="H2697" s="235"/>
      <c r="I2697" s="235"/>
      <c r="J2697" s="236"/>
      <c r="K2697" s="236"/>
    </row>
    <row r="2698" spans="2:11">
      <c r="B2698" s="235"/>
      <c r="C2698" s="231"/>
      <c r="D2698" s="231"/>
      <c r="E2698" s="231"/>
      <c r="F2698" s="231"/>
      <c r="G2698" s="231"/>
      <c r="H2698" s="235"/>
      <c r="I2698" s="235"/>
      <c r="J2698" s="236"/>
      <c r="K2698" s="236"/>
    </row>
    <row r="2699" spans="2:11">
      <c r="B2699" s="235"/>
      <c r="C2699" s="231"/>
      <c r="D2699" s="231"/>
      <c r="E2699" s="231"/>
      <c r="F2699" s="231"/>
      <c r="G2699" s="231"/>
      <c r="H2699" s="235"/>
      <c r="I2699" s="235"/>
      <c r="J2699" s="236"/>
      <c r="K2699" s="236"/>
    </row>
    <row r="2700" spans="2:11">
      <c r="B2700" s="235"/>
      <c r="C2700" s="231"/>
      <c r="D2700" s="231"/>
      <c r="E2700" s="231"/>
      <c r="F2700" s="231"/>
      <c r="G2700" s="231"/>
      <c r="H2700" s="235"/>
      <c r="I2700" s="235"/>
      <c r="J2700" s="236"/>
      <c r="K2700" s="236"/>
    </row>
    <row r="2701" spans="2:11">
      <c r="B2701" s="235"/>
      <c r="C2701" s="231"/>
      <c r="D2701" s="231"/>
      <c r="E2701" s="231"/>
      <c r="F2701" s="231"/>
      <c r="G2701" s="231"/>
      <c r="H2701" s="235"/>
      <c r="I2701" s="235"/>
      <c r="J2701" s="236"/>
      <c r="K2701" s="236"/>
    </row>
    <row r="2702" spans="2:11">
      <c r="B2702" s="235"/>
      <c r="C2702" s="231"/>
      <c r="D2702" s="231"/>
      <c r="E2702" s="231"/>
      <c r="F2702" s="231"/>
      <c r="G2702" s="231"/>
      <c r="H2702" s="235"/>
      <c r="I2702" s="235"/>
      <c r="J2702" s="236"/>
      <c r="K2702" s="236"/>
    </row>
    <row r="2703" spans="2:11">
      <c r="B2703" s="235"/>
      <c r="C2703" s="231"/>
      <c r="D2703" s="231"/>
      <c r="E2703" s="231"/>
      <c r="F2703" s="231"/>
      <c r="G2703" s="231"/>
      <c r="H2703" s="235"/>
      <c r="I2703" s="235"/>
      <c r="J2703" s="236"/>
      <c r="K2703" s="236"/>
    </row>
    <row r="2704" spans="2:11">
      <c r="B2704" s="235"/>
      <c r="C2704" s="231"/>
      <c r="D2704" s="231"/>
      <c r="E2704" s="231"/>
      <c r="F2704" s="231"/>
      <c r="G2704" s="231"/>
      <c r="H2704" s="235"/>
      <c r="I2704" s="235"/>
      <c r="J2704" s="236"/>
      <c r="K2704" s="236"/>
    </row>
    <row r="2705" spans="2:11">
      <c r="B2705" s="235"/>
      <c r="C2705" s="231"/>
      <c r="D2705" s="231"/>
      <c r="E2705" s="231"/>
      <c r="F2705" s="231"/>
      <c r="G2705" s="231"/>
      <c r="H2705" s="235"/>
      <c r="I2705" s="235"/>
      <c r="J2705" s="236"/>
      <c r="K2705" s="236"/>
    </row>
    <row r="2706" spans="2:11">
      <c r="B2706" s="235"/>
      <c r="C2706" s="231"/>
      <c r="D2706" s="231"/>
      <c r="E2706" s="231"/>
      <c r="F2706" s="231"/>
      <c r="G2706" s="231"/>
      <c r="H2706" s="235"/>
      <c r="I2706" s="235"/>
      <c r="J2706" s="236"/>
      <c r="K2706" s="236"/>
    </row>
    <row r="2707" spans="2:11">
      <c r="B2707" s="235"/>
      <c r="C2707" s="231"/>
      <c r="D2707" s="231"/>
      <c r="E2707" s="231"/>
      <c r="F2707" s="231"/>
      <c r="G2707" s="231"/>
      <c r="H2707" s="235"/>
      <c r="I2707" s="235"/>
      <c r="J2707" s="236"/>
      <c r="K2707" s="236"/>
    </row>
    <row r="2708" spans="2:11">
      <c r="B2708" s="235"/>
      <c r="C2708" s="231"/>
      <c r="D2708" s="231"/>
      <c r="E2708" s="231"/>
      <c r="F2708" s="231"/>
      <c r="G2708" s="231"/>
      <c r="H2708" s="235"/>
      <c r="I2708" s="235"/>
      <c r="J2708" s="236"/>
      <c r="K2708" s="236"/>
    </row>
    <row r="2709" spans="2:11">
      <c r="B2709" s="235"/>
      <c r="C2709" s="231"/>
      <c r="D2709" s="231"/>
      <c r="E2709" s="231"/>
      <c r="F2709" s="231"/>
      <c r="G2709" s="231"/>
      <c r="H2709" s="235"/>
      <c r="I2709" s="235"/>
      <c r="J2709" s="236"/>
      <c r="K2709" s="236"/>
    </row>
    <row r="2710" spans="2:11">
      <c r="B2710" s="235"/>
      <c r="C2710" s="231"/>
      <c r="D2710" s="231"/>
      <c r="E2710" s="231"/>
      <c r="F2710" s="231"/>
      <c r="G2710" s="231"/>
      <c r="H2710" s="235"/>
      <c r="I2710" s="235"/>
      <c r="J2710" s="236"/>
      <c r="K2710" s="236"/>
    </row>
    <row r="2711" spans="2:11">
      <c r="B2711" s="235"/>
      <c r="C2711" s="231"/>
      <c r="D2711" s="231"/>
      <c r="E2711" s="231"/>
      <c r="F2711" s="231"/>
      <c r="G2711" s="231"/>
      <c r="H2711" s="235"/>
      <c r="I2711" s="235"/>
      <c r="J2711" s="236"/>
      <c r="K2711" s="236"/>
    </row>
    <row r="2712" spans="2:11">
      <c r="B2712" s="235"/>
      <c r="C2712" s="231"/>
      <c r="D2712" s="231"/>
      <c r="E2712" s="231"/>
      <c r="F2712" s="231"/>
      <c r="G2712" s="231"/>
      <c r="H2712" s="235"/>
      <c r="I2712" s="235"/>
      <c r="J2712" s="236"/>
      <c r="K2712" s="236"/>
    </row>
    <row r="2713" spans="2:11">
      <c r="B2713" s="235"/>
      <c r="C2713" s="231"/>
      <c r="D2713" s="231"/>
      <c r="E2713" s="231"/>
      <c r="F2713" s="231"/>
      <c r="G2713" s="231"/>
      <c r="H2713" s="235"/>
      <c r="I2713" s="235"/>
      <c r="J2713" s="236"/>
      <c r="K2713" s="236"/>
    </row>
    <row r="2714" spans="2:11">
      <c r="B2714" s="235"/>
      <c r="C2714" s="231"/>
      <c r="D2714" s="231"/>
      <c r="E2714" s="231"/>
      <c r="F2714" s="231"/>
      <c r="G2714" s="231"/>
      <c r="H2714" s="235"/>
      <c r="I2714" s="235"/>
      <c r="J2714" s="236"/>
      <c r="K2714" s="236"/>
    </row>
    <row r="2715" spans="2:11">
      <c r="B2715" s="235"/>
      <c r="C2715" s="231"/>
      <c r="D2715" s="231"/>
      <c r="E2715" s="231"/>
      <c r="F2715" s="231"/>
      <c r="G2715" s="231"/>
      <c r="H2715" s="235"/>
      <c r="I2715" s="235"/>
      <c r="J2715" s="236"/>
      <c r="K2715" s="236"/>
    </row>
    <row r="2716" spans="2:11">
      <c r="B2716" s="235"/>
      <c r="C2716" s="231"/>
      <c r="D2716" s="231"/>
      <c r="E2716" s="231"/>
      <c r="F2716" s="231"/>
      <c r="G2716" s="231"/>
      <c r="H2716" s="235"/>
      <c r="I2716" s="235"/>
      <c r="J2716" s="236"/>
      <c r="K2716" s="236"/>
    </row>
    <row r="2717" spans="2:11">
      <c r="B2717" s="235"/>
      <c r="C2717" s="231"/>
      <c r="D2717" s="231"/>
      <c r="E2717" s="231"/>
      <c r="F2717" s="231"/>
      <c r="G2717" s="231"/>
      <c r="H2717" s="235"/>
      <c r="I2717" s="235"/>
      <c r="J2717" s="236"/>
      <c r="K2717" s="236"/>
    </row>
    <row r="2718" spans="2:11">
      <c r="B2718" s="235"/>
      <c r="C2718" s="231"/>
      <c r="D2718" s="231"/>
      <c r="E2718" s="231"/>
      <c r="F2718" s="231"/>
      <c r="G2718" s="231"/>
      <c r="H2718" s="235"/>
      <c r="I2718" s="235"/>
      <c r="J2718" s="236"/>
      <c r="K2718" s="236"/>
    </row>
    <row r="2719" spans="2:11">
      <c r="B2719" s="235"/>
      <c r="C2719" s="231"/>
      <c r="D2719" s="231"/>
      <c r="E2719" s="231"/>
      <c r="F2719" s="231"/>
      <c r="G2719" s="231"/>
      <c r="H2719" s="235"/>
      <c r="I2719" s="235"/>
      <c r="J2719" s="236"/>
      <c r="K2719" s="236"/>
    </row>
    <row r="2720" spans="2:11">
      <c r="B2720" s="235"/>
      <c r="C2720" s="231"/>
      <c r="D2720" s="231"/>
      <c r="E2720" s="231"/>
      <c r="F2720" s="231"/>
      <c r="G2720" s="231"/>
      <c r="H2720" s="235"/>
      <c r="I2720" s="235"/>
      <c r="J2720" s="236"/>
      <c r="K2720" s="236"/>
    </row>
    <row r="2721" spans="2:11">
      <c r="B2721" s="235"/>
      <c r="C2721" s="231"/>
      <c r="D2721" s="231"/>
      <c r="E2721" s="231"/>
      <c r="F2721" s="231"/>
      <c r="G2721" s="231"/>
      <c r="H2721" s="235"/>
      <c r="I2721" s="235"/>
      <c r="J2721" s="236"/>
      <c r="K2721" s="236"/>
    </row>
    <row r="2722" spans="2:11">
      <c r="B2722" s="235"/>
      <c r="C2722" s="231"/>
      <c r="D2722" s="231"/>
      <c r="E2722" s="231"/>
      <c r="F2722" s="231"/>
      <c r="G2722" s="231"/>
      <c r="H2722" s="235"/>
      <c r="I2722" s="235"/>
      <c r="J2722" s="236"/>
      <c r="K2722" s="236"/>
    </row>
    <row r="2723" spans="2:11">
      <c r="B2723" s="235"/>
      <c r="C2723" s="231"/>
      <c r="D2723" s="231"/>
      <c r="E2723" s="231"/>
      <c r="F2723" s="231"/>
      <c r="G2723" s="231"/>
      <c r="H2723" s="235"/>
      <c r="I2723" s="235"/>
      <c r="J2723" s="236"/>
      <c r="K2723" s="236"/>
    </row>
    <row r="2724" spans="2:11">
      <c r="B2724" s="235"/>
      <c r="C2724" s="231"/>
      <c r="D2724" s="231"/>
      <c r="E2724" s="231"/>
      <c r="F2724" s="231"/>
      <c r="G2724" s="231"/>
      <c r="H2724" s="235"/>
      <c r="I2724" s="235"/>
      <c r="J2724" s="236"/>
      <c r="K2724" s="236"/>
    </row>
    <row r="2725" spans="2:11">
      <c r="B2725" s="235"/>
      <c r="C2725" s="231"/>
      <c r="D2725" s="231"/>
      <c r="E2725" s="231"/>
      <c r="F2725" s="231"/>
      <c r="G2725" s="231"/>
      <c r="H2725" s="235"/>
      <c r="I2725" s="235"/>
      <c r="J2725" s="236"/>
      <c r="K2725" s="236"/>
    </row>
    <row r="2726" spans="2:11">
      <c r="B2726" s="235"/>
      <c r="C2726" s="231"/>
      <c r="D2726" s="231"/>
      <c r="E2726" s="231"/>
      <c r="F2726" s="231"/>
      <c r="G2726" s="231"/>
      <c r="H2726" s="235"/>
      <c r="I2726" s="235"/>
      <c r="J2726" s="236"/>
      <c r="K2726" s="236"/>
    </row>
    <row r="2727" spans="2:11">
      <c r="B2727" s="235"/>
      <c r="C2727" s="231"/>
      <c r="D2727" s="231"/>
      <c r="E2727" s="231"/>
      <c r="F2727" s="231"/>
      <c r="G2727" s="231"/>
      <c r="H2727" s="235"/>
      <c r="I2727" s="235"/>
      <c r="J2727" s="236"/>
      <c r="K2727" s="236"/>
    </row>
    <row r="2728" spans="2:11">
      <c r="B2728" s="235"/>
      <c r="C2728" s="231"/>
      <c r="D2728" s="231"/>
      <c r="E2728" s="231"/>
      <c r="F2728" s="231"/>
      <c r="G2728" s="231"/>
      <c r="H2728" s="235"/>
      <c r="I2728" s="235"/>
      <c r="J2728" s="236"/>
      <c r="K2728" s="236"/>
    </row>
    <row r="2729" spans="2:11">
      <c r="B2729" s="235"/>
      <c r="C2729" s="231"/>
      <c r="D2729" s="231"/>
      <c r="E2729" s="231"/>
      <c r="F2729" s="231"/>
      <c r="G2729" s="231"/>
      <c r="H2729" s="235"/>
      <c r="I2729" s="235"/>
      <c r="J2729" s="236"/>
      <c r="K2729" s="236"/>
    </row>
    <row r="2730" spans="2:11">
      <c r="B2730" s="235"/>
      <c r="C2730" s="231"/>
      <c r="D2730" s="231"/>
      <c r="E2730" s="231"/>
      <c r="F2730" s="231"/>
      <c r="G2730" s="231"/>
      <c r="H2730" s="235"/>
      <c r="I2730" s="235"/>
      <c r="J2730" s="236"/>
      <c r="K2730" s="236"/>
    </row>
    <row r="2731" spans="2:11">
      <c r="B2731" s="235"/>
      <c r="C2731" s="231"/>
      <c r="D2731" s="231"/>
      <c r="E2731" s="231"/>
      <c r="F2731" s="231"/>
      <c r="G2731" s="231"/>
      <c r="H2731" s="235"/>
      <c r="I2731" s="235"/>
      <c r="J2731" s="236"/>
      <c r="K2731" s="236"/>
    </row>
    <row r="2732" spans="2:11">
      <c r="B2732" s="235"/>
      <c r="C2732" s="231"/>
      <c r="D2732" s="231"/>
      <c r="E2732" s="231"/>
      <c r="F2732" s="231"/>
      <c r="G2732" s="231"/>
      <c r="H2732" s="235"/>
      <c r="I2732" s="235"/>
      <c r="J2732" s="236"/>
      <c r="K2732" s="236"/>
    </row>
    <row r="2733" spans="2:11">
      <c r="B2733" s="235"/>
      <c r="C2733" s="231"/>
      <c r="D2733" s="231"/>
      <c r="E2733" s="231"/>
      <c r="F2733" s="231"/>
      <c r="G2733" s="231"/>
      <c r="H2733" s="235"/>
      <c r="I2733" s="235"/>
      <c r="J2733" s="236"/>
      <c r="K2733" s="236"/>
    </row>
    <row r="2734" spans="2:11">
      <c r="B2734" s="235"/>
      <c r="C2734" s="231"/>
      <c r="D2734" s="231"/>
      <c r="E2734" s="231"/>
      <c r="F2734" s="231"/>
      <c r="G2734" s="231"/>
      <c r="H2734" s="235"/>
      <c r="I2734" s="235"/>
      <c r="J2734" s="236"/>
      <c r="K2734" s="236"/>
    </row>
    <row r="2735" spans="2:11">
      <c r="B2735" s="235"/>
      <c r="C2735" s="231"/>
      <c r="D2735" s="231"/>
      <c r="E2735" s="231"/>
      <c r="F2735" s="231"/>
      <c r="G2735" s="231"/>
      <c r="H2735" s="235"/>
      <c r="I2735" s="235"/>
      <c r="J2735" s="236"/>
      <c r="K2735" s="236"/>
    </row>
    <row r="2736" spans="2:11">
      <c r="B2736" s="235"/>
      <c r="C2736" s="231"/>
      <c r="D2736" s="231"/>
      <c r="E2736" s="231"/>
      <c r="F2736" s="231"/>
      <c r="G2736" s="231"/>
      <c r="H2736" s="235"/>
      <c r="I2736" s="235"/>
      <c r="J2736" s="236"/>
      <c r="K2736" s="236"/>
    </row>
    <row r="2737" spans="2:11">
      <c r="B2737" s="235"/>
      <c r="C2737" s="231"/>
      <c r="D2737" s="231"/>
      <c r="E2737" s="231"/>
      <c r="F2737" s="231"/>
      <c r="G2737" s="231"/>
      <c r="H2737" s="235"/>
      <c r="I2737" s="235"/>
      <c r="J2737" s="236"/>
      <c r="K2737" s="236"/>
    </row>
    <row r="2738" spans="2:11">
      <c r="B2738" s="235"/>
      <c r="C2738" s="231"/>
      <c r="D2738" s="231"/>
      <c r="E2738" s="231"/>
      <c r="F2738" s="231"/>
      <c r="G2738" s="231"/>
      <c r="H2738" s="235"/>
      <c r="I2738" s="235"/>
      <c r="J2738" s="236"/>
      <c r="K2738" s="236"/>
    </row>
    <row r="2739" spans="2:11">
      <c r="B2739" s="235"/>
      <c r="C2739" s="231"/>
      <c r="D2739" s="231"/>
      <c r="E2739" s="231"/>
      <c r="F2739" s="231"/>
      <c r="G2739" s="231"/>
      <c r="H2739" s="235"/>
      <c r="I2739" s="235"/>
      <c r="J2739" s="236"/>
      <c r="K2739" s="236"/>
    </row>
    <row r="2740" spans="2:11">
      <c r="B2740" s="235"/>
      <c r="C2740" s="231"/>
      <c r="D2740" s="231"/>
      <c r="E2740" s="231"/>
      <c r="F2740" s="231"/>
      <c r="G2740" s="231"/>
      <c r="H2740" s="235"/>
      <c r="I2740" s="235"/>
      <c r="J2740" s="236"/>
      <c r="K2740" s="236"/>
    </row>
    <row r="2741" spans="2:11">
      <c r="B2741" s="235"/>
      <c r="C2741" s="231"/>
      <c r="D2741" s="231"/>
      <c r="E2741" s="231"/>
      <c r="F2741" s="231"/>
      <c r="G2741" s="231"/>
      <c r="H2741" s="235"/>
      <c r="I2741" s="235"/>
      <c r="J2741" s="236"/>
      <c r="K2741" s="236"/>
    </row>
    <row r="2742" spans="2:11">
      <c r="B2742" s="235"/>
      <c r="C2742" s="231"/>
      <c r="D2742" s="231"/>
      <c r="E2742" s="231"/>
      <c r="F2742" s="231"/>
      <c r="G2742" s="231"/>
      <c r="H2742" s="235"/>
      <c r="I2742" s="235"/>
      <c r="J2742" s="236"/>
      <c r="K2742" s="236"/>
    </row>
    <row r="2743" spans="2:11">
      <c r="B2743" s="235"/>
      <c r="C2743" s="231"/>
      <c r="D2743" s="231"/>
      <c r="E2743" s="231"/>
      <c r="F2743" s="231"/>
      <c r="G2743" s="231"/>
      <c r="H2743" s="235"/>
      <c r="I2743" s="235"/>
      <c r="J2743" s="236"/>
      <c r="K2743" s="236"/>
    </row>
    <row r="2744" spans="2:11">
      <c r="B2744" s="235"/>
      <c r="C2744" s="231"/>
      <c r="D2744" s="231"/>
      <c r="E2744" s="231"/>
      <c r="F2744" s="231"/>
      <c r="G2744" s="231"/>
      <c r="H2744" s="235"/>
      <c r="I2744" s="235"/>
      <c r="J2744" s="236"/>
      <c r="K2744" s="236"/>
    </row>
    <row r="2745" spans="2:11">
      <c r="B2745" s="235"/>
      <c r="C2745" s="231"/>
      <c r="D2745" s="231"/>
      <c r="E2745" s="231"/>
      <c r="F2745" s="231"/>
      <c r="G2745" s="231"/>
      <c r="H2745" s="235"/>
      <c r="I2745" s="235"/>
      <c r="J2745" s="236"/>
      <c r="K2745" s="236"/>
    </row>
    <row r="2746" spans="2:11">
      <c r="B2746" s="235"/>
      <c r="C2746" s="231"/>
      <c r="D2746" s="231"/>
      <c r="E2746" s="231"/>
      <c r="F2746" s="231"/>
      <c r="G2746" s="231"/>
      <c r="H2746" s="235"/>
      <c r="I2746" s="235"/>
      <c r="J2746" s="236"/>
      <c r="K2746" s="236"/>
    </row>
    <row r="2747" spans="2:11">
      <c r="B2747" s="235"/>
      <c r="C2747" s="231"/>
      <c r="D2747" s="231"/>
      <c r="E2747" s="231"/>
      <c r="F2747" s="231"/>
      <c r="G2747" s="231"/>
      <c r="H2747" s="235"/>
      <c r="I2747" s="235"/>
      <c r="J2747" s="236"/>
      <c r="K2747" s="236"/>
    </row>
    <row r="2748" spans="2:11">
      <c r="B2748" s="235"/>
      <c r="C2748" s="231"/>
      <c r="D2748" s="231"/>
      <c r="E2748" s="231"/>
      <c r="F2748" s="231"/>
      <c r="G2748" s="231"/>
      <c r="H2748" s="235"/>
      <c r="I2748" s="235"/>
      <c r="J2748" s="236"/>
      <c r="K2748" s="236"/>
    </row>
    <row r="2749" spans="2:11">
      <c r="B2749" s="235"/>
      <c r="C2749" s="231"/>
      <c r="D2749" s="231"/>
      <c r="E2749" s="231"/>
      <c r="F2749" s="231"/>
      <c r="G2749" s="231"/>
      <c r="H2749" s="235"/>
      <c r="I2749" s="235"/>
      <c r="J2749" s="236"/>
      <c r="K2749" s="236"/>
    </row>
    <row r="2750" spans="2:11">
      <c r="B2750" s="235"/>
      <c r="C2750" s="231"/>
      <c r="D2750" s="231"/>
      <c r="E2750" s="231"/>
      <c r="F2750" s="231"/>
      <c r="G2750" s="231"/>
      <c r="H2750" s="235"/>
      <c r="I2750" s="235"/>
      <c r="J2750" s="236"/>
      <c r="K2750" s="236"/>
    </row>
    <row r="2751" spans="2:11">
      <c r="B2751" s="235"/>
      <c r="C2751" s="231"/>
      <c r="D2751" s="231"/>
      <c r="E2751" s="231"/>
      <c r="F2751" s="231"/>
      <c r="G2751" s="231"/>
      <c r="H2751" s="235"/>
      <c r="I2751" s="235"/>
      <c r="J2751" s="236"/>
      <c r="K2751" s="236"/>
    </row>
    <row r="2752" spans="2:11">
      <c r="B2752" s="235"/>
      <c r="C2752" s="231"/>
      <c r="D2752" s="231"/>
      <c r="E2752" s="231"/>
      <c r="F2752" s="231"/>
      <c r="G2752" s="231"/>
      <c r="H2752" s="235"/>
      <c r="I2752" s="235"/>
      <c r="J2752" s="236"/>
      <c r="K2752" s="236"/>
    </row>
    <row r="2753" spans="2:11">
      <c r="B2753" s="235"/>
      <c r="C2753" s="231"/>
      <c r="D2753" s="231"/>
      <c r="E2753" s="231"/>
      <c r="F2753" s="231"/>
      <c r="G2753" s="231"/>
      <c r="H2753" s="235"/>
      <c r="I2753" s="235"/>
      <c r="J2753" s="236"/>
      <c r="K2753" s="236"/>
    </row>
    <row r="2754" spans="2:11">
      <c r="B2754" s="235"/>
      <c r="C2754" s="231"/>
      <c r="D2754" s="231"/>
      <c r="E2754" s="231"/>
      <c r="F2754" s="231"/>
      <c r="G2754" s="231"/>
      <c r="H2754" s="235"/>
      <c r="I2754" s="235"/>
      <c r="J2754" s="236"/>
      <c r="K2754" s="236"/>
    </row>
    <row r="2755" spans="2:11">
      <c r="B2755" s="235"/>
      <c r="C2755" s="231"/>
      <c r="D2755" s="231"/>
      <c r="E2755" s="231"/>
      <c r="F2755" s="231"/>
      <c r="G2755" s="231"/>
      <c r="H2755" s="235"/>
      <c r="I2755" s="235"/>
      <c r="J2755" s="236"/>
      <c r="K2755" s="236"/>
    </row>
    <row r="2756" spans="2:11">
      <c r="B2756" s="235"/>
      <c r="C2756" s="231"/>
      <c r="D2756" s="231"/>
      <c r="E2756" s="231"/>
      <c r="F2756" s="231"/>
      <c r="G2756" s="231"/>
      <c r="H2756" s="235"/>
      <c r="I2756" s="235"/>
      <c r="J2756" s="236"/>
      <c r="K2756" s="236"/>
    </row>
    <row r="2757" spans="2:11">
      <c r="B2757" s="235"/>
      <c r="C2757" s="231"/>
      <c r="D2757" s="231"/>
      <c r="E2757" s="231"/>
      <c r="F2757" s="231"/>
      <c r="G2757" s="231"/>
      <c r="H2757" s="235"/>
      <c r="I2757" s="235"/>
      <c r="J2757" s="236"/>
      <c r="K2757" s="236"/>
    </row>
    <row r="2758" spans="2:11">
      <c r="B2758" s="235"/>
      <c r="C2758" s="231"/>
      <c r="D2758" s="231"/>
      <c r="E2758" s="231"/>
      <c r="F2758" s="231"/>
      <c r="G2758" s="231"/>
      <c r="H2758" s="235"/>
      <c r="I2758" s="235"/>
      <c r="J2758" s="236"/>
      <c r="K2758" s="236"/>
    </row>
    <row r="2759" spans="2:11">
      <c r="B2759" s="235"/>
      <c r="C2759" s="231"/>
      <c r="D2759" s="231"/>
      <c r="E2759" s="231"/>
      <c r="F2759" s="231"/>
      <c r="G2759" s="231"/>
      <c r="H2759" s="235"/>
      <c r="I2759" s="235"/>
      <c r="J2759" s="236"/>
      <c r="K2759" s="236"/>
    </row>
    <row r="2760" spans="2:11">
      <c r="B2760" s="235"/>
      <c r="C2760" s="231"/>
      <c r="D2760" s="231"/>
      <c r="E2760" s="231"/>
      <c r="F2760" s="231"/>
      <c r="G2760" s="231"/>
      <c r="H2760" s="235"/>
      <c r="I2760" s="235"/>
      <c r="J2760" s="236"/>
      <c r="K2760" s="236"/>
    </row>
    <row r="2761" spans="2:11">
      <c r="B2761" s="235"/>
      <c r="C2761" s="231"/>
      <c r="D2761" s="231"/>
      <c r="E2761" s="231"/>
      <c r="F2761" s="231"/>
      <c r="G2761" s="231"/>
      <c r="H2761" s="235"/>
      <c r="I2761" s="235"/>
      <c r="J2761" s="236"/>
      <c r="K2761" s="236"/>
    </row>
    <row r="2762" spans="2:11">
      <c r="B2762" s="235"/>
      <c r="C2762" s="231"/>
      <c r="D2762" s="231"/>
      <c r="E2762" s="231"/>
      <c r="F2762" s="231"/>
      <c r="G2762" s="231"/>
      <c r="H2762" s="235"/>
      <c r="I2762" s="235"/>
      <c r="J2762" s="236"/>
      <c r="K2762" s="236"/>
    </row>
    <row r="2763" spans="2:11">
      <c r="B2763" s="235"/>
      <c r="C2763" s="231"/>
      <c r="D2763" s="231"/>
      <c r="E2763" s="231"/>
      <c r="F2763" s="231"/>
      <c r="G2763" s="231"/>
      <c r="H2763" s="235"/>
      <c r="I2763" s="235"/>
      <c r="J2763" s="236"/>
      <c r="K2763" s="236"/>
    </row>
    <row r="2764" spans="2:11">
      <c r="B2764" s="235"/>
      <c r="C2764" s="231"/>
      <c r="D2764" s="231"/>
      <c r="E2764" s="231"/>
      <c r="F2764" s="231"/>
      <c r="G2764" s="231"/>
      <c r="H2764" s="235"/>
      <c r="I2764" s="235"/>
      <c r="J2764" s="236"/>
      <c r="K2764" s="236"/>
    </row>
    <row r="2765" spans="2:11">
      <c r="B2765" s="235"/>
      <c r="C2765" s="231"/>
      <c r="D2765" s="231"/>
      <c r="E2765" s="231"/>
      <c r="F2765" s="231"/>
      <c r="G2765" s="231"/>
      <c r="H2765" s="235"/>
      <c r="I2765" s="235"/>
      <c r="J2765" s="236"/>
      <c r="K2765" s="236"/>
    </row>
    <row r="2766" spans="2:11">
      <c r="B2766" s="235"/>
      <c r="C2766" s="231"/>
      <c r="D2766" s="231"/>
      <c r="E2766" s="231"/>
      <c r="F2766" s="231"/>
      <c r="G2766" s="231"/>
      <c r="H2766" s="235"/>
      <c r="I2766" s="235"/>
      <c r="J2766" s="236"/>
      <c r="K2766" s="236"/>
    </row>
    <row r="2767" spans="2:11">
      <c r="B2767" s="235"/>
      <c r="C2767" s="231"/>
      <c r="D2767" s="231"/>
      <c r="E2767" s="231"/>
      <c r="F2767" s="231"/>
      <c r="G2767" s="231"/>
      <c r="H2767" s="235"/>
      <c r="I2767" s="235"/>
      <c r="J2767" s="236"/>
      <c r="K2767" s="236"/>
    </row>
    <row r="2768" spans="2:11">
      <c r="B2768" s="235"/>
      <c r="C2768" s="231"/>
      <c r="D2768" s="231"/>
      <c r="E2768" s="231"/>
      <c r="F2768" s="231"/>
      <c r="G2768" s="231"/>
      <c r="H2768" s="235"/>
      <c r="I2768" s="235"/>
      <c r="J2768" s="236"/>
      <c r="K2768" s="236"/>
    </row>
    <row r="2769" spans="2:11">
      <c r="B2769" s="235"/>
      <c r="C2769" s="231"/>
      <c r="D2769" s="231"/>
      <c r="E2769" s="231"/>
      <c r="F2769" s="231"/>
      <c r="G2769" s="231"/>
      <c r="H2769" s="235"/>
      <c r="I2769" s="235"/>
      <c r="J2769" s="236"/>
      <c r="K2769" s="236"/>
    </row>
    <row r="2770" spans="2:11">
      <c r="B2770" s="235"/>
      <c r="C2770" s="231"/>
      <c r="D2770" s="231"/>
      <c r="E2770" s="231"/>
      <c r="F2770" s="231"/>
      <c r="G2770" s="231"/>
      <c r="H2770" s="235"/>
      <c r="I2770" s="235"/>
      <c r="J2770" s="236"/>
      <c r="K2770" s="236"/>
    </row>
    <row r="2771" spans="2:11">
      <c r="B2771" s="235"/>
      <c r="C2771" s="231"/>
      <c r="D2771" s="231"/>
      <c r="E2771" s="231"/>
      <c r="F2771" s="231"/>
      <c r="G2771" s="231"/>
      <c r="H2771" s="235"/>
      <c r="I2771" s="235"/>
      <c r="J2771" s="236"/>
      <c r="K2771" s="236"/>
    </row>
    <row r="2772" spans="2:11">
      <c r="B2772" s="235"/>
      <c r="C2772" s="231"/>
      <c r="D2772" s="231"/>
      <c r="E2772" s="231"/>
      <c r="F2772" s="231"/>
      <c r="G2772" s="231"/>
      <c r="H2772" s="235"/>
      <c r="I2772" s="235"/>
      <c r="J2772" s="236"/>
      <c r="K2772" s="236"/>
    </row>
    <row r="2773" spans="2:11">
      <c r="B2773" s="235"/>
      <c r="C2773" s="231"/>
      <c r="D2773" s="231"/>
      <c r="E2773" s="231"/>
      <c r="F2773" s="231"/>
      <c r="G2773" s="231"/>
      <c r="H2773" s="235"/>
      <c r="I2773" s="235"/>
      <c r="J2773" s="236"/>
      <c r="K2773" s="236"/>
    </row>
    <row r="2774" spans="2:11">
      <c r="B2774" s="235"/>
      <c r="C2774" s="231"/>
      <c r="D2774" s="231"/>
      <c r="E2774" s="231"/>
      <c r="F2774" s="231"/>
      <c r="G2774" s="231"/>
      <c r="H2774" s="235"/>
      <c r="I2774" s="235"/>
      <c r="J2774" s="236"/>
      <c r="K2774" s="236"/>
    </row>
    <row r="2775" spans="2:11">
      <c r="B2775" s="235"/>
      <c r="C2775" s="231"/>
      <c r="D2775" s="231"/>
      <c r="E2775" s="231"/>
      <c r="F2775" s="231"/>
      <c r="G2775" s="231"/>
      <c r="H2775" s="235"/>
      <c r="I2775" s="235"/>
      <c r="J2775" s="236"/>
      <c r="K2775" s="236"/>
    </row>
    <row r="2776" spans="2:11">
      <c r="B2776" s="235"/>
      <c r="C2776" s="231"/>
      <c r="D2776" s="231"/>
      <c r="E2776" s="231"/>
      <c r="F2776" s="231"/>
      <c r="G2776" s="231"/>
      <c r="H2776" s="235"/>
      <c r="I2776" s="235"/>
      <c r="J2776" s="236"/>
      <c r="K2776" s="236"/>
    </row>
    <row r="2777" spans="2:11">
      <c r="B2777" s="235"/>
      <c r="C2777" s="231"/>
      <c r="D2777" s="231"/>
      <c r="E2777" s="231"/>
      <c r="F2777" s="231"/>
      <c r="G2777" s="231"/>
      <c r="H2777" s="235"/>
      <c r="I2777" s="235"/>
      <c r="J2777" s="236"/>
      <c r="K2777" s="236"/>
    </row>
    <row r="2778" spans="2:11">
      <c r="B2778" s="235"/>
      <c r="C2778" s="231"/>
      <c r="D2778" s="231"/>
      <c r="E2778" s="231"/>
      <c r="F2778" s="231"/>
      <c r="G2778" s="231"/>
      <c r="H2778" s="235"/>
      <c r="I2778" s="235"/>
      <c r="J2778" s="236"/>
      <c r="K2778" s="236"/>
    </row>
    <row r="2779" spans="2:11">
      <c r="B2779" s="235"/>
      <c r="C2779" s="231"/>
      <c r="D2779" s="231"/>
      <c r="E2779" s="231"/>
      <c r="F2779" s="231"/>
      <c r="G2779" s="231"/>
      <c r="H2779" s="235"/>
      <c r="I2779" s="235"/>
      <c r="J2779" s="236"/>
      <c r="K2779" s="236"/>
    </row>
    <row r="2780" spans="2:11">
      <c r="B2780" s="235"/>
      <c r="C2780" s="231"/>
      <c r="D2780" s="231"/>
      <c r="E2780" s="231"/>
      <c r="F2780" s="231"/>
      <c r="G2780" s="231"/>
      <c r="H2780" s="235"/>
      <c r="I2780" s="235"/>
      <c r="J2780" s="236"/>
      <c r="K2780" s="236"/>
    </row>
    <row r="2781" spans="2:11">
      <c r="B2781" s="235"/>
      <c r="C2781" s="231"/>
      <c r="D2781" s="231"/>
      <c r="E2781" s="231"/>
      <c r="F2781" s="231"/>
      <c r="G2781" s="231"/>
      <c r="H2781" s="235"/>
      <c r="I2781" s="235"/>
      <c r="J2781" s="236"/>
      <c r="K2781" s="236"/>
    </row>
    <row r="2782" spans="2:11">
      <c r="B2782" s="235"/>
      <c r="C2782" s="231"/>
      <c r="D2782" s="231"/>
      <c r="E2782" s="231"/>
      <c r="F2782" s="231"/>
      <c r="G2782" s="231"/>
      <c r="H2782" s="235"/>
      <c r="I2782" s="235"/>
      <c r="J2782" s="236"/>
      <c r="K2782" s="236"/>
    </row>
    <row r="2783" spans="2:11">
      <c r="B2783" s="235"/>
      <c r="C2783" s="231"/>
      <c r="D2783" s="231"/>
      <c r="E2783" s="231"/>
      <c r="F2783" s="231"/>
      <c r="G2783" s="231"/>
      <c r="H2783" s="235"/>
      <c r="I2783" s="235"/>
      <c r="J2783" s="236"/>
      <c r="K2783" s="236"/>
    </row>
    <row r="2784" spans="2:11">
      <c r="B2784" s="235"/>
      <c r="C2784" s="231"/>
      <c r="D2784" s="231"/>
      <c r="E2784" s="231"/>
      <c r="F2784" s="231"/>
      <c r="G2784" s="231"/>
      <c r="H2784" s="235"/>
      <c r="I2784" s="235"/>
      <c r="J2784" s="236"/>
      <c r="K2784" s="236"/>
    </row>
    <row r="2785" spans="2:11">
      <c r="B2785" s="235"/>
      <c r="C2785" s="231"/>
      <c r="D2785" s="231"/>
      <c r="E2785" s="231"/>
      <c r="F2785" s="231"/>
      <c r="G2785" s="231"/>
      <c r="H2785" s="235"/>
      <c r="I2785" s="235"/>
      <c r="J2785" s="236"/>
      <c r="K2785" s="236"/>
    </row>
    <row r="2786" spans="2:11">
      <c r="B2786" s="235"/>
      <c r="C2786" s="231"/>
      <c r="D2786" s="231"/>
      <c r="E2786" s="231"/>
      <c r="F2786" s="231"/>
      <c r="G2786" s="231"/>
      <c r="H2786" s="235"/>
      <c r="I2786" s="235"/>
      <c r="J2786" s="236"/>
      <c r="K2786" s="236"/>
    </row>
    <row r="2787" spans="2:11">
      <c r="B2787" s="235"/>
      <c r="C2787" s="231"/>
      <c r="D2787" s="231"/>
      <c r="E2787" s="231"/>
      <c r="F2787" s="231"/>
      <c r="G2787" s="231"/>
      <c r="H2787" s="235"/>
      <c r="I2787" s="235"/>
      <c r="J2787" s="236"/>
      <c r="K2787" s="236"/>
    </row>
    <row r="2788" spans="2:11">
      <c r="B2788" s="235"/>
      <c r="C2788" s="231"/>
      <c r="D2788" s="231"/>
      <c r="E2788" s="231"/>
      <c r="F2788" s="231"/>
      <c r="G2788" s="231"/>
      <c r="H2788" s="235"/>
      <c r="I2788" s="235"/>
      <c r="J2788" s="236"/>
      <c r="K2788" s="236"/>
    </row>
    <row r="2789" spans="2:11">
      <c r="B2789" s="235"/>
      <c r="C2789" s="231"/>
      <c r="D2789" s="231"/>
      <c r="E2789" s="231"/>
      <c r="F2789" s="231"/>
      <c r="G2789" s="231"/>
      <c r="H2789" s="235"/>
      <c r="I2789" s="235"/>
      <c r="J2789" s="236"/>
      <c r="K2789" s="236"/>
    </row>
    <row r="2790" spans="2:11">
      <c r="B2790" s="235"/>
      <c r="C2790" s="231"/>
      <c r="D2790" s="231"/>
      <c r="E2790" s="231"/>
      <c r="F2790" s="231"/>
      <c r="G2790" s="231"/>
      <c r="H2790" s="235"/>
      <c r="I2790" s="235"/>
      <c r="J2790" s="236"/>
      <c r="K2790" s="236"/>
    </row>
    <row r="2791" spans="2:11">
      <c r="B2791" s="235"/>
      <c r="C2791" s="231"/>
      <c r="D2791" s="231"/>
      <c r="E2791" s="231"/>
      <c r="F2791" s="231"/>
      <c r="G2791" s="231"/>
      <c r="H2791" s="235"/>
      <c r="I2791" s="235"/>
      <c r="J2791" s="236"/>
      <c r="K2791" s="236"/>
    </row>
    <row r="2792" spans="2:11">
      <c r="B2792" s="235"/>
      <c r="C2792" s="231"/>
      <c r="D2792" s="231"/>
      <c r="E2792" s="231"/>
      <c r="F2792" s="231"/>
      <c r="G2792" s="231"/>
      <c r="H2792" s="235"/>
      <c r="I2792" s="235"/>
      <c r="J2792" s="236"/>
      <c r="K2792" s="236"/>
    </row>
    <row r="2793" spans="2:11">
      <c r="B2793" s="235"/>
      <c r="C2793" s="231"/>
      <c r="D2793" s="231"/>
      <c r="E2793" s="231"/>
      <c r="F2793" s="231"/>
      <c r="G2793" s="231"/>
      <c r="H2793" s="235"/>
      <c r="I2793" s="235"/>
      <c r="J2793" s="236"/>
      <c r="K2793" s="236"/>
    </row>
    <row r="2794" spans="2:11">
      <c r="B2794" s="235"/>
      <c r="C2794" s="231"/>
      <c r="D2794" s="231"/>
      <c r="E2794" s="231"/>
      <c r="F2794" s="231"/>
      <c r="G2794" s="231"/>
      <c r="H2794" s="235"/>
      <c r="I2794" s="235"/>
      <c r="J2794" s="236"/>
      <c r="K2794" s="236"/>
    </row>
    <row r="2795" spans="2:11">
      <c r="B2795" s="235"/>
      <c r="C2795" s="231"/>
      <c r="D2795" s="231"/>
      <c r="E2795" s="231"/>
      <c r="F2795" s="231"/>
      <c r="G2795" s="231"/>
      <c r="H2795" s="235"/>
      <c r="I2795" s="235"/>
      <c r="J2795" s="236"/>
      <c r="K2795" s="236"/>
    </row>
    <row r="2796" spans="2:11">
      <c r="B2796" s="235"/>
      <c r="C2796" s="231"/>
      <c r="D2796" s="231"/>
      <c r="E2796" s="231"/>
      <c r="F2796" s="231"/>
      <c r="G2796" s="231"/>
      <c r="H2796" s="235"/>
      <c r="I2796" s="235"/>
      <c r="J2796" s="236"/>
      <c r="K2796" s="236"/>
    </row>
    <row r="2797" spans="2:11">
      <c r="B2797" s="235"/>
      <c r="C2797" s="231"/>
      <c r="D2797" s="231"/>
      <c r="E2797" s="231"/>
      <c r="F2797" s="231"/>
      <c r="G2797" s="231"/>
      <c r="H2797" s="235"/>
      <c r="I2797" s="235"/>
      <c r="J2797" s="236"/>
      <c r="K2797" s="236"/>
    </row>
    <row r="2798" spans="2:11">
      <c r="B2798" s="235"/>
      <c r="C2798" s="231"/>
      <c r="D2798" s="231"/>
      <c r="E2798" s="231"/>
      <c r="F2798" s="231"/>
      <c r="G2798" s="231"/>
      <c r="H2798" s="235"/>
      <c r="I2798" s="235"/>
      <c r="J2798" s="236"/>
      <c r="K2798" s="236"/>
    </row>
    <row r="2799" spans="2:11">
      <c r="B2799" s="235"/>
      <c r="C2799" s="231"/>
      <c r="D2799" s="231"/>
      <c r="E2799" s="231"/>
      <c r="F2799" s="231"/>
      <c r="G2799" s="231"/>
      <c r="H2799" s="235"/>
      <c r="I2799" s="235"/>
      <c r="J2799" s="236"/>
      <c r="K2799" s="236"/>
    </row>
    <row r="2800" spans="2:11">
      <c r="B2800" s="235"/>
      <c r="C2800" s="231"/>
      <c r="D2800" s="231"/>
      <c r="E2800" s="231"/>
      <c r="F2800" s="231"/>
      <c r="G2800" s="231"/>
      <c r="H2800" s="235"/>
      <c r="I2800" s="235"/>
      <c r="J2800" s="236"/>
      <c r="K2800" s="236"/>
    </row>
    <row r="2801" spans="2:11">
      <c r="B2801" s="235"/>
      <c r="C2801" s="231"/>
      <c r="D2801" s="231"/>
      <c r="E2801" s="231"/>
      <c r="F2801" s="231"/>
      <c r="G2801" s="231"/>
      <c r="H2801" s="235"/>
      <c r="I2801" s="235"/>
      <c r="J2801" s="236"/>
      <c r="K2801" s="236"/>
    </row>
    <row r="2802" spans="2:11">
      <c r="B2802" s="235"/>
      <c r="C2802" s="231"/>
      <c r="D2802" s="231"/>
      <c r="E2802" s="231"/>
      <c r="F2802" s="231"/>
      <c r="G2802" s="231"/>
      <c r="H2802" s="235"/>
      <c r="I2802" s="235"/>
      <c r="J2802" s="236"/>
      <c r="K2802" s="236"/>
    </row>
    <row r="2803" spans="2:11">
      <c r="B2803" s="235"/>
      <c r="C2803" s="231"/>
      <c r="D2803" s="231"/>
      <c r="E2803" s="231"/>
      <c r="F2803" s="231"/>
      <c r="G2803" s="231"/>
      <c r="H2803" s="235"/>
      <c r="I2803" s="235"/>
      <c r="J2803" s="236"/>
      <c r="K2803" s="236"/>
    </row>
    <row r="2804" spans="2:11">
      <c r="B2804" s="235"/>
      <c r="C2804" s="231"/>
      <c r="D2804" s="231"/>
      <c r="E2804" s="231"/>
      <c r="F2804" s="231"/>
      <c r="G2804" s="231"/>
      <c r="H2804" s="235"/>
      <c r="I2804" s="235"/>
      <c r="J2804" s="236"/>
      <c r="K2804" s="236"/>
    </row>
    <row r="2805" spans="2:11">
      <c r="B2805" s="235"/>
      <c r="C2805" s="231"/>
      <c r="D2805" s="231"/>
      <c r="E2805" s="231"/>
      <c r="F2805" s="231"/>
      <c r="G2805" s="231"/>
      <c r="H2805" s="235"/>
      <c r="I2805" s="235"/>
      <c r="J2805" s="236"/>
      <c r="K2805" s="236"/>
    </row>
    <row r="2806" spans="2:11">
      <c r="B2806" s="235"/>
      <c r="C2806" s="231"/>
      <c r="D2806" s="231"/>
      <c r="E2806" s="231"/>
      <c r="F2806" s="231"/>
      <c r="G2806" s="231"/>
      <c r="H2806" s="235"/>
      <c r="I2806" s="235"/>
      <c r="J2806" s="236"/>
      <c r="K2806" s="236"/>
    </row>
    <row r="2807" spans="2:11">
      <c r="B2807" s="235"/>
      <c r="C2807" s="231"/>
      <c r="D2807" s="231"/>
      <c r="E2807" s="231"/>
      <c r="F2807" s="231"/>
      <c r="G2807" s="231"/>
      <c r="H2807" s="235"/>
      <c r="I2807" s="235"/>
      <c r="J2807" s="236"/>
      <c r="K2807" s="236"/>
    </row>
    <row r="2808" spans="2:11">
      <c r="B2808" s="235"/>
      <c r="C2808" s="231"/>
      <c r="D2808" s="231"/>
      <c r="E2808" s="231"/>
      <c r="F2808" s="231"/>
      <c r="G2808" s="231"/>
      <c r="H2808" s="235"/>
      <c r="I2808" s="235"/>
      <c r="J2808" s="236"/>
      <c r="K2808" s="236"/>
    </row>
    <row r="2809" spans="2:11">
      <c r="B2809" s="235"/>
      <c r="C2809" s="231"/>
      <c r="D2809" s="231"/>
      <c r="E2809" s="231"/>
      <c r="F2809" s="231"/>
      <c r="G2809" s="231"/>
      <c r="H2809" s="235"/>
      <c r="I2809" s="235"/>
      <c r="J2809" s="236"/>
      <c r="K2809" s="236"/>
    </row>
    <row r="2810" spans="2:11">
      <c r="B2810" s="235"/>
      <c r="C2810" s="231"/>
      <c r="D2810" s="231"/>
      <c r="E2810" s="231"/>
      <c r="F2810" s="231"/>
      <c r="G2810" s="231"/>
      <c r="H2810" s="235"/>
      <c r="I2810" s="235"/>
      <c r="J2810" s="236"/>
      <c r="K2810" s="236"/>
    </row>
    <row r="2811" spans="2:11">
      <c r="B2811" s="235"/>
      <c r="C2811" s="231"/>
      <c r="D2811" s="231"/>
      <c r="E2811" s="231"/>
      <c r="F2811" s="231"/>
      <c r="G2811" s="231"/>
      <c r="H2811" s="235"/>
      <c r="I2811" s="235"/>
      <c r="J2811" s="236"/>
      <c r="K2811" s="236"/>
    </row>
    <row r="2812" spans="2:11">
      <c r="B2812" s="235"/>
      <c r="C2812" s="231"/>
      <c r="D2812" s="231"/>
      <c r="E2812" s="231"/>
      <c r="F2812" s="231"/>
      <c r="G2812" s="231"/>
      <c r="H2812" s="235"/>
      <c r="I2812" s="235"/>
      <c r="J2812" s="236"/>
      <c r="K2812" s="236"/>
    </row>
    <row r="2813" spans="2:11">
      <c r="B2813" s="235"/>
      <c r="C2813" s="231"/>
      <c r="D2813" s="231"/>
      <c r="E2813" s="231"/>
      <c r="F2813" s="231"/>
      <c r="G2813" s="231"/>
      <c r="H2813" s="235"/>
      <c r="I2813" s="235"/>
      <c r="J2813" s="236"/>
      <c r="K2813" s="236"/>
    </row>
    <row r="2814" spans="2:11">
      <c r="B2814" s="235"/>
      <c r="C2814" s="231"/>
      <c r="D2814" s="231"/>
      <c r="E2814" s="231"/>
      <c r="F2814" s="231"/>
      <c r="G2814" s="231"/>
      <c r="H2814" s="235"/>
      <c r="I2814" s="235"/>
      <c r="J2814" s="236"/>
      <c r="K2814" s="236"/>
    </row>
    <row r="2815" spans="2:11">
      <c r="B2815" s="235"/>
      <c r="C2815" s="231"/>
      <c r="D2815" s="231"/>
      <c r="E2815" s="231"/>
      <c r="F2815" s="231"/>
      <c r="G2815" s="231"/>
      <c r="H2815" s="235"/>
      <c r="I2815" s="235"/>
      <c r="J2815" s="236"/>
      <c r="K2815" s="236"/>
    </row>
    <row r="2816" spans="2:11">
      <c r="B2816" s="235"/>
      <c r="C2816" s="231"/>
      <c r="D2816" s="231"/>
      <c r="E2816" s="231"/>
      <c r="F2816" s="231"/>
      <c r="G2816" s="231"/>
      <c r="H2816" s="235"/>
      <c r="I2816" s="235"/>
      <c r="J2816" s="236"/>
      <c r="K2816" s="236"/>
    </row>
    <row r="2817" spans="2:11">
      <c r="B2817" s="235"/>
      <c r="C2817" s="231"/>
      <c r="D2817" s="231"/>
      <c r="E2817" s="231"/>
      <c r="F2817" s="231"/>
      <c r="G2817" s="231"/>
      <c r="H2817" s="235"/>
      <c r="I2817" s="235"/>
      <c r="J2817" s="236"/>
      <c r="K2817" s="236"/>
    </row>
    <row r="2818" spans="2:11">
      <c r="B2818" s="235"/>
      <c r="C2818" s="231"/>
      <c r="D2818" s="231"/>
      <c r="E2818" s="231"/>
      <c r="F2818" s="231"/>
      <c r="G2818" s="231"/>
      <c r="H2818" s="235"/>
      <c r="I2818" s="235"/>
      <c r="J2818" s="236"/>
      <c r="K2818" s="236"/>
    </row>
    <row r="2819" spans="2:11">
      <c r="B2819" s="235"/>
      <c r="C2819" s="231"/>
      <c r="D2819" s="231"/>
      <c r="E2819" s="231"/>
      <c r="F2819" s="231"/>
      <c r="G2819" s="231"/>
      <c r="H2819" s="235"/>
      <c r="I2819" s="235"/>
      <c r="J2819" s="236"/>
      <c r="K2819" s="236"/>
    </row>
    <row r="2820" spans="2:11">
      <c r="B2820" s="235"/>
      <c r="C2820" s="231"/>
      <c r="D2820" s="231"/>
      <c r="E2820" s="231"/>
      <c r="F2820" s="231"/>
      <c r="G2820" s="231"/>
      <c r="H2820" s="235"/>
      <c r="I2820" s="235"/>
      <c r="J2820" s="236"/>
      <c r="K2820" s="236"/>
    </row>
    <row r="2821" spans="2:11">
      <c r="B2821" s="235"/>
      <c r="C2821" s="231"/>
      <c r="D2821" s="231"/>
      <c r="E2821" s="231"/>
      <c r="F2821" s="231"/>
      <c r="G2821" s="231"/>
      <c r="H2821" s="235"/>
      <c r="I2821" s="235"/>
      <c r="J2821" s="236"/>
      <c r="K2821" s="236"/>
    </row>
    <row r="2822" spans="2:11">
      <c r="B2822" s="235"/>
      <c r="C2822" s="231"/>
      <c r="D2822" s="231"/>
      <c r="E2822" s="231"/>
      <c r="F2822" s="231"/>
      <c r="G2822" s="231"/>
      <c r="H2822" s="235"/>
      <c r="I2822" s="235"/>
      <c r="J2822" s="236"/>
      <c r="K2822" s="236"/>
    </row>
    <row r="2823" spans="2:11">
      <c r="B2823" s="235"/>
      <c r="C2823" s="231"/>
      <c r="D2823" s="231"/>
      <c r="E2823" s="231"/>
      <c r="F2823" s="231"/>
      <c r="G2823" s="231"/>
      <c r="H2823" s="235"/>
      <c r="I2823" s="235"/>
      <c r="J2823" s="236"/>
      <c r="K2823" s="236"/>
    </row>
    <row r="2824" spans="2:11">
      <c r="B2824" s="235"/>
      <c r="C2824" s="231"/>
      <c r="D2824" s="231"/>
      <c r="E2824" s="231"/>
      <c r="F2824" s="231"/>
      <c r="G2824" s="231"/>
      <c r="H2824" s="235"/>
      <c r="I2824" s="235"/>
      <c r="J2824" s="236"/>
      <c r="K2824" s="236"/>
    </row>
    <row r="2825" spans="2:11">
      <c r="B2825" s="235"/>
      <c r="C2825" s="231"/>
      <c r="D2825" s="231"/>
      <c r="E2825" s="231"/>
      <c r="F2825" s="231"/>
      <c r="G2825" s="231"/>
      <c r="H2825" s="235"/>
      <c r="I2825" s="235"/>
      <c r="J2825" s="236"/>
      <c r="K2825" s="236"/>
    </row>
    <row r="2826" spans="2:11">
      <c r="B2826" s="235"/>
      <c r="C2826" s="231"/>
      <c r="D2826" s="231"/>
      <c r="E2826" s="231"/>
      <c r="F2826" s="231"/>
      <c r="G2826" s="231"/>
      <c r="H2826" s="235"/>
      <c r="I2826" s="235"/>
      <c r="J2826" s="236"/>
      <c r="K2826" s="236"/>
    </row>
    <row r="2827" spans="2:11">
      <c r="B2827" s="235"/>
      <c r="C2827" s="231"/>
      <c r="D2827" s="231"/>
      <c r="E2827" s="231"/>
      <c r="F2827" s="231"/>
      <c r="G2827" s="231"/>
      <c r="H2827" s="235"/>
      <c r="I2827" s="235"/>
      <c r="J2827" s="236"/>
      <c r="K2827" s="236"/>
    </row>
    <row r="2828" spans="2:11">
      <c r="B2828" s="235"/>
      <c r="C2828" s="231"/>
      <c r="D2828" s="231"/>
      <c r="E2828" s="231"/>
      <c r="F2828" s="231"/>
      <c r="G2828" s="231"/>
      <c r="H2828" s="235"/>
      <c r="I2828" s="235"/>
      <c r="J2828" s="236"/>
      <c r="K2828" s="236"/>
    </row>
    <row r="2829" spans="2:11">
      <c r="B2829" s="235"/>
      <c r="C2829" s="231"/>
      <c r="D2829" s="231"/>
      <c r="E2829" s="231"/>
      <c r="F2829" s="231"/>
      <c r="G2829" s="231"/>
      <c r="H2829" s="235"/>
      <c r="I2829" s="235"/>
      <c r="J2829" s="236"/>
      <c r="K2829" s="236"/>
    </row>
    <row r="2830" spans="2:11">
      <c r="B2830" s="235"/>
      <c r="C2830" s="231"/>
      <c r="D2830" s="231"/>
      <c r="E2830" s="231"/>
      <c r="F2830" s="231"/>
      <c r="G2830" s="231"/>
      <c r="H2830" s="235"/>
      <c r="I2830" s="235"/>
      <c r="J2830" s="236"/>
      <c r="K2830" s="236"/>
    </row>
    <row r="2831" spans="2:11">
      <c r="B2831" s="235"/>
      <c r="C2831" s="231"/>
      <c r="D2831" s="231"/>
      <c r="E2831" s="231"/>
      <c r="F2831" s="231"/>
      <c r="G2831" s="231"/>
      <c r="H2831" s="235"/>
      <c r="I2831" s="235"/>
      <c r="J2831" s="236"/>
      <c r="K2831" s="236"/>
    </row>
    <row r="2832" spans="2:11">
      <c r="B2832" s="235"/>
      <c r="C2832" s="231"/>
      <c r="D2832" s="231"/>
      <c r="E2832" s="231"/>
      <c r="F2832" s="231"/>
      <c r="G2832" s="231"/>
      <c r="H2832" s="235"/>
      <c r="I2832" s="235"/>
      <c r="J2832" s="236"/>
      <c r="K2832" s="236"/>
    </row>
    <row r="2833" spans="2:11">
      <c r="B2833" s="235"/>
      <c r="C2833" s="231"/>
      <c r="D2833" s="231"/>
      <c r="E2833" s="231"/>
      <c r="F2833" s="231"/>
      <c r="G2833" s="231"/>
      <c r="H2833" s="235"/>
      <c r="I2833" s="235"/>
      <c r="J2833" s="236"/>
      <c r="K2833" s="236"/>
    </row>
    <row r="2834" spans="2:11">
      <c r="B2834" s="235"/>
      <c r="C2834" s="231"/>
      <c r="D2834" s="231"/>
      <c r="E2834" s="231"/>
      <c r="F2834" s="231"/>
      <c r="G2834" s="231"/>
      <c r="H2834" s="235"/>
      <c r="I2834" s="235"/>
      <c r="J2834" s="236"/>
      <c r="K2834" s="236"/>
    </row>
    <row r="2835" spans="2:11">
      <c r="B2835" s="235"/>
      <c r="C2835" s="231"/>
      <c r="D2835" s="231"/>
      <c r="E2835" s="231"/>
      <c r="F2835" s="231"/>
      <c r="G2835" s="231"/>
      <c r="H2835" s="235"/>
      <c r="I2835" s="235"/>
      <c r="J2835" s="236"/>
      <c r="K2835" s="236"/>
    </row>
    <row r="2836" spans="2:11">
      <c r="B2836" s="235"/>
      <c r="C2836" s="231"/>
      <c r="D2836" s="231"/>
      <c r="E2836" s="231"/>
      <c r="F2836" s="231"/>
      <c r="G2836" s="231"/>
      <c r="H2836" s="235"/>
      <c r="I2836" s="235"/>
      <c r="J2836" s="236"/>
      <c r="K2836" s="236"/>
    </row>
    <row r="2837" spans="2:11">
      <c r="B2837" s="235"/>
      <c r="C2837" s="231"/>
      <c r="D2837" s="231"/>
      <c r="E2837" s="231"/>
      <c r="F2837" s="231"/>
      <c r="G2837" s="231"/>
      <c r="H2837" s="235"/>
      <c r="I2837" s="235"/>
      <c r="J2837" s="236"/>
      <c r="K2837" s="236"/>
    </row>
    <row r="2838" spans="2:11">
      <c r="B2838" s="235"/>
      <c r="C2838" s="231"/>
      <c r="D2838" s="231"/>
      <c r="E2838" s="231"/>
      <c r="F2838" s="231"/>
      <c r="G2838" s="231"/>
      <c r="H2838" s="235"/>
      <c r="I2838" s="235"/>
      <c r="J2838" s="236"/>
      <c r="K2838" s="236"/>
    </row>
    <row r="2839" spans="2:11">
      <c r="B2839" s="235"/>
      <c r="C2839" s="231"/>
      <c r="D2839" s="231"/>
      <c r="E2839" s="231"/>
      <c r="F2839" s="231"/>
      <c r="G2839" s="231"/>
      <c r="H2839" s="235"/>
      <c r="I2839" s="235"/>
      <c r="J2839" s="236"/>
      <c r="K2839" s="236"/>
    </row>
    <row r="2840" spans="2:11">
      <c r="B2840" s="235"/>
      <c r="C2840" s="231"/>
      <c r="D2840" s="231"/>
      <c r="E2840" s="231"/>
      <c r="F2840" s="231"/>
      <c r="G2840" s="231"/>
      <c r="H2840" s="235"/>
      <c r="I2840" s="235"/>
      <c r="J2840" s="236"/>
      <c r="K2840" s="236"/>
    </row>
    <row r="2841" spans="2:11">
      <c r="B2841" s="235"/>
      <c r="C2841" s="231"/>
      <c r="D2841" s="231"/>
      <c r="E2841" s="231"/>
      <c r="F2841" s="231"/>
      <c r="G2841" s="231"/>
      <c r="H2841" s="235"/>
      <c r="I2841" s="235"/>
      <c r="J2841" s="236"/>
      <c r="K2841" s="236"/>
    </row>
    <row r="2842" spans="2:11">
      <c r="B2842" s="235"/>
      <c r="C2842" s="231"/>
      <c r="D2842" s="231"/>
      <c r="E2842" s="231"/>
      <c r="F2842" s="231"/>
      <c r="G2842" s="231"/>
      <c r="H2842" s="235"/>
      <c r="I2842" s="235"/>
      <c r="J2842" s="236"/>
      <c r="K2842" s="236"/>
    </row>
    <row r="2843" spans="2:11">
      <c r="B2843" s="235"/>
      <c r="C2843" s="231"/>
      <c r="D2843" s="231"/>
      <c r="E2843" s="231"/>
      <c r="F2843" s="231"/>
      <c r="G2843" s="231"/>
      <c r="H2843" s="235"/>
      <c r="I2843" s="235"/>
      <c r="J2843" s="236"/>
      <c r="K2843" s="236"/>
    </row>
    <row r="2844" spans="2:11">
      <c r="B2844" s="235"/>
      <c r="C2844" s="231"/>
      <c r="D2844" s="231"/>
      <c r="E2844" s="231"/>
      <c r="F2844" s="231"/>
      <c r="G2844" s="231"/>
      <c r="H2844" s="235"/>
      <c r="I2844" s="235"/>
      <c r="J2844" s="236"/>
      <c r="K2844" s="236"/>
    </row>
    <row r="2845" spans="2:11">
      <c r="B2845" s="235"/>
      <c r="C2845" s="231"/>
      <c r="D2845" s="231"/>
      <c r="E2845" s="231"/>
      <c r="F2845" s="231"/>
      <c r="G2845" s="231"/>
      <c r="H2845" s="235"/>
      <c r="I2845" s="235"/>
      <c r="J2845" s="236"/>
      <c r="K2845" s="236"/>
    </row>
    <row r="2846" spans="2:11">
      <c r="B2846" s="235"/>
      <c r="C2846" s="231"/>
      <c r="D2846" s="231"/>
      <c r="E2846" s="231"/>
      <c r="F2846" s="231"/>
      <c r="G2846" s="231"/>
      <c r="H2846" s="235"/>
      <c r="I2846" s="235"/>
      <c r="J2846" s="236"/>
      <c r="K2846" s="236"/>
    </row>
    <row r="2847" spans="2:11">
      <c r="B2847" s="235"/>
      <c r="C2847" s="231"/>
      <c r="D2847" s="231"/>
      <c r="E2847" s="231"/>
      <c r="F2847" s="231"/>
      <c r="G2847" s="231"/>
      <c r="H2847" s="235"/>
      <c r="I2847" s="235"/>
      <c r="J2847" s="236"/>
      <c r="K2847" s="236"/>
    </row>
    <row r="2848" spans="2:11">
      <c r="B2848" s="235"/>
      <c r="C2848" s="231"/>
      <c r="D2848" s="231"/>
      <c r="E2848" s="231"/>
      <c r="F2848" s="231"/>
      <c r="G2848" s="231"/>
      <c r="H2848" s="235"/>
      <c r="I2848" s="235"/>
      <c r="J2848" s="236"/>
      <c r="K2848" s="236"/>
    </row>
    <row r="2849" spans="2:11">
      <c r="B2849" s="235"/>
      <c r="C2849" s="231"/>
      <c r="D2849" s="231"/>
      <c r="E2849" s="231"/>
      <c r="F2849" s="231"/>
      <c r="G2849" s="231"/>
      <c r="H2849" s="235"/>
      <c r="I2849" s="235"/>
      <c r="J2849" s="236"/>
      <c r="K2849" s="236"/>
    </row>
    <row r="2850" spans="2:11">
      <c r="B2850" s="235"/>
      <c r="C2850" s="231"/>
      <c r="D2850" s="231"/>
      <c r="E2850" s="231"/>
      <c r="F2850" s="231"/>
      <c r="G2850" s="231"/>
      <c r="H2850" s="235"/>
      <c r="I2850" s="235"/>
      <c r="J2850" s="236"/>
      <c r="K2850" s="236"/>
    </row>
    <row r="2851" spans="2:11">
      <c r="B2851" s="235"/>
      <c r="C2851" s="231"/>
      <c r="D2851" s="231"/>
      <c r="E2851" s="231"/>
      <c r="F2851" s="231"/>
      <c r="G2851" s="231"/>
      <c r="H2851" s="235"/>
      <c r="I2851" s="235"/>
      <c r="J2851" s="236"/>
      <c r="K2851" s="236"/>
    </row>
    <row r="2852" spans="2:11">
      <c r="B2852" s="235"/>
      <c r="C2852" s="231"/>
      <c r="D2852" s="231"/>
      <c r="E2852" s="231"/>
      <c r="F2852" s="231"/>
      <c r="G2852" s="231"/>
      <c r="H2852" s="235"/>
      <c r="I2852" s="235"/>
      <c r="J2852" s="236"/>
      <c r="K2852" s="236"/>
    </row>
    <row r="2853" spans="2:11">
      <c r="B2853" s="235"/>
      <c r="C2853" s="231"/>
      <c r="D2853" s="231"/>
      <c r="E2853" s="231"/>
      <c r="F2853" s="231"/>
      <c r="G2853" s="231"/>
      <c r="H2853" s="235"/>
      <c r="I2853" s="235"/>
      <c r="J2853" s="236"/>
      <c r="K2853" s="236"/>
    </row>
    <row r="2854" spans="2:11">
      <c r="B2854" s="235"/>
      <c r="C2854" s="231"/>
      <c r="D2854" s="231"/>
      <c r="E2854" s="231"/>
      <c r="F2854" s="231"/>
      <c r="G2854" s="231"/>
      <c r="H2854" s="235"/>
      <c r="I2854" s="235"/>
      <c r="J2854" s="236"/>
      <c r="K2854" s="236"/>
    </row>
    <row r="2855" spans="2:11">
      <c r="B2855" s="235"/>
      <c r="C2855" s="231"/>
      <c r="D2855" s="231"/>
      <c r="E2855" s="231"/>
      <c r="F2855" s="231"/>
      <c r="G2855" s="231"/>
      <c r="H2855" s="235"/>
      <c r="I2855" s="235"/>
      <c r="J2855" s="236"/>
      <c r="K2855" s="236"/>
    </row>
    <row r="2856" spans="2:11">
      <c r="B2856" s="235"/>
      <c r="C2856" s="231"/>
      <c r="D2856" s="231"/>
      <c r="E2856" s="231"/>
      <c r="F2856" s="231"/>
      <c r="G2856" s="231"/>
      <c r="H2856" s="235"/>
      <c r="I2856" s="235"/>
      <c r="J2856" s="236"/>
      <c r="K2856" s="236"/>
    </row>
    <row r="2857" spans="2:11">
      <c r="B2857" s="235"/>
      <c r="C2857" s="231"/>
      <c r="D2857" s="231"/>
      <c r="E2857" s="231"/>
      <c r="F2857" s="231"/>
      <c r="G2857" s="231"/>
      <c r="H2857" s="235"/>
      <c r="I2857" s="235"/>
      <c r="J2857" s="236"/>
      <c r="K2857" s="236"/>
    </row>
    <row r="2858" spans="2:11">
      <c r="B2858" s="235"/>
      <c r="C2858" s="231"/>
      <c r="D2858" s="231"/>
      <c r="E2858" s="231"/>
      <c r="F2858" s="231"/>
      <c r="G2858" s="231"/>
      <c r="H2858" s="235"/>
      <c r="I2858" s="235"/>
      <c r="J2858" s="236"/>
      <c r="K2858" s="236"/>
    </row>
    <row r="2859" spans="2:11">
      <c r="B2859" s="235"/>
      <c r="C2859" s="231"/>
      <c r="D2859" s="231"/>
      <c r="E2859" s="231"/>
      <c r="F2859" s="231"/>
      <c r="G2859" s="231"/>
      <c r="H2859" s="235"/>
      <c r="I2859" s="235"/>
      <c r="J2859" s="236"/>
      <c r="K2859" s="236"/>
    </row>
    <row r="2860" spans="2:11">
      <c r="B2860" s="235"/>
      <c r="C2860" s="231"/>
      <c r="D2860" s="231"/>
      <c r="E2860" s="231"/>
      <c r="F2860" s="231"/>
      <c r="G2860" s="231"/>
      <c r="H2860" s="235"/>
      <c r="I2860" s="235"/>
      <c r="J2860" s="236"/>
      <c r="K2860" s="236"/>
    </row>
    <row r="2861" spans="2:11">
      <c r="B2861" s="235"/>
      <c r="C2861" s="231"/>
      <c r="D2861" s="231"/>
      <c r="E2861" s="231"/>
      <c r="F2861" s="231"/>
      <c r="G2861" s="231"/>
      <c r="H2861" s="235"/>
      <c r="I2861" s="235"/>
      <c r="J2861" s="236"/>
      <c r="K2861" s="236"/>
    </row>
    <row r="2862" spans="2:11">
      <c r="B2862" s="235"/>
      <c r="C2862" s="231"/>
      <c r="D2862" s="231"/>
      <c r="E2862" s="231"/>
      <c r="F2862" s="231"/>
      <c r="G2862" s="231"/>
      <c r="H2862" s="235"/>
      <c r="I2862" s="235"/>
      <c r="J2862" s="236"/>
      <c r="K2862" s="236"/>
    </row>
    <row r="2863" spans="2:11">
      <c r="B2863" s="235"/>
      <c r="C2863" s="231"/>
      <c r="D2863" s="231"/>
      <c r="E2863" s="231"/>
      <c r="F2863" s="231"/>
      <c r="G2863" s="231"/>
      <c r="H2863" s="235"/>
      <c r="I2863" s="235"/>
      <c r="J2863" s="236"/>
      <c r="K2863" s="236"/>
    </row>
    <row r="2864" spans="2:11">
      <c r="B2864" s="235"/>
      <c r="C2864" s="231"/>
      <c r="D2864" s="231"/>
      <c r="E2864" s="231"/>
      <c r="F2864" s="231"/>
      <c r="G2864" s="231"/>
      <c r="H2864" s="235"/>
      <c r="I2864" s="235"/>
      <c r="J2864" s="236"/>
      <c r="K2864" s="236"/>
    </row>
    <row r="2865" spans="2:11">
      <c r="B2865" s="235"/>
      <c r="C2865" s="231"/>
      <c r="D2865" s="231"/>
      <c r="E2865" s="231"/>
      <c r="F2865" s="231"/>
      <c r="G2865" s="231"/>
      <c r="H2865" s="235"/>
      <c r="I2865" s="235"/>
      <c r="J2865" s="236"/>
      <c r="K2865" s="236"/>
    </row>
    <row r="2866" spans="2:11">
      <c r="B2866" s="235"/>
      <c r="C2866" s="231"/>
      <c r="D2866" s="231"/>
      <c r="E2866" s="231"/>
      <c r="F2866" s="231"/>
      <c r="G2866" s="231"/>
      <c r="H2866" s="235"/>
      <c r="I2866" s="235"/>
      <c r="J2866" s="236"/>
      <c r="K2866" s="236"/>
    </row>
    <row r="2867" spans="2:11">
      <c r="B2867" s="235"/>
      <c r="C2867" s="231"/>
      <c r="D2867" s="231"/>
      <c r="E2867" s="231"/>
      <c r="F2867" s="231"/>
      <c r="G2867" s="231"/>
      <c r="H2867" s="235"/>
      <c r="I2867" s="235"/>
      <c r="J2867" s="236"/>
      <c r="K2867" s="236"/>
    </row>
    <row r="2868" spans="2:11">
      <c r="B2868" s="235"/>
      <c r="C2868" s="231"/>
      <c r="D2868" s="231"/>
      <c r="E2868" s="231"/>
      <c r="F2868" s="231"/>
      <c r="G2868" s="231"/>
      <c r="H2868" s="235"/>
      <c r="I2868" s="235"/>
      <c r="J2868" s="236"/>
      <c r="K2868" s="236"/>
    </row>
    <row r="2869" spans="2:11">
      <c r="B2869" s="235"/>
      <c r="C2869" s="231"/>
      <c r="D2869" s="231"/>
      <c r="E2869" s="231"/>
      <c r="F2869" s="231"/>
      <c r="G2869" s="231"/>
      <c r="H2869" s="235"/>
      <c r="I2869" s="235"/>
      <c r="J2869" s="236"/>
      <c r="K2869" s="236"/>
    </row>
    <row r="2870" spans="2:11">
      <c r="B2870" s="235"/>
      <c r="C2870" s="231"/>
      <c r="D2870" s="231"/>
      <c r="E2870" s="231"/>
      <c r="F2870" s="231"/>
      <c r="G2870" s="231"/>
      <c r="H2870" s="235"/>
      <c r="I2870" s="235"/>
      <c r="J2870" s="236"/>
      <c r="K2870" s="236"/>
    </row>
    <row r="2871" spans="2:11">
      <c r="B2871" s="235"/>
      <c r="C2871" s="231"/>
      <c r="D2871" s="231"/>
      <c r="E2871" s="231"/>
      <c r="F2871" s="231"/>
      <c r="G2871" s="231"/>
      <c r="H2871" s="235"/>
      <c r="I2871" s="235"/>
      <c r="J2871" s="236"/>
      <c r="K2871" s="236"/>
    </row>
    <row r="2872" spans="2:11">
      <c r="B2872" s="235"/>
      <c r="C2872" s="231"/>
      <c r="D2872" s="231"/>
      <c r="E2872" s="231"/>
      <c r="F2872" s="231"/>
      <c r="G2872" s="231"/>
      <c r="H2872" s="235"/>
      <c r="I2872" s="235"/>
      <c r="J2872" s="236"/>
      <c r="K2872" s="236"/>
    </row>
    <row r="2873" spans="2:11">
      <c r="B2873" s="235"/>
      <c r="C2873" s="231"/>
      <c r="D2873" s="231"/>
      <c r="E2873" s="231"/>
      <c r="F2873" s="231"/>
      <c r="G2873" s="231"/>
      <c r="H2873" s="235"/>
      <c r="I2873" s="235"/>
      <c r="J2873" s="236"/>
      <c r="K2873" s="236"/>
    </row>
    <row r="2874" spans="2:11">
      <c r="B2874" s="235"/>
      <c r="C2874" s="231"/>
      <c r="D2874" s="231"/>
      <c r="E2874" s="231"/>
      <c r="F2874" s="231"/>
      <c r="G2874" s="231"/>
      <c r="H2874" s="235"/>
      <c r="I2874" s="235"/>
      <c r="J2874" s="236"/>
      <c r="K2874" s="236"/>
    </row>
    <row r="2875" spans="2:11">
      <c r="B2875" s="235"/>
      <c r="C2875" s="231"/>
      <c r="D2875" s="231"/>
      <c r="E2875" s="231"/>
      <c r="F2875" s="231"/>
      <c r="G2875" s="231"/>
      <c r="H2875" s="235"/>
      <c r="I2875" s="235"/>
      <c r="J2875" s="236"/>
      <c r="K2875" s="236"/>
    </row>
    <row r="2876" spans="2:11">
      <c r="B2876" s="235"/>
      <c r="C2876" s="231"/>
      <c r="D2876" s="231"/>
      <c r="E2876" s="231"/>
      <c r="F2876" s="231"/>
      <c r="G2876" s="231"/>
      <c r="H2876" s="235"/>
      <c r="I2876" s="235"/>
      <c r="J2876" s="236"/>
      <c r="K2876" s="236"/>
    </row>
    <row r="2877" spans="2:11">
      <c r="B2877" s="235"/>
      <c r="C2877" s="231"/>
      <c r="D2877" s="231"/>
      <c r="E2877" s="231"/>
      <c r="F2877" s="231"/>
      <c r="G2877" s="231"/>
      <c r="H2877" s="235"/>
      <c r="I2877" s="235"/>
      <c r="J2877" s="236"/>
      <c r="K2877" s="236"/>
    </row>
    <row r="2878" spans="2:11">
      <c r="B2878" s="235"/>
      <c r="C2878" s="231"/>
      <c r="D2878" s="231"/>
      <c r="E2878" s="231"/>
      <c r="F2878" s="231"/>
      <c r="G2878" s="231"/>
      <c r="H2878" s="235"/>
      <c r="I2878" s="235"/>
      <c r="J2878" s="236"/>
      <c r="K2878" s="236"/>
    </row>
    <row r="2879" spans="2:11">
      <c r="B2879" s="235"/>
      <c r="C2879" s="231"/>
      <c r="D2879" s="231"/>
      <c r="E2879" s="231"/>
      <c r="F2879" s="231"/>
      <c r="G2879" s="231"/>
      <c r="H2879" s="235"/>
      <c r="I2879" s="235"/>
      <c r="J2879" s="236"/>
      <c r="K2879" s="236"/>
    </row>
    <row r="2880" spans="2:11">
      <c r="B2880" s="235"/>
      <c r="C2880" s="231"/>
      <c r="D2880" s="231"/>
      <c r="E2880" s="231"/>
      <c r="F2880" s="231"/>
      <c r="G2880" s="231"/>
      <c r="H2880" s="235"/>
      <c r="I2880" s="235"/>
      <c r="J2880" s="236"/>
      <c r="K2880" s="236"/>
    </row>
    <row r="2881" spans="2:11">
      <c r="B2881" s="235"/>
      <c r="C2881" s="231"/>
      <c r="D2881" s="231"/>
      <c r="E2881" s="231"/>
      <c r="F2881" s="231"/>
      <c r="G2881" s="231"/>
      <c r="H2881" s="235"/>
      <c r="I2881" s="235"/>
      <c r="J2881" s="236"/>
      <c r="K2881" s="236"/>
    </row>
    <row r="2882" spans="2:11">
      <c r="B2882" s="235"/>
      <c r="C2882" s="231"/>
      <c r="D2882" s="231"/>
      <c r="E2882" s="231"/>
      <c r="F2882" s="231"/>
      <c r="G2882" s="231"/>
      <c r="H2882" s="235"/>
      <c r="I2882" s="235"/>
      <c r="J2882" s="236"/>
      <c r="K2882" s="236"/>
    </row>
    <row r="2883" spans="2:11">
      <c r="B2883" s="235"/>
      <c r="C2883" s="231"/>
      <c r="D2883" s="231"/>
      <c r="E2883" s="231"/>
      <c r="F2883" s="231"/>
      <c r="G2883" s="231"/>
      <c r="H2883" s="235"/>
      <c r="I2883" s="235"/>
      <c r="J2883" s="236"/>
      <c r="K2883" s="236"/>
    </row>
    <row r="2884" spans="2:11">
      <c r="B2884" s="235"/>
      <c r="C2884" s="231"/>
      <c r="D2884" s="231"/>
      <c r="E2884" s="231"/>
      <c r="F2884" s="231"/>
      <c r="G2884" s="231"/>
      <c r="H2884" s="235"/>
      <c r="I2884" s="235"/>
      <c r="J2884" s="236"/>
      <c r="K2884" s="236"/>
    </row>
    <row r="2885" spans="2:11">
      <c r="B2885" s="235"/>
      <c r="C2885" s="231"/>
      <c r="D2885" s="231"/>
      <c r="E2885" s="231"/>
      <c r="F2885" s="231"/>
      <c r="G2885" s="231"/>
      <c r="H2885" s="235"/>
      <c r="I2885" s="235"/>
      <c r="J2885" s="236"/>
      <c r="K2885" s="236"/>
    </row>
    <row r="2886" spans="2:11">
      <c r="B2886" s="235"/>
      <c r="C2886" s="231"/>
      <c r="D2886" s="231"/>
      <c r="E2886" s="231"/>
      <c r="F2886" s="231"/>
      <c r="G2886" s="231"/>
      <c r="H2886" s="235"/>
      <c r="I2886" s="235"/>
      <c r="J2886" s="236"/>
      <c r="K2886" s="236"/>
    </row>
    <row r="2887" spans="2:11">
      <c r="B2887" s="235"/>
      <c r="C2887" s="231"/>
      <c r="D2887" s="231"/>
      <c r="E2887" s="231"/>
      <c r="F2887" s="231"/>
      <c r="G2887" s="231"/>
      <c r="H2887" s="235"/>
      <c r="I2887" s="235"/>
      <c r="J2887" s="236"/>
      <c r="K2887" s="236"/>
    </row>
    <row r="2888" spans="2:11">
      <c r="B2888" s="235"/>
      <c r="C2888" s="231"/>
      <c r="D2888" s="231"/>
      <c r="E2888" s="231"/>
      <c r="F2888" s="231"/>
      <c r="G2888" s="231"/>
      <c r="H2888" s="235"/>
      <c r="I2888" s="235"/>
      <c r="J2888" s="236"/>
      <c r="K2888" s="236"/>
    </row>
    <row r="2889" spans="2:11">
      <c r="B2889" s="235"/>
      <c r="C2889" s="231"/>
      <c r="D2889" s="231"/>
      <c r="E2889" s="231"/>
      <c r="F2889" s="231"/>
      <c r="G2889" s="231"/>
      <c r="H2889" s="235"/>
      <c r="I2889" s="235"/>
      <c r="J2889" s="236"/>
      <c r="K2889" s="236"/>
    </row>
    <row r="2890" spans="2:11">
      <c r="B2890" s="235"/>
      <c r="C2890" s="231"/>
      <c r="D2890" s="231"/>
      <c r="E2890" s="231"/>
      <c r="F2890" s="231"/>
      <c r="G2890" s="231"/>
      <c r="H2890" s="235"/>
      <c r="I2890" s="235"/>
      <c r="J2890" s="236"/>
      <c r="K2890" s="236"/>
    </row>
    <row r="2891" spans="2:11">
      <c r="B2891" s="235"/>
      <c r="C2891" s="231"/>
      <c r="D2891" s="231"/>
      <c r="E2891" s="231"/>
      <c r="F2891" s="231"/>
      <c r="G2891" s="231"/>
      <c r="H2891" s="235"/>
      <c r="I2891" s="235"/>
      <c r="J2891" s="236"/>
      <c r="K2891" s="236"/>
    </row>
    <row r="2892" spans="2:11">
      <c r="B2892" s="235"/>
      <c r="C2892" s="231"/>
      <c r="D2892" s="231"/>
      <c r="E2892" s="231"/>
      <c r="F2892" s="231"/>
      <c r="G2892" s="231"/>
      <c r="H2892" s="235"/>
      <c r="I2892" s="235"/>
      <c r="J2892" s="236"/>
      <c r="K2892" s="236"/>
    </row>
    <row r="2893" spans="2:11">
      <c r="B2893" s="235"/>
      <c r="C2893" s="231"/>
      <c r="D2893" s="231"/>
      <c r="E2893" s="231"/>
      <c r="F2893" s="231"/>
      <c r="G2893" s="231"/>
      <c r="H2893" s="235"/>
      <c r="I2893" s="235"/>
      <c r="J2893" s="236"/>
      <c r="K2893" s="236"/>
    </row>
    <row r="2894" spans="2:11">
      <c r="B2894" s="235"/>
      <c r="C2894" s="231"/>
      <c r="D2894" s="231"/>
      <c r="E2894" s="231"/>
      <c r="F2894" s="231"/>
      <c r="G2894" s="231"/>
      <c r="H2894" s="235"/>
      <c r="I2894" s="235"/>
      <c r="J2894" s="236"/>
      <c r="K2894" s="236"/>
    </row>
    <row r="2895" spans="2:11">
      <c r="B2895" s="235"/>
      <c r="C2895" s="231"/>
      <c r="D2895" s="231"/>
      <c r="E2895" s="231"/>
      <c r="F2895" s="231"/>
      <c r="G2895" s="231"/>
      <c r="H2895" s="235"/>
      <c r="I2895" s="235"/>
      <c r="J2895" s="236"/>
      <c r="K2895" s="236"/>
    </row>
    <row r="2896" spans="2:11">
      <c r="B2896" s="235"/>
      <c r="C2896" s="231"/>
      <c r="D2896" s="231"/>
      <c r="E2896" s="231"/>
      <c r="F2896" s="231"/>
      <c r="G2896" s="231"/>
      <c r="H2896" s="235"/>
      <c r="I2896" s="235"/>
      <c r="J2896" s="236"/>
      <c r="K2896" s="236"/>
    </row>
    <row r="2897" spans="2:11">
      <c r="B2897" s="235"/>
      <c r="C2897" s="231"/>
      <c r="D2897" s="231"/>
      <c r="E2897" s="231"/>
      <c r="F2897" s="231"/>
      <c r="G2897" s="231"/>
      <c r="H2897" s="235"/>
      <c r="I2897" s="235"/>
      <c r="J2897" s="236"/>
      <c r="K2897" s="236"/>
    </row>
    <row r="2898" spans="2:11">
      <c r="B2898" s="235"/>
      <c r="C2898" s="231"/>
      <c r="D2898" s="231"/>
      <c r="E2898" s="231"/>
      <c r="F2898" s="231"/>
      <c r="G2898" s="231"/>
      <c r="H2898" s="235"/>
      <c r="I2898" s="235"/>
      <c r="J2898" s="236"/>
      <c r="K2898" s="236"/>
    </row>
    <row r="2899" spans="2:11">
      <c r="B2899" s="235"/>
      <c r="C2899" s="231"/>
      <c r="D2899" s="231"/>
      <c r="E2899" s="231"/>
      <c r="F2899" s="231"/>
      <c r="G2899" s="231"/>
      <c r="H2899" s="235"/>
      <c r="I2899" s="235"/>
      <c r="J2899" s="236"/>
      <c r="K2899" s="236"/>
    </row>
    <row r="2900" spans="2:11">
      <c r="B2900" s="235"/>
      <c r="C2900" s="231"/>
      <c r="D2900" s="231"/>
      <c r="E2900" s="231"/>
      <c r="F2900" s="231"/>
      <c r="G2900" s="231"/>
      <c r="H2900" s="235"/>
      <c r="I2900" s="235"/>
      <c r="J2900" s="236"/>
      <c r="K2900" s="236"/>
    </row>
    <row r="2901" spans="2:11">
      <c r="B2901" s="235"/>
      <c r="C2901" s="231"/>
      <c r="D2901" s="231"/>
      <c r="E2901" s="231"/>
      <c r="F2901" s="231"/>
      <c r="G2901" s="231"/>
      <c r="H2901" s="235"/>
      <c r="I2901" s="235"/>
      <c r="J2901" s="236"/>
      <c r="K2901" s="236"/>
    </row>
    <row r="2902" spans="2:11">
      <c r="B2902" s="235"/>
      <c r="C2902" s="231"/>
      <c r="D2902" s="231"/>
      <c r="E2902" s="231"/>
      <c r="F2902" s="231"/>
      <c r="G2902" s="231"/>
      <c r="H2902" s="235"/>
      <c r="I2902" s="235"/>
      <c r="J2902" s="236"/>
      <c r="K2902" s="236"/>
    </row>
    <row r="2903" spans="2:11">
      <c r="B2903" s="235"/>
      <c r="C2903" s="231"/>
      <c r="D2903" s="231"/>
      <c r="E2903" s="231"/>
      <c r="F2903" s="231"/>
      <c r="G2903" s="231"/>
      <c r="H2903" s="235"/>
      <c r="I2903" s="235"/>
      <c r="J2903" s="236"/>
      <c r="K2903" s="236"/>
    </row>
    <row r="2904" spans="2:11">
      <c r="B2904" s="235"/>
      <c r="C2904" s="231"/>
      <c r="D2904" s="231"/>
      <c r="E2904" s="231"/>
      <c r="F2904" s="231"/>
      <c r="G2904" s="231"/>
      <c r="H2904" s="235"/>
      <c r="I2904" s="235"/>
      <c r="J2904" s="236"/>
      <c r="K2904" s="236"/>
    </row>
    <row r="2905" spans="2:11">
      <c r="B2905" s="235"/>
      <c r="C2905" s="231"/>
      <c r="D2905" s="231"/>
      <c r="E2905" s="231"/>
      <c r="F2905" s="231"/>
      <c r="G2905" s="231"/>
      <c r="H2905" s="235"/>
      <c r="I2905" s="235"/>
      <c r="J2905" s="236"/>
      <c r="K2905" s="236"/>
    </row>
    <row r="2906" spans="2:11">
      <c r="B2906" s="235"/>
      <c r="C2906" s="231"/>
      <c r="D2906" s="231"/>
      <c r="E2906" s="231"/>
      <c r="F2906" s="231"/>
      <c r="G2906" s="231"/>
      <c r="H2906" s="235"/>
      <c r="I2906" s="235"/>
      <c r="J2906" s="236"/>
      <c r="K2906" s="236"/>
    </row>
    <row r="2907" spans="2:11">
      <c r="B2907" s="235"/>
      <c r="C2907" s="231"/>
      <c r="D2907" s="231"/>
      <c r="E2907" s="231"/>
      <c r="F2907" s="231"/>
      <c r="G2907" s="231"/>
      <c r="H2907" s="235"/>
      <c r="I2907" s="235"/>
      <c r="J2907" s="236"/>
      <c r="K2907" s="236"/>
    </row>
    <row r="2908" spans="2:11">
      <c r="B2908" s="235"/>
      <c r="C2908" s="231"/>
      <c r="D2908" s="231"/>
      <c r="E2908" s="231"/>
      <c r="F2908" s="231"/>
      <c r="G2908" s="231"/>
      <c r="H2908" s="235"/>
      <c r="I2908" s="235"/>
      <c r="J2908" s="236"/>
      <c r="K2908" s="236"/>
    </row>
    <row r="2909" spans="2:11">
      <c r="B2909" s="235"/>
      <c r="C2909" s="231"/>
      <c r="D2909" s="231"/>
      <c r="E2909" s="231"/>
      <c r="F2909" s="231"/>
      <c r="G2909" s="231"/>
      <c r="H2909" s="235"/>
      <c r="I2909" s="235"/>
      <c r="J2909" s="236"/>
      <c r="K2909" s="236"/>
    </row>
    <row r="2910" spans="2:11">
      <c r="B2910" s="235"/>
      <c r="C2910" s="231"/>
      <c r="D2910" s="231"/>
      <c r="E2910" s="231"/>
      <c r="F2910" s="231"/>
      <c r="G2910" s="231"/>
      <c r="H2910" s="235"/>
      <c r="I2910" s="235"/>
      <c r="J2910" s="236"/>
      <c r="K2910" s="236"/>
    </row>
    <row r="2911" spans="2:11">
      <c r="B2911" s="235"/>
      <c r="C2911" s="231"/>
      <c r="D2911" s="231"/>
      <c r="E2911" s="231"/>
      <c r="F2911" s="231"/>
      <c r="G2911" s="231"/>
      <c r="H2911" s="235"/>
      <c r="I2911" s="235"/>
      <c r="J2911" s="236"/>
      <c r="K2911" s="236"/>
    </row>
    <row r="2912" spans="2:11">
      <c r="B2912" s="235"/>
      <c r="C2912" s="231"/>
      <c r="D2912" s="231"/>
      <c r="E2912" s="231"/>
      <c r="F2912" s="231"/>
      <c r="G2912" s="231"/>
      <c r="H2912" s="235"/>
      <c r="I2912" s="235"/>
      <c r="J2912" s="236"/>
      <c r="K2912" s="236"/>
    </row>
    <row r="2913" spans="2:11">
      <c r="B2913" s="235"/>
      <c r="C2913" s="231"/>
      <c r="D2913" s="231"/>
      <c r="E2913" s="231"/>
      <c r="F2913" s="231"/>
      <c r="G2913" s="231"/>
      <c r="H2913" s="235"/>
      <c r="I2913" s="235"/>
      <c r="J2913" s="236"/>
      <c r="K2913" s="236"/>
    </row>
    <row r="2914" spans="2:11">
      <c r="B2914" s="235"/>
      <c r="C2914" s="231"/>
      <c r="D2914" s="231"/>
      <c r="E2914" s="231"/>
      <c r="F2914" s="231"/>
      <c r="G2914" s="231"/>
      <c r="H2914" s="235"/>
      <c r="I2914" s="235"/>
      <c r="J2914" s="236"/>
      <c r="K2914" s="236"/>
    </row>
    <row r="2915" spans="2:11">
      <c r="B2915" s="235"/>
      <c r="C2915" s="231"/>
      <c r="D2915" s="231"/>
      <c r="E2915" s="231"/>
      <c r="F2915" s="231"/>
      <c r="G2915" s="231"/>
      <c r="H2915" s="235"/>
      <c r="I2915" s="235"/>
      <c r="J2915" s="236"/>
      <c r="K2915" s="236"/>
    </row>
    <row r="2916" spans="2:11">
      <c r="B2916" s="235"/>
      <c r="C2916" s="231"/>
      <c r="D2916" s="231"/>
      <c r="E2916" s="231"/>
      <c r="F2916" s="231"/>
      <c r="G2916" s="231"/>
      <c r="H2916" s="235"/>
      <c r="I2916" s="235"/>
      <c r="J2916" s="236"/>
      <c r="K2916" s="236"/>
    </row>
    <row r="2917" spans="2:11">
      <c r="B2917" s="235"/>
      <c r="C2917" s="231"/>
      <c r="D2917" s="231"/>
      <c r="E2917" s="231"/>
      <c r="F2917" s="231"/>
      <c r="G2917" s="231"/>
      <c r="H2917" s="235"/>
      <c r="I2917" s="235"/>
      <c r="J2917" s="236"/>
      <c r="K2917" s="236"/>
    </row>
    <row r="2918" spans="2:11">
      <c r="B2918" s="235"/>
      <c r="C2918" s="231"/>
      <c r="D2918" s="231"/>
      <c r="E2918" s="231"/>
      <c r="F2918" s="231"/>
      <c r="G2918" s="231"/>
      <c r="H2918" s="235"/>
      <c r="I2918" s="235"/>
      <c r="J2918" s="236"/>
      <c r="K2918" s="236"/>
    </row>
    <row r="2919" spans="2:11">
      <c r="B2919" s="235"/>
      <c r="C2919" s="231"/>
      <c r="D2919" s="231"/>
      <c r="E2919" s="231"/>
      <c r="F2919" s="231"/>
      <c r="G2919" s="231"/>
      <c r="H2919" s="235"/>
      <c r="I2919" s="235"/>
      <c r="J2919" s="236"/>
      <c r="K2919" s="236"/>
    </row>
    <row r="2920" spans="2:11">
      <c r="B2920" s="235"/>
      <c r="C2920" s="231"/>
      <c r="D2920" s="231"/>
      <c r="E2920" s="231"/>
      <c r="F2920" s="231"/>
      <c r="G2920" s="231"/>
      <c r="H2920" s="235"/>
      <c r="I2920" s="235"/>
      <c r="J2920" s="236"/>
      <c r="K2920" s="236"/>
    </row>
    <row r="2921" spans="2:11">
      <c r="B2921" s="235"/>
      <c r="C2921" s="231"/>
      <c r="D2921" s="231"/>
      <c r="E2921" s="231"/>
      <c r="F2921" s="231"/>
      <c r="G2921" s="231"/>
      <c r="H2921" s="235"/>
      <c r="I2921" s="235"/>
      <c r="J2921" s="236"/>
      <c r="K2921" s="236"/>
    </row>
    <row r="2922" spans="2:11">
      <c r="B2922" s="235"/>
      <c r="C2922" s="231"/>
      <c r="D2922" s="231"/>
      <c r="E2922" s="231"/>
      <c r="F2922" s="231"/>
      <c r="G2922" s="231"/>
      <c r="H2922" s="235"/>
      <c r="I2922" s="235"/>
      <c r="J2922" s="236"/>
      <c r="K2922" s="236"/>
    </row>
    <row r="2923" spans="2:11">
      <c r="B2923" s="235"/>
      <c r="C2923" s="231"/>
      <c r="D2923" s="231"/>
      <c r="E2923" s="231"/>
      <c r="F2923" s="231"/>
      <c r="G2923" s="231"/>
      <c r="H2923" s="235"/>
      <c r="I2923" s="235"/>
      <c r="J2923" s="236"/>
      <c r="K2923" s="236"/>
    </row>
    <row r="2924" spans="2:11">
      <c r="B2924" s="235"/>
      <c r="C2924" s="231"/>
      <c r="D2924" s="231"/>
      <c r="E2924" s="231"/>
      <c r="F2924" s="231"/>
      <c r="G2924" s="231"/>
      <c r="H2924" s="235"/>
      <c r="I2924" s="235"/>
      <c r="J2924" s="236"/>
      <c r="K2924" s="236"/>
    </row>
    <row r="2925" spans="2:11">
      <c r="B2925" s="235"/>
      <c r="C2925" s="231"/>
      <c r="D2925" s="231"/>
      <c r="E2925" s="231"/>
      <c r="F2925" s="231"/>
      <c r="G2925" s="231"/>
      <c r="H2925" s="235"/>
      <c r="I2925" s="235"/>
      <c r="J2925" s="236"/>
      <c r="K2925" s="236"/>
    </row>
    <row r="2926" spans="2:11">
      <c r="B2926" s="235"/>
      <c r="C2926" s="231"/>
      <c r="D2926" s="231"/>
      <c r="E2926" s="231"/>
      <c r="F2926" s="231"/>
      <c r="G2926" s="231"/>
      <c r="H2926" s="235"/>
      <c r="I2926" s="235"/>
      <c r="J2926" s="236"/>
      <c r="K2926" s="236"/>
    </row>
    <row r="2927" spans="2:11">
      <c r="B2927" s="235"/>
      <c r="C2927" s="231"/>
      <c r="D2927" s="231"/>
      <c r="E2927" s="231"/>
      <c r="F2927" s="231"/>
      <c r="G2927" s="231"/>
      <c r="H2927" s="235"/>
      <c r="I2927" s="235"/>
      <c r="J2927" s="236"/>
      <c r="K2927" s="236"/>
    </row>
    <row r="2928" spans="2:11">
      <c r="B2928" s="235"/>
      <c r="C2928" s="231"/>
      <c r="D2928" s="231"/>
      <c r="E2928" s="231"/>
      <c r="F2928" s="231"/>
      <c r="G2928" s="231"/>
      <c r="H2928" s="235"/>
      <c r="I2928" s="235"/>
      <c r="J2928" s="236"/>
      <c r="K2928" s="236"/>
    </row>
    <row r="2929" spans="2:11">
      <c r="B2929" s="235"/>
      <c r="C2929" s="231"/>
      <c r="D2929" s="231"/>
      <c r="E2929" s="231"/>
      <c r="F2929" s="231"/>
      <c r="G2929" s="231"/>
      <c r="H2929" s="235"/>
      <c r="I2929" s="235"/>
      <c r="J2929" s="236"/>
      <c r="K2929" s="236"/>
    </row>
    <row r="2930" spans="2:11">
      <c r="B2930" s="235"/>
      <c r="C2930" s="231"/>
      <c r="D2930" s="231"/>
      <c r="E2930" s="231"/>
      <c r="F2930" s="231"/>
      <c r="G2930" s="231"/>
      <c r="H2930" s="235"/>
      <c r="I2930" s="235"/>
      <c r="J2930" s="236"/>
      <c r="K2930" s="236"/>
    </row>
    <row r="2931" spans="2:11">
      <c r="B2931" s="235"/>
      <c r="C2931" s="231"/>
      <c r="D2931" s="231"/>
      <c r="E2931" s="231"/>
      <c r="F2931" s="231"/>
      <c r="G2931" s="231"/>
      <c r="H2931" s="235"/>
      <c r="I2931" s="235"/>
      <c r="J2931" s="236"/>
      <c r="K2931" s="236"/>
    </row>
    <row r="2932" spans="2:11">
      <c r="B2932" s="235"/>
      <c r="C2932" s="231"/>
      <c r="D2932" s="231"/>
      <c r="E2932" s="231"/>
      <c r="F2932" s="231"/>
      <c r="G2932" s="231"/>
      <c r="H2932" s="235"/>
      <c r="I2932" s="235"/>
      <c r="J2932" s="236"/>
      <c r="K2932" s="236"/>
    </row>
    <row r="2933" spans="2:11">
      <c r="B2933" s="235"/>
      <c r="C2933" s="231"/>
      <c r="D2933" s="231"/>
      <c r="E2933" s="231"/>
      <c r="F2933" s="231"/>
      <c r="G2933" s="231"/>
      <c r="H2933" s="235"/>
      <c r="I2933" s="235"/>
      <c r="J2933" s="236"/>
      <c r="K2933" s="236"/>
    </row>
    <row r="2934" spans="2:11">
      <c r="B2934" s="235"/>
      <c r="C2934" s="231"/>
      <c r="D2934" s="231"/>
      <c r="E2934" s="231"/>
      <c r="F2934" s="231"/>
      <c r="G2934" s="231"/>
      <c r="H2934" s="235"/>
      <c r="I2934" s="235"/>
      <c r="J2934" s="236"/>
      <c r="K2934" s="236"/>
    </row>
    <row r="2935" spans="2:11">
      <c r="B2935" s="235"/>
      <c r="C2935" s="231"/>
      <c r="D2935" s="231"/>
      <c r="E2935" s="231"/>
      <c r="F2935" s="231"/>
      <c r="G2935" s="231"/>
      <c r="H2935" s="235"/>
      <c r="I2935" s="235"/>
      <c r="J2935" s="236"/>
      <c r="K2935" s="236"/>
    </row>
    <row r="2936" spans="2:11">
      <c r="B2936" s="235"/>
      <c r="C2936" s="231"/>
      <c r="D2936" s="231"/>
      <c r="E2936" s="231"/>
      <c r="F2936" s="231"/>
      <c r="G2936" s="231"/>
      <c r="H2936" s="235"/>
      <c r="I2936" s="235"/>
      <c r="J2936" s="236"/>
      <c r="K2936" s="236"/>
    </row>
    <row r="2937" spans="2:11">
      <c r="B2937" s="235"/>
      <c r="C2937" s="231"/>
      <c r="D2937" s="231"/>
      <c r="E2937" s="231"/>
      <c r="F2937" s="231"/>
      <c r="G2937" s="231"/>
      <c r="H2937" s="235"/>
      <c r="I2937" s="235"/>
      <c r="J2937" s="236"/>
      <c r="K2937" s="236"/>
    </row>
    <row r="2938" spans="2:11">
      <c r="B2938" s="235"/>
      <c r="C2938" s="231"/>
      <c r="D2938" s="231"/>
      <c r="E2938" s="231"/>
      <c r="F2938" s="231"/>
      <c r="G2938" s="231"/>
      <c r="H2938" s="235"/>
      <c r="I2938" s="235"/>
      <c r="J2938" s="236"/>
      <c r="K2938" s="236"/>
    </row>
    <row r="2939" spans="2:11">
      <c r="B2939" s="235"/>
      <c r="C2939" s="231"/>
      <c r="D2939" s="231"/>
      <c r="E2939" s="231"/>
      <c r="F2939" s="231"/>
      <c r="G2939" s="231"/>
      <c r="H2939" s="235"/>
      <c r="I2939" s="235"/>
      <c r="J2939" s="236"/>
      <c r="K2939" s="236"/>
    </row>
    <row r="2940" spans="2:11">
      <c r="B2940" s="235"/>
      <c r="C2940" s="231"/>
      <c r="D2940" s="231"/>
      <c r="E2940" s="231"/>
      <c r="F2940" s="231"/>
      <c r="G2940" s="231"/>
      <c r="H2940" s="235"/>
      <c r="I2940" s="235"/>
      <c r="J2940" s="236"/>
      <c r="K2940" s="236"/>
    </row>
    <row r="2941" spans="2:11">
      <c r="B2941" s="235"/>
      <c r="C2941" s="231"/>
      <c r="D2941" s="231"/>
      <c r="E2941" s="231"/>
      <c r="F2941" s="231"/>
      <c r="G2941" s="231"/>
      <c r="H2941" s="235"/>
      <c r="I2941" s="235"/>
      <c r="J2941" s="236"/>
      <c r="K2941" s="236"/>
    </row>
    <row r="2942" spans="2:11">
      <c r="B2942" s="235"/>
      <c r="C2942" s="231"/>
      <c r="D2942" s="231"/>
      <c r="E2942" s="231"/>
      <c r="F2942" s="231"/>
      <c r="G2942" s="231"/>
      <c r="H2942" s="235"/>
      <c r="I2942" s="235"/>
      <c r="J2942" s="236"/>
      <c r="K2942" s="236"/>
    </row>
    <row r="2943" spans="2:11">
      <c r="B2943" s="235"/>
      <c r="C2943" s="231"/>
      <c r="D2943" s="231"/>
      <c r="E2943" s="231"/>
      <c r="F2943" s="231"/>
      <c r="G2943" s="231"/>
      <c r="H2943" s="235"/>
      <c r="I2943" s="235"/>
      <c r="J2943" s="236"/>
      <c r="K2943" s="236"/>
    </row>
    <row r="2944" spans="2:11">
      <c r="B2944" s="235"/>
      <c r="C2944" s="231"/>
      <c r="D2944" s="231"/>
      <c r="E2944" s="231"/>
      <c r="F2944" s="231"/>
      <c r="G2944" s="231"/>
      <c r="H2944" s="235"/>
      <c r="I2944" s="235"/>
      <c r="J2944" s="236"/>
      <c r="K2944" s="236"/>
    </row>
    <row r="2945" spans="2:11">
      <c r="B2945" s="235"/>
      <c r="C2945" s="231"/>
      <c r="D2945" s="231"/>
      <c r="E2945" s="231"/>
      <c r="F2945" s="231"/>
      <c r="G2945" s="231"/>
      <c r="H2945" s="235"/>
      <c r="I2945" s="235"/>
      <c r="J2945" s="236"/>
      <c r="K2945" s="236"/>
    </row>
    <row r="2946" spans="2:11">
      <c r="B2946" s="235"/>
      <c r="C2946" s="231"/>
      <c r="D2946" s="231"/>
      <c r="E2946" s="231"/>
      <c r="F2946" s="231"/>
      <c r="G2946" s="231"/>
      <c r="H2946" s="235"/>
      <c r="I2946" s="235"/>
      <c r="J2946" s="236"/>
      <c r="K2946" s="236"/>
    </row>
    <row r="2947" spans="2:11">
      <c r="B2947" s="235"/>
      <c r="C2947" s="231"/>
      <c r="D2947" s="231"/>
      <c r="E2947" s="231"/>
      <c r="F2947" s="231"/>
      <c r="G2947" s="231"/>
      <c r="H2947" s="235"/>
      <c r="I2947" s="235"/>
      <c r="J2947" s="236"/>
      <c r="K2947" s="236"/>
    </row>
    <row r="2948" spans="2:11">
      <c r="B2948" s="235"/>
      <c r="C2948" s="231"/>
      <c r="D2948" s="231"/>
      <c r="E2948" s="231"/>
      <c r="F2948" s="231"/>
      <c r="G2948" s="231"/>
      <c r="H2948" s="235"/>
      <c r="I2948" s="235"/>
      <c r="J2948" s="236"/>
      <c r="K2948" s="236"/>
    </row>
    <row r="2949" spans="2:11">
      <c r="B2949" s="235"/>
      <c r="C2949" s="231"/>
      <c r="D2949" s="231"/>
      <c r="E2949" s="231"/>
      <c r="F2949" s="231"/>
      <c r="G2949" s="231"/>
      <c r="H2949" s="235"/>
      <c r="I2949" s="235"/>
      <c r="J2949" s="236"/>
      <c r="K2949" s="236"/>
    </row>
    <row r="2950" spans="2:11">
      <c r="B2950" s="235"/>
      <c r="C2950" s="231"/>
      <c r="D2950" s="231"/>
      <c r="E2950" s="231"/>
      <c r="F2950" s="231"/>
      <c r="G2950" s="231"/>
      <c r="H2950" s="235"/>
      <c r="I2950" s="235"/>
      <c r="J2950" s="236"/>
      <c r="K2950" s="236"/>
    </row>
    <row r="2951" spans="2:11">
      <c r="B2951" s="235"/>
      <c r="C2951" s="231"/>
      <c r="D2951" s="231"/>
      <c r="E2951" s="231"/>
      <c r="F2951" s="231"/>
      <c r="G2951" s="231"/>
      <c r="H2951" s="235"/>
      <c r="I2951" s="235"/>
      <c r="J2951" s="236"/>
      <c r="K2951" s="236"/>
    </row>
    <row r="2952" spans="2:11">
      <c r="B2952" s="235"/>
      <c r="C2952" s="231"/>
      <c r="D2952" s="231"/>
      <c r="E2952" s="231"/>
      <c r="F2952" s="231"/>
      <c r="G2952" s="231"/>
      <c r="H2952" s="235"/>
      <c r="I2952" s="235"/>
      <c r="J2952" s="236"/>
      <c r="K2952" s="236"/>
    </row>
    <row r="2953" spans="2:11">
      <c r="B2953" s="235"/>
      <c r="C2953" s="231"/>
      <c r="D2953" s="231"/>
      <c r="E2953" s="231"/>
      <c r="F2953" s="231"/>
      <c r="G2953" s="231"/>
      <c r="H2953" s="235"/>
      <c r="I2953" s="235"/>
      <c r="J2953" s="236"/>
      <c r="K2953" s="236"/>
    </row>
    <row r="2954" spans="2:11">
      <c r="B2954" s="235"/>
      <c r="C2954" s="231"/>
      <c r="D2954" s="231"/>
      <c r="E2954" s="231"/>
      <c r="F2954" s="231"/>
      <c r="G2954" s="231"/>
      <c r="H2954" s="235"/>
      <c r="I2954" s="235"/>
      <c r="J2954" s="236"/>
      <c r="K2954" s="236"/>
    </row>
    <row r="2955" spans="2:11">
      <c r="B2955" s="235"/>
      <c r="C2955" s="231"/>
      <c r="D2955" s="231"/>
      <c r="E2955" s="231"/>
      <c r="F2955" s="231"/>
      <c r="G2955" s="231"/>
      <c r="H2955" s="235"/>
      <c r="I2955" s="235"/>
      <c r="J2955" s="236"/>
      <c r="K2955" s="236"/>
    </row>
    <row r="2956" spans="2:11">
      <c r="B2956" s="235"/>
      <c r="C2956" s="231"/>
      <c r="D2956" s="231"/>
      <c r="E2956" s="231"/>
      <c r="F2956" s="231"/>
      <c r="G2956" s="231"/>
      <c r="H2956" s="235"/>
      <c r="I2956" s="235"/>
      <c r="J2956" s="236"/>
      <c r="K2956" s="236"/>
    </row>
    <row r="2957" spans="2:11">
      <c r="B2957" s="235"/>
      <c r="C2957" s="231"/>
      <c r="D2957" s="231"/>
      <c r="E2957" s="231"/>
      <c r="F2957" s="231"/>
      <c r="G2957" s="231"/>
      <c r="H2957" s="235"/>
      <c r="I2957" s="235"/>
      <c r="J2957" s="236"/>
      <c r="K2957" s="236"/>
    </row>
    <row r="2958" spans="2:11">
      <c r="B2958" s="235"/>
      <c r="C2958" s="231"/>
      <c r="D2958" s="231"/>
      <c r="E2958" s="231"/>
      <c r="F2958" s="231"/>
      <c r="G2958" s="231"/>
      <c r="H2958" s="235"/>
      <c r="I2958" s="235"/>
      <c r="J2958" s="236"/>
      <c r="K2958" s="236"/>
    </row>
    <row r="2959" spans="2:11">
      <c r="B2959" s="235"/>
      <c r="C2959" s="231"/>
      <c r="D2959" s="231"/>
      <c r="E2959" s="231"/>
      <c r="F2959" s="231"/>
      <c r="G2959" s="231"/>
      <c r="H2959" s="235"/>
      <c r="I2959" s="235"/>
      <c r="J2959" s="236"/>
      <c r="K2959" s="236"/>
    </row>
    <row r="2960" spans="2:11">
      <c r="B2960" s="235"/>
      <c r="C2960" s="231"/>
      <c r="D2960" s="231"/>
      <c r="E2960" s="231"/>
      <c r="F2960" s="231"/>
      <c r="G2960" s="231"/>
      <c r="H2960" s="235"/>
      <c r="I2960" s="235"/>
      <c r="J2960" s="236"/>
      <c r="K2960" s="236"/>
    </row>
    <row r="2961" spans="2:11">
      <c r="B2961" s="235"/>
      <c r="C2961" s="231"/>
      <c r="D2961" s="231"/>
      <c r="E2961" s="231"/>
      <c r="F2961" s="231"/>
      <c r="G2961" s="231"/>
      <c r="H2961" s="235"/>
      <c r="I2961" s="235"/>
      <c r="J2961" s="236"/>
      <c r="K2961" s="236"/>
    </row>
    <row r="2962" spans="2:11">
      <c r="B2962" s="235"/>
      <c r="C2962" s="231"/>
      <c r="D2962" s="231"/>
      <c r="E2962" s="231"/>
      <c r="F2962" s="231"/>
      <c r="G2962" s="231"/>
      <c r="H2962" s="235"/>
      <c r="I2962" s="235"/>
      <c r="J2962" s="236"/>
      <c r="K2962" s="236"/>
    </row>
    <row r="2963" spans="2:11">
      <c r="B2963" s="235"/>
      <c r="C2963" s="231"/>
      <c r="D2963" s="231"/>
      <c r="E2963" s="231"/>
      <c r="F2963" s="231"/>
      <c r="G2963" s="231"/>
      <c r="H2963" s="235"/>
      <c r="I2963" s="235"/>
      <c r="J2963" s="236"/>
      <c r="K2963" s="236"/>
    </row>
    <row r="2964" spans="2:11">
      <c r="B2964" s="235"/>
      <c r="C2964" s="231"/>
      <c r="D2964" s="231"/>
      <c r="E2964" s="231"/>
      <c r="F2964" s="231"/>
      <c r="G2964" s="231"/>
      <c r="H2964" s="235"/>
      <c r="I2964" s="235"/>
      <c r="J2964" s="236"/>
      <c r="K2964" s="236"/>
    </row>
    <row r="2965" spans="2:11">
      <c r="B2965" s="235"/>
      <c r="C2965" s="231"/>
      <c r="D2965" s="231"/>
      <c r="E2965" s="231"/>
      <c r="F2965" s="231"/>
      <c r="G2965" s="231"/>
      <c r="H2965" s="235"/>
      <c r="I2965" s="235"/>
      <c r="J2965" s="236"/>
      <c r="K2965" s="236"/>
    </row>
    <row r="2966" spans="2:11">
      <c r="B2966" s="235"/>
      <c r="C2966" s="231"/>
      <c r="D2966" s="231"/>
      <c r="E2966" s="231"/>
      <c r="F2966" s="231"/>
      <c r="G2966" s="231"/>
      <c r="H2966" s="235"/>
      <c r="I2966" s="235"/>
      <c r="J2966" s="236"/>
      <c r="K2966" s="236"/>
    </row>
    <row r="2967" spans="2:11">
      <c r="B2967" s="235"/>
      <c r="C2967" s="231"/>
      <c r="D2967" s="231"/>
      <c r="E2967" s="231"/>
      <c r="F2967" s="231"/>
      <c r="G2967" s="231"/>
      <c r="H2967" s="235"/>
      <c r="I2967" s="235"/>
      <c r="J2967" s="236"/>
      <c r="K2967" s="236"/>
    </row>
    <row r="2968" spans="2:11">
      <c r="B2968" s="235"/>
      <c r="C2968" s="231"/>
      <c r="D2968" s="231"/>
      <c r="E2968" s="231"/>
      <c r="F2968" s="231"/>
      <c r="G2968" s="231"/>
      <c r="H2968" s="235"/>
      <c r="I2968" s="235"/>
      <c r="J2968" s="236"/>
      <c r="K2968" s="236"/>
    </row>
    <row r="2969" spans="2:11">
      <c r="B2969" s="235"/>
      <c r="C2969" s="231"/>
      <c r="D2969" s="231"/>
      <c r="E2969" s="231"/>
      <c r="F2969" s="231"/>
      <c r="G2969" s="231"/>
      <c r="H2969" s="235"/>
      <c r="I2969" s="235"/>
      <c r="J2969" s="236"/>
      <c r="K2969" s="236"/>
    </row>
    <row r="2970" spans="2:11">
      <c r="B2970" s="235"/>
      <c r="C2970" s="231"/>
      <c r="D2970" s="231"/>
      <c r="E2970" s="231"/>
      <c r="F2970" s="231"/>
      <c r="G2970" s="231"/>
      <c r="H2970" s="235"/>
      <c r="I2970" s="235"/>
      <c r="J2970" s="236"/>
      <c r="K2970" s="236"/>
    </row>
    <row r="2971" spans="2:11">
      <c r="B2971" s="235"/>
      <c r="C2971" s="231"/>
      <c r="D2971" s="231"/>
      <c r="E2971" s="231"/>
      <c r="F2971" s="231"/>
      <c r="G2971" s="231"/>
      <c r="H2971" s="235"/>
      <c r="I2971" s="235"/>
      <c r="J2971" s="236"/>
      <c r="K2971" s="236"/>
    </row>
    <row r="2972" spans="2:11">
      <c r="B2972" s="235"/>
      <c r="C2972" s="231"/>
      <c r="D2972" s="231"/>
      <c r="E2972" s="231"/>
      <c r="F2972" s="231"/>
      <c r="G2972" s="231"/>
      <c r="H2972" s="235"/>
      <c r="I2972" s="235"/>
      <c r="J2972" s="236"/>
      <c r="K2972" s="236"/>
    </row>
    <row r="2973" spans="2:11">
      <c r="B2973" s="235"/>
      <c r="C2973" s="231"/>
      <c r="D2973" s="231"/>
      <c r="E2973" s="231"/>
      <c r="F2973" s="231"/>
      <c r="G2973" s="231"/>
      <c r="H2973" s="235"/>
      <c r="I2973" s="235"/>
      <c r="J2973" s="236"/>
      <c r="K2973" s="236"/>
    </row>
    <row r="2974" spans="2:11">
      <c r="B2974" s="235"/>
      <c r="C2974" s="231"/>
      <c r="D2974" s="231"/>
      <c r="E2974" s="231"/>
      <c r="F2974" s="231"/>
      <c r="G2974" s="231"/>
      <c r="H2974" s="235"/>
      <c r="I2974" s="235"/>
      <c r="J2974" s="236"/>
      <c r="K2974" s="236"/>
    </row>
    <row r="2975" spans="2:11">
      <c r="B2975" s="235"/>
      <c r="C2975" s="231"/>
      <c r="D2975" s="231"/>
      <c r="E2975" s="231"/>
      <c r="F2975" s="231"/>
      <c r="G2975" s="231"/>
      <c r="H2975" s="235"/>
      <c r="I2975" s="235"/>
      <c r="J2975" s="236"/>
      <c r="K2975" s="236"/>
    </row>
    <row r="2976" spans="2:11">
      <c r="B2976" s="235"/>
      <c r="C2976" s="231"/>
      <c r="D2976" s="231"/>
      <c r="E2976" s="231"/>
      <c r="F2976" s="231"/>
      <c r="G2976" s="231"/>
      <c r="H2976" s="235"/>
      <c r="I2976" s="235"/>
      <c r="J2976" s="236"/>
      <c r="K2976" s="236"/>
    </row>
    <row r="2977" spans="2:11">
      <c r="B2977" s="235"/>
      <c r="C2977" s="231"/>
      <c r="D2977" s="231"/>
      <c r="E2977" s="231"/>
      <c r="F2977" s="231"/>
      <c r="G2977" s="231"/>
      <c r="H2977" s="235"/>
      <c r="I2977" s="235"/>
      <c r="J2977" s="236"/>
      <c r="K2977" s="236"/>
    </row>
    <row r="2978" spans="2:11">
      <c r="B2978" s="235"/>
      <c r="C2978" s="231"/>
      <c r="D2978" s="231"/>
      <c r="E2978" s="231"/>
      <c r="F2978" s="231"/>
      <c r="G2978" s="231"/>
      <c r="H2978" s="235"/>
      <c r="I2978" s="235"/>
      <c r="J2978" s="236"/>
      <c r="K2978" s="236"/>
    </row>
    <row r="2979" spans="2:11">
      <c r="B2979" s="235"/>
      <c r="C2979" s="231"/>
      <c r="D2979" s="231"/>
      <c r="E2979" s="231"/>
      <c r="F2979" s="231"/>
      <c r="G2979" s="231"/>
      <c r="H2979" s="235"/>
      <c r="I2979" s="235"/>
      <c r="J2979" s="236"/>
      <c r="K2979" s="236"/>
    </row>
    <row r="2980" spans="2:11">
      <c r="B2980" s="235"/>
      <c r="C2980" s="231"/>
      <c r="D2980" s="231"/>
      <c r="E2980" s="231"/>
      <c r="F2980" s="231"/>
      <c r="G2980" s="231"/>
      <c r="H2980" s="235"/>
      <c r="I2980" s="235"/>
      <c r="J2980" s="236"/>
      <c r="K2980" s="236"/>
    </row>
    <row r="2981" spans="2:11">
      <c r="B2981" s="235"/>
      <c r="C2981" s="231"/>
      <c r="D2981" s="231"/>
      <c r="E2981" s="231"/>
      <c r="F2981" s="231"/>
      <c r="G2981" s="231"/>
      <c r="H2981" s="235"/>
      <c r="I2981" s="235"/>
      <c r="J2981" s="236"/>
      <c r="K2981" s="236"/>
    </row>
    <row r="2982" spans="2:11">
      <c r="B2982" s="235"/>
      <c r="C2982" s="231"/>
      <c r="D2982" s="231"/>
      <c r="E2982" s="231"/>
      <c r="F2982" s="231"/>
      <c r="G2982" s="231"/>
      <c r="H2982" s="235"/>
      <c r="I2982" s="235"/>
      <c r="J2982" s="236"/>
      <c r="K2982" s="236"/>
    </row>
    <row r="2983" spans="2:11">
      <c r="B2983" s="235"/>
      <c r="C2983" s="231"/>
      <c r="D2983" s="231"/>
      <c r="E2983" s="231"/>
      <c r="F2983" s="231"/>
      <c r="G2983" s="231"/>
      <c r="H2983" s="235"/>
      <c r="I2983" s="235"/>
      <c r="J2983" s="236"/>
      <c r="K2983" s="236"/>
    </row>
    <row r="2984" spans="2:11">
      <c r="B2984" s="235"/>
      <c r="C2984" s="231"/>
      <c r="D2984" s="231"/>
      <c r="E2984" s="231"/>
      <c r="F2984" s="231"/>
      <c r="G2984" s="231"/>
      <c r="H2984" s="235"/>
      <c r="I2984" s="235"/>
      <c r="J2984" s="236"/>
      <c r="K2984" s="236"/>
    </row>
    <row r="2985" spans="2:11">
      <c r="B2985" s="235"/>
      <c r="C2985" s="231"/>
      <c r="D2985" s="231"/>
      <c r="E2985" s="231"/>
      <c r="F2985" s="231"/>
      <c r="G2985" s="231"/>
      <c r="H2985" s="235"/>
      <c r="I2985" s="235"/>
      <c r="J2985" s="236"/>
      <c r="K2985" s="236"/>
    </row>
    <row r="2986" spans="2:11">
      <c r="B2986" s="235"/>
      <c r="C2986" s="231"/>
      <c r="D2986" s="231"/>
      <c r="E2986" s="231"/>
      <c r="F2986" s="231"/>
      <c r="G2986" s="231"/>
      <c r="H2986" s="235"/>
      <c r="I2986" s="235"/>
      <c r="J2986" s="236"/>
      <c r="K2986" s="236"/>
    </row>
    <row r="2987" spans="2:11">
      <c r="B2987" s="235"/>
      <c r="C2987" s="231"/>
      <c r="D2987" s="231"/>
      <c r="E2987" s="231"/>
      <c r="F2987" s="231"/>
      <c r="G2987" s="231"/>
      <c r="H2987" s="235"/>
      <c r="I2987" s="235"/>
      <c r="J2987" s="236"/>
      <c r="K2987" s="236"/>
    </row>
    <row r="2988" spans="2:11">
      <c r="B2988" s="235"/>
      <c r="C2988" s="231"/>
      <c r="D2988" s="231"/>
      <c r="E2988" s="231"/>
      <c r="F2988" s="231"/>
      <c r="G2988" s="231"/>
      <c r="H2988" s="235"/>
      <c r="I2988" s="235"/>
      <c r="J2988" s="236"/>
      <c r="K2988" s="236"/>
    </row>
    <row r="2989" spans="2:11">
      <c r="B2989" s="235"/>
      <c r="C2989" s="231"/>
      <c r="D2989" s="231"/>
      <c r="E2989" s="231"/>
      <c r="F2989" s="231"/>
      <c r="G2989" s="231"/>
      <c r="H2989" s="235"/>
      <c r="I2989" s="235"/>
      <c r="J2989" s="236"/>
      <c r="K2989" s="236"/>
    </row>
    <row r="2990" spans="2:11">
      <c r="B2990" s="235"/>
      <c r="C2990" s="231"/>
      <c r="D2990" s="231"/>
      <c r="E2990" s="231"/>
      <c r="F2990" s="231"/>
      <c r="G2990" s="231"/>
      <c r="H2990" s="235"/>
      <c r="I2990" s="235"/>
      <c r="J2990" s="236"/>
      <c r="K2990" s="236"/>
    </row>
    <row r="2991" spans="2:11">
      <c r="B2991" s="235"/>
      <c r="C2991" s="231"/>
      <c r="D2991" s="231"/>
      <c r="E2991" s="231"/>
      <c r="F2991" s="231"/>
      <c r="G2991" s="231"/>
      <c r="H2991" s="235"/>
      <c r="I2991" s="235"/>
      <c r="J2991" s="236"/>
      <c r="K2991" s="236"/>
    </row>
    <row r="2992" spans="2:11">
      <c r="B2992" s="235"/>
      <c r="C2992" s="231"/>
      <c r="D2992" s="231"/>
      <c r="E2992" s="231"/>
      <c r="F2992" s="231"/>
      <c r="G2992" s="231"/>
      <c r="H2992" s="235"/>
      <c r="I2992" s="235"/>
      <c r="J2992" s="236"/>
      <c r="K2992" s="236"/>
    </row>
    <row r="2993" spans="2:11">
      <c r="B2993" s="235"/>
      <c r="C2993" s="231"/>
      <c r="D2993" s="231"/>
      <c r="E2993" s="231"/>
      <c r="F2993" s="231"/>
      <c r="G2993" s="231"/>
      <c r="H2993" s="235"/>
      <c r="I2993" s="235"/>
      <c r="J2993" s="236"/>
      <c r="K2993" s="236"/>
    </row>
    <row r="2994" spans="2:11">
      <c r="B2994" s="235"/>
      <c r="C2994" s="231"/>
      <c r="D2994" s="231"/>
      <c r="E2994" s="231"/>
      <c r="F2994" s="231"/>
      <c r="G2994" s="231"/>
      <c r="H2994" s="235"/>
      <c r="I2994" s="235"/>
      <c r="J2994" s="236"/>
      <c r="K2994" s="236"/>
    </row>
    <row r="2995" spans="2:11">
      <c r="B2995" s="235"/>
      <c r="C2995" s="231"/>
      <c r="D2995" s="231"/>
      <c r="E2995" s="231"/>
      <c r="F2995" s="231"/>
      <c r="G2995" s="231"/>
      <c r="H2995" s="235"/>
      <c r="I2995" s="235"/>
      <c r="J2995" s="236"/>
      <c r="K2995" s="236"/>
    </row>
    <row r="2996" spans="2:11">
      <c r="B2996" s="235"/>
      <c r="C2996" s="231"/>
      <c r="D2996" s="231"/>
      <c r="E2996" s="231"/>
      <c r="F2996" s="231"/>
      <c r="G2996" s="231"/>
      <c r="H2996" s="235"/>
      <c r="I2996" s="235"/>
      <c r="J2996" s="236"/>
      <c r="K2996" s="236"/>
    </row>
    <row r="2997" spans="2:11">
      <c r="B2997" s="235"/>
      <c r="C2997" s="231"/>
      <c r="D2997" s="231"/>
      <c r="E2997" s="231"/>
      <c r="F2997" s="231"/>
      <c r="G2997" s="231"/>
      <c r="H2997" s="235"/>
      <c r="I2997" s="235"/>
      <c r="J2997" s="236"/>
      <c r="K2997" s="236"/>
    </row>
    <row r="2998" spans="2:11">
      <c r="B2998" s="235"/>
      <c r="C2998" s="231"/>
      <c r="D2998" s="231"/>
      <c r="E2998" s="231"/>
      <c r="F2998" s="231"/>
      <c r="G2998" s="231"/>
      <c r="H2998" s="235"/>
      <c r="I2998" s="235"/>
      <c r="J2998" s="236"/>
      <c r="K2998" s="236"/>
    </row>
    <row r="2999" spans="2:11">
      <c r="B2999" s="235"/>
      <c r="C2999" s="231"/>
      <c r="D2999" s="231"/>
      <c r="E2999" s="231"/>
      <c r="F2999" s="231"/>
      <c r="G2999" s="231"/>
      <c r="H2999" s="235"/>
      <c r="I2999" s="235"/>
      <c r="J2999" s="236"/>
      <c r="K2999" s="236"/>
    </row>
    <row r="3000" spans="2:11">
      <c r="B3000" s="235"/>
      <c r="C3000" s="231"/>
      <c r="D3000" s="231"/>
      <c r="E3000" s="231"/>
      <c r="F3000" s="231"/>
      <c r="G3000" s="231"/>
      <c r="H3000" s="235"/>
      <c r="I3000" s="235"/>
      <c r="J3000" s="236"/>
      <c r="K3000" s="236"/>
    </row>
    <row r="3001" spans="2:11">
      <c r="B3001" s="235"/>
      <c r="C3001" s="231"/>
      <c r="D3001" s="231"/>
      <c r="E3001" s="231"/>
      <c r="F3001" s="231"/>
      <c r="G3001" s="231"/>
      <c r="H3001" s="235"/>
      <c r="I3001" s="235"/>
      <c r="J3001" s="236"/>
      <c r="K3001" s="236"/>
    </row>
    <row r="3002" spans="2:11">
      <c r="B3002" s="235"/>
      <c r="C3002" s="231"/>
      <c r="D3002" s="231"/>
      <c r="E3002" s="231"/>
      <c r="F3002" s="231"/>
      <c r="G3002" s="231"/>
      <c r="H3002" s="235"/>
      <c r="I3002" s="235"/>
      <c r="J3002" s="236"/>
      <c r="K3002" s="236"/>
    </row>
    <row r="3003" spans="2:11">
      <c r="B3003" s="235"/>
      <c r="C3003" s="231"/>
      <c r="D3003" s="231"/>
      <c r="E3003" s="231"/>
      <c r="F3003" s="231"/>
      <c r="G3003" s="231"/>
      <c r="H3003" s="235"/>
      <c r="I3003" s="235"/>
      <c r="J3003" s="236"/>
      <c r="K3003" s="236"/>
    </row>
    <row r="3004" spans="2:11">
      <c r="B3004" s="235"/>
      <c r="C3004" s="231"/>
      <c r="D3004" s="231"/>
      <c r="E3004" s="231"/>
      <c r="F3004" s="231"/>
      <c r="G3004" s="231"/>
      <c r="H3004" s="235"/>
      <c r="I3004" s="235"/>
      <c r="J3004" s="236"/>
      <c r="K3004" s="236"/>
    </row>
    <row r="3005" spans="2:11">
      <c r="B3005" s="235"/>
      <c r="C3005" s="231"/>
      <c r="D3005" s="231"/>
      <c r="E3005" s="231"/>
      <c r="F3005" s="231"/>
      <c r="G3005" s="231"/>
      <c r="H3005" s="235"/>
      <c r="I3005" s="235"/>
      <c r="J3005" s="236"/>
      <c r="K3005" s="236"/>
    </row>
    <row r="3006" spans="2:11">
      <c r="B3006" s="235"/>
      <c r="C3006" s="231"/>
      <c r="D3006" s="231"/>
      <c r="E3006" s="231"/>
      <c r="F3006" s="231"/>
      <c r="G3006" s="231"/>
      <c r="H3006" s="235"/>
      <c r="I3006" s="235"/>
      <c r="J3006" s="236"/>
      <c r="K3006" s="236"/>
    </row>
    <row r="3007" spans="2:11">
      <c r="B3007" s="235"/>
      <c r="C3007" s="231"/>
      <c r="D3007" s="231"/>
      <c r="E3007" s="231"/>
      <c r="F3007" s="231"/>
      <c r="G3007" s="231"/>
      <c r="H3007" s="235"/>
      <c r="I3007" s="235"/>
      <c r="J3007" s="236"/>
      <c r="K3007" s="236"/>
    </row>
    <row r="3008" spans="2:11">
      <c r="B3008" s="235"/>
      <c r="C3008" s="231"/>
      <c r="D3008" s="231"/>
      <c r="E3008" s="231"/>
      <c r="F3008" s="231"/>
      <c r="G3008" s="231"/>
      <c r="H3008" s="235"/>
      <c r="I3008" s="235"/>
      <c r="J3008" s="236"/>
      <c r="K3008" s="236"/>
    </row>
    <row r="3009" spans="2:11">
      <c r="B3009" s="235"/>
      <c r="C3009" s="231"/>
      <c r="D3009" s="231"/>
      <c r="E3009" s="231"/>
      <c r="F3009" s="231"/>
      <c r="G3009" s="231"/>
      <c r="H3009" s="235"/>
      <c r="I3009" s="235"/>
      <c r="J3009" s="236"/>
      <c r="K3009" s="236"/>
    </row>
    <row r="3010" spans="2:11">
      <c r="B3010" s="235"/>
      <c r="C3010" s="231"/>
      <c r="D3010" s="231"/>
      <c r="E3010" s="231"/>
      <c r="F3010" s="231"/>
      <c r="G3010" s="231"/>
      <c r="H3010" s="235"/>
      <c r="I3010" s="235"/>
      <c r="J3010" s="236"/>
      <c r="K3010" s="236"/>
    </row>
    <row r="3011" spans="2:11">
      <c r="B3011" s="235"/>
      <c r="C3011" s="231"/>
      <c r="D3011" s="231"/>
      <c r="E3011" s="231"/>
      <c r="F3011" s="231"/>
      <c r="G3011" s="231"/>
      <c r="H3011" s="235"/>
      <c r="I3011" s="235"/>
      <c r="J3011" s="236"/>
      <c r="K3011" s="236"/>
    </row>
    <row r="3012" spans="2:11">
      <c r="B3012" s="235"/>
      <c r="C3012" s="231"/>
      <c r="D3012" s="231"/>
      <c r="E3012" s="231"/>
      <c r="F3012" s="231"/>
      <c r="G3012" s="231"/>
      <c r="H3012" s="235"/>
      <c r="I3012" s="235"/>
      <c r="J3012" s="236"/>
      <c r="K3012" s="236"/>
    </row>
    <row r="3013" spans="2:11">
      <c r="B3013" s="235"/>
      <c r="C3013" s="231"/>
      <c r="D3013" s="231"/>
      <c r="E3013" s="231"/>
      <c r="F3013" s="231"/>
      <c r="G3013" s="231"/>
      <c r="H3013" s="235"/>
      <c r="I3013" s="235"/>
      <c r="J3013" s="236"/>
      <c r="K3013" s="236"/>
    </row>
    <row r="3014" spans="2:11">
      <c r="B3014" s="235"/>
      <c r="C3014" s="231"/>
      <c r="D3014" s="231"/>
      <c r="E3014" s="231"/>
      <c r="F3014" s="231"/>
      <c r="G3014" s="231"/>
      <c r="H3014" s="235"/>
      <c r="I3014" s="235"/>
      <c r="J3014" s="236"/>
      <c r="K3014" s="236"/>
    </row>
    <row r="3015" spans="2:11">
      <c r="B3015" s="235"/>
      <c r="C3015" s="231"/>
      <c r="D3015" s="231"/>
      <c r="E3015" s="231"/>
      <c r="F3015" s="231"/>
      <c r="G3015" s="231"/>
      <c r="H3015" s="235"/>
      <c r="I3015" s="235"/>
      <c r="J3015" s="236"/>
      <c r="K3015" s="236"/>
    </row>
    <row r="3016" spans="2:11">
      <c r="B3016" s="235"/>
      <c r="C3016" s="231"/>
      <c r="D3016" s="231"/>
      <c r="E3016" s="231"/>
      <c r="F3016" s="231"/>
      <c r="G3016" s="231"/>
      <c r="H3016" s="235"/>
      <c r="I3016" s="235"/>
      <c r="J3016" s="236"/>
      <c r="K3016" s="236"/>
    </row>
    <row r="3017" spans="2:11">
      <c r="B3017" s="235"/>
      <c r="C3017" s="231"/>
      <c r="D3017" s="231"/>
      <c r="E3017" s="231"/>
      <c r="F3017" s="231"/>
      <c r="G3017" s="231"/>
      <c r="H3017" s="235"/>
      <c r="I3017" s="235"/>
      <c r="J3017" s="236"/>
      <c r="K3017" s="236"/>
    </row>
    <row r="3018" spans="2:11">
      <c r="B3018" s="235"/>
      <c r="C3018" s="231"/>
      <c r="D3018" s="231"/>
      <c r="E3018" s="231"/>
      <c r="F3018" s="231"/>
      <c r="G3018" s="231"/>
      <c r="H3018" s="235"/>
      <c r="I3018" s="235"/>
      <c r="J3018" s="236"/>
      <c r="K3018" s="236"/>
    </row>
    <row r="3019" spans="2:11">
      <c r="B3019" s="235"/>
      <c r="C3019" s="231"/>
      <c r="D3019" s="231"/>
      <c r="E3019" s="231"/>
      <c r="F3019" s="231"/>
      <c r="G3019" s="231"/>
      <c r="H3019" s="235"/>
      <c r="I3019" s="235"/>
      <c r="J3019" s="236"/>
      <c r="K3019" s="236"/>
    </row>
    <row r="3020" spans="2:11">
      <c r="B3020" s="235"/>
      <c r="C3020" s="231"/>
      <c r="D3020" s="231"/>
      <c r="E3020" s="231"/>
      <c r="F3020" s="231"/>
      <c r="G3020" s="231"/>
      <c r="H3020" s="235"/>
      <c r="I3020" s="235"/>
      <c r="J3020" s="236"/>
      <c r="K3020" s="236"/>
    </row>
    <row r="3021" spans="2:11">
      <c r="B3021" s="235"/>
      <c r="C3021" s="231"/>
      <c r="D3021" s="231"/>
      <c r="E3021" s="231"/>
      <c r="F3021" s="231"/>
      <c r="G3021" s="231"/>
      <c r="H3021" s="235"/>
      <c r="I3021" s="235"/>
      <c r="J3021" s="236"/>
      <c r="K3021" s="236"/>
    </row>
    <row r="3022" spans="2:11">
      <c r="B3022" s="235"/>
      <c r="C3022" s="231"/>
      <c r="D3022" s="231"/>
      <c r="E3022" s="231"/>
      <c r="F3022" s="231"/>
      <c r="G3022" s="231"/>
      <c r="H3022" s="235"/>
      <c r="I3022" s="235"/>
      <c r="J3022" s="236"/>
      <c r="K3022" s="236"/>
    </row>
    <row r="3023" spans="2:11">
      <c r="B3023" s="235"/>
      <c r="C3023" s="231"/>
      <c r="D3023" s="231"/>
      <c r="E3023" s="231"/>
      <c r="F3023" s="231"/>
      <c r="G3023" s="231"/>
      <c r="H3023" s="235"/>
      <c r="I3023" s="235"/>
      <c r="J3023" s="236"/>
      <c r="K3023" s="236"/>
    </row>
    <row r="3024" spans="2:11">
      <c r="B3024" s="235"/>
      <c r="C3024" s="231"/>
      <c r="D3024" s="231"/>
      <c r="E3024" s="231"/>
      <c r="F3024" s="231"/>
      <c r="G3024" s="231"/>
      <c r="H3024" s="235"/>
      <c r="I3024" s="235"/>
      <c r="J3024" s="236"/>
      <c r="K3024" s="236"/>
    </row>
    <row r="3025" spans="2:11">
      <c r="B3025" s="235"/>
      <c r="C3025" s="231"/>
      <c r="D3025" s="231"/>
      <c r="E3025" s="231"/>
      <c r="F3025" s="231"/>
      <c r="G3025" s="231"/>
      <c r="H3025" s="235"/>
      <c r="I3025" s="235"/>
      <c r="J3025" s="236"/>
      <c r="K3025" s="236"/>
    </row>
    <row r="3026" spans="2:11">
      <c r="B3026" s="235"/>
      <c r="C3026" s="231"/>
      <c r="D3026" s="231"/>
      <c r="E3026" s="231"/>
      <c r="F3026" s="231"/>
      <c r="G3026" s="231"/>
      <c r="H3026" s="235"/>
      <c r="I3026" s="235"/>
      <c r="J3026" s="236"/>
      <c r="K3026" s="236"/>
    </row>
    <row r="3027" spans="2:11">
      <c r="B3027" s="235"/>
      <c r="C3027" s="231"/>
      <c r="D3027" s="231"/>
      <c r="E3027" s="231"/>
      <c r="F3027" s="231"/>
      <c r="G3027" s="231"/>
      <c r="H3027" s="235"/>
      <c r="I3027" s="235"/>
      <c r="J3027" s="236"/>
      <c r="K3027" s="236"/>
    </row>
    <row r="3028" spans="2:11">
      <c r="B3028" s="235"/>
      <c r="C3028" s="231"/>
      <c r="D3028" s="231"/>
      <c r="E3028" s="231"/>
      <c r="F3028" s="231"/>
      <c r="G3028" s="231"/>
      <c r="H3028" s="235"/>
      <c r="I3028" s="235"/>
      <c r="J3028" s="236"/>
      <c r="K3028" s="236"/>
    </row>
    <row r="3029" spans="2:11">
      <c r="B3029" s="235"/>
      <c r="C3029" s="231"/>
      <c r="D3029" s="231"/>
      <c r="E3029" s="231"/>
      <c r="F3029" s="231"/>
      <c r="G3029" s="231"/>
      <c r="H3029" s="235"/>
      <c r="I3029" s="235"/>
      <c r="J3029" s="236"/>
      <c r="K3029" s="236"/>
    </row>
    <row r="3030" spans="2:11">
      <c r="B3030" s="235"/>
      <c r="C3030" s="231"/>
      <c r="D3030" s="231"/>
      <c r="E3030" s="231"/>
      <c r="F3030" s="231"/>
      <c r="G3030" s="231"/>
      <c r="H3030" s="235"/>
      <c r="I3030" s="235"/>
      <c r="J3030" s="236"/>
      <c r="K3030" s="236"/>
    </row>
    <row r="3031" spans="2:11">
      <c r="B3031" s="235"/>
      <c r="C3031" s="231"/>
      <c r="D3031" s="231"/>
      <c r="E3031" s="231"/>
      <c r="F3031" s="231"/>
      <c r="G3031" s="231"/>
      <c r="H3031" s="235"/>
      <c r="I3031" s="235"/>
      <c r="J3031" s="236"/>
      <c r="K3031" s="236"/>
    </row>
    <row r="3032" spans="2:11">
      <c r="B3032" s="235"/>
      <c r="C3032" s="231"/>
      <c r="D3032" s="231"/>
      <c r="E3032" s="231"/>
      <c r="F3032" s="231"/>
      <c r="G3032" s="231"/>
      <c r="H3032" s="235"/>
      <c r="I3032" s="235"/>
      <c r="J3032" s="236"/>
      <c r="K3032" s="236"/>
    </row>
    <row r="3033" spans="2:11">
      <c r="B3033" s="235"/>
      <c r="C3033" s="231"/>
      <c r="D3033" s="231"/>
      <c r="E3033" s="231"/>
      <c r="F3033" s="231"/>
      <c r="G3033" s="231"/>
      <c r="H3033" s="235"/>
      <c r="I3033" s="235"/>
      <c r="J3033" s="236"/>
      <c r="K3033" s="236"/>
    </row>
    <row r="3034" spans="2:11">
      <c r="B3034" s="235"/>
      <c r="C3034" s="231"/>
      <c r="D3034" s="231"/>
      <c r="E3034" s="231"/>
      <c r="F3034" s="231"/>
      <c r="G3034" s="231"/>
      <c r="H3034" s="235"/>
      <c r="I3034" s="235"/>
      <c r="J3034" s="236"/>
      <c r="K3034" s="236"/>
    </row>
    <row r="3035" spans="2:11">
      <c r="B3035" s="235"/>
      <c r="C3035" s="231"/>
      <c r="D3035" s="231"/>
      <c r="E3035" s="231"/>
      <c r="F3035" s="231"/>
      <c r="G3035" s="231"/>
      <c r="H3035" s="235"/>
      <c r="I3035" s="235"/>
      <c r="J3035" s="236"/>
      <c r="K3035" s="236"/>
    </row>
    <row r="3036" spans="2:11">
      <c r="B3036" s="235"/>
      <c r="C3036" s="231"/>
      <c r="D3036" s="231"/>
      <c r="E3036" s="231"/>
      <c r="F3036" s="231"/>
      <c r="G3036" s="231"/>
      <c r="H3036" s="235"/>
      <c r="I3036" s="235"/>
      <c r="J3036" s="236"/>
      <c r="K3036" s="236"/>
    </row>
    <row r="3037" spans="2:11">
      <c r="B3037" s="235"/>
      <c r="C3037" s="231"/>
      <c r="D3037" s="231"/>
      <c r="E3037" s="231"/>
      <c r="F3037" s="231"/>
      <c r="G3037" s="231"/>
      <c r="H3037" s="235"/>
      <c r="I3037" s="235"/>
      <c r="J3037" s="236"/>
      <c r="K3037" s="236"/>
    </row>
    <row r="3038" spans="2:11">
      <c r="B3038" s="235"/>
      <c r="C3038" s="231"/>
      <c r="D3038" s="231"/>
      <c r="E3038" s="231"/>
      <c r="F3038" s="231"/>
      <c r="G3038" s="231"/>
      <c r="H3038" s="235"/>
      <c r="I3038" s="235"/>
      <c r="J3038" s="236"/>
      <c r="K3038" s="236"/>
    </row>
    <row r="3039" spans="2:11">
      <c r="B3039" s="235"/>
      <c r="C3039" s="231"/>
      <c r="D3039" s="231"/>
      <c r="E3039" s="231"/>
      <c r="F3039" s="231"/>
      <c r="G3039" s="231"/>
      <c r="H3039" s="235"/>
      <c r="I3039" s="235"/>
      <c r="J3039" s="236"/>
      <c r="K3039" s="236"/>
    </row>
    <row r="3040" spans="2:11">
      <c r="B3040" s="235"/>
      <c r="C3040" s="231"/>
      <c r="D3040" s="231"/>
      <c r="E3040" s="231"/>
      <c r="F3040" s="231"/>
      <c r="G3040" s="231"/>
      <c r="H3040" s="235"/>
      <c r="I3040" s="235"/>
      <c r="J3040" s="236"/>
      <c r="K3040" s="236"/>
    </row>
    <row r="3041" spans="2:11">
      <c r="B3041" s="235"/>
      <c r="C3041" s="231"/>
      <c r="D3041" s="231"/>
      <c r="E3041" s="231"/>
      <c r="F3041" s="231"/>
      <c r="G3041" s="231"/>
      <c r="H3041" s="235"/>
      <c r="I3041" s="235"/>
      <c r="J3041" s="236"/>
      <c r="K3041" s="236"/>
    </row>
    <row r="3042" spans="2:11">
      <c r="B3042" s="235"/>
      <c r="C3042" s="231"/>
      <c r="D3042" s="231"/>
      <c r="E3042" s="231"/>
      <c r="F3042" s="231"/>
      <c r="G3042" s="231"/>
      <c r="H3042" s="235"/>
      <c r="I3042" s="235"/>
      <c r="J3042" s="236"/>
      <c r="K3042" s="236"/>
    </row>
    <row r="3043" spans="2:11">
      <c r="B3043" s="235"/>
      <c r="C3043" s="231"/>
      <c r="D3043" s="231"/>
      <c r="E3043" s="231"/>
      <c r="F3043" s="231"/>
      <c r="G3043" s="231"/>
      <c r="H3043" s="235"/>
      <c r="I3043" s="235"/>
      <c r="J3043" s="236"/>
      <c r="K3043" s="236"/>
    </row>
    <row r="3044" spans="2:11">
      <c r="B3044" s="235"/>
      <c r="C3044" s="231"/>
      <c r="D3044" s="231"/>
      <c r="E3044" s="231"/>
      <c r="F3044" s="231"/>
      <c r="G3044" s="231"/>
      <c r="H3044" s="235"/>
      <c r="I3044" s="235"/>
      <c r="J3044" s="236"/>
      <c r="K3044" s="236"/>
    </row>
    <row r="3045" spans="2:11">
      <c r="B3045" s="235"/>
      <c r="C3045" s="231"/>
      <c r="D3045" s="231"/>
      <c r="E3045" s="231"/>
      <c r="F3045" s="231"/>
      <c r="G3045" s="231"/>
      <c r="H3045" s="235"/>
      <c r="I3045" s="235"/>
      <c r="J3045" s="236"/>
      <c r="K3045" s="236"/>
    </row>
    <row r="3046" spans="2:11">
      <c r="B3046" s="235"/>
      <c r="C3046" s="231"/>
      <c r="D3046" s="231"/>
      <c r="E3046" s="231"/>
      <c r="F3046" s="231"/>
      <c r="G3046" s="231"/>
      <c r="H3046" s="235"/>
      <c r="I3046" s="235"/>
      <c r="J3046" s="236"/>
      <c r="K3046" s="236"/>
    </row>
    <row r="3047" spans="2:11">
      <c r="B3047" s="235"/>
      <c r="C3047" s="231"/>
      <c r="D3047" s="231"/>
      <c r="E3047" s="231"/>
      <c r="F3047" s="231"/>
      <c r="G3047" s="231"/>
      <c r="H3047" s="235"/>
      <c r="I3047" s="235"/>
      <c r="J3047" s="236"/>
      <c r="K3047" s="236"/>
    </row>
    <row r="3048" spans="2:11">
      <c r="B3048" s="235"/>
      <c r="C3048" s="231"/>
      <c r="D3048" s="231"/>
      <c r="E3048" s="231"/>
      <c r="F3048" s="231"/>
      <c r="G3048" s="231"/>
      <c r="H3048" s="235"/>
      <c r="I3048" s="235"/>
      <c r="J3048" s="236"/>
      <c r="K3048" s="236"/>
    </row>
    <row r="3049" spans="2:11">
      <c r="B3049" s="235"/>
      <c r="C3049" s="231"/>
      <c r="D3049" s="231"/>
      <c r="E3049" s="231"/>
      <c r="F3049" s="231"/>
      <c r="G3049" s="231"/>
      <c r="H3049" s="235"/>
      <c r="I3049" s="235"/>
      <c r="J3049" s="236"/>
      <c r="K3049" s="236"/>
    </row>
    <row r="3050" spans="2:11">
      <c r="B3050" s="235"/>
      <c r="C3050" s="231"/>
      <c r="D3050" s="231"/>
      <c r="E3050" s="231"/>
      <c r="F3050" s="231"/>
      <c r="G3050" s="231"/>
      <c r="H3050" s="235"/>
      <c r="I3050" s="235"/>
      <c r="J3050" s="236"/>
      <c r="K3050" s="236"/>
    </row>
    <row r="3051" spans="2:11">
      <c r="B3051" s="235"/>
      <c r="C3051" s="231"/>
      <c r="D3051" s="231"/>
      <c r="E3051" s="231"/>
      <c r="F3051" s="231"/>
      <c r="G3051" s="231"/>
      <c r="H3051" s="235"/>
      <c r="I3051" s="235"/>
      <c r="J3051" s="236"/>
      <c r="K3051" s="236"/>
    </row>
    <row r="3052" spans="2:11">
      <c r="B3052" s="235"/>
      <c r="C3052" s="231"/>
      <c r="D3052" s="231"/>
      <c r="E3052" s="231"/>
      <c r="F3052" s="231"/>
      <c r="G3052" s="231"/>
      <c r="H3052" s="235"/>
      <c r="I3052" s="235"/>
      <c r="J3052" s="236"/>
      <c r="K3052" s="236"/>
    </row>
    <row r="3053" spans="2:11">
      <c r="B3053" s="235"/>
      <c r="C3053" s="231"/>
      <c r="D3053" s="231"/>
      <c r="E3053" s="231"/>
      <c r="F3053" s="231"/>
      <c r="G3053" s="231"/>
      <c r="H3053" s="235"/>
      <c r="I3053" s="235"/>
      <c r="J3053" s="236"/>
      <c r="K3053" s="236"/>
    </row>
    <row r="3054" spans="2:11">
      <c r="B3054" s="235"/>
      <c r="C3054" s="231"/>
      <c r="D3054" s="231"/>
      <c r="E3054" s="231"/>
      <c r="F3054" s="231"/>
      <c r="G3054" s="231"/>
      <c r="H3054" s="235"/>
      <c r="I3054" s="235"/>
      <c r="J3054" s="236"/>
      <c r="K3054" s="236"/>
    </row>
    <row r="3055" spans="2:11">
      <c r="B3055" s="235"/>
      <c r="C3055" s="231"/>
      <c r="D3055" s="231"/>
      <c r="E3055" s="231"/>
      <c r="F3055" s="231"/>
      <c r="G3055" s="231"/>
      <c r="H3055" s="235"/>
      <c r="I3055" s="235"/>
      <c r="J3055" s="236"/>
      <c r="K3055" s="236"/>
    </row>
    <row r="3056" spans="2:11">
      <c r="B3056" s="235"/>
      <c r="C3056" s="231"/>
      <c r="D3056" s="231"/>
      <c r="E3056" s="231"/>
      <c r="F3056" s="231"/>
      <c r="G3056" s="231"/>
      <c r="H3056" s="235"/>
      <c r="I3056" s="235"/>
      <c r="J3056" s="236"/>
      <c r="K3056" s="236"/>
    </row>
    <row r="3057" spans="2:11">
      <c r="B3057" s="235"/>
      <c r="C3057" s="231"/>
      <c r="D3057" s="231"/>
      <c r="E3057" s="231"/>
      <c r="F3057" s="231"/>
      <c r="G3057" s="231"/>
      <c r="H3057" s="235"/>
      <c r="I3057" s="235"/>
      <c r="J3057" s="236"/>
      <c r="K3057" s="236"/>
    </row>
    <row r="3058" spans="2:11">
      <c r="B3058" s="235"/>
      <c r="C3058" s="231"/>
      <c r="D3058" s="231"/>
      <c r="E3058" s="231"/>
      <c r="F3058" s="231"/>
      <c r="G3058" s="231"/>
      <c r="H3058" s="235"/>
      <c r="I3058" s="235"/>
      <c r="J3058" s="236"/>
      <c r="K3058" s="236"/>
    </row>
    <row r="3059" spans="2:11">
      <c r="B3059" s="235"/>
      <c r="C3059" s="231"/>
      <c r="D3059" s="231"/>
      <c r="E3059" s="231"/>
      <c r="F3059" s="231"/>
      <c r="G3059" s="231"/>
      <c r="H3059" s="235"/>
      <c r="I3059" s="235"/>
      <c r="J3059" s="236"/>
      <c r="K3059" s="236"/>
    </row>
    <row r="3060" spans="2:11">
      <c r="B3060" s="235"/>
      <c r="C3060" s="231"/>
      <c r="D3060" s="231"/>
      <c r="E3060" s="231"/>
      <c r="F3060" s="231"/>
      <c r="G3060" s="231"/>
      <c r="H3060" s="235"/>
      <c r="I3060" s="235"/>
      <c r="J3060" s="236"/>
      <c r="K3060" s="236"/>
    </row>
    <row r="3061" spans="2:11">
      <c r="B3061" s="235"/>
      <c r="C3061" s="231"/>
      <c r="D3061" s="231"/>
      <c r="E3061" s="231"/>
      <c r="F3061" s="231"/>
      <c r="G3061" s="231"/>
      <c r="H3061" s="235"/>
      <c r="I3061" s="235"/>
      <c r="J3061" s="236"/>
      <c r="K3061" s="236"/>
    </row>
    <row r="3062" spans="2:11">
      <c r="B3062" s="235"/>
      <c r="C3062" s="231"/>
      <c r="D3062" s="231"/>
      <c r="E3062" s="231"/>
      <c r="F3062" s="231"/>
      <c r="G3062" s="231"/>
      <c r="H3062" s="235"/>
      <c r="I3062" s="235"/>
      <c r="J3062" s="236"/>
      <c r="K3062" s="236"/>
    </row>
    <row r="3063" spans="2:11">
      <c r="B3063" s="235"/>
      <c r="C3063" s="231"/>
      <c r="D3063" s="231"/>
      <c r="E3063" s="231"/>
      <c r="F3063" s="231"/>
      <c r="G3063" s="231"/>
      <c r="H3063" s="235"/>
      <c r="I3063" s="235"/>
      <c r="J3063" s="236"/>
      <c r="K3063" s="236"/>
    </row>
    <row r="3064" spans="2:11">
      <c r="B3064" s="235"/>
      <c r="C3064" s="231"/>
      <c r="D3064" s="231"/>
      <c r="E3064" s="231"/>
      <c r="F3064" s="231"/>
      <c r="G3064" s="231"/>
      <c r="H3064" s="235"/>
      <c r="I3064" s="235"/>
      <c r="J3064" s="236"/>
      <c r="K3064" s="236"/>
    </row>
    <row r="3065" spans="2:11">
      <c r="B3065" s="235"/>
      <c r="C3065" s="231"/>
      <c r="D3065" s="231"/>
      <c r="E3065" s="231"/>
      <c r="F3065" s="231"/>
      <c r="G3065" s="231"/>
      <c r="H3065" s="235"/>
      <c r="I3065" s="235"/>
      <c r="J3065" s="236"/>
      <c r="K3065" s="236"/>
    </row>
    <row r="3066" spans="2:11">
      <c r="B3066" s="235"/>
      <c r="C3066" s="231"/>
      <c r="D3066" s="231"/>
      <c r="E3066" s="231"/>
      <c r="F3066" s="231"/>
      <c r="G3066" s="231"/>
      <c r="H3066" s="235"/>
      <c r="I3066" s="235"/>
      <c r="J3066" s="236"/>
      <c r="K3066" s="236"/>
    </row>
    <row r="3067" spans="2:11">
      <c r="B3067" s="235"/>
      <c r="C3067" s="231"/>
      <c r="D3067" s="231"/>
      <c r="E3067" s="231"/>
      <c r="F3067" s="231"/>
      <c r="G3067" s="231"/>
      <c r="H3067" s="235"/>
      <c r="I3067" s="235"/>
      <c r="J3067" s="236"/>
      <c r="K3067" s="236"/>
    </row>
    <row r="3068" spans="2:11">
      <c r="B3068" s="235"/>
      <c r="C3068" s="231"/>
      <c r="D3068" s="231"/>
      <c r="E3068" s="231"/>
      <c r="F3068" s="231"/>
      <c r="G3068" s="231"/>
      <c r="H3068" s="235"/>
      <c r="I3068" s="235"/>
      <c r="J3068" s="236"/>
      <c r="K3068" s="236"/>
    </row>
    <row r="3069" spans="2:11">
      <c r="B3069" s="235"/>
      <c r="C3069" s="231"/>
      <c r="D3069" s="231"/>
      <c r="E3069" s="231"/>
      <c r="F3069" s="231"/>
      <c r="G3069" s="231"/>
      <c r="H3069" s="235"/>
      <c r="I3069" s="235"/>
      <c r="J3069" s="236"/>
      <c r="K3069" s="236"/>
    </row>
    <row r="3070" spans="2:11">
      <c r="B3070" s="235"/>
      <c r="C3070" s="231"/>
      <c r="D3070" s="231"/>
      <c r="E3070" s="231"/>
      <c r="F3070" s="231"/>
      <c r="G3070" s="231"/>
      <c r="H3070" s="235"/>
      <c r="I3070" s="235"/>
      <c r="J3070" s="236"/>
      <c r="K3070" s="236"/>
    </row>
    <row r="3071" spans="2:11">
      <c r="B3071" s="235"/>
      <c r="C3071" s="231"/>
      <c r="D3071" s="231"/>
      <c r="E3071" s="231"/>
      <c r="F3071" s="231"/>
      <c r="G3071" s="231"/>
      <c r="H3071" s="235"/>
      <c r="I3071" s="235"/>
      <c r="J3071" s="236"/>
      <c r="K3071" s="236"/>
    </row>
    <row r="3072" spans="2:11">
      <c r="B3072" s="235"/>
      <c r="C3072" s="231"/>
      <c r="D3072" s="231"/>
      <c r="E3072" s="231"/>
      <c r="F3072" s="231"/>
      <c r="G3072" s="231"/>
      <c r="H3072" s="235"/>
      <c r="I3072" s="235"/>
      <c r="J3072" s="236"/>
      <c r="K3072" s="236"/>
    </row>
    <row r="3073" spans="2:11">
      <c r="B3073" s="235"/>
      <c r="C3073" s="231"/>
      <c r="D3073" s="231"/>
      <c r="E3073" s="231"/>
      <c r="F3073" s="231"/>
      <c r="G3073" s="231"/>
      <c r="H3073" s="235"/>
      <c r="I3073" s="235"/>
      <c r="J3073" s="236"/>
      <c r="K3073" s="236"/>
    </row>
    <row r="3074" spans="2:11">
      <c r="B3074" s="235"/>
      <c r="C3074" s="231"/>
      <c r="D3074" s="231"/>
      <c r="E3074" s="231"/>
      <c r="F3074" s="231"/>
      <c r="G3074" s="231"/>
      <c r="H3074" s="235"/>
      <c r="I3074" s="235"/>
      <c r="J3074" s="236"/>
      <c r="K3074" s="236"/>
    </row>
    <row r="3075" spans="2:11">
      <c r="B3075" s="235"/>
      <c r="C3075" s="231"/>
      <c r="D3075" s="231"/>
      <c r="E3075" s="231"/>
      <c r="F3075" s="231"/>
      <c r="G3075" s="231"/>
      <c r="H3075" s="235"/>
      <c r="I3075" s="235"/>
      <c r="J3075" s="236"/>
      <c r="K3075" s="236"/>
    </row>
    <row r="3076" spans="2:11">
      <c r="B3076" s="235"/>
      <c r="C3076" s="231"/>
      <c r="D3076" s="231"/>
      <c r="E3076" s="231"/>
      <c r="F3076" s="231"/>
      <c r="G3076" s="231"/>
      <c r="H3076" s="235"/>
      <c r="I3076" s="235"/>
      <c r="J3076" s="236"/>
      <c r="K3076" s="236"/>
    </row>
    <row r="3077" spans="2:11">
      <c r="B3077" s="235"/>
      <c r="C3077" s="231"/>
      <c r="D3077" s="231"/>
      <c r="E3077" s="231"/>
      <c r="F3077" s="231"/>
      <c r="G3077" s="231"/>
      <c r="H3077" s="235"/>
      <c r="I3077" s="235"/>
      <c r="J3077" s="236"/>
      <c r="K3077" s="236"/>
    </row>
    <row r="3078" spans="2:11">
      <c r="B3078" s="235"/>
      <c r="C3078" s="231"/>
      <c r="D3078" s="231"/>
      <c r="E3078" s="231"/>
      <c r="F3078" s="231"/>
      <c r="G3078" s="231"/>
      <c r="H3078" s="235"/>
      <c r="I3078" s="235"/>
      <c r="J3078" s="236"/>
      <c r="K3078" s="236"/>
    </row>
    <row r="3079" spans="2:11">
      <c r="B3079" s="235"/>
      <c r="C3079" s="231"/>
      <c r="D3079" s="231"/>
      <c r="E3079" s="231"/>
      <c r="F3079" s="231"/>
      <c r="G3079" s="231"/>
      <c r="H3079" s="235"/>
      <c r="I3079" s="235"/>
      <c r="J3079" s="236"/>
      <c r="K3079" s="236"/>
    </row>
    <row r="3080" spans="2:11">
      <c r="B3080" s="235"/>
      <c r="C3080" s="231"/>
      <c r="D3080" s="231"/>
      <c r="E3080" s="231"/>
      <c r="F3080" s="231"/>
      <c r="G3080" s="231"/>
      <c r="H3080" s="235"/>
      <c r="I3080" s="235"/>
      <c r="J3080" s="236"/>
      <c r="K3080" s="236"/>
    </row>
    <row r="3081" spans="2:11">
      <c r="B3081" s="235"/>
      <c r="C3081" s="231"/>
      <c r="D3081" s="231"/>
      <c r="E3081" s="231"/>
      <c r="F3081" s="231"/>
      <c r="G3081" s="231"/>
      <c r="H3081" s="235"/>
      <c r="I3081" s="235"/>
      <c r="J3081" s="236"/>
      <c r="K3081" s="236"/>
    </row>
    <row r="3082" spans="2:11">
      <c r="B3082" s="235"/>
      <c r="C3082" s="231"/>
      <c r="D3082" s="231"/>
      <c r="E3082" s="231"/>
      <c r="F3082" s="231"/>
      <c r="G3082" s="231"/>
      <c r="H3082" s="235"/>
      <c r="I3082" s="235"/>
      <c r="J3082" s="236"/>
      <c r="K3082" s="236"/>
    </row>
    <row r="3083" spans="2:11">
      <c r="B3083" s="235"/>
      <c r="C3083" s="231"/>
      <c r="D3083" s="231"/>
      <c r="E3083" s="231"/>
      <c r="F3083" s="231"/>
      <c r="G3083" s="231"/>
      <c r="H3083" s="235"/>
      <c r="I3083" s="235"/>
      <c r="J3083" s="236"/>
      <c r="K3083" s="236"/>
    </row>
    <row r="3084" spans="2:11">
      <c r="B3084" s="235"/>
      <c r="C3084" s="231"/>
      <c r="D3084" s="231"/>
      <c r="E3084" s="231"/>
      <c r="F3084" s="231"/>
      <c r="G3084" s="231"/>
      <c r="H3084" s="235"/>
      <c r="I3084" s="235"/>
      <c r="J3084" s="236"/>
      <c r="K3084" s="236"/>
    </row>
    <row r="3085" spans="2:11">
      <c r="B3085" s="235"/>
      <c r="C3085" s="231"/>
      <c r="D3085" s="231"/>
      <c r="E3085" s="231"/>
      <c r="F3085" s="231"/>
      <c r="G3085" s="231"/>
      <c r="H3085" s="235"/>
      <c r="I3085" s="235"/>
      <c r="J3085" s="236"/>
      <c r="K3085" s="236"/>
    </row>
    <row r="3086" spans="2:11">
      <c r="B3086" s="235"/>
      <c r="C3086" s="231"/>
      <c r="D3086" s="231"/>
      <c r="E3086" s="231"/>
      <c r="F3086" s="231"/>
      <c r="G3086" s="231"/>
      <c r="H3086" s="235"/>
      <c r="I3086" s="235"/>
      <c r="J3086" s="236"/>
      <c r="K3086" s="236"/>
    </row>
    <row r="3087" spans="2:11">
      <c r="B3087" s="235"/>
      <c r="C3087" s="231"/>
      <c r="D3087" s="231"/>
      <c r="E3087" s="231"/>
      <c r="F3087" s="231"/>
      <c r="G3087" s="231"/>
      <c r="H3087" s="235"/>
      <c r="I3087" s="235"/>
      <c r="J3087" s="236"/>
      <c r="K3087" s="236"/>
    </row>
    <row r="3088" spans="2:11">
      <c r="B3088" s="235"/>
      <c r="C3088" s="231"/>
      <c r="D3088" s="231"/>
      <c r="E3088" s="231"/>
      <c r="F3088" s="231"/>
      <c r="G3088" s="231"/>
      <c r="H3088" s="235"/>
      <c r="I3088" s="235"/>
      <c r="J3088" s="236"/>
      <c r="K3088" s="236"/>
    </row>
    <row r="3089" spans="2:11">
      <c r="B3089" s="235"/>
      <c r="C3089" s="231"/>
      <c r="D3089" s="231"/>
      <c r="E3089" s="231"/>
      <c r="F3089" s="231"/>
      <c r="G3089" s="231"/>
      <c r="H3089" s="235"/>
      <c r="I3089" s="235"/>
      <c r="J3089" s="236"/>
      <c r="K3089" s="236"/>
    </row>
    <row r="3090" spans="2:11">
      <c r="B3090" s="235"/>
      <c r="C3090" s="231"/>
      <c r="D3090" s="231"/>
      <c r="E3090" s="231"/>
      <c r="F3090" s="231"/>
      <c r="G3090" s="231"/>
      <c r="H3090" s="235"/>
      <c r="I3090" s="235"/>
      <c r="J3090" s="236"/>
      <c r="K3090" s="236"/>
    </row>
    <row r="3091" spans="2:11">
      <c r="B3091" s="235"/>
      <c r="C3091" s="231"/>
      <c r="D3091" s="231"/>
      <c r="E3091" s="231"/>
      <c r="F3091" s="231"/>
      <c r="G3091" s="231"/>
      <c r="H3091" s="235"/>
      <c r="I3091" s="235"/>
      <c r="J3091" s="236"/>
      <c r="K3091" s="236"/>
    </row>
    <row r="3092" spans="2:11">
      <c r="B3092" s="235"/>
      <c r="C3092" s="231"/>
      <c r="D3092" s="231"/>
      <c r="E3092" s="231"/>
      <c r="F3092" s="231"/>
      <c r="G3092" s="231"/>
      <c r="H3092" s="235"/>
      <c r="I3092" s="235"/>
      <c r="J3092" s="236"/>
      <c r="K3092" s="236"/>
    </row>
    <row r="3093" spans="2:11">
      <c r="B3093" s="235"/>
      <c r="C3093" s="231"/>
      <c r="D3093" s="231"/>
      <c r="E3093" s="231"/>
      <c r="F3093" s="231"/>
      <c r="G3093" s="231"/>
      <c r="H3093" s="235"/>
      <c r="I3093" s="235"/>
      <c r="J3093" s="236"/>
      <c r="K3093" s="236"/>
    </row>
    <row r="3094" spans="2:11">
      <c r="B3094" s="235"/>
      <c r="C3094" s="231"/>
      <c r="D3094" s="231"/>
      <c r="E3094" s="231"/>
      <c r="F3094" s="231"/>
      <c r="G3094" s="231"/>
      <c r="H3094" s="235"/>
      <c r="I3094" s="235"/>
      <c r="J3094" s="236"/>
      <c r="K3094" s="236"/>
    </row>
    <row r="3095" spans="2:11">
      <c r="B3095" s="235"/>
      <c r="C3095" s="231"/>
      <c r="D3095" s="231"/>
      <c r="E3095" s="231"/>
      <c r="F3095" s="231"/>
      <c r="G3095" s="231"/>
      <c r="H3095" s="235"/>
      <c r="I3095" s="235"/>
      <c r="J3095" s="236"/>
      <c r="K3095" s="236"/>
    </row>
    <row r="3096" spans="2:11">
      <c r="B3096" s="235"/>
      <c r="C3096" s="231"/>
      <c r="D3096" s="231"/>
      <c r="E3096" s="231"/>
      <c r="F3096" s="231"/>
      <c r="G3096" s="231"/>
      <c r="H3096" s="235"/>
      <c r="I3096" s="235"/>
      <c r="J3096" s="236"/>
      <c r="K3096" s="236"/>
    </row>
    <row r="3097" spans="2:11">
      <c r="B3097" s="235"/>
      <c r="C3097" s="231"/>
      <c r="D3097" s="231"/>
      <c r="E3097" s="231"/>
      <c r="F3097" s="231"/>
      <c r="G3097" s="231"/>
      <c r="H3097" s="235"/>
      <c r="I3097" s="235"/>
      <c r="J3097" s="236"/>
      <c r="K3097" s="236"/>
    </row>
    <row r="3098" spans="2:11">
      <c r="B3098" s="235"/>
      <c r="C3098" s="231"/>
      <c r="D3098" s="231"/>
      <c r="E3098" s="231"/>
      <c r="F3098" s="231"/>
      <c r="G3098" s="231"/>
      <c r="H3098" s="235"/>
      <c r="I3098" s="235"/>
      <c r="J3098" s="236"/>
      <c r="K3098" s="236"/>
    </row>
    <row r="3099" spans="2:11">
      <c r="B3099" s="235"/>
      <c r="C3099" s="231"/>
      <c r="D3099" s="231"/>
      <c r="E3099" s="231"/>
      <c r="F3099" s="231"/>
      <c r="G3099" s="231"/>
      <c r="H3099" s="235"/>
      <c r="I3099" s="235"/>
      <c r="J3099" s="236"/>
      <c r="K3099" s="236"/>
    </row>
    <row r="3100" spans="2:11">
      <c r="B3100" s="235"/>
      <c r="C3100" s="231"/>
      <c r="D3100" s="231"/>
      <c r="E3100" s="231"/>
      <c r="F3100" s="231"/>
      <c r="G3100" s="231"/>
      <c r="H3100" s="235"/>
      <c r="I3100" s="235"/>
      <c r="J3100" s="236"/>
      <c r="K3100" s="236"/>
    </row>
    <row r="3101" spans="2:11">
      <c r="B3101" s="235"/>
      <c r="C3101" s="231"/>
      <c r="D3101" s="231"/>
      <c r="E3101" s="231"/>
      <c r="F3101" s="231"/>
      <c r="G3101" s="231"/>
      <c r="H3101" s="235"/>
      <c r="I3101" s="235"/>
      <c r="J3101" s="236"/>
      <c r="K3101" s="236"/>
    </row>
    <row r="3102" spans="2:11">
      <c r="B3102" s="235"/>
      <c r="C3102" s="231"/>
      <c r="D3102" s="231"/>
      <c r="E3102" s="231"/>
      <c r="F3102" s="231"/>
      <c r="G3102" s="231"/>
      <c r="H3102" s="235"/>
      <c r="I3102" s="235"/>
      <c r="J3102" s="236"/>
      <c r="K3102" s="236"/>
    </row>
    <row r="3103" spans="2:11">
      <c r="B3103" s="235"/>
      <c r="C3103" s="231"/>
      <c r="D3103" s="231"/>
      <c r="E3103" s="231"/>
      <c r="F3103" s="231"/>
      <c r="G3103" s="231"/>
      <c r="H3103" s="235"/>
      <c r="I3103" s="235"/>
      <c r="J3103" s="236"/>
      <c r="K3103" s="236"/>
    </row>
    <row r="3104" spans="2:11">
      <c r="B3104" s="235"/>
      <c r="C3104" s="231"/>
      <c r="D3104" s="231"/>
      <c r="E3104" s="231"/>
      <c r="F3104" s="231"/>
      <c r="G3104" s="231"/>
      <c r="H3104" s="235"/>
      <c r="I3104" s="235"/>
      <c r="J3104" s="236"/>
      <c r="K3104" s="236"/>
    </row>
    <row r="3105" spans="2:11">
      <c r="B3105" s="235"/>
      <c r="C3105" s="231"/>
      <c r="D3105" s="231"/>
      <c r="E3105" s="231"/>
      <c r="F3105" s="231"/>
      <c r="G3105" s="231"/>
      <c r="H3105" s="235"/>
      <c r="I3105" s="235"/>
      <c r="J3105" s="236"/>
      <c r="K3105" s="236"/>
    </row>
    <row r="3106" spans="2:11">
      <c r="B3106" s="235"/>
      <c r="C3106" s="231"/>
      <c r="D3106" s="231"/>
      <c r="E3106" s="231"/>
      <c r="F3106" s="231"/>
      <c r="G3106" s="231"/>
      <c r="H3106" s="235"/>
      <c r="I3106" s="235"/>
      <c r="J3106" s="236"/>
      <c r="K3106" s="236"/>
    </row>
    <row r="3107" spans="2:11">
      <c r="B3107" s="235"/>
      <c r="C3107" s="231"/>
      <c r="D3107" s="231"/>
      <c r="E3107" s="231"/>
      <c r="F3107" s="231"/>
      <c r="G3107" s="231"/>
      <c r="H3107" s="235"/>
      <c r="I3107" s="235"/>
      <c r="J3107" s="236"/>
      <c r="K3107" s="236"/>
    </row>
    <row r="3108" spans="2:11">
      <c r="B3108" s="235"/>
      <c r="C3108" s="231"/>
      <c r="D3108" s="231"/>
      <c r="E3108" s="231"/>
      <c r="F3108" s="231"/>
      <c r="G3108" s="231"/>
      <c r="H3108" s="235"/>
      <c r="I3108" s="235"/>
      <c r="J3108" s="236"/>
      <c r="K3108" s="236"/>
    </row>
    <row r="3109" spans="2:11">
      <c r="B3109" s="235"/>
      <c r="C3109" s="231"/>
      <c r="D3109" s="231"/>
      <c r="E3109" s="231"/>
      <c r="F3109" s="231"/>
      <c r="G3109" s="231"/>
      <c r="H3109" s="235"/>
      <c r="I3109" s="235"/>
      <c r="J3109" s="236"/>
      <c r="K3109" s="236"/>
    </row>
    <row r="3110" spans="2:11">
      <c r="B3110" s="235"/>
      <c r="C3110" s="231"/>
      <c r="D3110" s="231"/>
      <c r="E3110" s="231"/>
      <c r="F3110" s="231"/>
      <c r="G3110" s="231"/>
      <c r="H3110" s="235"/>
      <c r="I3110" s="235"/>
      <c r="J3110" s="236"/>
      <c r="K3110" s="236"/>
    </row>
    <row r="3111" spans="2:11">
      <c r="B3111" s="235"/>
      <c r="C3111" s="231"/>
      <c r="D3111" s="231"/>
      <c r="E3111" s="231"/>
      <c r="F3111" s="231"/>
      <c r="G3111" s="231"/>
      <c r="H3111" s="235"/>
      <c r="I3111" s="235"/>
      <c r="J3111" s="236"/>
      <c r="K3111" s="236"/>
    </row>
    <row r="3112" spans="2:11">
      <c r="B3112" s="235"/>
      <c r="C3112" s="231"/>
      <c r="D3112" s="231"/>
      <c r="E3112" s="231"/>
      <c r="F3112" s="231"/>
      <c r="G3112" s="231"/>
      <c r="H3112" s="235"/>
      <c r="I3112" s="235"/>
      <c r="J3112" s="236"/>
      <c r="K3112" s="236"/>
    </row>
    <row r="3113" spans="2:11">
      <c r="B3113" s="235"/>
      <c r="C3113" s="231"/>
      <c r="D3113" s="231"/>
      <c r="E3113" s="231"/>
      <c r="F3113" s="231"/>
      <c r="G3113" s="231"/>
      <c r="H3113" s="235"/>
      <c r="I3113" s="235"/>
      <c r="J3113" s="236"/>
      <c r="K3113" s="236"/>
    </row>
    <row r="3114" spans="2:11">
      <c r="B3114" s="235"/>
      <c r="C3114" s="231"/>
      <c r="D3114" s="231"/>
      <c r="E3114" s="231"/>
      <c r="F3114" s="231"/>
      <c r="G3114" s="231"/>
      <c r="H3114" s="235"/>
      <c r="I3114" s="235"/>
      <c r="J3114" s="236"/>
      <c r="K3114" s="236"/>
    </row>
    <row r="3115" spans="2:11">
      <c r="B3115" s="235"/>
      <c r="C3115" s="231"/>
      <c r="D3115" s="231"/>
      <c r="E3115" s="231"/>
      <c r="F3115" s="231"/>
      <c r="G3115" s="231"/>
      <c r="H3115" s="235"/>
      <c r="I3115" s="235"/>
      <c r="J3115" s="236"/>
      <c r="K3115" s="236"/>
    </row>
    <row r="3116" spans="2:11">
      <c r="B3116" s="235"/>
      <c r="C3116" s="231"/>
      <c r="D3116" s="231"/>
      <c r="E3116" s="231"/>
      <c r="F3116" s="231"/>
      <c r="G3116" s="231"/>
      <c r="H3116" s="235"/>
      <c r="I3116" s="235"/>
      <c r="J3116" s="236"/>
      <c r="K3116" s="236"/>
    </row>
    <row r="3117" spans="2:11">
      <c r="B3117" s="235"/>
      <c r="C3117" s="231"/>
      <c r="D3117" s="231"/>
      <c r="E3117" s="231"/>
      <c r="F3117" s="231"/>
      <c r="G3117" s="231"/>
      <c r="H3117" s="235"/>
      <c r="I3117" s="235"/>
      <c r="J3117" s="236"/>
      <c r="K3117" s="236"/>
    </row>
    <row r="3118" spans="2:11">
      <c r="B3118" s="235"/>
      <c r="C3118" s="231"/>
      <c r="D3118" s="231"/>
      <c r="E3118" s="231"/>
      <c r="F3118" s="231"/>
      <c r="G3118" s="231"/>
      <c r="H3118" s="235"/>
      <c r="I3118" s="235"/>
      <c r="J3118" s="236"/>
      <c r="K3118" s="236"/>
    </row>
    <row r="3119" spans="2:11">
      <c r="B3119" s="235"/>
      <c r="C3119" s="231"/>
      <c r="D3119" s="231"/>
      <c r="E3119" s="231"/>
      <c r="F3119" s="231"/>
      <c r="G3119" s="231"/>
      <c r="H3119" s="235"/>
      <c r="I3119" s="235"/>
      <c r="J3119" s="236"/>
      <c r="K3119" s="236"/>
    </row>
    <row r="3120" spans="2:11">
      <c r="B3120" s="235"/>
      <c r="C3120" s="231"/>
      <c r="D3120" s="231"/>
      <c r="E3120" s="231"/>
      <c r="F3120" s="231"/>
      <c r="G3120" s="231"/>
      <c r="H3120" s="235"/>
      <c r="I3120" s="235"/>
      <c r="J3120" s="236"/>
      <c r="K3120" s="236"/>
    </row>
    <row r="3121" spans="2:11">
      <c r="B3121" s="235"/>
      <c r="C3121" s="231"/>
      <c r="D3121" s="231"/>
      <c r="E3121" s="231"/>
      <c r="F3121" s="231"/>
      <c r="G3121" s="231"/>
      <c r="H3121" s="235"/>
      <c r="I3121" s="235"/>
      <c r="J3121" s="236"/>
      <c r="K3121" s="236"/>
    </row>
    <row r="3122" spans="2:11">
      <c r="B3122" s="235"/>
      <c r="C3122" s="231"/>
      <c r="D3122" s="231"/>
      <c r="E3122" s="231"/>
      <c r="F3122" s="231"/>
      <c r="G3122" s="231"/>
      <c r="H3122" s="235"/>
      <c r="I3122" s="235"/>
      <c r="J3122" s="236"/>
      <c r="K3122" s="236"/>
    </row>
    <row r="3123" spans="2:11">
      <c r="B3123" s="235"/>
      <c r="C3123" s="231"/>
      <c r="D3123" s="231"/>
      <c r="E3123" s="231"/>
      <c r="F3123" s="231"/>
      <c r="G3123" s="231"/>
      <c r="H3123" s="235"/>
      <c r="I3123" s="235"/>
      <c r="J3123" s="236"/>
      <c r="K3123" s="236"/>
    </row>
    <row r="3124" spans="2:11">
      <c r="B3124" s="235"/>
      <c r="C3124" s="231"/>
      <c r="D3124" s="231"/>
      <c r="E3124" s="231"/>
      <c r="F3124" s="231"/>
      <c r="G3124" s="231"/>
      <c r="H3124" s="235"/>
      <c r="I3124" s="235"/>
      <c r="J3124" s="236"/>
      <c r="K3124" s="236"/>
    </row>
    <row r="3125" spans="2:11">
      <c r="B3125" s="235"/>
      <c r="C3125" s="231"/>
      <c r="D3125" s="231"/>
      <c r="E3125" s="231"/>
      <c r="F3125" s="231"/>
      <c r="G3125" s="231"/>
      <c r="H3125" s="235"/>
      <c r="I3125" s="235"/>
      <c r="J3125" s="236"/>
      <c r="K3125" s="236"/>
    </row>
    <row r="3126" spans="2:11">
      <c r="B3126" s="235"/>
      <c r="C3126" s="231"/>
      <c r="D3126" s="231"/>
      <c r="E3126" s="231"/>
      <c r="F3126" s="231"/>
      <c r="G3126" s="231"/>
      <c r="H3126" s="235"/>
      <c r="I3126" s="235"/>
      <c r="J3126" s="236"/>
      <c r="K3126" s="236"/>
    </row>
    <row r="3127" spans="2:11">
      <c r="B3127" s="235"/>
      <c r="C3127" s="231"/>
      <c r="D3127" s="231"/>
      <c r="E3127" s="231"/>
      <c r="F3127" s="231"/>
      <c r="G3127" s="231"/>
      <c r="H3127" s="235"/>
      <c r="I3127" s="235"/>
      <c r="J3127" s="236"/>
      <c r="K3127" s="236"/>
    </row>
    <row r="3128" spans="2:11">
      <c r="B3128" s="235"/>
      <c r="C3128" s="231"/>
      <c r="D3128" s="231"/>
      <c r="E3128" s="231"/>
      <c r="F3128" s="231"/>
      <c r="G3128" s="231"/>
      <c r="H3128" s="235"/>
      <c r="I3128" s="235"/>
      <c r="J3128" s="236"/>
      <c r="K3128" s="236"/>
    </row>
    <row r="3129" spans="2:11">
      <c r="B3129" s="235"/>
      <c r="C3129" s="231"/>
      <c r="D3129" s="231"/>
      <c r="E3129" s="231"/>
      <c r="F3129" s="231"/>
      <c r="G3129" s="231"/>
      <c r="H3129" s="235"/>
      <c r="I3129" s="235"/>
      <c r="J3129" s="236"/>
      <c r="K3129" s="236"/>
    </row>
    <row r="3130" spans="2:11">
      <c r="B3130" s="235"/>
      <c r="C3130" s="231"/>
      <c r="D3130" s="231"/>
      <c r="E3130" s="231"/>
      <c r="F3130" s="231"/>
      <c r="G3130" s="231"/>
      <c r="H3130" s="235"/>
      <c r="I3130" s="235"/>
      <c r="J3130" s="236"/>
      <c r="K3130" s="236"/>
    </row>
    <row r="3131" spans="2:11">
      <c r="B3131" s="235"/>
      <c r="C3131" s="231"/>
      <c r="D3131" s="231"/>
      <c r="E3131" s="231"/>
      <c r="F3131" s="231"/>
      <c r="G3131" s="231"/>
      <c r="H3131" s="235"/>
      <c r="I3131" s="235"/>
      <c r="J3131" s="236"/>
      <c r="K3131" s="236"/>
    </row>
    <row r="3132" spans="2:11">
      <c r="B3132" s="235"/>
      <c r="C3132" s="231"/>
      <c r="D3132" s="231"/>
      <c r="E3132" s="231"/>
      <c r="F3132" s="231"/>
      <c r="G3132" s="231"/>
      <c r="H3132" s="235"/>
      <c r="I3132" s="235"/>
      <c r="J3132" s="236"/>
      <c r="K3132" s="236"/>
    </row>
    <row r="3133" spans="2:11">
      <c r="B3133" s="235"/>
      <c r="C3133" s="231"/>
      <c r="D3133" s="231"/>
      <c r="E3133" s="231"/>
      <c r="F3133" s="231"/>
      <c r="G3133" s="231"/>
      <c r="H3133" s="235"/>
      <c r="I3133" s="235"/>
      <c r="J3133" s="236"/>
      <c r="K3133" s="236"/>
    </row>
    <row r="3134" spans="2:11">
      <c r="B3134" s="235"/>
      <c r="C3134" s="231"/>
      <c r="D3134" s="231"/>
      <c r="E3134" s="231"/>
      <c r="F3134" s="231"/>
      <c r="G3134" s="231"/>
      <c r="H3134" s="235"/>
      <c r="I3134" s="235"/>
      <c r="J3134" s="236"/>
      <c r="K3134" s="236"/>
    </row>
    <row r="3135" spans="2:11">
      <c r="B3135" s="235"/>
      <c r="C3135" s="231"/>
      <c r="D3135" s="231"/>
      <c r="E3135" s="231"/>
      <c r="F3135" s="231"/>
      <c r="G3135" s="231"/>
      <c r="H3135" s="235"/>
      <c r="I3135" s="235"/>
      <c r="J3135" s="236"/>
      <c r="K3135" s="236"/>
    </row>
    <row r="3136" spans="2:11">
      <c r="B3136" s="235"/>
      <c r="C3136" s="231"/>
      <c r="D3136" s="231"/>
      <c r="E3136" s="231"/>
      <c r="F3136" s="231"/>
      <c r="G3136" s="231"/>
      <c r="H3136" s="235"/>
      <c r="I3136" s="235"/>
      <c r="J3136" s="236"/>
      <c r="K3136" s="236"/>
    </row>
    <row r="3137" spans="2:11">
      <c r="B3137" s="235"/>
      <c r="C3137" s="231"/>
      <c r="D3137" s="231"/>
      <c r="E3137" s="231"/>
      <c r="F3137" s="231"/>
      <c r="G3137" s="231"/>
      <c r="H3137" s="235"/>
      <c r="I3137" s="235"/>
      <c r="J3137" s="236"/>
      <c r="K3137" s="236"/>
    </row>
    <row r="3138" spans="2:11">
      <c r="B3138" s="235"/>
      <c r="C3138" s="231"/>
      <c r="D3138" s="231"/>
      <c r="E3138" s="231"/>
      <c r="F3138" s="231"/>
      <c r="G3138" s="231"/>
      <c r="H3138" s="235"/>
      <c r="I3138" s="235"/>
      <c r="J3138" s="236"/>
      <c r="K3138" s="236"/>
    </row>
    <row r="3139" spans="2:11">
      <c r="B3139" s="235"/>
      <c r="C3139" s="231"/>
      <c r="D3139" s="231"/>
      <c r="E3139" s="231"/>
      <c r="F3139" s="231"/>
      <c r="G3139" s="231"/>
      <c r="H3139" s="235"/>
      <c r="I3139" s="235"/>
      <c r="J3139" s="236"/>
      <c r="K3139" s="236"/>
    </row>
    <row r="3140" spans="2:11">
      <c r="B3140" s="235"/>
      <c r="C3140" s="231"/>
      <c r="D3140" s="231"/>
      <c r="E3140" s="231"/>
      <c r="F3140" s="231"/>
      <c r="G3140" s="231"/>
      <c r="H3140" s="235"/>
      <c r="I3140" s="235"/>
      <c r="J3140" s="236"/>
      <c r="K3140" s="236"/>
    </row>
    <row r="3141" spans="2:11">
      <c r="B3141" s="235"/>
      <c r="C3141" s="231"/>
      <c r="D3141" s="231"/>
      <c r="E3141" s="231"/>
      <c r="F3141" s="231"/>
      <c r="G3141" s="231"/>
      <c r="H3141" s="235"/>
      <c r="I3141" s="235"/>
      <c r="J3141" s="236"/>
      <c r="K3141" s="236"/>
    </row>
    <row r="3142" spans="2:11">
      <c r="B3142" s="235"/>
      <c r="C3142" s="231"/>
      <c r="D3142" s="231"/>
      <c r="E3142" s="231"/>
      <c r="F3142" s="231"/>
      <c r="G3142" s="231"/>
      <c r="H3142" s="235"/>
      <c r="I3142" s="235"/>
      <c r="J3142" s="236"/>
      <c r="K3142" s="236"/>
    </row>
    <row r="3143" spans="2:11">
      <c r="B3143" s="235"/>
      <c r="C3143" s="231"/>
      <c r="D3143" s="231"/>
      <c r="E3143" s="231"/>
      <c r="F3143" s="231"/>
      <c r="G3143" s="231"/>
      <c r="H3143" s="235"/>
      <c r="I3143" s="235"/>
      <c r="J3143" s="236"/>
      <c r="K3143" s="236"/>
    </row>
    <row r="3144" spans="2:11">
      <c r="B3144" s="235"/>
      <c r="C3144" s="231"/>
      <c r="D3144" s="231"/>
      <c r="E3144" s="231"/>
      <c r="F3144" s="231"/>
      <c r="G3144" s="231"/>
      <c r="H3144" s="235"/>
      <c r="I3144" s="235"/>
      <c r="J3144" s="236"/>
      <c r="K3144" s="236"/>
    </row>
    <row r="3145" spans="2:11">
      <c r="B3145" s="235"/>
      <c r="C3145" s="231"/>
      <c r="D3145" s="231"/>
      <c r="E3145" s="231"/>
      <c r="F3145" s="231"/>
      <c r="G3145" s="231"/>
      <c r="H3145" s="235"/>
      <c r="I3145" s="235"/>
      <c r="J3145" s="236"/>
      <c r="K3145" s="236"/>
    </row>
    <row r="3146" spans="2:11">
      <c r="B3146" s="235"/>
      <c r="C3146" s="231"/>
      <c r="D3146" s="231"/>
      <c r="E3146" s="231"/>
      <c r="F3146" s="231"/>
      <c r="G3146" s="231"/>
      <c r="H3146" s="235"/>
      <c r="I3146" s="235"/>
      <c r="J3146" s="236"/>
      <c r="K3146" s="236"/>
    </row>
    <row r="3147" spans="2:11">
      <c r="B3147" s="235"/>
      <c r="C3147" s="231"/>
      <c r="D3147" s="231"/>
      <c r="E3147" s="231"/>
      <c r="F3147" s="231"/>
      <c r="G3147" s="231"/>
      <c r="H3147" s="235"/>
      <c r="I3147" s="235"/>
      <c r="J3147" s="236"/>
      <c r="K3147" s="236"/>
    </row>
    <row r="3148" spans="2:11">
      <c r="B3148" s="235"/>
      <c r="C3148" s="231"/>
      <c r="D3148" s="231"/>
      <c r="E3148" s="231"/>
      <c r="F3148" s="231"/>
      <c r="G3148" s="231"/>
      <c r="H3148" s="235"/>
      <c r="I3148" s="235"/>
      <c r="J3148" s="236"/>
      <c r="K3148" s="236"/>
    </row>
    <row r="3149" spans="2:11">
      <c r="B3149" s="235"/>
      <c r="C3149" s="231"/>
      <c r="D3149" s="231"/>
      <c r="E3149" s="231"/>
      <c r="F3149" s="231"/>
      <c r="G3149" s="231"/>
      <c r="H3149" s="235"/>
      <c r="I3149" s="235"/>
      <c r="J3149" s="236"/>
      <c r="K3149" s="236"/>
    </row>
    <row r="3150" spans="2:11">
      <c r="B3150" s="235"/>
      <c r="C3150" s="231"/>
      <c r="D3150" s="231"/>
      <c r="E3150" s="231"/>
      <c r="F3150" s="231"/>
      <c r="G3150" s="231"/>
      <c r="H3150" s="235"/>
      <c r="I3150" s="235"/>
      <c r="J3150" s="236"/>
      <c r="K3150" s="236"/>
    </row>
    <row r="3151" spans="2:11">
      <c r="B3151" s="235"/>
      <c r="C3151" s="231"/>
      <c r="D3151" s="231"/>
      <c r="E3151" s="231"/>
      <c r="F3151" s="231"/>
      <c r="G3151" s="231"/>
      <c r="H3151" s="235"/>
      <c r="I3151" s="235"/>
      <c r="J3151" s="236"/>
      <c r="K3151" s="236"/>
    </row>
    <row r="3152" spans="2:11">
      <c r="B3152" s="235"/>
      <c r="C3152" s="231"/>
      <c r="D3152" s="231"/>
      <c r="E3152" s="231"/>
      <c r="F3152" s="231"/>
      <c r="G3152" s="231"/>
      <c r="H3152" s="235"/>
      <c r="I3152" s="235"/>
      <c r="J3152" s="236"/>
      <c r="K3152" s="236"/>
    </row>
    <row r="3153" spans="2:11">
      <c r="B3153" s="235"/>
      <c r="C3153" s="231"/>
      <c r="D3153" s="231"/>
      <c r="E3153" s="231"/>
      <c r="F3153" s="231"/>
      <c r="G3153" s="231"/>
      <c r="H3153" s="235"/>
      <c r="I3153" s="235"/>
      <c r="J3153" s="236"/>
      <c r="K3153" s="236"/>
    </row>
    <row r="3154" spans="2:11">
      <c r="B3154" s="235"/>
      <c r="C3154" s="231"/>
      <c r="D3154" s="231"/>
      <c r="E3154" s="231"/>
      <c r="F3154" s="231"/>
      <c r="G3154" s="231"/>
      <c r="H3154" s="235"/>
      <c r="I3154" s="235"/>
      <c r="J3154" s="236"/>
      <c r="K3154" s="236"/>
    </row>
    <row r="3155" spans="2:11">
      <c r="B3155" s="235"/>
      <c r="C3155" s="231"/>
      <c r="D3155" s="231"/>
      <c r="E3155" s="231"/>
      <c r="F3155" s="231"/>
      <c r="G3155" s="231"/>
      <c r="H3155" s="235"/>
      <c r="I3155" s="235"/>
      <c r="J3155" s="236"/>
      <c r="K3155" s="236"/>
    </row>
    <row r="3156" spans="2:11">
      <c r="B3156" s="235"/>
      <c r="C3156" s="231"/>
      <c r="D3156" s="231"/>
      <c r="E3156" s="231"/>
      <c r="F3156" s="231"/>
      <c r="G3156" s="231"/>
      <c r="H3156" s="235"/>
      <c r="I3156" s="235"/>
      <c r="J3156" s="236"/>
      <c r="K3156" s="236"/>
    </row>
    <row r="3157" spans="2:11">
      <c r="B3157" s="235"/>
      <c r="C3157" s="231"/>
      <c r="D3157" s="231"/>
      <c r="E3157" s="231"/>
      <c r="F3157" s="231"/>
      <c r="G3157" s="231"/>
      <c r="H3157" s="235"/>
      <c r="I3157" s="235"/>
      <c r="J3157" s="236"/>
      <c r="K3157" s="236"/>
    </row>
    <row r="3158" spans="2:11">
      <c r="B3158" s="235"/>
      <c r="C3158" s="231"/>
      <c r="D3158" s="231"/>
      <c r="E3158" s="231"/>
      <c r="F3158" s="231"/>
      <c r="G3158" s="231"/>
      <c r="H3158" s="235"/>
      <c r="I3158" s="235"/>
      <c r="J3158" s="236"/>
      <c r="K3158" s="236"/>
    </row>
    <row r="3159" spans="2:11">
      <c r="B3159" s="235"/>
      <c r="C3159" s="231"/>
      <c r="D3159" s="231"/>
      <c r="E3159" s="231"/>
      <c r="F3159" s="231"/>
      <c r="G3159" s="231"/>
      <c r="H3159" s="235"/>
      <c r="I3159" s="235"/>
      <c r="J3159" s="236"/>
      <c r="K3159" s="236"/>
    </row>
    <row r="3160" spans="2:11">
      <c r="B3160" s="235"/>
      <c r="C3160" s="231"/>
      <c r="D3160" s="231"/>
      <c r="E3160" s="231"/>
      <c r="F3160" s="231"/>
      <c r="G3160" s="231"/>
      <c r="H3160" s="235"/>
      <c r="I3160" s="235"/>
      <c r="J3160" s="236"/>
      <c r="K3160" s="236"/>
    </row>
    <row r="3161" spans="2:11">
      <c r="B3161" s="235"/>
      <c r="C3161" s="231"/>
      <c r="D3161" s="231"/>
      <c r="E3161" s="231"/>
      <c r="F3161" s="231"/>
      <c r="G3161" s="231"/>
      <c r="H3161" s="235"/>
      <c r="I3161" s="235"/>
      <c r="J3161" s="236"/>
      <c r="K3161" s="236"/>
    </row>
    <row r="3162" spans="2:11">
      <c r="B3162" s="235"/>
      <c r="C3162" s="231"/>
      <c r="D3162" s="231"/>
      <c r="E3162" s="231"/>
      <c r="F3162" s="231"/>
      <c r="G3162" s="231"/>
      <c r="H3162" s="235"/>
      <c r="I3162" s="235"/>
      <c r="J3162" s="236"/>
      <c r="K3162" s="236"/>
    </row>
    <row r="3163" spans="2:11">
      <c r="B3163" s="235"/>
      <c r="C3163" s="231"/>
      <c r="D3163" s="231"/>
      <c r="E3163" s="231"/>
      <c r="F3163" s="231"/>
      <c r="G3163" s="231"/>
      <c r="H3163" s="235"/>
      <c r="I3163" s="235"/>
      <c r="J3163" s="236"/>
      <c r="K3163" s="236"/>
    </row>
    <row r="3164" spans="2:11">
      <c r="B3164" s="235"/>
      <c r="C3164" s="231"/>
      <c r="D3164" s="231"/>
      <c r="E3164" s="231"/>
      <c r="F3164" s="231"/>
      <c r="G3164" s="231"/>
      <c r="H3164" s="235"/>
      <c r="I3164" s="235"/>
      <c r="J3164" s="236"/>
      <c r="K3164" s="236"/>
    </row>
    <row r="3165" spans="2:11">
      <c r="B3165" s="235"/>
      <c r="C3165" s="231"/>
      <c r="D3165" s="231"/>
      <c r="E3165" s="231"/>
      <c r="F3165" s="231"/>
      <c r="G3165" s="231"/>
      <c r="H3165" s="235"/>
      <c r="I3165" s="235"/>
      <c r="J3165" s="236"/>
      <c r="K3165" s="236"/>
    </row>
    <row r="3166" spans="2:11">
      <c r="B3166" s="235"/>
      <c r="C3166" s="231"/>
      <c r="D3166" s="231"/>
      <c r="E3166" s="231"/>
      <c r="F3166" s="231"/>
      <c r="G3166" s="231"/>
      <c r="H3166" s="235"/>
      <c r="I3166" s="235"/>
      <c r="J3166" s="236"/>
      <c r="K3166" s="236"/>
    </row>
    <row r="3167" spans="2:11">
      <c r="B3167" s="235"/>
      <c r="C3167" s="231"/>
      <c r="D3167" s="231"/>
      <c r="E3167" s="231"/>
      <c r="F3167" s="231"/>
      <c r="G3167" s="231"/>
      <c r="H3167" s="235"/>
      <c r="I3167" s="235"/>
      <c r="J3167" s="236"/>
      <c r="K3167" s="236"/>
    </row>
    <row r="3168" spans="2:11">
      <c r="B3168" s="235"/>
      <c r="C3168" s="231"/>
      <c r="D3168" s="231"/>
      <c r="E3168" s="231"/>
      <c r="F3168" s="231"/>
      <c r="G3168" s="231"/>
      <c r="H3168" s="235"/>
      <c r="I3168" s="235"/>
      <c r="J3168" s="236"/>
      <c r="K3168" s="236"/>
    </row>
    <row r="3169" spans="2:11">
      <c r="B3169" s="235"/>
      <c r="C3169" s="231"/>
      <c r="D3169" s="231"/>
      <c r="E3169" s="231"/>
      <c r="F3169" s="231"/>
      <c r="G3169" s="231"/>
      <c r="H3169" s="235"/>
      <c r="I3169" s="235"/>
      <c r="J3169" s="236"/>
      <c r="K3169" s="236"/>
    </row>
    <row r="3170" spans="2:11">
      <c r="B3170" s="235"/>
      <c r="C3170" s="231"/>
      <c r="D3170" s="231"/>
      <c r="E3170" s="231"/>
      <c r="F3170" s="231"/>
      <c r="G3170" s="231"/>
      <c r="H3170" s="235"/>
      <c r="I3170" s="235"/>
      <c r="J3170" s="236"/>
      <c r="K3170" s="236"/>
    </row>
    <row r="3171" spans="2:11">
      <c r="B3171" s="235"/>
      <c r="C3171" s="231"/>
      <c r="D3171" s="231"/>
      <c r="E3171" s="231"/>
      <c r="F3171" s="231"/>
      <c r="G3171" s="231"/>
      <c r="H3171" s="235"/>
      <c r="I3171" s="235"/>
      <c r="J3171" s="236"/>
      <c r="K3171" s="236"/>
    </row>
    <row r="3172" spans="2:11">
      <c r="B3172" s="235"/>
      <c r="C3172" s="231"/>
      <c r="D3172" s="231"/>
      <c r="E3172" s="231"/>
      <c r="F3172" s="231"/>
      <c r="G3172" s="231"/>
      <c r="H3172" s="235"/>
      <c r="I3172" s="235"/>
      <c r="J3172" s="236"/>
      <c r="K3172" s="236"/>
    </row>
  </sheetData>
  <mergeCells count="415">
    <mergeCell ref="AB1:AH1"/>
    <mergeCell ref="AA3:AA6"/>
    <mergeCell ref="AB3:AB6"/>
    <mergeCell ref="AC3:AC6"/>
    <mergeCell ref="AD3:AD6"/>
    <mergeCell ref="AE3:AE6"/>
    <mergeCell ref="AF3:AF6"/>
    <mergeCell ref="AG3:AG6"/>
    <mergeCell ref="AH3:AH6"/>
    <mergeCell ref="AB2:AH2"/>
    <mergeCell ref="D429:G429"/>
    <mergeCell ref="D501:G501"/>
    <mergeCell ref="D541:G541"/>
    <mergeCell ref="D726:G726"/>
    <mergeCell ref="D713:G713"/>
    <mergeCell ref="D684:G684"/>
    <mergeCell ref="D690:G690"/>
    <mergeCell ref="D637:G637"/>
    <mergeCell ref="D632:G632"/>
    <mergeCell ref="D657:G657"/>
    <mergeCell ref="D650:G650"/>
    <mergeCell ref="D630:G630"/>
    <mergeCell ref="D631:G631"/>
    <mergeCell ref="D644:G644"/>
    <mergeCell ref="D649:G649"/>
    <mergeCell ref="D626:G626"/>
    <mergeCell ref="C619:K619"/>
    <mergeCell ref="D643:G643"/>
    <mergeCell ref="D652:G652"/>
    <mergeCell ref="D646:G646"/>
    <mergeCell ref="D629:G629"/>
    <mergeCell ref="D670:G670"/>
    <mergeCell ref="D651:G651"/>
    <mergeCell ref="D473:G473"/>
    <mergeCell ref="C537:K537"/>
    <mergeCell ref="D534:G534"/>
    <mergeCell ref="D569:G569"/>
    <mergeCell ref="D571:G571"/>
    <mergeCell ref="D608:G608"/>
    <mergeCell ref="D609:G609"/>
    <mergeCell ref="D602:G602"/>
    <mergeCell ref="D584:G584"/>
    <mergeCell ref="D708:G708"/>
    <mergeCell ref="D624:G624"/>
    <mergeCell ref="D698:G698"/>
    <mergeCell ref="D623:G623"/>
    <mergeCell ref="C660:K660"/>
    <mergeCell ref="D667:G667"/>
    <mergeCell ref="D706:G706"/>
    <mergeCell ref="D685:G685"/>
    <mergeCell ref="D691:G691"/>
    <mergeCell ref="D693:G693"/>
    <mergeCell ref="D665:G665"/>
    <mergeCell ref="D671:G671"/>
    <mergeCell ref="D678:G678"/>
    <mergeCell ref="D664:G664"/>
    <mergeCell ref="D692:G692"/>
    <mergeCell ref="D673:G673"/>
    <mergeCell ref="D869:G869"/>
    <mergeCell ref="D615:G615"/>
    <mergeCell ref="B824:K824"/>
    <mergeCell ref="C825:K825"/>
    <mergeCell ref="D829:G829"/>
    <mergeCell ref="D775:G775"/>
    <mergeCell ref="D760:G760"/>
    <mergeCell ref="D767:G767"/>
    <mergeCell ref="D773:G773"/>
    <mergeCell ref="C783:K783"/>
    <mergeCell ref="D808:G808"/>
    <mergeCell ref="D687:G687"/>
    <mergeCell ref="D712:G712"/>
    <mergeCell ref="D711:G711"/>
    <mergeCell ref="D705:G705"/>
    <mergeCell ref="D714:G714"/>
    <mergeCell ref="D747:G747"/>
    <mergeCell ref="D753:G753"/>
    <mergeCell ref="D731:G731"/>
    <mergeCell ref="D754:G754"/>
    <mergeCell ref="D774:G774"/>
    <mergeCell ref="D728:G728"/>
    <mergeCell ref="D752:G752"/>
    <mergeCell ref="D719:G719"/>
    <mergeCell ref="D725:G725"/>
    <mergeCell ref="D739:G739"/>
    <mergeCell ref="D766:G766"/>
    <mergeCell ref="D769:G769"/>
    <mergeCell ref="D672:G672"/>
    <mergeCell ref="D790:G790"/>
    <mergeCell ref="C701:K701"/>
    <mergeCell ref="B1:K1"/>
    <mergeCell ref="C4:E4"/>
    <mergeCell ref="C7:E7"/>
    <mergeCell ref="D611:G611"/>
    <mergeCell ref="D561:G561"/>
    <mergeCell ref="D588:G588"/>
    <mergeCell ref="C564:K564"/>
    <mergeCell ref="D568:G568"/>
    <mergeCell ref="D528:G528"/>
    <mergeCell ref="D598:G598"/>
    <mergeCell ref="D544:G544"/>
    <mergeCell ref="D582:G582"/>
    <mergeCell ref="D595:G595"/>
    <mergeCell ref="D548:G548"/>
    <mergeCell ref="D596:G596"/>
    <mergeCell ref="D575:G575"/>
    <mergeCell ref="D581:G581"/>
    <mergeCell ref="D732:G732"/>
    <mergeCell ref="D733:G733"/>
    <mergeCell ref="D734:G734"/>
    <mergeCell ref="D815:G815"/>
    <mergeCell ref="D814:G814"/>
    <mergeCell ref="D794:G794"/>
    <mergeCell ref="D813:G813"/>
    <mergeCell ref="D807:G807"/>
    <mergeCell ref="D746:G746"/>
    <mergeCell ref="D787:G787"/>
    <mergeCell ref="D788:G788"/>
    <mergeCell ref="D795:G795"/>
    <mergeCell ref="D810:G810"/>
    <mergeCell ref="D772:G772"/>
    <mergeCell ref="D755:G755"/>
    <mergeCell ref="C742:K742"/>
    <mergeCell ref="D749:G749"/>
    <mergeCell ref="D793:G793"/>
    <mergeCell ref="D780:G780"/>
    <mergeCell ref="D796:G796"/>
    <mergeCell ref="D801:G801"/>
    <mergeCell ref="D865:G865"/>
    <mergeCell ref="D816:G816"/>
    <mergeCell ref="D821:G821"/>
    <mergeCell ref="D863:G863"/>
    <mergeCell ref="D864:G864"/>
    <mergeCell ref="D859:G859"/>
    <mergeCell ref="D834:G834"/>
    <mergeCell ref="D833:G833"/>
    <mergeCell ref="D861:G861"/>
    <mergeCell ref="D848:G848"/>
    <mergeCell ref="D862:G862"/>
    <mergeCell ref="D846:G846"/>
    <mergeCell ref="D839:G839"/>
    <mergeCell ref="D830:G830"/>
    <mergeCell ref="D847:G847"/>
    <mergeCell ref="D852:G852"/>
    <mergeCell ref="C855:K855"/>
    <mergeCell ref="D860:G860"/>
    <mergeCell ref="D845:G845"/>
    <mergeCell ref="D832:G832"/>
    <mergeCell ref="D835:G835"/>
    <mergeCell ref="D831:G831"/>
    <mergeCell ref="B618:K618"/>
    <mergeCell ref="D521:G521"/>
    <mergeCell ref="D527:G527"/>
    <mergeCell ref="D507:G507"/>
    <mergeCell ref="D557:G557"/>
    <mergeCell ref="C591:K591"/>
    <mergeCell ref="D463:G463"/>
    <mergeCell ref="D474:G474"/>
    <mergeCell ref="D475:G475"/>
    <mergeCell ref="D554:G554"/>
    <mergeCell ref="D542:G542"/>
    <mergeCell ref="D515:G515"/>
    <mergeCell ref="D500:G500"/>
    <mergeCell ref="D503:G503"/>
    <mergeCell ref="D487:G487"/>
    <mergeCell ref="D488:G488"/>
    <mergeCell ref="D490:G490"/>
    <mergeCell ref="D494:G494"/>
    <mergeCell ref="D555:G555"/>
    <mergeCell ref="D517:G517"/>
    <mergeCell ref="C510:K510"/>
    <mergeCell ref="D514:G514"/>
    <mergeCell ref="D468:G468"/>
    <mergeCell ref="D530:G530"/>
    <mergeCell ref="D442:G442"/>
    <mergeCell ref="D441:G441"/>
    <mergeCell ref="D453:G453"/>
    <mergeCell ref="D457:G457"/>
    <mergeCell ref="D454:G454"/>
    <mergeCell ref="D451:G451"/>
    <mergeCell ref="C483:K483"/>
    <mergeCell ref="D464:G464"/>
    <mergeCell ref="B482:K482"/>
    <mergeCell ref="D479:G479"/>
    <mergeCell ref="D476:G476"/>
    <mergeCell ref="D462:G462"/>
    <mergeCell ref="D452:G452"/>
    <mergeCell ref="D465:G465"/>
    <mergeCell ref="D443:G443"/>
    <mergeCell ref="D446:G446"/>
    <mergeCell ref="D365:G365"/>
    <mergeCell ref="D424:G424"/>
    <mergeCell ref="D409:G409"/>
    <mergeCell ref="D390:G390"/>
    <mergeCell ref="D395:G395"/>
    <mergeCell ref="D418:G418"/>
    <mergeCell ref="D375:G375"/>
    <mergeCell ref="D435:G435"/>
    <mergeCell ref="D440:G440"/>
    <mergeCell ref="D408:G408"/>
    <mergeCell ref="D398:G398"/>
    <mergeCell ref="D419:G419"/>
    <mergeCell ref="D401:G401"/>
    <mergeCell ref="D410:G410"/>
    <mergeCell ref="D413:G413"/>
    <mergeCell ref="D432:G432"/>
    <mergeCell ref="D420:G420"/>
    <mergeCell ref="D421:G421"/>
    <mergeCell ref="D368:G368"/>
    <mergeCell ref="D397:G397"/>
    <mergeCell ref="D431:G431"/>
    <mergeCell ref="D430:G430"/>
    <mergeCell ref="D407:G407"/>
    <mergeCell ref="D386:G386"/>
    <mergeCell ref="D373:G373"/>
    <mergeCell ref="D396:G396"/>
    <mergeCell ref="D387:G387"/>
    <mergeCell ref="C404:K404"/>
    <mergeCell ref="D374:G374"/>
    <mergeCell ref="D376:G376"/>
    <mergeCell ref="D379:G379"/>
    <mergeCell ref="D384:G384"/>
    <mergeCell ref="D385:G385"/>
    <mergeCell ref="D364:G364"/>
    <mergeCell ref="D307:G307"/>
    <mergeCell ref="D343:G343"/>
    <mergeCell ref="D354:G354"/>
    <mergeCell ref="D357:G357"/>
    <mergeCell ref="D362:G362"/>
    <mergeCell ref="D363:G363"/>
    <mergeCell ref="D308:G308"/>
    <mergeCell ref="D309:G309"/>
    <mergeCell ref="D353:G353"/>
    <mergeCell ref="D331:G331"/>
    <mergeCell ref="D332:G332"/>
    <mergeCell ref="D335:G335"/>
    <mergeCell ref="D340:G340"/>
    <mergeCell ref="D346:G346"/>
    <mergeCell ref="D341:G341"/>
    <mergeCell ref="D342:G342"/>
    <mergeCell ref="D351:G351"/>
    <mergeCell ref="D352:G352"/>
    <mergeCell ref="D306:G306"/>
    <mergeCell ref="D301:G301"/>
    <mergeCell ref="D284:G284"/>
    <mergeCell ref="D285:G285"/>
    <mergeCell ref="D290:G290"/>
    <mergeCell ref="D295:G295"/>
    <mergeCell ref="D286:G286"/>
    <mergeCell ref="D287:G287"/>
    <mergeCell ref="D330:G330"/>
    <mergeCell ref="D312:G312"/>
    <mergeCell ref="D317:G317"/>
    <mergeCell ref="D329:G329"/>
    <mergeCell ref="D320:G320"/>
    <mergeCell ref="D323:G323"/>
    <mergeCell ref="D318:G318"/>
    <mergeCell ref="D319:G319"/>
    <mergeCell ref="C326:K326"/>
    <mergeCell ref="D273:G273"/>
    <mergeCell ref="D263:G263"/>
    <mergeCell ref="D254:G254"/>
    <mergeCell ref="D257:G257"/>
    <mergeCell ref="D252:G252"/>
    <mergeCell ref="D262:G262"/>
    <mergeCell ref="D253:G253"/>
    <mergeCell ref="D276:G276"/>
    <mergeCell ref="D298:G298"/>
    <mergeCell ref="D279:G279"/>
    <mergeCell ref="D296:G296"/>
    <mergeCell ref="D297:G297"/>
    <mergeCell ref="D264:G264"/>
    <mergeCell ref="D265:G265"/>
    <mergeCell ref="D274:G274"/>
    <mergeCell ref="D275:G275"/>
    <mergeCell ref="D268:G268"/>
    <mergeCell ref="C248:K248"/>
    <mergeCell ref="D208:G208"/>
    <mergeCell ref="D241:G241"/>
    <mergeCell ref="D242:G242"/>
    <mergeCell ref="D231:G231"/>
    <mergeCell ref="D220:G220"/>
    <mergeCell ref="D223:G223"/>
    <mergeCell ref="D245:G245"/>
    <mergeCell ref="D251:G251"/>
    <mergeCell ref="D240:G240"/>
    <mergeCell ref="D228:G228"/>
    <mergeCell ref="D229:G229"/>
    <mergeCell ref="D196:G196"/>
    <mergeCell ref="D197:G197"/>
    <mergeCell ref="D234:G234"/>
    <mergeCell ref="D239:G239"/>
    <mergeCell ref="D206:G206"/>
    <mergeCell ref="D209:G209"/>
    <mergeCell ref="D218:G218"/>
    <mergeCell ref="D230:G230"/>
    <mergeCell ref="D198:G198"/>
    <mergeCell ref="D219:G219"/>
    <mergeCell ref="D212:G212"/>
    <mergeCell ref="D217:G217"/>
    <mergeCell ref="D201:G201"/>
    <mergeCell ref="D207:G207"/>
    <mergeCell ref="D163:G163"/>
    <mergeCell ref="D173:G173"/>
    <mergeCell ref="C170:K170"/>
    <mergeCell ref="D164:G164"/>
    <mergeCell ref="D167:G167"/>
    <mergeCell ref="D190:G190"/>
    <mergeCell ref="D195:G195"/>
    <mergeCell ref="D150:G150"/>
    <mergeCell ref="D151:G151"/>
    <mergeCell ref="D152:G152"/>
    <mergeCell ref="D153:G153"/>
    <mergeCell ref="D156:G156"/>
    <mergeCell ref="D161:G161"/>
    <mergeCell ref="D174:G174"/>
    <mergeCell ref="D175:G175"/>
    <mergeCell ref="D184:G184"/>
    <mergeCell ref="D185:G185"/>
    <mergeCell ref="D176:G176"/>
    <mergeCell ref="D179:G179"/>
    <mergeCell ref="D186:G186"/>
    <mergeCell ref="D187:G187"/>
    <mergeCell ref="D130:G130"/>
    <mergeCell ref="D131:G131"/>
    <mergeCell ref="D142:G142"/>
    <mergeCell ref="D145:G145"/>
    <mergeCell ref="D134:G134"/>
    <mergeCell ref="D139:G139"/>
    <mergeCell ref="D140:G140"/>
    <mergeCell ref="D141:G141"/>
    <mergeCell ref="D162:G162"/>
    <mergeCell ref="D106:G106"/>
    <mergeCell ref="D107:G107"/>
    <mergeCell ref="D108:G108"/>
    <mergeCell ref="D109:G109"/>
    <mergeCell ref="D112:G112"/>
    <mergeCell ref="D117:G117"/>
    <mergeCell ref="D128:G128"/>
    <mergeCell ref="D129:G129"/>
    <mergeCell ref="D118:G118"/>
    <mergeCell ref="D119:G119"/>
    <mergeCell ref="D120:G120"/>
    <mergeCell ref="D123:G123"/>
    <mergeCell ref="D97:G97"/>
    <mergeCell ref="C92:K92"/>
    <mergeCell ref="D84:G84"/>
    <mergeCell ref="D85:G85"/>
    <mergeCell ref="D86:G86"/>
    <mergeCell ref="D89:G89"/>
    <mergeCell ref="D95:G95"/>
    <mergeCell ref="D98:G98"/>
    <mergeCell ref="D101:G101"/>
    <mergeCell ref="D75:G75"/>
    <mergeCell ref="D83:G83"/>
    <mergeCell ref="D74:G74"/>
    <mergeCell ref="D62:G62"/>
    <mergeCell ref="D67:G67"/>
    <mergeCell ref="D78:G78"/>
    <mergeCell ref="D72:G72"/>
    <mergeCell ref="D73:G73"/>
    <mergeCell ref="D96:G96"/>
    <mergeCell ref="D45:G45"/>
    <mergeCell ref="D61:G61"/>
    <mergeCell ref="D53:G53"/>
    <mergeCell ref="D51:G51"/>
    <mergeCell ref="D50:G50"/>
    <mergeCell ref="D52:G52"/>
    <mergeCell ref="D56:G56"/>
    <mergeCell ref="D63:G63"/>
    <mergeCell ref="D64:G64"/>
    <mergeCell ref="D19:G19"/>
    <mergeCell ref="D20:G20"/>
    <mergeCell ref="D23:G23"/>
    <mergeCell ref="D42:G42"/>
    <mergeCell ref="D34:G34"/>
    <mergeCell ref="D28:G28"/>
    <mergeCell ref="D29:G29"/>
    <mergeCell ref="D39:G39"/>
    <mergeCell ref="D40:G40"/>
    <mergeCell ref="D41:G41"/>
    <mergeCell ref="D30:G30"/>
    <mergeCell ref="D31:G31"/>
    <mergeCell ref="S1:Y1"/>
    <mergeCell ref="S3:S6"/>
    <mergeCell ref="R3:R6"/>
    <mergeCell ref="S2:Y2"/>
    <mergeCell ref="B8:K8"/>
    <mergeCell ref="C3:E3"/>
    <mergeCell ref="D17:G17"/>
    <mergeCell ref="D18:G18"/>
    <mergeCell ref="C6:E6"/>
    <mergeCell ref="C14:K14"/>
    <mergeCell ref="C5:E5"/>
    <mergeCell ref="R23:R29"/>
    <mergeCell ref="V23:V29"/>
    <mergeCell ref="W23:W29"/>
    <mergeCell ref="X23:X29"/>
    <mergeCell ref="S23:S29"/>
    <mergeCell ref="R22:Y22"/>
    <mergeCell ref="T3:T6"/>
    <mergeCell ref="U3:U6"/>
    <mergeCell ref="V3:V6"/>
    <mergeCell ref="W3:W6"/>
    <mergeCell ref="X3:X6"/>
    <mergeCell ref="Y3:Y6"/>
    <mergeCell ref="AA22:AH22"/>
    <mergeCell ref="AA23:AA29"/>
    <mergeCell ref="AB23:AB29"/>
    <mergeCell ref="AC23:AC29"/>
    <mergeCell ref="AD23:AD29"/>
    <mergeCell ref="AE23:AE29"/>
    <mergeCell ref="AF23:AF29"/>
    <mergeCell ref="AG23:AG29"/>
    <mergeCell ref="T23:T29"/>
    <mergeCell ref="U23:U29"/>
  </mergeCells>
  <phoneticPr fontId="25" type="noConversion"/>
  <pageMargins left="0.75" right="0.75" top="0.47" bottom="0.56000000000000005" header="0.38" footer="0.5"/>
  <pageSetup paperSize="9" scale="40" orientation="portrait" verticalDpi="300" r:id="rId1"/>
  <headerFooter alignWithMargins="0"/>
  <colBreaks count="2" manualBreakCount="2">
    <brk id="12" max="869" man="1"/>
    <brk id="16" max="869"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52"/>
  <sheetViews>
    <sheetView topLeftCell="A15" workbookViewId="0">
      <selection activeCell="F46" sqref="F46"/>
    </sheetView>
  </sheetViews>
  <sheetFormatPr defaultColWidth="9.15625" defaultRowHeight="12.3"/>
  <cols>
    <col min="1" max="1" width="5.578125" style="140" bestFit="1" customWidth="1"/>
    <col min="2" max="2" width="43.68359375" style="140" customWidth="1"/>
    <col min="3" max="3" width="9.15625" style="140"/>
    <col min="4" max="4" width="5.41796875" style="140" bestFit="1" customWidth="1"/>
    <col min="5" max="5" width="8.578125" style="140" bestFit="1" customWidth="1"/>
    <col min="6" max="6" width="13.41796875" style="140" customWidth="1"/>
    <col min="7" max="9" width="9.15625" style="140"/>
    <col min="10" max="10" width="11.578125" style="140" bestFit="1" customWidth="1"/>
    <col min="11" max="16384" width="9.15625" style="140"/>
  </cols>
  <sheetData>
    <row r="1" spans="1:6">
      <c r="A1" s="807"/>
      <c r="B1" s="1609" t="s">
        <v>2080</v>
      </c>
      <c r="C1" s="1609"/>
      <c r="D1" s="1609"/>
      <c r="E1" s="1609"/>
      <c r="F1" s="1609"/>
    </row>
    <row r="2" spans="1:6" ht="24.6">
      <c r="A2" s="808" t="s">
        <v>2081</v>
      </c>
      <c r="B2" s="809" t="s">
        <v>2082</v>
      </c>
      <c r="C2" s="809" t="s">
        <v>2083</v>
      </c>
      <c r="D2" s="809" t="s">
        <v>118</v>
      </c>
      <c r="E2" s="809" t="s">
        <v>2084</v>
      </c>
      <c r="F2" s="809" t="s">
        <v>2085</v>
      </c>
    </row>
    <row r="3" spans="1:6">
      <c r="A3" s="807">
        <v>1</v>
      </c>
      <c r="B3" s="810" t="s">
        <v>2086</v>
      </c>
      <c r="C3" s="810">
        <v>120</v>
      </c>
      <c r="D3" s="811" t="s">
        <v>2087</v>
      </c>
      <c r="E3" s="811">
        <v>20</v>
      </c>
      <c r="F3" s="811">
        <f>C3*E3</f>
        <v>2400</v>
      </c>
    </row>
    <row r="4" spans="1:6">
      <c r="A4" s="807">
        <f>A3+1</f>
        <v>2</v>
      </c>
      <c r="B4" s="810" t="s">
        <v>2088</v>
      </c>
      <c r="C4" s="810">
        <v>80</v>
      </c>
      <c r="D4" s="811" t="s">
        <v>2087</v>
      </c>
      <c r="E4" s="811">
        <v>60</v>
      </c>
      <c r="F4" s="811">
        <f>C4*E4</f>
        <v>4800</v>
      </c>
    </row>
    <row r="5" spans="1:6" hidden="1">
      <c r="A5" s="807">
        <f>A4+1</f>
        <v>3</v>
      </c>
      <c r="B5" s="810" t="s">
        <v>2089</v>
      </c>
      <c r="C5" s="810">
        <v>0</v>
      </c>
      <c r="D5" s="811" t="s">
        <v>2087</v>
      </c>
      <c r="E5" s="811">
        <v>60</v>
      </c>
      <c r="F5" s="811">
        <f>C5*E5</f>
        <v>0</v>
      </c>
    </row>
    <row r="6" spans="1:6">
      <c r="A6" s="807">
        <f>A5+1</f>
        <v>4</v>
      </c>
      <c r="B6" s="810" t="s">
        <v>2090</v>
      </c>
      <c r="C6" s="810">
        <v>60</v>
      </c>
      <c r="D6" s="811" t="s">
        <v>329</v>
      </c>
      <c r="E6" s="811">
        <v>11</v>
      </c>
      <c r="F6" s="811">
        <f t="shared" ref="F6:F25" si="0">C6*E6</f>
        <v>660</v>
      </c>
    </row>
    <row r="7" spans="1:6">
      <c r="A7" s="807">
        <f>A6+1</f>
        <v>5</v>
      </c>
      <c r="B7" s="810" t="s">
        <v>2091</v>
      </c>
      <c r="C7" s="810">
        <v>0</v>
      </c>
      <c r="D7" s="811" t="s">
        <v>329</v>
      </c>
      <c r="E7" s="811">
        <v>9</v>
      </c>
      <c r="F7" s="811">
        <f t="shared" si="0"/>
        <v>0</v>
      </c>
    </row>
    <row r="8" spans="1:6">
      <c r="A8" s="807">
        <f>A7+1</f>
        <v>6</v>
      </c>
      <c r="B8" s="810" t="s">
        <v>2092</v>
      </c>
      <c r="C8" s="810">
        <v>0</v>
      </c>
      <c r="D8" s="811" t="s">
        <v>329</v>
      </c>
      <c r="E8" s="811">
        <v>11</v>
      </c>
      <c r="F8" s="811">
        <f t="shared" si="0"/>
        <v>0</v>
      </c>
    </row>
    <row r="9" spans="1:6">
      <c r="A9" s="807">
        <f t="shared" ref="A9:A32" si="1">A8+1</f>
        <v>7</v>
      </c>
      <c r="B9" s="810" t="s">
        <v>2093</v>
      </c>
      <c r="C9" s="810">
        <v>5</v>
      </c>
      <c r="D9" s="811" t="s">
        <v>329</v>
      </c>
      <c r="E9" s="811">
        <v>60</v>
      </c>
      <c r="F9" s="811">
        <f t="shared" si="0"/>
        <v>300</v>
      </c>
    </row>
    <row r="10" spans="1:6">
      <c r="A10" s="807">
        <f t="shared" si="1"/>
        <v>8</v>
      </c>
      <c r="B10" s="810" t="s">
        <v>2094</v>
      </c>
      <c r="C10" s="810">
        <v>6</v>
      </c>
      <c r="D10" s="811" t="s">
        <v>329</v>
      </c>
      <c r="E10" s="811">
        <v>60</v>
      </c>
      <c r="F10" s="811">
        <f t="shared" si="0"/>
        <v>360</v>
      </c>
    </row>
    <row r="11" spans="1:6">
      <c r="A11" s="807">
        <f>A10+1</f>
        <v>9</v>
      </c>
      <c r="B11" s="810" t="s">
        <v>2095</v>
      </c>
      <c r="C11" s="810">
        <v>0</v>
      </c>
      <c r="D11" s="811" t="s">
        <v>329</v>
      </c>
      <c r="E11" s="811">
        <v>40</v>
      </c>
      <c r="F11" s="811">
        <f t="shared" si="0"/>
        <v>0</v>
      </c>
    </row>
    <row r="12" spans="1:6">
      <c r="A12" s="807">
        <f t="shared" si="1"/>
        <v>10</v>
      </c>
      <c r="B12" s="810" t="s">
        <v>2096</v>
      </c>
      <c r="C12" s="810">
        <v>0</v>
      </c>
      <c r="D12" s="811" t="s">
        <v>329</v>
      </c>
      <c r="E12" s="811">
        <v>12</v>
      </c>
      <c r="F12" s="811">
        <f t="shared" si="0"/>
        <v>0</v>
      </c>
    </row>
    <row r="13" spans="1:6">
      <c r="A13" s="807">
        <f t="shared" si="1"/>
        <v>11</v>
      </c>
      <c r="B13" s="810" t="s">
        <v>2097</v>
      </c>
      <c r="C13" s="810">
        <v>0</v>
      </c>
      <c r="D13" s="811" t="s">
        <v>329</v>
      </c>
      <c r="E13" s="811">
        <v>0</v>
      </c>
      <c r="F13" s="811">
        <f t="shared" si="0"/>
        <v>0</v>
      </c>
    </row>
    <row r="14" spans="1:6">
      <c r="A14" s="807">
        <f t="shared" si="1"/>
        <v>12</v>
      </c>
      <c r="B14" s="810" t="s">
        <v>2098</v>
      </c>
      <c r="C14" s="810">
        <v>0</v>
      </c>
      <c r="D14" s="811" t="s">
        <v>2087</v>
      </c>
      <c r="E14" s="811">
        <v>10</v>
      </c>
      <c r="F14" s="811">
        <f t="shared" si="0"/>
        <v>0</v>
      </c>
    </row>
    <row r="15" spans="1:6">
      <c r="A15" s="807">
        <f t="shared" si="1"/>
        <v>13</v>
      </c>
      <c r="B15" s="810" t="s">
        <v>2099</v>
      </c>
      <c r="C15" s="810">
        <v>10</v>
      </c>
      <c r="D15" s="811" t="s">
        <v>2087</v>
      </c>
      <c r="E15" s="811">
        <v>60</v>
      </c>
      <c r="F15" s="811">
        <f t="shared" si="0"/>
        <v>600</v>
      </c>
    </row>
    <row r="16" spans="1:6">
      <c r="A16" s="807">
        <f t="shared" si="1"/>
        <v>14</v>
      </c>
      <c r="B16" s="810" t="s">
        <v>2100</v>
      </c>
      <c r="C16" s="810">
        <v>20</v>
      </c>
      <c r="D16" s="811" t="s">
        <v>2087</v>
      </c>
      <c r="E16" s="811">
        <v>60</v>
      </c>
      <c r="F16" s="811">
        <f t="shared" si="0"/>
        <v>1200</v>
      </c>
    </row>
    <row r="17" spans="1:6">
      <c r="A17" s="807">
        <f t="shared" si="1"/>
        <v>15</v>
      </c>
      <c r="B17" s="810" t="s">
        <v>2101</v>
      </c>
      <c r="C17" s="810">
        <v>20</v>
      </c>
      <c r="D17" s="811" t="s">
        <v>2087</v>
      </c>
      <c r="E17" s="811">
        <v>200</v>
      </c>
      <c r="F17" s="811">
        <f t="shared" si="0"/>
        <v>4000</v>
      </c>
    </row>
    <row r="18" spans="1:6">
      <c r="A18" s="807">
        <f t="shared" si="1"/>
        <v>16</v>
      </c>
      <c r="B18" s="810" t="s">
        <v>2102</v>
      </c>
      <c r="C18" s="810">
        <v>2</v>
      </c>
      <c r="D18" s="811" t="s">
        <v>2087</v>
      </c>
      <c r="E18" s="811">
        <v>200</v>
      </c>
      <c r="F18" s="811">
        <f t="shared" si="0"/>
        <v>400</v>
      </c>
    </row>
    <row r="19" spans="1:6">
      <c r="A19" s="807">
        <f t="shared" si="1"/>
        <v>17</v>
      </c>
      <c r="B19" s="810" t="s">
        <v>2103</v>
      </c>
      <c r="C19" s="810">
        <v>1</v>
      </c>
      <c r="D19" s="811" t="s">
        <v>329</v>
      </c>
      <c r="E19" s="811">
        <v>0</v>
      </c>
      <c r="F19" s="811">
        <f t="shared" si="0"/>
        <v>0</v>
      </c>
    </row>
    <row r="20" spans="1:6">
      <c r="A20" s="807">
        <f t="shared" si="1"/>
        <v>18</v>
      </c>
      <c r="B20" s="810" t="s">
        <v>2104</v>
      </c>
      <c r="C20" s="810">
        <v>1</v>
      </c>
      <c r="D20" s="811" t="s">
        <v>329</v>
      </c>
      <c r="E20" s="811">
        <v>0</v>
      </c>
      <c r="F20" s="811">
        <f t="shared" si="0"/>
        <v>0</v>
      </c>
    </row>
    <row r="21" spans="1:6">
      <c r="A21" s="807">
        <f t="shared" si="1"/>
        <v>19</v>
      </c>
      <c r="B21" s="810" t="s">
        <v>2105</v>
      </c>
      <c r="C21" s="810">
        <v>1</v>
      </c>
      <c r="D21" s="811" t="s">
        <v>329</v>
      </c>
      <c r="E21" s="811">
        <v>0</v>
      </c>
      <c r="F21" s="811">
        <f t="shared" si="0"/>
        <v>0</v>
      </c>
    </row>
    <row r="22" spans="1:6">
      <c r="A22" s="807">
        <f t="shared" si="1"/>
        <v>20</v>
      </c>
      <c r="B22" s="810" t="s">
        <v>2106</v>
      </c>
      <c r="C22" s="810"/>
      <c r="D22" s="811" t="s">
        <v>329</v>
      </c>
      <c r="E22" s="811">
        <v>0</v>
      </c>
      <c r="F22" s="811">
        <f t="shared" si="0"/>
        <v>0</v>
      </c>
    </row>
    <row r="23" spans="1:6">
      <c r="A23" s="807">
        <f t="shared" si="1"/>
        <v>21</v>
      </c>
      <c r="B23" s="810" t="s">
        <v>2107</v>
      </c>
      <c r="C23" s="810">
        <v>1</v>
      </c>
      <c r="D23" s="811" t="s">
        <v>329</v>
      </c>
      <c r="E23" s="811"/>
      <c r="F23" s="811">
        <f t="shared" si="0"/>
        <v>0</v>
      </c>
    </row>
    <row r="24" spans="1:6">
      <c r="A24" s="807">
        <f t="shared" si="1"/>
        <v>22</v>
      </c>
      <c r="B24" s="810" t="s">
        <v>2108</v>
      </c>
      <c r="C24" s="810">
        <v>2</v>
      </c>
      <c r="D24" s="811" t="s">
        <v>329</v>
      </c>
      <c r="E24" s="811"/>
      <c r="F24" s="811">
        <f t="shared" si="0"/>
        <v>0</v>
      </c>
    </row>
    <row r="25" spans="1:6">
      <c r="A25" s="807">
        <f t="shared" si="1"/>
        <v>23</v>
      </c>
      <c r="B25" s="810" t="s">
        <v>2109</v>
      </c>
      <c r="C25" s="810">
        <v>1</v>
      </c>
      <c r="D25" s="811" t="s">
        <v>329</v>
      </c>
      <c r="E25" s="811"/>
      <c r="F25" s="811">
        <f t="shared" si="0"/>
        <v>0</v>
      </c>
    </row>
    <row r="26" spans="1:6">
      <c r="A26" s="807">
        <f t="shared" si="1"/>
        <v>24</v>
      </c>
      <c r="B26" s="810" t="s">
        <v>2110</v>
      </c>
      <c r="C26" s="810">
        <v>1</v>
      </c>
      <c r="D26" s="811" t="s">
        <v>329</v>
      </c>
      <c r="E26" s="811"/>
      <c r="F26" s="811"/>
    </row>
    <row r="27" spans="1:6">
      <c r="A27" s="807">
        <f t="shared" si="1"/>
        <v>25</v>
      </c>
      <c r="B27" s="810" t="s">
        <v>2111</v>
      </c>
      <c r="C27" s="810">
        <f>C3+C6+C7+C8+C11+C14+C12+C13</f>
        <v>180</v>
      </c>
      <c r="D27" s="811"/>
      <c r="E27" s="811"/>
      <c r="F27" s="811"/>
    </row>
    <row r="28" spans="1:6">
      <c r="A28" s="807">
        <f t="shared" si="1"/>
        <v>26</v>
      </c>
      <c r="B28" s="810" t="s">
        <v>2112</v>
      </c>
      <c r="C28" s="810">
        <f>C4+C10+C9+C5</f>
        <v>91</v>
      </c>
      <c r="D28" s="811"/>
      <c r="E28" s="811"/>
      <c r="F28" s="811"/>
    </row>
    <row r="29" spans="1:6">
      <c r="A29" s="807">
        <f t="shared" si="1"/>
        <v>27</v>
      </c>
      <c r="B29" s="812" t="s">
        <v>2113</v>
      </c>
      <c r="C29" s="809">
        <f>C27+C28</f>
        <v>271</v>
      </c>
      <c r="D29" s="810"/>
      <c r="E29" s="810"/>
      <c r="F29" s="811"/>
    </row>
    <row r="30" spans="1:6">
      <c r="A30" s="807">
        <f t="shared" si="1"/>
        <v>28</v>
      </c>
      <c r="B30" s="810" t="s">
        <v>2114</v>
      </c>
      <c r="C30" s="811">
        <f>C24+C26+C22+C17+C25+C23</f>
        <v>25</v>
      </c>
      <c r="D30" s="810"/>
      <c r="E30" s="810"/>
      <c r="F30" s="811"/>
    </row>
    <row r="31" spans="1:6">
      <c r="A31" s="807">
        <f t="shared" si="1"/>
        <v>29</v>
      </c>
      <c r="B31" s="813" t="s">
        <v>2115</v>
      </c>
      <c r="C31" s="811">
        <v>2</v>
      </c>
      <c r="D31" s="810"/>
      <c r="E31" s="810"/>
      <c r="F31" s="811"/>
    </row>
    <row r="32" spans="1:6">
      <c r="A32" s="807">
        <f t="shared" si="1"/>
        <v>30</v>
      </c>
      <c r="B32" s="810" t="s">
        <v>2116</v>
      </c>
      <c r="C32" s="811"/>
      <c r="D32" s="810"/>
      <c r="E32" s="810"/>
      <c r="F32" s="811">
        <f>SUM(F3:F31)</f>
        <v>14720</v>
      </c>
    </row>
    <row r="33" spans="1:9">
      <c r="A33" s="807"/>
      <c r="B33" s="812" t="s">
        <v>2117</v>
      </c>
      <c r="C33" s="810"/>
      <c r="D33" s="810"/>
      <c r="E33" s="810"/>
      <c r="F33" s="811"/>
    </row>
    <row r="34" spans="1:9">
      <c r="A34" s="807"/>
      <c r="B34" s="810" t="s">
        <v>2118</v>
      </c>
      <c r="C34" s="810"/>
      <c r="D34" s="810"/>
      <c r="E34" s="810"/>
      <c r="F34" s="811">
        <f>C29*3</f>
        <v>813</v>
      </c>
    </row>
    <row r="35" spans="1:9">
      <c r="A35" s="807"/>
      <c r="B35" s="810" t="s">
        <v>2119</v>
      </c>
      <c r="C35" s="810"/>
      <c r="D35" s="810"/>
      <c r="E35" s="810"/>
      <c r="F35" s="811">
        <f>C29/8*30</f>
        <v>1016.25</v>
      </c>
    </row>
    <row r="36" spans="1:9">
      <c r="A36" s="807"/>
      <c r="B36" s="810" t="s">
        <v>2120</v>
      </c>
      <c r="C36" s="810"/>
      <c r="D36" s="810"/>
      <c r="E36" s="810"/>
      <c r="F36" s="811">
        <f>C30*30</f>
        <v>750</v>
      </c>
    </row>
    <row r="37" spans="1:9">
      <c r="A37" s="807"/>
      <c r="B37" s="810" t="s">
        <v>2121</v>
      </c>
      <c r="C37" s="810"/>
      <c r="D37" s="810"/>
      <c r="E37" s="810"/>
      <c r="F37" s="811">
        <f>C31*30</f>
        <v>60</v>
      </c>
    </row>
    <row r="38" spans="1:9">
      <c r="A38" s="807"/>
      <c r="B38" s="810" t="s">
        <v>2122</v>
      </c>
      <c r="C38" s="810"/>
      <c r="D38" s="810"/>
      <c r="E38" s="810"/>
      <c r="F38" s="811">
        <f>SUM(F34:F37)</f>
        <v>2639.25</v>
      </c>
    </row>
    <row r="39" spans="1:9">
      <c r="A39" s="807"/>
      <c r="B39" s="810" t="s">
        <v>2123</v>
      </c>
      <c r="C39" s="810"/>
      <c r="D39" s="810"/>
      <c r="E39" s="810"/>
      <c r="F39" s="811">
        <f>F38*60%</f>
        <v>1583.55</v>
      </c>
    </row>
    <row r="40" spans="1:9">
      <c r="A40" s="807"/>
      <c r="B40" s="810" t="s">
        <v>2124</v>
      </c>
      <c r="C40" s="810"/>
      <c r="D40" s="810"/>
      <c r="E40" s="810"/>
      <c r="F40" s="811">
        <f>F38*20%</f>
        <v>527.85</v>
      </c>
    </row>
    <row r="41" spans="1:9">
      <c r="A41" s="807"/>
      <c r="B41" s="810" t="s">
        <v>1260</v>
      </c>
      <c r="C41" s="810"/>
      <c r="D41" s="810"/>
      <c r="E41" s="810"/>
      <c r="F41" s="811"/>
    </row>
    <row r="42" spans="1:9">
      <c r="A42" s="807"/>
      <c r="B42" s="810" t="s">
        <v>2125</v>
      </c>
      <c r="C42" s="810"/>
      <c r="D42" s="810"/>
      <c r="E42" s="810"/>
      <c r="F42" s="811">
        <f>C28*6</f>
        <v>546</v>
      </c>
      <c r="I42" s="140">
        <f>8*30</f>
        <v>240</v>
      </c>
    </row>
    <row r="43" spans="1:9">
      <c r="A43" s="807"/>
      <c r="B43" s="810" t="s">
        <v>2126</v>
      </c>
      <c r="C43" s="810"/>
      <c r="D43" s="810"/>
      <c r="E43" s="810"/>
      <c r="F43" s="811">
        <f>C18*15</f>
        <v>30</v>
      </c>
    </row>
    <row r="44" spans="1:9">
      <c r="A44" s="807"/>
      <c r="B44" s="810" t="s">
        <v>2127</v>
      </c>
      <c r="C44" s="810"/>
      <c r="D44" s="810"/>
      <c r="E44" s="810"/>
      <c r="F44" s="811">
        <f>C29/8*20</f>
        <v>677.5</v>
      </c>
    </row>
    <row r="45" spans="1:9">
      <c r="A45" s="807"/>
      <c r="B45" s="810" t="s">
        <v>2128</v>
      </c>
      <c r="C45" s="810"/>
      <c r="D45" s="810"/>
      <c r="E45" s="810"/>
      <c r="F45" s="811">
        <f>C17*20</f>
        <v>400</v>
      </c>
    </row>
    <row r="46" spans="1:9">
      <c r="A46" s="807"/>
      <c r="B46" s="810" t="s">
        <v>2129</v>
      </c>
      <c r="C46" s="810"/>
      <c r="D46" s="810"/>
      <c r="E46" s="810"/>
      <c r="F46" s="811">
        <f>(C22+C25)*30</f>
        <v>30</v>
      </c>
    </row>
    <row r="47" spans="1:9">
      <c r="A47" s="807"/>
      <c r="B47" s="810" t="s">
        <v>2130</v>
      </c>
      <c r="C47" s="810"/>
      <c r="D47" s="810"/>
      <c r="E47" s="810"/>
      <c r="F47" s="811">
        <f>C24*30</f>
        <v>60</v>
      </c>
    </row>
    <row r="48" spans="1:9">
      <c r="A48" s="807"/>
      <c r="B48" s="810" t="s">
        <v>2131</v>
      </c>
      <c r="C48" s="810"/>
      <c r="D48" s="810"/>
      <c r="E48" s="810"/>
      <c r="F48" s="811">
        <f>C26*30</f>
        <v>30</v>
      </c>
    </row>
    <row r="49" spans="1:6">
      <c r="A49" s="807"/>
      <c r="B49" s="810" t="s">
        <v>2116</v>
      </c>
      <c r="C49" s="810"/>
      <c r="D49" s="810"/>
      <c r="E49" s="810"/>
      <c r="F49" s="811">
        <f>F32</f>
        <v>14720</v>
      </c>
    </row>
    <row r="50" spans="1:6">
      <c r="A50" s="807"/>
      <c r="B50" s="810" t="s">
        <v>2132</v>
      </c>
      <c r="C50" s="810"/>
      <c r="D50" s="810"/>
      <c r="E50" s="810"/>
      <c r="F50" s="814">
        <f>F49/(1.732*0.8*415)</f>
        <v>25.59893152285817</v>
      </c>
    </row>
    <row r="51" spans="1:6">
      <c r="A51" s="807"/>
      <c r="B51" s="810" t="s">
        <v>2133</v>
      </c>
      <c r="C51" s="810">
        <v>0.66</v>
      </c>
      <c r="D51" s="810"/>
      <c r="E51" s="810"/>
      <c r="F51" s="814"/>
    </row>
    <row r="52" spans="1:6">
      <c r="A52" s="807"/>
      <c r="B52" s="810" t="s">
        <v>2134</v>
      </c>
      <c r="C52" s="810"/>
      <c r="D52" s="810"/>
      <c r="E52" s="810"/>
      <c r="F52" s="814">
        <f>F49*C51/1000</f>
        <v>9.7152000000000012</v>
      </c>
    </row>
  </sheetData>
  <mergeCells count="1">
    <mergeCell ref="B1:F1"/>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B0F0"/>
  </sheetPr>
  <dimension ref="A1:G145"/>
  <sheetViews>
    <sheetView view="pageBreakPreview" zoomScaleSheetLayoutView="100" workbookViewId="0">
      <selection activeCell="E102" sqref="E102"/>
    </sheetView>
  </sheetViews>
  <sheetFormatPr defaultColWidth="9.15625" defaultRowHeight="13.8"/>
  <cols>
    <col min="1" max="1" width="4.68359375" style="978" customWidth="1"/>
    <col min="2" max="2" width="42.83984375" style="978" customWidth="1"/>
    <col min="3" max="3" width="9.68359375" style="950" customWidth="1"/>
    <col min="4" max="4" width="9.68359375" style="978" customWidth="1"/>
    <col min="5" max="5" width="8.578125" style="978" customWidth="1"/>
    <col min="6" max="6" width="8.26171875" style="978" customWidth="1"/>
    <col min="7" max="7" width="11.15625" style="978" bestFit="1" customWidth="1"/>
    <col min="8" max="8" width="9.15625" style="950"/>
    <col min="9" max="9" width="7.68359375" style="950" customWidth="1"/>
    <col min="10" max="16384" width="9.15625" style="950"/>
  </cols>
  <sheetData>
    <row r="1" spans="1:7" ht="14.1">
      <c r="A1" s="1613" t="s">
        <v>2257</v>
      </c>
      <c r="B1" s="1613"/>
      <c r="C1" s="1613"/>
      <c r="D1" s="1613"/>
      <c r="E1" s="1613"/>
      <c r="F1" s="1613"/>
      <c r="G1" s="1613"/>
    </row>
    <row r="2" spans="1:7">
      <c r="A2" s="951"/>
      <c r="B2" s="951"/>
      <c r="C2" s="952"/>
      <c r="D2" s="951"/>
      <c r="E2" s="951"/>
      <c r="F2" s="951"/>
      <c r="G2" s="951"/>
    </row>
    <row r="3" spans="1:7" s="954" customFormat="1" ht="67.5" customHeight="1">
      <c r="A3" s="953">
        <v>1</v>
      </c>
      <c r="B3" s="1611" t="s">
        <v>2258</v>
      </c>
      <c r="C3" s="1611"/>
      <c r="D3" s="1611"/>
      <c r="E3" s="1611"/>
      <c r="F3" s="1611"/>
      <c r="G3" s="1611"/>
    </row>
    <row r="4" spans="1:7" s="954" customFormat="1" ht="14.1">
      <c r="A4" s="955"/>
      <c r="B4" s="956" t="s">
        <v>2259</v>
      </c>
      <c r="C4" s="957">
        <v>1.2</v>
      </c>
      <c r="D4" s="957">
        <v>0.3</v>
      </c>
      <c r="E4" s="1133">
        <f>C4*D4</f>
        <v>0.36</v>
      </c>
      <c r="F4" s="958" t="s">
        <v>547</v>
      </c>
      <c r="G4" s="958"/>
    </row>
    <row r="5" spans="1:7" s="954" customFormat="1" ht="14.1">
      <c r="A5" s="955"/>
      <c r="B5" s="1132"/>
      <c r="C5" s="959"/>
      <c r="D5" s="958"/>
      <c r="E5" s="960"/>
      <c r="F5" s="958"/>
      <c r="G5" s="958"/>
    </row>
    <row r="6" spans="1:7" s="954" customFormat="1" ht="14.1">
      <c r="A6" s="955"/>
      <c r="B6" s="961" t="s">
        <v>2260</v>
      </c>
      <c r="C6" s="959"/>
      <c r="D6" s="958"/>
      <c r="E6" s="960"/>
      <c r="F6" s="958"/>
      <c r="G6" s="958"/>
    </row>
    <row r="7" spans="1:7" s="954" customFormat="1" ht="14.1">
      <c r="A7" s="955"/>
      <c r="B7" s="1132" t="s">
        <v>2261</v>
      </c>
      <c r="C7" s="960">
        <v>2</v>
      </c>
      <c r="D7" s="957">
        <f>D4</f>
        <v>0.3</v>
      </c>
      <c r="E7" s="957">
        <f>C7*D7</f>
        <v>0.6</v>
      </c>
      <c r="F7" s="962"/>
      <c r="G7" s="958"/>
    </row>
    <row r="8" spans="1:7" s="954" customFormat="1" ht="14.1">
      <c r="A8" s="955"/>
      <c r="B8" s="1132" t="s">
        <v>1475</v>
      </c>
      <c r="C8" s="960">
        <v>2</v>
      </c>
      <c r="D8" s="957">
        <f>C4</f>
        <v>1.2</v>
      </c>
      <c r="E8" s="957">
        <f>C8*D8</f>
        <v>2.4</v>
      </c>
      <c r="F8" s="962"/>
      <c r="G8" s="958"/>
    </row>
    <row r="9" spans="1:7" s="954" customFormat="1" ht="14.1">
      <c r="A9" s="955"/>
      <c r="B9" s="1132" t="s">
        <v>1510</v>
      </c>
      <c r="C9" s="960">
        <v>2</v>
      </c>
      <c r="D9" s="957">
        <v>0.23</v>
      </c>
      <c r="E9" s="957">
        <f>C9*D9</f>
        <v>0.46</v>
      </c>
      <c r="F9" s="962"/>
      <c r="G9" s="958"/>
    </row>
    <row r="10" spans="1:7" s="954" customFormat="1" ht="14.1">
      <c r="A10" s="955"/>
      <c r="B10" s="1132"/>
      <c r="C10" s="960"/>
      <c r="D10" s="957"/>
      <c r="E10" s="1133">
        <f>SUM(E7:E9)</f>
        <v>3.46</v>
      </c>
      <c r="F10" s="962"/>
      <c r="G10" s="958"/>
    </row>
    <row r="11" spans="1:7" s="954" customFormat="1" ht="14.1">
      <c r="A11" s="955"/>
      <c r="B11" s="1132" t="s">
        <v>2262</v>
      </c>
      <c r="C11" s="957">
        <v>1.8</v>
      </c>
      <c r="D11" s="957" t="s">
        <v>2263</v>
      </c>
      <c r="E11" s="957"/>
      <c r="F11" s="962"/>
      <c r="G11" s="958"/>
    </row>
    <row r="12" spans="1:7" s="954" customFormat="1" ht="14.1">
      <c r="A12" s="955"/>
      <c r="B12" s="963" t="s">
        <v>2264</v>
      </c>
      <c r="C12" s="957">
        <f>E10</f>
        <v>3.46</v>
      </c>
      <c r="D12" s="957">
        <f>C11</f>
        <v>1.8</v>
      </c>
      <c r="E12" s="957"/>
      <c r="F12" s="1133">
        <f>C12*D12</f>
        <v>6.2279999999999998</v>
      </c>
      <c r="G12" s="964" t="s">
        <v>462</v>
      </c>
    </row>
    <row r="13" spans="1:7" s="954" customFormat="1" ht="14.1">
      <c r="A13" s="955"/>
      <c r="B13" s="963"/>
      <c r="C13" s="957"/>
      <c r="D13" s="957"/>
      <c r="E13" s="957"/>
      <c r="F13" s="1133"/>
      <c r="G13" s="964"/>
    </row>
    <row r="14" spans="1:7" s="954" customFormat="1" ht="14.1">
      <c r="A14" s="955"/>
      <c r="B14" s="961" t="s">
        <v>2265</v>
      </c>
      <c r="C14" s="959"/>
      <c r="D14" s="958"/>
      <c r="E14" s="960"/>
      <c r="F14" s="958"/>
      <c r="G14" s="958"/>
    </row>
    <row r="15" spans="1:7" s="954" customFormat="1" ht="14.1">
      <c r="A15" s="955"/>
      <c r="B15" s="1132" t="s">
        <v>1477</v>
      </c>
      <c r="C15" s="960">
        <v>10</v>
      </c>
      <c r="D15" s="957">
        <f>D7</f>
        <v>0.3</v>
      </c>
      <c r="E15" s="957">
        <f>C15*D15</f>
        <v>3</v>
      </c>
      <c r="F15" s="962"/>
      <c r="G15" s="958"/>
    </row>
    <row r="16" spans="1:7" s="954" customFormat="1" ht="14.1">
      <c r="A16" s="955"/>
      <c r="B16" s="1132" t="s">
        <v>1475</v>
      </c>
      <c r="C16" s="960">
        <v>2</v>
      </c>
      <c r="D16" s="957">
        <f>D8</f>
        <v>1.2</v>
      </c>
      <c r="E16" s="957">
        <f>C16*D16</f>
        <v>2.4</v>
      </c>
      <c r="F16" s="962"/>
      <c r="G16" s="958"/>
    </row>
    <row r="17" spans="1:7" s="954" customFormat="1" ht="14.1">
      <c r="A17" s="955"/>
      <c r="B17" s="1132"/>
      <c r="C17" s="960"/>
      <c r="D17" s="957"/>
      <c r="E17" s="1133">
        <f>SUM(E15:E16)</f>
        <v>5.4</v>
      </c>
      <c r="F17" s="962"/>
      <c r="G17" s="958"/>
    </row>
    <row r="18" spans="1:7" s="954" customFormat="1" ht="14.1">
      <c r="A18" s="955"/>
      <c r="B18" s="1132" t="s">
        <v>2262</v>
      </c>
      <c r="C18" s="957">
        <v>0.78</v>
      </c>
      <c r="D18" s="957" t="s">
        <v>2263</v>
      </c>
      <c r="E18" s="957"/>
      <c r="F18" s="962"/>
      <c r="G18" s="958"/>
    </row>
    <row r="19" spans="1:7" s="954" customFormat="1" ht="14.1">
      <c r="A19" s="955"/>
      <c r="B19" s="963" t="s">
        <v>2264</v>
      </c>
      <c r="C19" s="957">
        <f>E17</f>
        <v>5.4</v>
      </c>
      <c r="D19" s="957">
        <f>C18</f>
        <v>0.78</v>
      </c>
      <c r="E19" s="957"/>
      <c r="F19" s="1133">
        <f>C19*D19</f>
        <v>4.2120000000000006</v>
      </c>
      <c r="G19" s="964" t="s">
        <v>462</v>
      </c>
    </row>
    <row r="20" spans="1:7" s="954" customFormat="1" ht="14.1">
      <c r="A20" s="955"/>
      <c r="B20" s="963"/>
      <c r="C20" s="957"/>
      <c r="D20" s="957"/>
      <c r="E20" s="957"/>
      <c r="F20" s="1133"/>
      <c r="G20" s="964"/>
    </row>
    <row r="21" spans="1:7" s="954" customFormat="1" ht="14.1">
      <c r="A21" s="955"/>
      <c r="B21" s="961" t="s">
        <v>2266</v>
      </c>
      <c r="C21" s="960"/>
      <c r="D21" s="957"/>
      <c r="E21" s="957"/>
      <c r="F21" s="1133"/>
      <c r="G21" s="964"/>
    </row>
    <row r="22" spans="1:7" s="954" customFormat="1" ht="14.1">
      <c r="A22" s="955"/>
      <c r="B22" s="1132" t="s">
        <v>2267</v>
      </c>
      <c r="C22" s="960">
        <v>0.6</v>
      </c>
      <c r="D22" s="965">
        <f>'C-data'!F129</f>
        <v>136</v>
      </c>
      <c r="E22" s="957">
        <f>C22*D22</f>
        <v>81.599999999999994</v>
      </c>
      <c r="F22" s="962"/>
      <c r="G22" s="958"/>
    </row>
    <row r="23" spans="1:7" s="954" customFormat="1" ht="14.1">
      <c r="A23" s="955"/>
      <c r="B23" s="1132" t="s">
        <v>771</v>
      </c>
      <c r="C23" s="960">
        <v>0.21</v>
      </c>
      <c r="D23" s="965">
        <f>'C-data'!F19</f>
        <v>625</v>
      </c>
      <c r="E23" s="957">
        <f>C23*D23</f>
        <v>131.25</v>
      </c>
      <c r="F23" s="962"/>
      <c r="G23" s="958"/>
    </row>
    <row r="24" spans="1:7" s="954" customFormat="1" ht="14.1">
      <c r="A24" s="955"/>
      <c r="B24" s="1132" t="s">
        <v>772</v>
      </c>
      <c r="C24" s="960">
        <v>0.49</v>
      </c>
      <c r="D24" s="965">
        <f>'C-data'!F20</f>
        <v>515</v>
      </c>
      <c r="E24" s="957">
        <f>C24*D24</f>
        <v>252.35</v>
      </c>
      <c r="F24" s="962"/>
      <c r="G24" s="958"/>
    </row>
    <row r="25" spans="1:7" s="954" customFormat="1" ht="14.1">
      <c r="A25" s="955"/>
      <c r="B25" s="963"/>
      <c r="C25" s="960"/>
      <c r="D25" s="957"/>
      <c r="E25" s="1133">
        <f>SUM(E22:E24)</f>
        <v>465.2</v>
      </c>
      <c r="F25" s="966" t="s">
        <v>2268</v>
      </c>
      <c r="G25" s="964"/>
    </row>
    <row r="26" spans="1:7" s="954" customFormat="1" ht="14.1">
      <c r="A26" s="955"/>
      <c r="B26" s="963"/>
      <c r="C26" s="960"/>
      <c r="D26" s="957"/>
      <c r="E26" s="1133"/>
      <c r="F26" s="964"/>
      <c r="G26" s="964"/>
    </row>
    <row r="27" spans="1:7" s="954" customFormat="1" ht="28.2">
      <c r="A27" s="953" t="s">
        <v>2269</v>
      </c>
      <c r="B27" s="953" t="s">
        <v>2270</v>
      </c>
      <c r="C27" s="953" t="s">
        <v>2271</v>
      </c>
      <c r="D27" s="967"/>
      <c r="E27" s="953" t="s">
        <v>92</v>
      </c>
      <c r="F27" s="967"/>
      <c r="G27" s="967" t="s">
        <v>151</v>
      </c>
    </row>
    <row r="28" spans="1:7" s="954" customFormat="1">
      <c r="A28" s="955">
        <v>1</v>
      </c>
      <c r="B28" s="1132" t="str">
        <f>B6</f>
        <v>Outer frame "L' angle 25x25x5mm</v>
      </c>
      <c r="C28" s="957">
        <f>F12</f>
        <v>6.2279999999999998</v>
      </c>
      <c r="D28" s="968" t="s">
        <v>2272</v>
      </c>
      <c r="E28" s="957"/>
      <c r="F28" s="968"/>
      <c r="G28" s="957"/>
    </row>
    <row r="29" spans="1:7" s="954" customFormat="1">
      <c r="A29" s="955">
        <v>2</v>
      </c>
      <c r="B29" s="1132" t="str">
        <f>B14</f>
        <v>10mm square rods safety bars</v>
      </c>
      <c r="C29" s="957">
        <f>F19</f>
        <v>4.2120000000000006</v>
      </c>
      <c r="D29" s="968" t="s">
        <v>462</v>
      </c>
      <c r="E29" s="957"/>
      <c r="F29" s="968"/>
      <c r="G29" s="957"/>
    </row>
    <row r="30" spans="1:7" s="954" customFormat="1" ht="14.1">
      <c r="A30" s="969"/>
      <c r="B30" s="970"/>
      <c r="C30" s="1133">
        <f>SUM(C28:C29)</f>
        <v>10.440000000000001</v>
      </c>
      <c r="D30" s="968" t="s">
        <v>462</v>
      </c>
      <c r="E30" s="957">
        <f>LEAD!P31/1000</f>
        <v>74.34</v>
      </c>
      <c r="F30" s="968" t="s">
        <v>462</v>
      </c>
      <c r="G30" s="957">
        <f>ROUND(C30*E30,2)</f>
        <v>776.11</v>
      </c>
    </row>
    <row r="31" spans="1:7" s="954" customFormat="1">
      <c r="A31" s="955">
        <v>3</v>
      </c>
      <c r="B31" s="971" t="s">
        <v>2273</v>
      </c>
      <c r="C31" s="957">
        <f>E4</f>
        <v>0.36</v>
      </c>
      <c r="D31" s="968" t="s">
        <v>461</v>
      </c>
      <c r="E31" s="957">
        <f>E25</f>
        <v>465.2</v>
      </c>
      <c r="F31" s="968" t="s">
        <v>2274</v>
      </c>
      <c r="G31" s="957">
        <f>ROUND(C31*E31/10,2)</f>
        <v>16.75</v>
      </c>
    </row>
    <row r="32" spans="1:7" s="954" customFormat="1" ht="14.1">
      <c r="A32" s="955">
        <v>4</v>
      </c>
      <c r="B32" s="972" t="s">
        <v>2284</v>
      </c>
      <c r="C32" s="957">
        <f>C30</f>
        <v>10.440000000000001</v>
      </c>
      <c r="D32" s="968" t="s">
        <v>462</v>
      </c>
      <c r="E32" s="957">
        <f>31+4</f>
        <v>35</v>
      </c>
      <c r="F32" s="968" t="s">
        <v>462</v>
      </c>
      <c r="G32" s="957">
        <f>ROUND(C32*E32,2)</f>
        <v>365.4</v>
      </c>
    </row>
    <row r="33" spans="1:7" s="954" customFormat="1">
      <c r="A33" s="955">
        <v>5</v>
      </c>
      <c r="B33" s="971" t="s">
        <v>2275</v>
      </c>
      <c r="C33" s="957">
        <f>'[6]C-data'!$E$5</f>
        <v>0.2</v>
      </c>
      <c r="D33" s="968"/>
      <c r="E33" s="957">
        <f>G32</f>
        <v>365.4</v>
      </c>
      <c r="F33" s="968"/>
      <c r="G33" s="957">
        <f>C33*E33</f>
        <v>73.08</v>
      </c>
    </row>
    <row r="34" spans="1:7" s="954" customFormat="1" ht="14.1">
      <c r="A34" s="955"/>
      <c r="B34" s="971"/>
      <c r="C34" s="960"/>
      <c r="D34" s="957"/>
      <c r="E34" s="960"/>
      <c r="F34" s="957"/>
      <c r="G34" s="1133">
        <f>SUM(G30:G33)</f>
        <v>1231.3399999999999</v>
      </c>
    </row>
    <row r="35" spans="1:7" s="954" customFormat="1" ht="14.1">
      <c r="A35" s="955">
        <v>6</v>
      </c>
      <c r="B35" s="973" t="str">
        <f>'[6]C-data'!$C$245</f>
        <v>Add 5% over heads</v>
      </c>
      <c r="C35" s="974">
        <f>'[6]C-data'!$D$3</f>
        <v>0.13614999999999999</v>
      </c>
      <c r="D35" s="957"/>
      <c r="E35" s="960"/>
      <c r="F35" s="957"/>
      <c r="G35" s="1133">
        <f>G34*C35</f>
        <v>167.64694099999997</v>
      </c>
    </row>
    <row r="36" spans="1:7" s="954" customFormat="1" ht="14.1">
      <c r="A36" s="955"/>
      <c r="B36" s="971"/>
      <c r="C36" s="957"/>
      <c r="D36" s="957"/>
      <c r="E36" s="960"/>
      <c r="F36" s="957"/>
      <c r="G36" s="1133">
        <f>SUM(G34:G35)</f>
        <v>1398.9869409999999</v>
      </c>
    </row>
    <row r="37" spans="1:7" s="954" customFormat="1" ht="14.1">
      <c r="A37" s="955"/>
      <c r="B37" s="975" t="s">
        <v>1806</v>
      </c>
      <c r="C37" s="960"/>
      <c r="D37" s="957"/>
      <c r="E37" s="1610" t="s">
        <v>2276</v>
      </c>
      <c r="F37" s="1610"/>
      <c r="G37" s="1133">
        <f>ROUND(G36,0)</f>
        <v>1399</v>
      </c>
    </row>
    <row r="38" spans="1:7" s="954" customFormat="1" ht="14.1">
      <c r="A38" s="955"/>
      <c r="B38" s="971"/>
      <c r="C38" s="960"/>
      <c r="D38" s="957"/>
      <c r="E38" s="960"/>
      <c r="F38" s="957"/>
      <c r="G38" s="1133"/>
    </row>
    <row r="39" spans="1:7" s="954" customFormat="1" ht="69.75" customHeight="1">
      <c r="A39" s="953">
        <v>2</v>
      </c>
      <c r="B39" s="1611" t="s">
        <v>2277</v>
      </c>
      <c r="C39" s="1611"/>
      <c r="D39" s="1611"/>
      <c r="E39" s="1611"/>
      <c r="F39" s="1611"/>
      <c r="G39" s="1611"/>
    </row>
    <row r="40" spans="1:7" s="954" customFormat="1" ht="14.1">
      <c r="A40" s="955"/>
      <c r="B40" s="956" t="s">
        <v>2259</v>
      </c>
      <c r="C40" s="957">
        <v>1.5</v>
      </c>
      <c r="D40" s="957">
        <v>0.3</v>
      </c>
      <c r="E40" s="1133">
        <f>C40*D40</f>
        <v>0.44999999999999996</v>
      </c>
      <c r="F40" s="958" t="s">
        <v>547</v>
      </c>
      <c r="G40" s="958"/>
    </row>
    <row r="41" spans="1:7" s="954" customFormat="1" ht="14.1">
      <c r="A41" s="955"/>
      <c r="B41" s="1132"/>
      <c r="C41" s="959"/>
      <c r="D41" s="958"/>
      <c r="E41" s="960"/>
      <c r="F41" s="958"/>
      <c r="G41" s="958"/>
    </row>
    <row r="42" spans="1:7" s="954" customFormat="1" ht="14.1">
      <c r="A42" s="955"/>
      <c r="B42" s="961" t="s">
        <v>2260</v>
      </c>
      <c r="C42" s="959"/>
      <c r="D42" s="958"/>
      <c r="E42" s="960"/>
      <c r="F42" s="958"/>
      <c r="G42" s="958"/>
    </row>
    <row r="43" spans="1:7" s="954" customFormat="1" ht="14.1">
      <c r="A43" s="955"/>
      <c r="B43" s="1132" t="s">
        <v>2261</v>
      </c>
      <c r="C43" s="960">
        <v>2</v>
      </c>
      <c r="D43" s="957">
        <f>D40</f>
        <v>0.3</v>
      </c>
      <c r="E43" s="957">
        <f>C43*D43</f>
        <v>0.6</v>
      </c>
      <c r="F43" s="962"/>
      <c r="G43" s="958"/>
    </row>
    <row r="44" spans="1:7" s="954" customFormat="1" ht="14.1">
      <c r="A44" s="955"/>
      <c r="B44" s="1132" t="s">
        <v>1475</v>
      </c>
      <c r="C44" s="960">
        <v>2</v>
      </c>
      <c r="D44" s="957">
        <f>C40</f>
        <v>1.5</v>
      </c>
      <c r="E44" s="957">
        <f>C44*D44</f>
        <v>3</v>
      </c>
      <c r="F44" s="962"/>
      <c r="G44" s="958"/>
    </row>
    <row r="45" spans="1:7" s="954" customFormat="1" ht="14.1">
      <c r="A45" s="955"/>
      <c r="B45" s="1132" t="s">
        <v>1510</v>
      </c>
      <c r="C45" s="960">
        <v>2</v>
      </c>
      <c r="D45" s="957">
        <v>0.23</v>
      </c>
      <c r="E45" s="957">
        <f>C45*D45</f>
        <v>0.46</v>
      </c>
      <c r="F45" s="962"/>
      <c r="G45" s="958"/>
    </row>
    <row r="46" spans="1:7" s="954" customFormat="1" ht="14.1">
      <c r="A46" s="955"/>
      <c r="B46" s="1132"/>
      <c r="C46" s="960"/>
      <c r="D46" s="957"/>
      <c r="E46" s="1133">
        <f>SUM(E43:E45)</f>
        <v>4.0600000000000005</v>
      </c>
      <c r="F46" s="962"/>
      <c r="G46" s="958"/>
    </row>
    <row r="47" spans="1:7" s="954" customFormat="1" ht="14.1">
      <c r="A47" s="955"/>
      <c r="B47" s="1132" t="s">
        <v>2262</v>
      </c>
      <c r="C47" s="957">
        <v>1.8</v>
      </c>
      <c r="D47" s="957" t="s">
        <v>2263</v>
      </c>
      <c r="E47" s="957"/>
      <c r="F47" s="962"/>
      <c r="G47" s="958"/>
    </row>
    <row r="48" spans="1:7" s="954" customFormat="1" ht="14.1">
      <c r="A48" s="955"/>
      <c r="B48" s="963" t="s">
        <v>2264</v>
      </c>
      <c r="C48" s="957">
        <f>E46</f>
        <v>4.0600000000000005</v>
      </c>
      <c r="D48" s="957">
        <f>C47</f>
        <v>1.8</v>
      </c>
      <c r="E48" s="957"/>
      <c r="F48" s="1133">
        <f>C48*D48</f>
        <v>7.3080000000000007</v>
      </c>
      <c r="G48" s="964" t="s">
        <v>462</v>
      </c>
    </row>
    <row r="49" spans="1:7" s="954" customFormat="1" ht="14.1">
      <c r="A49" s="955"/>
      <c r="B49" s="963"/>
      <c r="C49" s="957"/>
      <c r="D49" s="957"/>
      <c r="E49" s="957"/>
      <c r="F49" s="1133"/>
      <c r="G49" s="964"/>
    </row>
    <row r="50" spans="1:7" s="954" customFormat="1" ht="14.1">
      <c r="A50" s="955"/>
      <c r="B50" s="961" t="s">
        <v>2265</v>
      </c>
      <c r="C50" s="959"/>
      <c r="D50" s="958"/>
      <c r="E50" s="960"/>
      <c r="F50" s="958"/>
      <c r="G50" s="958"/>
    </row>
    <row r="51" spans="1:7" s="954" customFormat="1" ht="14.1">
      <c r="A51" s="955"/>
      <c r="B51" s="1132" t="s">
        <v>1477</v>
      </c>
      <c r="C51" s="960">
        <v>13</v>
      </c>
      <c r="D51" s="957">
        <f>D43</f>
        <v>0.3</v>
      </c>
      <c r="E51" s="957">
        <f>C51*D51</f>
        <v>3.9</v>
      </c>
      <c r="F51" s="962"/>
      <c r="G51" s="958"/>
    </row>
    <row r="52" spans="1:7" s="954" customFormat="1" ht="14.1">
      <c r="A52" s="955"/>
      <c r="B52" s="1132" t="s">
        <v>1475</v>
      </c>
      <c r="C52" s="960">
        <v>2</v>
      </c>
      <c r="D52" s="957">
        <f>D44</f>
        <v>1.5</v>
      </c>
      <c r="E52" s="957">
        <f>C52*D52</f>
        <v>3</v>
      </c>
      <c r="F52" s="962"/>
      <c r="G52" s="958"/>
    </row>
    <row r="53" spans="1:7" s="954" customFormat="1" ht="14.1">
      <c r="A53" s="955"/>
      <c r="B53" s="1132"/>
      <c r="C53" s="960"/>
      <c r="D53" s="957"/>
      <c r="E53" s="1133">
        <f>SUM(E51:E52)</f>
        <v>6.9</v>
      </c>
      <c r="F53" s="962"/>
      <c r="G53" s="958"/>
    </row>
    <row r="54" spans="1:7" s="954" customFormat="1" ht="14.1">
      <c r="A54" s="955"/>
      <c r="B54" s="1132" t="s">
        <v>2262</v>
      </c>
      <c r="C54" s="957">
        <v>0.78</v>
      </c>
      <c r="D54" s="957" t="s">
        <v>2263</v>
      </c>
      <c r="E54" s="957"/>
      <c r="F54" s="962"/>
      <c r="G54" s="958"/>
    </row>
    <row r="55" spans="1:7" s="954" customFormat="1" ht="14.1">
      <c r="A55" s="955"/>
      <c r="B55" s="963" t="s">
        <v>2264</v>
      </c>
      <c r="C55" s="957">
        <f>E53</f>
        <v>6.9</v>
      </c>
      <c r="D55" s="957">
        <f>C54</f>
        <v>0.78</v>
      </c>
      <c r="E55" s="957"/>
      <c r="F55" s="1133">
        <f>C55*D55</f>
        <v>5.3820000000000006</v>
      </c>
      <c r="G55" s="964" t="s">
        <v>462</v>
      </c>
    </row>
    <row r="56" spans="1:7" s="954" customFormat="1" ht="14.1">
      <c r="A56" s="955"/>
      <c r="B56" s="963"/>
      <c r="C56" s="957"/>
      <c r="D56" s="957"/>
      <c r="E56" s="957"/>
      <c r="F56" s="1133"/>
      <c r="G56" s="964"/>
    </row>
    <row r="57" spans="1:7" s="954" customFormat="1" ht="14.1">
      <c r="A57" s="955"/>
      <c r="B57" s="961" t="s">
        <v>2266</v>
      </c>
      <c r="C57" s="960"/>
      <c r="D57" s="957"/>
      <c r="E57" s="957"/>
      <c r="F57" s="1133"/>
      <c r="G57" s="964"/>
    </row>
    <row r="58" spans="1:7" s="954" customFormat="1" ht="14.1">
      <c r="A58" s="955"/>
      <c r="B58" s="1132" t="s">
        <v>2267</v>
      </c>
      <c r="C58" s="960">
        <v>0.6</v>
      </c>
      <c r="D58" s="965">
        <f>D22</f>
        <v>136</v>
      </c>
      <c r="E58" s="957">
        <f>C58*D58</f>
        <v>81.599999999999994</v>
      </c>
      <c r="F58" s="962"/>
      <c r="G58" s="958"/>
    </row>
    <row r="59" spans="1:7" s="954" customFormat="1" ht="14.1">
      <c r="A59" s="955"/>
      <c r="B59" s="1132" t="s">
        <v>771</v>
      </c>
      <c r="C59" s="960">
        <v>0.21</v>
      </c>
      <c r="D59" s="965">
        <f>D23</f>
        <v>625</v>
      </c>
      <c r="E59" s="957">
        <f>C59*D59</f>
        <v>131.25</v>
      </c>
      <c r="F59" s="962"/>
      <c r="G59" s="958"/>
    </row>
    <row r="60" spans="1:7" s="954" customFormat="1" ht="14.1">
      <c r="A60" s="955"/>
      <c r="B60" s="1132" t="s">
        <v>772</v>
      </c>
      <c r="C60" s="960">
        <v>0.49</v>
      </c>
      <c r="D60" s="965">
        <f>D24</f>
        <v>515</v>
      </c>
      <c r="E60" s="957">
        <f>C60*D60</f>
        <v>252.35</v>
      </c>
      <c r="F60" s="962"/>
      <c r="G60" s="958"/>
    </row>
    <row r="61" spans="1:7" s="954" customFormat="1" ht="14.1">
      <c r="A61" s="955"/>
      <c r="B61" s="963"/>
      <c r="C61" s="960"/>
      <c r="D61" s="957"/>
      <c r="E61" s="1133">
        <f>SUM(E58:E60)</f>
        <v>465.2</v>
      </c>
      <c r="F61" s="966" t="s">
        <v>2268</v>
      </c>
      <c r="G61" s="964"/>
    </row>
    <row r="62" spans="1:7" s="954" customFormat="1" ht="14.1">
      <c r="A62" s="955"/>
      <c r="B62" s="963"/>
      <c r="C62" s="960"/>
      <c r="D62" s="957"/>
      <c r="E62" s="1133"/>
      <c r="F62" s="964"/>
      <c r="G62" s="964"/>
    </row>
    <row r="63" spans="1:7" s="954" customFormat="1" ht="28.2">
      <c r="A63" s="953" t="s">
        <v>2269</v>
      </c>
      <c r="B63" s="953" t="s">
        <v>2270</v>
      </c>
      <c r="C63" s="953" t="s">
        <v>2271</v>
      </c>
      <c r="D63" s="967"/>
      <c r="E63" s="953" t="s">
        <v>92</v>
      </c>
      <c r="F63" s="967"/>
      <c r="G63" s="967" t="s">
        <v>151</v>
      </c>
    </row>
    <row r="64" spans="1:7" s="954" customFormat="1">
      <c r="A64" s="955">
        <v>1</v>
      </c>
      <c r="B64" s="1132" t="str">
        <f>B42</f>
        <v>Outer frame "L' angle 25x25x5mm</v>
      </c>
      <c r="C64" s="957">
        <f>F48</f>
        <v>7.3080000000000007</v>
      </c>
      <c r="D64" s="968" t="s">
        <v>2272</v>
      </c>
      <c r="E64" s="957"/>
      <c r="F64" s="968"/>
      <c r="G64" s="957"/>
    </row>
    <row r="65" spans="1:7" s="954" customFormat="1">
      <c r="A65" s="955">
        <v>2</v>
      </c>
      <c r="B65" s="1132" t="str">
        <f>B50</f>
        <v>10mm square rods safety bars</v>
      </c>
      <c r="C65" s="957">
        <f>F55</f>
        <v>5.3820000000000006</v>
      </c>
      <c r="D65" s="968" t="s">
        <v>462</v>
      </c>
      <c r="E65" s="957"/>
      <c r="F65" s="968"/>
      <c r="G65" s="957"/>
    </row>
    <row r="66" spans="1:7" s="954" customFormat="1" ht="14.1">
      <c r="A66" s="969"/>
      <c r="B66" s="970"/>
      <c r="C66" s="1133">
        <f>SUM(C64:C65)</f>
        <v>12.690000000000001</v>
      </c>
      <c r="D66" s="968" t="s">
        <v>462</v>
      </c>
      <c r="E66" s="957">
        <f>E30</f>
        <v>74.34</v>
      </c>
      <c r="F66" s="968" t="s">
        <v>462</v>
      </c>
      <c r="G66" s="1133">
        <f>ROUND(C66*E66,2)</f>
        <v>943.37</v>
      </c>
    </row>
    <row r="67" spans="1:7" s="954" customFormat="1" ht="14.1">
      <c r="A67" s="955">
        <v>3</v>
      </c>
      <c r="B67" s="971" t="s">
        <v>2273</v>
      </c>
      <c r="C67" s="957">
        <f>E40</f>
        <v>0.44999999999999996</v>
      </c>
      <c r="D67" s="968" t="s">
        <v>461</v>
      </c>
      <c r="E67" s="957">
        <f>E61</f>
        <v>465.2</v>
      </c>
      <c r="F67" s="968" t="s">
        <v>2274</v>
      </c>
      <c r="G67" s="1133">
        <f>ROUND(C67*E67/10,2)</f>
        <v>20.93</v>
      </c>
    </row>
    <row r="68" spans="1:7" s="954" customFormat="1" ht="14.1">
      <c r="A68" s="955">
        <v>4</v>
      </c>
      <c r="B68" s="972" t="s">
        <v>2284</v>
      </c>
      <c r="C68" s="957">
        <f>C66</f>
        <v>12.690000000000001</v>
      </c>
      <c r="D68" s="968" t="s">
        <v>462</v>
      </c>
      <c r="E68" s="957">
        <f>E32</f>
        <v>35</v>
      </c>
      <c r="F68" s="968" t="s">
        <v>462</v>
      </c>
      <c r="G68" s="957">
        <f>ROUND(C68*E68,2)</f>
        <v>444.15</v>
      </c>
    </row>
    <row r="69" spans="1:7" s="954" customFormat="1">
      <c r="A69" s="955">
        <v>5</v>
      </c>
      <c r="B69" s="971" t="s">
        <v>2275</v>
      </c>
      <c r="C69" s="957">
        <f>'[6]C-data'!$E$5</f>
        <v>0.2</v>
      </c>
      <c r="D69" s="968"/>
      <c r="E69" s="957">
        <f>G68</f>
        <v>444.15</v>
      </c>
      <c r="F69" s="968"/>
      <c r="G69" s="957">
        <f>C69*E69</f>
        <v>88.83</v>
      </c>
    </row>
    <row r="70" spans="1:7" s="954" customFormat="1" ht="14.1">
      <c r="A70" s="955"/>
      <c r="B70" s="971"/>
      <c r="C70" s="960"/>
      <c r="D70" s="957"/>
      <c r="E70" s="960"/>
      <c r="F70" s="957"/>
      <c r="G70" s="1133">
        <f>SUM(G66:G69)</f>
        <v>1497.2799999999997</v>
      </c>
    </row>
    <row r="71" spans="1:7" s="954" customFormat="1" ht="14.1">
      <c r="A71" s="955">
        <v>6</v>
      </c>
      <c r="B71" s="973" t="str">
        <f>'[6]C-data'!$C$245</f>
        <v>Add 5% over heads</v>
      </c>
      <c r="C71" s="974">
        <f>'[6]C-data'!$D$3</f>
        <v>0.13614999999999999</v>
      </c>
      <c r="D71" s="957"/>
      <c r="E71" s="960"/>
      <c r="F71" s="957"/>
      <c r="G71" s="1133">
        <f>G70*C71</f>
        <v>203.85467199999997</v>
      </c>
    </row>
    <row r="72" spans="1:7" s="954" customFormat="1" ht="14.1">
      <c r="A72" s="955"/>
      <c r="B72" s="971"/>
      <c r="C72" s="957"/>
      <c r="D72" s="957"/>
      <c r="E72" s="960"/>
      <c r="F72" s="957"/>
      <c r="G72" s="1133">
        <f>SUM(G70:G71)</f>
        <v>1701.1346719999997</v>
      </c>
    </row>
    <row r="73" spans="1:7" s="954" customFormat="1" ht="14.1">
      <c r="A73" s="955"/>
      <c r="B73" s="975" t="s">
        <v>1806</v>
      </c>
      <c r="C73" s="960"/>
      <c r="D73" s="957"/>
      <c r="E73" s="1610" t="s">
        <v>2276</v>
      </c>
      <c r="F73" s="1610"/>
      <c r="G73" s="1133">
        <f>ROUND(G72,0)</f>
        <v>1701</v>
      </c>
    </row>
    <row r="74" spans="1:7" s="954" customFormat="1" ht="14.1">
      <c r="A74" s="955"/>
      <c r="B74" s="971"/>
      <c r="C74" s="960"/>
      <c r="D74" s="957"/>
      <c r="E74" s="960"/>
      <c r="F74" s="957"/>
      <c r="G74" s="1133"/>
    </row>
    <row r="75" spans="1:7" s="954" customFormat="1" ht="70.5" customHeight="1">
      <c r="A75" s="953">
        <v>3</v>
      </c>
      <c r="B75" s="1611" t="s">
        <v>2278</v>
      </c>
      <c r="C75" s="1611"/>
      <c r="D75" s="1611"/>
      <c r="E75" s="1611"/>
      <c r="F75" s="1611"/>
      <c r="G75" s="1611"/>
    </row>
    <row r="76" spans="1:7" s="954" customFormat="1" ht="14.1">
      <c r="A76" s="955"/>
      <c r="B76" s="956" t="s">
        <v>2279</v>
      </c>
      <c r="C76" s="957">
        <v>1.5</v>
      </c>
      <c r="D76" s="957">
        <v>1.2</v>
      </c>
      <c r="E76" s="1133">
        <f>C76*D76</f>
        <v>1.7999999999999998</v>
      </c>
      <c r="F76" s="958" t="s">
        <v>547</v>
      </c>
      <c r="G76" s="958"/>
    </row>
    <row r="77" spans="1:7" s="954" customFormat="1" ht="14.1">
      <c r="A77" s="955"/>
      <c r="B77" s="1132"/>
      <c r="C77" s="959"/>
      <c r="D77" s="958"/>
      <c r="E77" s="960"/>
      <c r="F77" s="958"/>
      <c r="G77" s="958"/>
    </row>
    <row r="78" spans="1:7" s="954" customFormat="1" ht="14.1">
      <c r="A78" s="955"/>
      <c r="B78" s="961" t="s">
        <v>2280</v>
      </c>
      <c r="C78" s="959"/>
      <c r="D78" s="958"/>
      <c r="E78" s="960"/>
      <c r="F78" s="958"/>
      <c r="G78" s="958"/>
    </row>
    <row r="79" spans="1:7" s="954" customFormat="1" ht="14.1">
      <c r="A79" s="955"/>
      <c r="B79" s="1132" t="s">
        <v>2261</v>
      </c>
      <c r="C79" s="960">
        <v>2</v>
      </c>
      <c r="D79" s="957">
        <f>D76</f>
        <v>1.2</v>
      </c>
      <c r="E79" s="957">
        <f>C79*D79</f>
        <v>2.4</v>
      </c>
      <c r="F79" s="962"/>
      <c r="G79" s="958"/>
    </row>
    <row r="80" spans="1:7" s="954" customFormat="1" ht="14.1">
      <c r="A80" s="955"/>
      <c r="B80" s="1132" t="s">
        <v>1475</v>
      </c>
      <c r="C80" s="960">
        <v>2</v>
      </c>
      <c r="D80" s="957">
        <f>C76</f>
        <v>1.5</v>
      </c>
      <c r="E80" s="957">
        <f>C80*D80</f>
        <v>3</v>
      </c>
      <c r="F80" s="962"/>
      <c r="G80" s="958"/>
    </row>
    <row r="81" spans="1:7" s="954" customFormat="1" ht="14.1">
      <c r="A81" s="955"/>
      <c r="B81" s="1132" t="s">
        <v>1510</v>
      </c>
      <c r="C81" s="960">
        <v>4</v>
      </c>
      <c r="D81" s="957">
        <v>0.23</v>
      </c>
      <c r="E81" s="957">
        <f>C81*D81</f>
        <v>0.92</v>
      </c>
      <c r="F81" s="962"/>
      <c r="G81" s="958"/>
    </row>
    <row r="82" spans="1:7" s="954" customFormat="1" ht="14.1">
      <c r="A82" s="955"/>
      <c r="B82" s="1132"/>
      <c r="C82" s="960"/>
      <c r="D82" s="957"/>
      <c r="E82" s="957">
        <f>SUM(E79:E81)</f>
        <v>6.32</v>
      </c>
      <c r="F82" s="962"/>
      <c r="G82" s="958"/>
    </row>
    <row r="83" spans="1:7" s="954" customFormat="1" ht="14.1">
      <c r="A83" s="955"/>
      <c r="B83" s="1132" t="s">
        <v>2262</v>
      </c>
      <c r="C83" s="957">
        <v>1.8</v>
      </c>
      <c r="D83" s="957" t="s">
        <v>2263</v>
      </c>
      <c r="E83" s="957"/>
      <c r="F83" s="962"/>
      <c r="G83" s="958"/>
    </row>
    <row r="84" spans="1:7" s="954" customFormat="1" ht="14.1">
      <c r="A84" s="955"/>
      <c r="B84" s="963" t="s">
        <v>2264</v>
      </c>
      <c r="C84" s="957">
        <f>E82</f>
        <v>6.32</v>
      </c>
      <c r="D84" s="957">
        <f>C83</f>
        <v>1.8</v>
      </c>
      <c r="E84" s="957"/>
      <c r="F84" s="1133">
        <f>C84*D84</f>
        <v>11.376000000000001</v>
      </c>
      <c r="G84" s="964" t="s">
        <v>462</v>
      </c>
    </row>
    <row r="85" spans="1:7" s="954" customFormat="1" ht="14.1">
      <c r="A85" s="955"/>
      <c r="B85" s="963"/>
      <c r="C85" s="957"/>
      <c r="D85" s="957"/>
      <c r="E85" s="957"/>
      <c r="F85" s="1133"/>
      <c r="G85" s="964"/>
    </row>
    <row r="86" spans="1:7" s="954" customFormat="1" ht="14.1">
      <c r="A86" s="955"/>
      <c r="B86" s="961" t="s">
        <v>2265</v>
      </c>
      <c r="C86" s="959"/>
      <c r="D86" s="958"/>
      <c r="E86" s="960"/>
      <c r="F86" s="958"/>
      <c r="G86" s="958"/>
    </row>
    <row r="87" spans="1:7" s="954" customFormat="1" ht="14.1">
      <c r="A87" s="955"/>
      <c r="B87" s="1132" t="s">
        <v>1477</v>
      </c>
      <c r="C87" s="960">
        <v>13</v>
      </c>
      <c r="D87" s="957">
        <f>D76</f>
        <v>1.2</v>
      </c>
      <c r="E87" s="957">
        <f>C87*D87</f>
        <v>15.6</v>
      </c>
      <c r="F87" s="962"/>
      <c r="G87" s="958"/>
    </row>
    <row r="88" spans="1:7" s="954" customFormat="1" ht="14.1">
      <c r="A88" s="955"/>
      <c r="B88" s="1132" t="s">
        <v>1475</v>
      </c>
      <c r="C88" s="960">
        <v>10</v>
      </c>
      <c r="D88" s="957">
        <f>C76</f>
        <v>1.5</v>
      </c>
      <c r="E88" s="957">
        <f>C88*D88</f>
        <v>15</v>
      </c>
      <c r="F88" s="962"/>
      <c r="G88" s="958"/>
    </row>
    <row r="89" spans="1:7" s="954" customFormat="1" ht="14.1">
      <c r="A89" s="955"/>
      <c r="B89" s="1132"/>
      <c r="C89" s="960"/>
      <c r="D89" s="957"/>
      <c r="E89" s="1133">
        <f>SUM(E87:E88)</f>
        <v>30.6</v>
      </c>
      <c r="F89" s="962"/>
      <c r="G89" s="958"/>
    </row>
    <row r="90" spans="1:7" s="954" customFormat="1" ht="14.1">
      <c r="A90" s="955"/>
      <c r="B90" s="1132" t="s">
        <v>2262</v>
      </c>
      <c r="C90" s="957">
        <v>0.78</v>
      </c>
      <c r="D90" s="957" t="s">
        <v>2263</v>
      </c>
      <c r="E90" s="957"/>
      <c r="F90" s="962"/>
      <c r="G90" s="958"/>
    </row>
    <row r="91" spans="1:7" s="954" customFormat="1" ht="14.1">
      <c r="A91" s="955"/>
      <c r="B91" s="963" t="s">
        <v>2264</v>
      </c>
      <c r="C91" s="957">
        <f>E89</f>
        <v>30.6</v>
      </c>
      <c r="D91" s="957">
        <f>C90</f>
        <v>0.78</v>
      </c>
      <c r="E91" s="957"/>
      <c r="F91" s="1133">
        <f>C91*D91</f>
        <v>23.868000000000002</v>
      </c>
      <c r="G91" s="964" t="s">
        <v>462</v>
      </c>
    </row>
    <row r="92" spans="1:7" s="954" customFormat="1" ht="14.1">
      <c r="A92" s="955"/>
      <c r="B92" s="963"/>
      <c r="C92" s="957"/>
      <c r="D92" s="957"/>
      <c r="E92" s="957"/>
      <c r="F92" s="1133"/>
      <c r="G92" s="964"/>
    </row>
    <row r="93" spans="1:7" s="954" customFormat="1" ht="14.1">
      <c r="A93" s="955"/>
      <c r="B93" s="961" t="s">
        <v>2266</v>
      </c>
      <c r="C93" s="960"/>
      <c r="D93" s="957"/>
      <c r="E93" s="957"/>
      <c r="F93" s="1133"/>
      <c r="G93" s="964"/>
    </row>
    <row r="94" spans="1:7" s="954" customFormat="1" ht="14.1">
      <c r="A94" s="955"/>
      <c r="B94" s="1132" t="s">
        <v>2267</v>
      </c>
      <c r="C94" s="960">
        <v>0.6</v>
      </c>
      <c r="D94" s="965">
        <f>D58</f>
        <v>136</v>
      </c>
      <c r="E94" s="957">
        <f>C94*D94</f>
        <v>81.599999999999994</v>
      </c>
      <c r="F94" s="962"/>
      <c r="G94" s="958"/>
    </row>
    <row r="95" spans="1:7" s="954" customFormat="1" ht="14.1">
      <c r="A95" s="955"/>
      <c r="B95" s="1132" t="s">
        <v>771</v>
      </c>
      <c r="C95" s="960">
        <v>0.21</v>
      </c>
      <c r="D95" s="965">
        <f>D59</f>
        <v>625</v>
      </c>
      <c r="E95" s="957">
        <f>C95*D95</f>
        <v>131.25</v>
      </c>
      <c r="F95" s="962"/>
      <c r="G95" s="958"/>
    </row>
    <row r="96" spans="1:7" s="954" customFormat="1" ht="14.1">
      <c r="A96" s="955"/>
      <c r="B96" s="1132" t="s">
        <v>772</v>
      </c>
      <c r="C96" s="960">
        <v>0.49</v>
      </c>
      <c r="D96" s="965">
        <f>D60</f>
        <v>515</v>
      </c>
      <c r="E96" s="957">
        <f>C96*D96</f>
        <v>252.35</v>
      </c>
      <c r="F96" s="962"/>
      <c r="G96" s="958"/>
    </row>
    <row r="97" spans="1:7" s="954" customFormat="1" ht="14.1">
      <c r="A97" s="955"/>
      <c r="B97" s="963"/>
      <c r="C97" s="960"/>
      <c r="D97" s="957"/>
      <c r="E97" s="1133">
        <f>SUM(E94:E96)</f>
        <v>465.2</v>
      </c>
      <c r="F97" s="966" t="s">
        <v>2268</v>
      </c>
      <c r="G97" s="964"/>
    </row>
    <row r="98" spans="1:7" s="954" customFormat="1" ht="14.1">
      <c r="A98" s="955"/>
      <c r="B98" s="963"/>
      <c r="C98" s="960"/>
      <c r="D98" s="957"/>
      <c r="E98" s="1133"/>
      <c r="F98" s="964"/>
      <c r="G98" s="964"/>
    </row>
    <row r="99" spans="1:7" s="954" customFormat="1" ht="28.2">
      <c r="A99" s="953" t="s">
        <v>2269</v>
      </c>
      <c r="B99" s="953" t="s">
        <v>2270</v>
      </c>
      <c r="C99" s="953" t="s">
        <v>2271</v>
      </c>
      <c r="D99" s="967"/>
      <c r="E99" s="953" t="s">
        <v>92</v>
      </c>
      <c r="F99" s="967"/>
      <c r="G99" s="967" t="s">
        <v>151</v>
      </c>
    </row>
    <row r="100" spans="1:7" s="954" customFormat="1">
      <c r="A100" s="955">
        <v>1</v>
      </c>
      <c r="B100" s="1132" t="str">
        <f>B78</f>
        <v>Outer frame L angle 25x25x5mm</v>
      </c>
      <c r="C100" s="957">
        <f>F84</f>
        <v>11.376000000000001</v>
      </c>
      <c r="D100" s="968" t="s">
        <v>2272</v>
      </c>
      <c r="E100" s="957"/>
      <c r="F100" s="968"/>
      <c r="G100" s="957"/>
    </row>
    <row r="101" spans="1:7" s="954" customFormat="1">
      <c r="A101" s="955">
        <v>2</v>
      </c>
      <c r="B101" s="1132" t="str">
        <f>B86</f>
        <v>10mm square rods safety bars</v>
      </c>
      <c r="C101" s="957">
        <f>F91</f>
        <v>23.868000000000002</v>
      </c>
      <c r="D101" s="968" t="s">
        <v>462</v>
      </c>
      <c r="E101" s="957"/>
      <c r="F101" s="968"/>
      <c r="G101" s="957"/>
    </row>
    <row r="102" spans="1:7" s="954" customFormat="1" ht="14.1">
      <c r="A102" s="969"/>
      <c r="B102" s="970"/>
      <c r="C102" s="1133">
        <f>SUM(C100:C101)</f>
        <v>35.244</v>
      </c>
      <c r="D102" s="964" t="s">
        <v>462</v>
      </c>
      <c r="E102" s="957">
        <f>E66</f>
        <v>74.34</v>
      </c>
      <c r="F102" s="968" t="s">
        <v>462</v>
      </c>
      <c r="G102" s="957">
        <f>ROUND(C102*E102,2)</f>
        <v>2620.04</v>
      </c>
    </row>
    <row r="103" spans="1:7" s="954" customFormat="1" ht="14.1">
      <c r="A103" s="969">
        <v>3</v>
      </c>
      <c r="B103" s="971" t="s">
        <v>2273</v>
      </c>
      <c r="C103" s="957">
        <f>E76</f>
        <v>1.7999999999999998</v>
      </c>
      <c r="D103" s="968" t="s">
        <v>461</v>
      </c>
      <c r="E103" s="957">
        <f>E97</f>
        <v>465.2</v>
      </c>
      <c r="F103" s="968" t="s">
        <v>2274</v>
      </c>
      <c r="G103" s="957">
        <f>ROUND(C103*E103/10,2)</f>
        <v>83.74</v>
      </c>
    </row>
    <row r="104" spans="1:7" s="954" customFormat="1" ht="14.1">
      <c r="A104" s="955">
        <v>4</v>
      </c>
      <c r="B104" s="972" t="s">
        <v>2284</v>
      </c>
      <c r="C104" s="957">
        <f>C102</f>
        <v>35.244</v>
      </c>
      <c r="D104" s="968" t="s">
        <v>462</v>
      </c>
      <c r="E104" s="957">
        <f>E68</f>
        <v>35</v>
      </c>
      <c r="F104" s="968" t="s">
        <v>462</v>
      </c>
      <c r="G104" s="957">
        <f>ROUND(C104*E104,2)</f>
        <v>1233.54</v>
      </c>
    </row>
    <row r="105" spans="1:7" s="954" customFormat="1">
      <c r="A105" s="955">
        <v>5</v>
      </c>
      <c r="B105" s="971" t="s">
        <v>2275</v>
      </c>
      <c r="C105" s="957">
        <f>'[6]C-data'!$E$5</f>
        <v>0.2</v>
      </c>
      <c r="D105" s="968"/>
      <c r="E105" s="957">
        <f>G104</f>
        <v>1233.54</v>
      </c>
      <c r="F105" s="968"/>
      <c r="G105" s="957">
        <f>C105*E105</f>
        <v>246.708</v>
      </c>
    </row>
    <row r="106" spans="1:7" s="954" customFormat="1" ht="14.1">
      <c r="A106" s="955"/>
      <c r="B106" s="971"/>
      <c r="C106" s="960"/>
      <c r="D106" s="957"/>
      <c r="E106" s="960"/>
      <c r="F106" s="957"/>
      <c r="G106" s="1133">
        <f>SUM(G102:G105)</f>
        <v>4184.0279999999993</v>
      </c>
    </row>
    <row r="107" spans="1:7" s="954" customFormat="1" ht="14.1">
      <c r="A107" s="955">
        <v>6</v>
      </c>
      <c r="B107" s="973" t="str">
        <f>'[6]C-data'!$C$245</f>
        <v>Add 5% over heads</v>
      </c>
      <c r="C107" s="974">
        <f>'[6]C-data'!$D$3</f>
        <v>0.13614999999999999</v>
      </c>
      <c r="D107" s="957"/>
      <c r="E107" s="960"/>
      <c r="F107" s="957"/>
      <c r="G107" s="957">
        <f>G106*C107</f>
        <v>569.65541219999989</v>
      </c>
    </row>
    <row r="108" spans="1:7" s="954" customFormat="1" ht="14.1">
      <c r="A108" s="955"/>
      <c r="B108" s="971"/>
      <c r="C108" s="957"/>
      <c r="D108" s="957"/>
      <c r="E108" s="960"/>
      <c r="F108" s="957"/>
      <c r="G108" s="1133">
        <f>SUM(G106:G107)</f>
        <v>4753.6834121999991</v>
      </c>
    </row>
    <row r="109" spans="1:7" s="954" customFormat="1" ht="14.1">
      <c r="A109" s="955"/>
      <c r="B109" s="975" t="s">
        <v>1806</v>
      </c>
      <c r="C109" s="960"/>
      <c r="D109" s="957"/>
      <c r="E109" s="1610" t="s">
        <v>2276</v>
      </c>
      <c r="F109" s="1610"/>
      <c r="G109" s="1133">
        <f>ROUND(G108,0)</f>
        <v>4754</v>
      </c>
    </row>
    <row r="110" spans="1:7">
      <c r="A110" s="951"/>
      <c r="B110" s="951"/>
      <c r="C110" s="952"/>
      <c r="D110" s="951"/>
      <c r="E110" s="951"/>
      <c r="F110" s="951"/>
      <c r="G110" s="951"/>
    </row>
    <row r="111" spans="1:7" s="976" customFormat="1" ht="14.1">
      <c r="A111" s="953">
        <v>4</v>
      </c>
      <c r="B111" s="1611" t="s">
        <v>2281</v>
      </c>
      <c r="C111" s="1611"/>
      <c r="D111" s="1611"/>
      <c r="E111" s="1611"/>
      <c r="F111" s="1611"/>
      <c r="G111" s="1611"/>
    </row>
    <row r="112" spans="1:7" s="976" customFormat="1" ht="14.1">
      <c r="A112" s="955"/>
      <c r="B112" s="956" t="s">
        <v>2282</v>
      </c>
      <c r="C112" s="957">
        <v>0.9</v>
      </c>
      <c r="D112" s="957">
        <v>1.35</v>
      </c>
      <c r="E112" s="1133">
        <f>C112*D112</f>
        <v>1.2150000000000001</v>
      </c>
      <c r="F112" s="958" t="s">
        <v>547</v>
      </c>
      <c r="G112" s="958"/>
    </row>
    <row r="113" spans="1:7" s="976" customFormat="1" ht="14.1">
      <c r="A113" s="955"/>
      <c r="B113" s="1132"/>
      <c r="C113" s="959"/>
      <c r="D113" s="958"/>
      <c r="E113" s="960"/>
      <c r="F113" s="958"/>
      <c r="G113" s="958"/>
    </row>
    <row r="114" spans="1:7" s="976" customFormat="1" ht="14.1">
      <c r="A114" s="955"/>
      <c r="B114" s="961" t="s">
        <v>2260</v>
      </c>
      <c r="C114" s="959"/>
      <c r="D114" s="958"/>
      <c r="E114" s="960"/>
      <c r="F114" s="958"/>
      <c r="G114" s="958"/>
    </row>
    <row r="115" spans="1:7" s="976" customFormat="1" ht="14.1">
      <c r="A115" s="955"/>
      <c r="B115" s="1132" t="s">
        <v>2283</v>
      </c>
      <c r="C115" s="960">
        <v>2</v>
      </c>
      <c r="D115" s="957">
        <f>D112</f>
        <v>1.35</v>
      </c>
      <c r="E115" s="957">
        <f>C115*D115</f>
        <v>2.7</v>
      </c>
      <c r="F115" s="962"/>
      <c r="G115" s="958"/>
    </row>
    <row r="116" spans="1:7" s="976" customFormat="1" ht="14.1">
      <c r="A116" s="955"/>
      <c r="B116" s="1132" t="s">
        <v>1475</v>
      </c>
      <c r="C116" s="960">
        <v>2</v>
      </c>
      <c r="D116" s="957">
        <f>C112</f>
        <v>0.9</v>
      </c>
      <c r="E116" s="957">
        <f>C116*D116</f>
        <v>1.8</v>
      </c>
      <c r="F116" s="962"/>
      <c r="G116" s="958"/>
    </row>
    <row r="117" spans="1:7" s="976" customFormat="1" ht="14.1">
      <c r="A117" s="955"/>
      <c r="B117" s="1132" t="s">
        <v>1510</v>
      </c>
      <c r="C117" s="960">
        <v>4</v>
      </c>
      <c r="D117" s="957">
        <v>0.23</v>
      </c>
      <c r="E117" s="957">
        <f>C117*D117</f>
        <v>0.92</v>
      </c>
      <c r="F117" s="962"/>
      <c r="G117" s="958"/>
    </row>
    <row r="118" spans="1:7" s="976" customFormat="1" ht="14.1">
      <c r="A118" s="955"/>
      <c r="B118" s="1132"/>
      <c r="C118" s="960"/>
      <c r="D118" s="957"/>
      <c r="E118" s="1133">
        <f>SUM(E115:E117)</f>
        <v>5.42</v>
      </c>
      <c r="F118" s="962"/>
      <c r="G118" s="958"/>
    </row>
    <row r="119" spans="1:7" s="976" customFormat="1" ht="14.1">
      <c r="A119" s="955"/>
      <c r="B119" s="1132" t="s">
        <v>2262</v>
      </c>
      <c r="C119" s="957">
        <v>1.8</v>
      </c>
      <c r="D119" s="957" t="s">
        <v>2263</v>
      </c>
      <c r="E119" s="957"/>
      <c r="F119" s="962"/>
      <c r="G119" s="958"/>
    </row>
    <row r="120" spans="1:7" s="976" customFormat="1" ht="14.1">
      <c r="A120" s="955"/>
      <c r="B120" s="963" t="s">
        <v>2264</v>
      </c>
      <c r="C120" s="957">
        <f>E118</f>
        <v>5.42</v>
      </c>
      <c r="D120" s="957">
        <f>C119</f>
        <v>1.8</v>
      </c>
      <c r="E120" s="957"/>
      <c r="F120" s="1133">
        <f>C120*D120</f>
        <v>9.7560000000000002</v>
      </c>
      <c r="G120" s="964" t="s">
        <v>462</v>
      </c>
    </row>
    <row r="121" spans="1:7" s="976" customFormat="1" ht="14.1">
      <c r="A121" s="955"/>
      <c r="B121" s="963"/>
      <c r="C121" s="957"/>
      <c r="D121" s="957"/>
      <c r="E121" s="957"/>
      <c r="F121" s="1133"/>
      <c r="G121" s="964"/>
    </row>
    <row r="122" spans="1:7" s="976" customFormat="1" ht="14.1">
      <c r="A122" s="955"/>
      <c r="B122" s="961" t="s">
        <v>2265</v>
      </c>
      <c r="C122" s="959"/>
      <c r="D122" s="958"/>
      <c r="E122" s="960"/>
      <c r="F122" s="958"/>
      <c r="G122" s="958"/>
    </row>
    <row r="123" spans="1:7" s="976" customFormat="1" ht="14.1">
      <c r="A123" s="955"/>
      <c r="B123" s="1132" t="s">
        <v>1477</v>
      </c>
      <c r="C123" s="960">
        <v>7</v>
      </c>
      <c r="D123" s="957">
        <f>D115</f>
        <v>1.35</v>
      </c>
      <c r="E123" s="957">
        <f>C123*D123</f>
        <v>9.4500000000000011</v>
      </c>
      <c r="F123" s="962"/>
      <c r="G123" s="958"/>
    </row>
    <row r="124" spans="1:7" s="976" customFormat="1" ht="14.1">
      <c r="A124" s="955"/>
      <c r="B124" s="1132" t="s">
        <v>1475</v>
      </c>
      <c r="C124" s="960">
        <v>11</v>
      </c>
      <c r="D124" s="957">
        <f>D116</f>
        <v>0.9</v>
      </c>
      <c r="E124" s="957">
        <f>C124*D124</f>
        <v>9.9</v>
      </c>
      <c r="F124" s="962"/>
      <c r="G124" s="958"/>
    </row>
    <row r="125" spans="1:7" s="976" customFormat="1" ht="14.1">
      <c r="A125" s="955"/>
      <c r="B125" s="1132"/>
      <c r="C125" s="960"/>
      <c r="D125" s="957"/>
      <c r="E125" s="977">
        <f>SUM(E123:E124)</f>
        <v>19.350000000000001</v>
      </c>
      <c r="F125" s="962"/>
      <c r="G125" s="958"/>
    </row>
    <row r="126" spans="1:7" s="976" customFormat="1" ht="14.1">
      <c r="A126" s="955"/>
      <c r="B126" s="1132" t="s">
        <v>2262</v>
      </c>
      <c r="C126" s="957">
        <v>0.78</v>
      </c>
      <c r="D126" s="957" t="s">
        <v>2263</v>
      </c>
      <c r="E126" s="957"/>
      <c r="F126" s="962"/>
      <c r="G126" s="958"/>
    </row>
    <row r="127" spans="1:7" s="976" customFormat="1" ht="14.1">
      <c r="A127" s="955"/>
      <c r="B127" s="963" t="s">
        <v>2264</v>
      </c>
      <c r="C127" s="957">
        <f>E125</f>
        <v>19.350000000000001</v>
      </c>
      <c r="D127" s="957">
        <f>C126</f>
        <v>0.78</v>
      </c>
      <c r="E127" s="957"/>
      <c r="F127" s="1133">
        <f>C127*D127</f>
        <v>15.093000000000002</v>
      </c>
      <c r="G127" s="964" t="s">
        <v>462</v>
      </c>
    </row>
    <row r="128" spans="1:7" s="976" customFormat="1" ht="14.1">
      <c r="A128" s="955"/>
      <c r="B128" s="963"/>
      <c r="C128" s="957"/>
      <c r="D128" s="957"/>
      <c r="E128" s="957"/>
      <c r="F128" s="1133"/>
      <c r="G128" s="964"/>
    </row>
    <row r="129" spans="1:7" s="976" customFormat="1" ht="14.1">
      <c r="A129" s="955"/>
      <c r="B129" s="961" t="s">
        <v>2266</v>
      </c>
      <c r="C129" s="960"/>
      <c r="D129" s="957"/>
      <c r="E129" s="957"/>
      <c r="F129" s="1133"/>
      <c r="G129" s="964"/>
    </row>
    <row r="130" spans="1:7" s="976" customFormat="1" ht="14.1">
      <c r="A130" s="955"/>
      <c r="B130" s="1132" t="s">
        <v>2267</v>
      </c>
      <c r="C130" s="960">
        <v>0.6</v>
      </c>
      <c r="D130" s="965">
        <f>D94</f>
        <v>136</v>
      </c>
      <c r="E130" s="957">
        <f>C130*D130</f>
        <v>81.599999999999994</v>
      </c>
      <c r="F130" s="962"/>
      <c r="G130" s="958"/>
    </row>
    <row r="131" spans="1:7" s="976" customFormat="1" ht="14.1">
      <c r="A131" s="955"/>
      <c r="B131" s="1132" t="s">
        <v>771</v>
      </c>
      <c r="C131" s="960">
        <v>0.21</v>
      </c>
      <c r="D131" s="965">
        <f>D95</f>
        <v>625</v>
      </c>
      <c r="E131" s="957">
        <f>C131*D131</f>
        <v>131.25</v>
      </c>
      <c r="F131" s="962"/>
      <c r="G131" s="958"/>
    </row>
    <row r="132" spans="1:7" s="976" customFormat="1" ht="14.1">
      <c r="A132" s="955"/>
      <c r="B132" s="1132" t="s">
        <v>772</v>
      </c>
      <c r="C132" s="960">
        <v>0.49</v>
      </c>
      <c r="D132" s="965">
        <f>D96</f>
        <v>515</v>
      </c>
      <c r="E132" s="957">
        <f>C132*D132</f>
        <v>252.35</v>
      </c>
      <c r="F132" s="962"/>
      <c r="G132" s="958"/>
    </row>
    <row r="133" spans="1:7" s="976" customFormat="1" ht="14.1">
      <c r="A133" s="955"/>
      <c r="B133" s="963"/>
      <c r="C133" s="960"/>
      <c r="D133" s="957"/>
      <c r="E133" s="1133">
        <f>SUM(E130:E132)</f>
        <v>465.2</v>
      </c>
      <c r="F133" s="964" t="s">
        <v>2268</v>
      </c>
      <c r="G133" s="964"/>
    </row>
    <row r="134" spans="1:7" s="976" customFormat="1" ht="14.1">
      <c r="A134" s="955"/>
      <c r="B134" s="963"/>
      <c r="C134" s="960"/>
      <c r="D134" s="957"/>
      <c r="E134" s="1133"/>
      <c r="F134" s="964"/>
      <c r="G134" s="964"/>
    </row>
    <row r="135" spans="1:7" s="976" customFormat="1" ht="28.2">
      <c r="A135" s="953" t="s">
        <v>2269</v>
      </c>
      <c r="B135" s="953" t="s">
        <v>2270</v>
      </c>
      <c r="C135" s="953" t="s">
        <v>2271</v>
      </c>
      <c r="D135" s="967"/>
      <c r="E135" s="953" t="s">
        <v>92</v>
      </c>
      <c r="F135" s="967"/>
      <c r="G135" s="967" t="s">
        <v>151</v>
      </c>
    </row>
    <row r="136" spans="1:7" s="976" customFormat="1">
      <c r="A136" s="955">
        <v>1</v>
      </c>
      <c r="B136" s="1132" t="str">
        <f>B114</f>
        <v>Outer frame "L' angle 25x25x5mm</v>
      </c>
      <c r="C136" s="957">
        <f>F120</f>
        <v>9.7560000000000002</v>
      </c>
      <c r="D136" s="968" t="s">
        <v>2272</v>
      </c>
      <c r="E136" s="957"/>
      <c r="F136" s="968"/>
      <c r="G136" s="957"/>
    </row>
    <row r="137" spans="1:7" s="976" customFormat="1">
      <c r="A137" s="955">
        <v>2</v>
      </c>
      <c r="B137" s="1132" t="str">
        <f>B122</f>
        <v>10mm square rods safety bars</v>
      </c>
      <c r="C137" s="957">
        <f>F127</f>
        <v>15.093000000000002</v>
      </c>
      <c r="D137" s="968" t="s">
        <v>462</v>
      </c>
      <c r="E137" s="957"/>
      <c r="F137" s="968"/>
      <c r="G137" s="957"/>
    </row>
    <row r="138" spans="1:7" s="976" customFormat="1" ht="14.1">
      <c r="A138" s="969"/>
      <c r="B138" s="970"/>
      <c r="C138" s="1133">
        <f>SUM(C136:C137)</f>
        <v>24.849000000000004</v>
      </c>
      <c r="D138" s="968" t="s">
        <v>462</v>
      </c>
      <c r="E138" s="957">
        <f>E102</f>
        <v>74.34</v>
      </c>
      <c r="F138" s="968" t="s">
        <v>462</v>
      </c>
      <c r="G138" s="957">
        <f>ROUND(C138*E138,2)</f>
        <v>1847.27</v>
      </c>
    </row>
    <row r="139" spans="1:7" s="976" customFormat="1">
      <c r="A139" s="955">
        <v>3</v>
      </c>
      <c r="B139" s="971" t="s">
        <v>2273</v>
      </c>
      <c r="C139" s="957">
        <f>E112</f>
        <v>1.2150000000000001</v>
      </c>
      <c r="D139" s="968" t="s">
        <v>461</v>
      </c>
      <c r="E139" s="957">
        <f>E133</f>
        <v>465.2</v>
      </c>
      <c r="F139" s="968" t="s">
        <v>2274</v>
      </c>
      <c r="G139" s="957">
        <f>ROUND(C139*E139/10,2)</f>
        <v>56.52</v>
      </c>
    </row>
    <row r="140" spans="1:7" s="976" customFormat="1" ht="14.1">
      <c r="A140" s="955">
        <v>4</v>
      </c>
      <c r="B140" s="971" t="s">
        <v>2284</v>
      </c>
      <c r="C140" s="957">
        <f>C138</f>
        <v>24.849000000000004</v>
      </c>
      <c r="D140" s="968" t="s">
        <v>462</v>
      </c>
      <c r="E140" s="957">
        <f>E104</f>
        <v>35</v>
      </c>
      <c r="F140" s="968" t="s">
        <v>462</v>
      </c>
      <c r="G140" s="957">
        <f>ROUND(C140*E140,2)</f>
        <v>869.72</v>
      </c>
    </row>
    <row r="141" spans="1:7" s="954" customFormat="1">
      <c r="A141" s="955">
        <v>5</v>
      </c>
      <c r="B141" s="971" t="s">
        <v>2275</v>
      </c>
      <c r="C141" s="957">
        <f>'[6]C-data'!$E$5</f>
        <v>0.2</v>
      </c>
      <c r="D141" s="968"/>
      <c r="E141" s="957">
        <f>G140</f>
        <v>869.72</v>
      </c>
      <c r="F141" s="968"/>
      <c r="G141" s="957">
        <f>ROUND(C141*E141,2)</f>
        <v>173.94</v>
      </c>
    </row>
    <row r="142" spans="1:7" s="976" customFormat="1" ht="14.1">
      <c r="A142" s="955"/>
      <c r="B142" s="971"/>
      <c r="C142" s="960"/>
      <c r="D142" s="957"/>
      <c r="E142" s="960"/>
      <c r="F142" s="957"/>
      <c r="G142" s="1133">
        <f>SUM(G138:G141)</f>
        <v>2947.4500000000003</v>
      </c>
    </row>
    <row r="143" spans="1:7" s="976" customFormat="1" ht="14.1">
      <c r="A143" s="955">
        <v>6</v>
      </c>
      <c r="B143" s="973" t="str">
        <f>'[6]C-data'!$C$245</f>
        <v>Add 5% over heads</v>
      </c>
      <c r="C143" s="974">
        <f>'[6]C-data'!$D$3</f>
        <v>0.13614999999999999</v>
      </c>
      <c r="D143" s="957"/>
      <c r="E143" s="960"/>
      <c r="F143" s="957"/>
      <c r="G143" s="957">
        <f>G142*C143</f>
        <v>401.29531750000001</v>
      </c>
    </row>
    <row r="144" spans="1:7" s="976" customFormat="1" ht="14.1">
      <c r="A144" s="955"/>
      <c r="B144" s="971"/>
      <c r="C144" s="957"/>
      <c r="D144" s="957"/>
      <c r="E144" s="960"/>
      <c r="F144" s="957"/>
      <c r="G144" s="1133">
        <f>SUM(G142:G143)</f>
        <v>3348.7453175000001</v>
      </c>
    </row>
    <row r="145" spans="1:7" s="976" customFormat="1" ht="14.1">
      <c r="A145" s="955"/>
      <c r="B145" s="975" t="s">
        <v>1806</v>
      </c>
      <c r="C145" s="960"/>
      <c r="D145" s="957"/>
      <c r="E145" s="1612" t="s">
        <v>392</v>
      </c>
      <c r="F145" s="1612"/>
      <c r="G145" s="1133">
        <f>ROUND(G144,0.5)</f>
        <v>3349</v>
      </c>
    </row>
  </sheetData>
  <mergeCells count="9">
    <mergeCell ref="E109:F109"/>
    <mergeCell ref="B111:G111"/>
    <mergeCell ref="E145:F145"/>
    <mergeCell ref="A1:G1"/>
    <mergeCell ref="B3:G3"/>
    <mergeCell ref="E37:F37"/>
    <mergeCell ref="B39:G39"/>
    <mergeCell ref="E73:F73"/>
    <mergeCell ref="B75:G75"/>
  </mergeCells>
  <pageMargins left="0.7" right="0.7" top="0.75" bottom="0.75" header="0.3" footer="0.3"/>
  <pageSetup scale="97" orientation="portrait" r:id="rId1"/>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3:AD275"/>
  <sheetViews>
    <sheetView topLeftCell="A27" workbookViewId="0">
      <selection activeCell="B108" sqref="B108:M108"/>
    </sheetView>
  </sheetViews>
  <sheetFormatPr defaultColWidth="9.15625" defaultRowHeight="13.8"/>
  <cols>
    <col min="1" max="1" width="4.41796875" style="1134" customWidth="1"/>
    <col min="2" max="2" width="24" style="1134" customWidth="1"/>
    <col min="3" max="3" width="5.26171875" style="1134" bestFit="1" customWidth="1"/>
    <col min="4" max="4" width="2" style="1134" bestFit="1" customWidth="1"/>
    <col min="5" max="5" width="3.83984375" style="1134" customWidth="1"/>
    <col min="6" max="8" width="7.15625" style="1134" customWidth="1"/>
    <col min="9" max="9" width="8.15625" style="1134" customWidth="1"/>
    <col min="10" max="10" width="7" style="1134" bestFit="1" customWidth="1"/>
    <col min="11" max="11" width="10" style="1134" customWidth="1"/>
    <col min="12" max="12" width="2.26171875" style="1134" bestFit="1" customWidth="1"/>
    <col min="13" max="13" width="5.83984375" style="1134" bestFit="1" customWidth="1"/>
    <col min="14" max="14" width="12.68359375" style="1134" customWidth="1"/>
    <col min="15" max="35" width="0" style="1134" hidden="1" customWidth="1"/>
    <col min="36" max="16384" width="9.15625" style="1134"/>
  </cols>
  <sheetData>
    <row r="3" spans="1:30" s="920" customFormat="1" ht="41.4">
      <c r="A3" s="918">
        <v>1</v>
      </c>
      <c r="B3" s="1617" t="e">
        <f>#REF!</f>
        <v>#REF!</v>
      </c>
      <c r="C3" s="1617"/>
      <c r="D3" s="1617"/>
      <c r="E3" s="1617"/>
      <c r="F3" s="1617"/>
      <c r="G3" s="1617"/>
      <c r="H3" s="1617"/>
      <c r="I3" s="1617"/>
      <c r="J3" s="1617"/>
      <c r="K3" s="1617"/>
      <c r="L3" s="1617"/>
      <c r="M3" s="1617"/>
      <c r="N3" s="919"/>
      <c r="P3" s="921" t="s">
        <v>2229</v>
      </c>
      <c r="Q3" s="921" t="s">
        <v>2230</v>
      </c>
      <c r="R3" s="922" t="s">
        <v>32</v>
      </c>
      <c r="S3" s="922" t="s">
        <v>112</v>
      </c>
      <c r="T3" s="922" t="s">
        <v>664</v>
      </c>
      <c r="U3" s="922" t="s">
        <v>2231</v>
      </c>
      <c r="V3" s="923" t="s">
        <v>2232</v>
      </c>
      <c r="W3" s="923" t="s">
        <v>2233</v>
      </c>
      <c r="X3" s="923" t="s">
        <v>2234</v>
      </c>
      <c r="Y3" s="923" t="s">
        <v>2235</v>
      </c>
      <c r="Z3" s="923" t="s">
        <v>2236</v>
      </c>
      <c r="AA3" s="923" t="s">
        <v>2237</v>
      </c>
      <c r="AB3" s="923" t="s">
        <v>2238</v>
      </c>
      <c r="AC3" s="922" t="s">
        <v>32</v>
      </c>
      <c r="AD3" s="922" t="s">
        <v>112</v>
      </c>
    </row>
    <row r="4" spans="1:30" s="920" customFormat="1">
      <c r="A4" s="924"/>
      <c r="B4" s="925" t="s">
        <v>1593</v>
      </c>
      <c r="C4" s="926">
        <v>1</v>
      </c>
      <c r="D4" s="926" t="s">
        <v>33</v>
      </c>
      <c r="E4" s="926">
        <v>6</v>
      </c>
      <c r="F4" s="927">
        <v>2.2999999999999998</v>
      </c>
      <c r="G4" s="927">
        <v>2.2999999999999998</v>
      </c>
      <c r="H4" s="927">
        <v>1.8</v>
      </c>
      <c r="I4" s="928">
        <f>ROUND(PRODUCT(C4:H4),2)</f>
        <v>57.13</v>
      </c>
      <c r="J4" s="928"/>
      <c r="K4" s="928"/>
      <c r="L4" s="928"/>
      <c r="M4" s="929"/>
      <c r="N4" s="930"/>
      <c r="P4" s="931" t="s">
        <v>1112</v>
      </c>
      <c r="Q4" s="931">
        <v>4</v>
      </c>
      <c r="R4" s="931">
        <f>VLOOKUP([7]LEAD!$M$48,[7]LEAD!$C$67:$T$71,2)</f>
        <v>3.1</v>
      </c>
      <c r="S4" s="931">
        <f>VLOOKUP([7]LEAD!$M$48,[7]LEAD!$C$74:$T$78,2)</f>
        <v>3.1</v>
      </c>
      <c r="T4" s="932">
        <f>VLOOKUP([7]LEAD!$M$48,[7]LEAD!$C$82:$T$86,2)</f>
        <v>0.52500000000000002</v>
      </c>
      <c r="U4" s="920">
        <f>[7]LEAD!G$49</f>
        <v>2</v>
      </c>
      <c r="V4" s="920">
        <v>0.1</v>
      </c>
      <c r="W4" s="920">
        <v>0.1</v>
      </c>
      <c r="X4" s="933">
        <v>0.08</v>
      </c>
      <c r="Y4" s="933" t="e">
        <f>[7]LEAD!G46</f>
        <v>#REF!</v>
      </c>
      <c r="Z4" s="920">
        <v>0.6</v>
      </c>
      <c r="AA4" s="920" t="s">
        <v>1472</v>
      </c>
      <c r="AB4" s="1114">
        <v>4</v>
      </c>
      <c r="AC4" s="934">
        <v>0.45</v>
      </c>
      <c r="AD4" s="935">
        <v>0.3</v>
      </c>
    </row>
    <row r="5" spans="1:30" s="920" customFormat="1">
      <c r="A5" s="924"/>
      <c r="B5" s="925" t="s">
        <v>1594</v>
      </c>
      <c r="C5" s="926">
        <v>1</v>
      </c>
      <c r="D5" s="926" t="s">
        <v>33</v>
      </c>
      <c r="E5" s="926">
        <v>3</v>
      </c>
      <c r="F5" s="927">
        <v>1.5</v>
      </c>
      <c r="G5" s="927">
        <v>1.5</v>
      </c>
      <c r="H5" s="927">
        <v>1.8</v>
      </c>
      <c r="I5" s="928">
        <f t="shared" ref="I5" si="0">ROUND(PRODUCT(C5:H5),2)</f>
        <v>12.15</v>
      </c>
      <c r="J5" s="928"/>
      <c r="K5" s="928"/>
      <c r="L5" s="928"/>
      <c r="M5" s="929"/>
      <c r="N5" s="930"/>
      <c r="P5" s="931" t="s">
        <v>1113</v>
      </c>
      <c r="Q5" s="931">
        <v>8</v>
      </c>
      <c r="R5" s="931">
        <f>VLOOKUP([7]LEAD!$M$48,[7]LEAD!$C$67:$T$71,3)</f>
        <v>2.9</v>
      </c>
      <c r="S5" s="931">
        <f>VLOOKUP([7]LEAD!$M$48,[7]LEAD!$C$74:$T$78,3)</f>
        <v>2.9</v>
      </c>
      <c r="T5" s="932">
        <f>VLOOKUP([7]LEAD!$M$48,[7]LEAD!$C$82:$T$86,3)</f>
        <v>0.5</v>
      </c>
      <c r="U5" s="920">
        <f>[7]LEAD!G$49</f>
        <v>2</v>
      </c>
      <c r="V5" s="1618" t="s">
        <v>2239</v>
      </c>
      <c r="W5" s="1618"/>
      <c r="X5" s="1618"/>
      <c r="Y5" s="1618"/>
      <c r="Z5" s="1618"/>
      <c r="AA5" s="920" t="s">
        <v>1473</v>
      </c>
      <c r="AB5" s="1114">
        <v>8</v>
      </c>
      <c r="AC5" s="934">
        <v>0.45</v>
      </c>
      <c r="AD5" s="935">
        <v>0.3</v>
      </c>
    </row>
    <row r="6" spans="1:30" s="920" customFormat="1" ht="14.1">
      <c r="A6" s="924"/>
      <c r="B6" s="1619" t="s">
        <v>2240</v>
      </c>
      <c r="C6" s="1619"/>
      <c r="D6" s="1619"/>
      <c r="E6" s="1619"/>
      <c r="F6" s="1619"/>
      <c r="G6" s="1619"/>
      <c r="H6" s="1619"/>
      <c r="I6" s="928"/>
      <c r="J6" s="928"/>
      <c r="K6" s="928"/>
      <c r="L6" s="928"/>
      <c r="M6" s="929"/>
      <c r="N6" s="930"/>
      <c r="P6" s="936"/>
      <c r="Q6" s="931"/>
      <c r="R6" s="937"/>
      <c r="S6" s="937"/>
      <c r="T6" s="937"/>
      <c r="V6" s="1114"/>
      <c r="W6" s="1114"/>
      <c r="X6" s="1114"/>
      <c r="Y6" s="1114"/>
      <c r="Z6" s="1114"/>
      <c r="AB6" s="1114"/>
    </row>
    <row r="7" spans="1:30" s="920" customFormat="1">
      <c r="A7" s="924"/>
      <c r="B7" s="1111" t="s">
        <v>1628</v>
      </c>
      <c r="C7" s="929">
        <v>1</v>
      </c>
      <c r="D7" s="926" t="s">
        <v>33</v>
      </c>
      <c r="E7" s="929">
        <v>2</v>
      </c>
      <c r="F7" s="928">
        <v>8.35</v>
      </c>
      <c r="G7" s="928">
        <v>0.6</v>
      </c>
      <c r="H7" s="928">
        <v>0.6</v>
      </c>
      <c r="I7" s="928">
        <f t="shared" ref="I7:I10" si="1">ROUND(PRODUCT(C7:H7),2)</f>
        <v>6.01</v>
      </c>
      <c r="J7" s="928"/>
      <c r="K7" s="928"/>
      <c r="L7" s="928"/>
      <c r="M7" s="929"/>
      <c r="N7" s="930"/>
      <c r="P7" s="920" t="s">
        <v>466</v>
      </c>
      <c r="Q7" s="920">
        <f>SUM(Q4:Q6)</f>
        <v>12</v>
      </c>
      <c r="V7" s="920" t="s">
        <v>466</v>
      </c>
      <c r="AA7" s="920" t="s">
        <v>466</v>
      </c>
      <c r="AB7" s="920">
        <f>SUM(AB4:AB6)</f>
        <v>12</v>
      </c>
    </row>
    <row r="8" spans="1:30" s="920" customFormat="1">
      <c r="A8" s="924"/>
      <c r="B8" s="1111" t="s">
        <v>2241</v>
      </c>
      <c r="C8" s="929">
        <v>1</v>
      </c>
      <c r="D8" s="926" t="s">
        <v>33</v>
      </c>
      <c r="E8" s="929">
        <v>2</v>
      </c>
      <c r="F8" s="928">
        <v>5.33</v>
      </c>
      <c r="G8" s="928">
        <v>0.6</v>
      </c>
      <c r="H8" s="928">
        <v>0.6</v>
      </c>
      <c r="I8" s="928">
        <f t="shared" si="1"/>
        <v>3.84</v>
      </c>
      <c r="J8" s="928"/>
      <c r="K8" s="928"/>
      <c r="L8" s="928"/>
      <c r="M8" s="929"/>
      <c r="N8" s="930"/>
    </row>
    <row r="9" spans="1:30" s="920" customFormat="1">
      <c r="A9" s="924"/>
      <c r="B9" s="1111" t="s">
        <v>1279</v>
      </c>
      <c r="C9" s="929">
        <v>1</v>
      </c>
      <c r="D9" s="926" t="s">
        <v>33</v>
      </c>
      <c r="E9" s="929">
        <v>1</v>
      </c>
      <c r="F9" s="928">
        <v>3.6</v>
      </c>
      <c r="G9" s="928">
        <v>2</v>
      </c>
      <c r="H9" s="928">
        <v>0.3</v>
      </c>
      <c r="I9" s="928">
        <f t="shared" si="1"/>
        <v>2.16</v>
      </c>
      <c r="J9" s="928"/>
      <c r="K9" s="928"/>
      <c r="L9" s="928"/>
      <c r="M9" s="929"/>
      <c r="N9" s="930"/>
    </row>
    <row r="10" spans="1:30" s="920" customFormat="1">
      <c r="A10" s="924"/>
      <c r="B10" s="1111" t="s">
        <v>2207</v>
      </c>
      <c r="C10" s="929">
        <v>1</v>
      </c>
      <c r="D10" s="926" t="s">
        <v>33</v>
      </c>
      <c r="E10" s="929">
        <v>2</v>
      </c>
      <c r="F10" s="928">
        <v>3.6</v>
      </c>
      <c r="G10" s="928">
        <v>0.6</v>
      </c>
      <c r="H10" s="928">
        <v>0.45</v>
      </c>
      <c r="I10" s="928">
        <f t="shared" si="1"/>
        <v>1.94</v>
      </c>
      <c r="J10" s="928"/>
      <c r="K10" s="928"/>
      <c r="L10" s="928"/>
      <c r="M10" s="929"/>
      <c r="N10" s="930"/>
    </row>
    <row r="11" spans="1:30" s="920" customFormat="1">
      <c r="A11" s="924"/>
      <c r="B11" s="938"/>
      <c r="C11" s="929"/>
      <c r="D11" s="929"/>
      <c r="E11" s="929"/>
      <c r="F11" s="929"/>
      <c r="G11" s="929"/>
      <c r="H11" s="929"/>
      <c r="I11" s="928">
        <f>SUM(I4:I10)</f>
        <v>83.23</v>
      </c>
      <c r="J11" s="928"/>
      <c r="K11" s="928"/>
      <c r="L11" s="928"/>
      <c r="M11" s="929"/>
      <c r="N11" s="930"/>
    </row>
    <row r="12" spans="1:30" s="920" customFormat="1" ht="14.1">
      <c r="A12" s="924"/>
      <c r="B12" s="939"/>
      <c r="C12" s="929"/>
      <c r="D12" s="926"/>
      <c r="E12" s="929"/>
      <c r="F12" s="928"/>
      <c r="G12" s="928"/>
      <c r="H12" s="1110" t="s">
        <v>392</v>
      </c>
      <c r="I12" s="940">
        <v>84</v>
      </c>
      <c r="J12" s="940" t="s">
        <v>465</v>
      </c>
      <c r="K12" s="940" t="e">
        <f>#REF!</f>
        <v>#REF!</v>
      </c>
      <c r="L12" s="941">
        <v>1</v>
      </c>
      <c r="M12" s="1110" t="s">
        <v>465</v>
      </c>
      <c r="N12" s="942" t="e">
        <f>ROUND(I12*K12/L12,0)</f>
        <v>#REF!</v>
      </c>
      <c r="S12" s="920" t="s">
        <v>455</v>
      </c>
    </row>
    <row r="13" spans="1:30" s="920" customFormat="1">
      <c r="A13" s="924">
        <f>1+A3</f>
        <v>2</v>
      </c>
      <c r="B13" s="1620" t="e">
        <f>#REF!</f>
        <v>#REF!</v>
      </c>
      <c r="C13" s="1620"/>
      <c r="D13" s="1620"/>
      <c r="E13" s="1620"/>
      <c r="F13" s="1620"/>
      <c r="G13" s="1620"/>
      <c r="H13" s="1620"/>
      <c r="I13" s="1620"/>
      <c r="J13" s="1620"/>
      <c r="K13" s="1620"/>
      <c r="L13" s="1620"/>
      <c r="M13" s="1620"/>
      <c r="N13" s="930"/>
    </row>
    <row r="14" spans="1:30" s="920" customFormat="1">
      <c r="A14" s="924"/>
      <c r="B14" s="939" t="s">
        <v>1593</v>
      </c>
      <c r="C14" s="929">
        <v>1</v>
      </c>
      <c r="D14" s="929" t="s">
        <v>33</v>
      </c>
      <c r="E14" s="929">
        <v>6</v>
      </c>
      <c r="F14" s="928">
        <v>2.2999999999999998</v>
      </c>
      <c r="G14" s="928">
        <v>2.2999999999999998</v>
      </c>
      <c r="H14" s="928">
        <v>0.1</v>
      </c>
      <c r="I14" s="928">
        <f t="shared" ref="I14:I15" si="2">ROUND(PRODUCT(C14:H14),2)</f>
        <v>3.17</v>
      </c>
      <c r="J14" s="928"/>
      <c r="K14" s="928"/>
      <c r="L14" s="928"/>
      <c r="M14" s="929"/>
      <c r="N14" s="930"/>
    </row>
    <row r="15" spans="1:30" s="920" customFormat="1">
      <c r="A15" s="924"/>
      <c r="B15" s="939" t="s">
        <v>1594</v>
      </c>
      <c r="C15" s="929">
        <v>1</v>
      </c>
      <c r="D15" s="929" t="s">
        <v>33</v>
      </c>
      <c r="E15" s="929">
        <v>3</v>
      </c>
      <c r="F15" s="928">
        <v>1.5</v>
      </c>
      <c r="G15" s="928">
        <v>1.5</v>
      </c>
      <c r="H15" s="928">
        <v>0.1</v>
      </c>
      <c r="I15" s="928">
        <f t="shared" si="2"/>
        <v>0.68</v>
      </c>
      <c r="J15" s="928"/>
      <c r="K15" s="928"/>
      <c r="L15" s="928"/>
      <c r="M15" s="929"/>
      <c r="N15" s="930"/>
    </row>
    <row r="16" spans="1:30" s="920" customFormat="1">
      <c r="A16" s="924"/>
      <c r="B16" s="939"/>
      <c r="C16" s="926"/>
      <c r="D16" s="926"/>
      <c r="E16" s="926"/>
      <c r="F16" s="928"/>
      <c r="G16" s="928"/>
      <c r="H16" s="927"/>
      <c r="I16" s="928">
        <f>SUM(I14:I15)</f>
        <v>3.85</v>
      </c>
      <c r="J16" s="928"/>
      <c r="K16" s="928"/>
      <c r="L16" s="928"/>
      <c r="M16" s="929"/>
      <c r="N16" s="930"/>
    </row>
    <row r="17" spans="1:14" s="920" customFormat="1" ht="14.1">
      <c r="A17" s="924"/>
      <c r="B17" s="939"/>
      <c r="C17" s="926"/>
      <c r="D17" s="926"/>
      <c r="E17" s="926"/>
      <c r="F17" s="928"/>
      <c r="G17" s="928"/>
      <c r="H17" s="1110" t="s">
        <v>392</v>
      </c>
      <c r="I17" s="940">
        <f>CEILING(I16,0.5)</f>
        <v>4</v>
      </c>
      <c r="J17" s="940" t="s">
        <v>465</v>
      </c>
      <c r="K17" s="940" t="e">
        <f>#REF!</f>
        <v>#REF!</v>
      </c>
      <c r="L17" s="941">
        <v>1</v>
      </c>
      <c r="M17" s="1110" t="s">
        <v>465</v>
      </c>
      <c r="N17" s="942" t="e">
        <f>ROUND(I17*K17/L17,0)</f>
        <v>#REF!</v>
      </c>
    </row>
    <row r="18" spans="1:14" s="920" customFormat="1">
      <c r="A18" s="924">
        <f>A13+1</f>
        <v>3</v>
      </c>
      <c r="B18" s="1620" t="e">
        <f>#REF!</f>
        <v>#REF!</v>
      </c>
      <c r="C18" s="1620"/>
      <c r="D18" s="1620"/>
      <c r="E18" s="1620"/>
      <c r="F18" s="1620"/>
      <c r="G18" s="1620"/>
      <c r="H18" s="1620"/>
      <c r="I18" s="1620"/>
      <c r="J18" s="1620"/>
      <c r="K18" s="1620"/>
      <c r="L18" s="1620"/>
      <c r="M18" s="1620"/>
      <c r="N18" s="930"/>
    </row>
    <row r="19" spans="1:14" s="920" customFormat="1" ht="14.1">
      <c r="A19" s="924" t="s">
        <v>646</v>
      </c>
      <c r="B19" s="1113" t="s">
        <v>2242</v>
      </c>
      <c r="C19" s="926"/>
      <c r="D19" s="926"/>
      <c r="E19" s="926"/>
      <c r="F19" s="926"/>
      <c r="G19" s="926"/>
      <c r="H19" s="926"/>
      <c r="I19" s="926"/>
      <c r="J19" s="926"/>
      <c r="K19" s="929"/>
      <c r="L19" s="929"/>
      <c r="M19" s="929"/>
      <c r="N19" s="930"/>
    </row>
    <row r="20" spans="1:14" s="920" customFormat="1">
      <c r="A20" s="924"/>
      <c r="B20" s="939" t="s">
        <v>1593</v>
      </c>
      <c r="C20" s="929">
        <v>1</v>
      </c>
      <c r="D20" s="929" t="s">
        <v>33</v>
      </c>
      <c r="E20" s="929">
        <v>6</v>
      </c>
      <c r="F20" s="928">
        <v>2.15</v>
      </c>
      <c r="G20" s="928">
        <v>2.15</v>
      </c>
      <c r="H20" s="943">
        <v>0.45</v>
      </c>
      <c r="I20" s="928">
        <f t="shared" ref="I20:I21" si="3">ROUND(PRODUCT(C20:H20),2)</f>
        <v>12.48</v>
      </c>
      <c r="J20" s="928"/>
      <c r="K20" s="928"/>
      <c r="L20" s="928"/>
      <c r="M20" s="929"/>
      <c r="N20" s="930"/>
    </row>
    <row r="21" spans="1:14" s="920" customFormat="1">
      <c r="A21" s="924"/>
      <c r="B21" s="939" t="s">
        <v>1594</v>
      </c>
      <c r="C21" s="929">
        <v>1</v>
      </c>
      <c r="D21" s="929" t="s">
        <v>33</v>
      </c>
      <c r="E21" s="929">
        <v>3</v>
      </c>
      <c r="F21" s="928">
        <v>1.35</v>
      </c>
      <c r="G21" s="928">
        <v>1.35</v>
      </c>
      <c r="H21" s="943">
        <v>0.3</v>
      </c>
      <c r="I21" s="928">
        <f t="shared" si="3"/>
        <v>1.64</v>
      </c>
      <c r="J21" s="928"/>
      <c r="K21" s="928"/>
      <c r="L21" s="928"/>
      <c r="M21" s="929"/>
      <c r="N21" s="930"/>
    </row>
    <row r="22" spans="1:14" s="920" customFormat="1">
      <c r="A22" s="924"/>
      <c r="B22" s="939"/>
      <c r="C22" s="926"/>
      <c r="D22" s="926"/>
      <c r="E22" s="926"/>
      <c r="F22" s="927"/>
      <c r="G22" s="944"/>
      <c r="H22" s="929"/>
      <c r="I22" s="928">
        <f>SUM(I20:I21)</f>
        <v>14.120000000000001</v>
      </c>
      <c r="J22" s="928"/>
      <c r="K22" s="928"/>
      <c r="L22" s="928"/>
      <c r="M22" s="929"/>
      <c r="N22" s="930"/>
    </row>
    <row r="23" spans="1:14" s="920" customFormat="1" ht="14.1">
      <c r="A23" s="924"/>
      <c r="B23" s="939"/>
      <c r="C23" s="926"/>
      <c r="D23" s="926"/>
      <c r="E23" s="926"/>
      <c r="F23" s="927"/>
      <c r="G23" s="944"/>
      <c r="H23" s="1110" t="s">
        <v>392</v>
      </c>
      <c r="I23" s="940">
        <v>15</v>
      </c>
      <c r="J23" s="1110" t="s">
        <v>465</v>
      </c>
      <c r="K23" s="940" t="e">
        <f>#REF!</f>
        <v>#REF!</v>
      </c>
      <c r="L23" s="941">
        <v>1</v>
      </c>
      <c r="M23" s="1110" t="s">
        <v>465</v>
      </c>
      <c r="N23" s="942" t="e">
        <f>ROUND(I23*K23/L23,0)</f>
        <v>#REF!</v>
      </c>
    </row>
    <row r="24" spans="1:14" s="920" customFormat="1" ht="14.1">
      <c r="A24" s="924" t="s">
        <v>112</v>
      </c>
      <c r="B24" s="1113" t="s">
        <v>2243</v>
      </c>
      <c r="C24" s="926"/>
      <c r="D24" s="926"/>
      <c r="E24" s="926"/>
      <c r="F24" s="926"/>
      <c r="G24" s="926"/>
      <c r="H24" s="926"/>
      <c r="I24" s="926"/>
      <c r="J24" s="926"/>
      <c r="K24" s="929"/>
      <c r="L24" s="929"/>
      <c r="M24" s="929"/>
      <c r="N24" s="930"/>
    </row>
    <row r="25" spans="1:14" s="920" customFormat="1">
      <c r="A25" s="924"/>
      <c r="B25" s="939" t="s">
        <v>2208</v>
      </c>
      <c r="C25" s="926">
        <v>1</v>
      </c>
      <c r="D25" s="926" t="s">
        <v>33</v>
      </c>
      <c r="E25" s="929">
        <v>6</v>
      </c>
      <c r="F25" s="928">
        <v>0.45</v>
      </c>
      <c r="G25" s="928">
        <v>0.6</v>
      </c>
      <c r="H25" s="929">
        <v>0.6</v>
      </c>
      <c r="I25" s="928">
        <f t="shared" ref="I25:I26" si="4">ROUND(PRODUCT(C25:H25),2)</f>
        <v>0.97</v>
      </c>
      <c r="J25" s="928"/>
      <c r="K25" s="928"/>
      <c r="L25" s="928"/>
      <c r="M25" s="929"/>
      <c r="N25" s="930"/>
    </row>
    <row r="26" spans="1:14" s="920" customFormat="1">
      <c r="A26" s="924"/>
      <c r="B26" s="939" t="s">
        <v>2209</v>
      </c>
      <c r="C26" s="926">
        <v>1</v>
      </c>
      <c r="D26" s="926" t="s">
        <v>33</v>
      </c>
      <c r="E26" s="929">
        <v>3</v>
      </c>
      <c r="F26" s="928">
        <v>0.45</v>
      </c>
      <c r="G26" s="928">
        <v>0.45</v>
      </c>
      <c r="H26" s="945">
        <v>0.6</v>
      </c>
      <c r="I26" s="928">
        <f t="shared" si="4"/>
        <v>0.36</v>
      </c>
      <c r="J26" s="928"/>
      <c r="K26" s="928"/>
      <c r="L26" s="928"/>
      <c r="M26" s="929"/>
      <c r="N26" s="930"/>
    </row>
    <row r="27" spans="1:14" s="920" customFormat="1">
      <c r="A27" s="924"/>
      <c r="B27" s="939"/>
      <c r="C27" s="926"/>
      <c r="D27" s="926"/>
      <c r="E27" s="926"/>
      <c r="F27" s="927"/>
      <c r="G27" s="944"/>
      <c r="H27" s="929"/>
      <c r="I27" s="928">
        <f>SUM(I25:I26)</f>
        <v>1.33</v>
      </c>
      <c r="J27" s="928"/>
      <c r="K27" s="928"/>
      <c r="L27" s="928"/>
      <c r="M27" s="929"/>
      <c r="N27" s="930"/>
    </row>
    <row r="28" spans="1:14" s="920" customFormat="1" ht="14.1">
      <c r="A28" s="924"/>
      <c r="B28" s="939"/>
      <c r="C28" s="926"/>
      <c r="D28" s="926"/>
      <c r="E28" s="926"/>
      <c r="F28" s="927"/>
      <c r="G28" s="944"/>
      <c r="H28" s="929"/>
      <c r="I28" s="940">
        <v>1.4</v>
      </c>
      <c r="J28" s="1110" t="s">
        <v>465</v>
      </c>
      <c r="K28" s="940" t="e">
        <f>#REF!</f>
        <v>#REF!</v>
      </c>
      <c r="L28" s="941">
        <v>1</v>
      </c>
      <c r="M28" s="1110" t="s">
        <v>465</v>
      </c>
      <c r="N28" s="942" t="e">
        <f>ROUND(I28*K28/L28,0)</f>
        <v>#REF!</v>
      </c>
    </row>
    <row r="29" spans="1:14" s="920" customFormat="1" ht="14.1">
      <c r="A29" s="924" t="s">
        <v>572</v>
      </c>
      <c r="B29" s="1619" t="s">
        <v>2244</v>
      </c>
      <c r="C29" s="1619"/>
      <c r="D29" s="1619"/>
      <c r="E29" s="1619"/>
      <c r="F29" s="1619"/>
      <c r="G29" s="1619"/>
      <c r="H29" s="1619"/>
      <c r="I29" s="1619"/>
      <c r="J29" s="926"/>
      <c r="K29" s="929"/>
      <c r="L29" s="929"/>
      <c r="M29" s="929"/>
      <c r="N29" s="930"/>
    </row>
    <row r="30" spans="1:14" s="920" customFormat="1">
      <c r="A30" s="924"/>
      <c r="B30" s="939" t="s">
        <v>1472</v>
      </c>
      <c r="C30" s="926">
        <v>1</v>
      </c>
      <c r="D30" s="926" t="s">
        <v>33</v>
      </c>
      <c r="E30" s="929">
        <v>6</v>
      </c>
      <c r="F30" s="945">
        <v>0.3</v>
      </c>
      <c r="G30" s="945">
        <v>0.45</v>
      </c>
      <c r="H30" s="928">
        <v>1.5</v>
      </c>
      <c r="I30" s="928">
        <f t="shared" ref="I30:I31" si="5">ROUND(PRODUCT(C30:H30),2)</f>
        <v>1.22</v>
      </c>
      <c r="J30" s="928"/>
      <c r="K30" s="928"/>
      <c r="L30" s="928"/>
      <c r="M30" s="929"/>
      <c r="N30" s="930"/>
    </row>
    <row r="31" spans="1:14" s="920" customFormat="1">
      <c r="A31" s="924"/>
      <c r="B31" s="939" t="s">
        <v>1473</v>
      </c>
      <c r="C31" s="926">
        <v>1</v>
      </c>
      <c r="D31" s="926" t="s">
        <v>33</v>
      </c>
      <c r="E31" s="929">
        <v>3</v>
      </c>
      <c r="F31" s="945">
        <v>0.23</v>
      </c>
      <c r="G31" s="929">
        <v>0.23</v>
      </c>
      <c r="H31" s="928">
        <v>1.5</v>
      </c>
      <c r="I31" s="928">
        <f t="shared" si="5"/>
        <v>0.24</v>
      </c>
      <c r="J31" s="928"/>
      <c r="K31" s="928"/>
      <c r="L31" s="928"/>
      <c r="M31" s="929"/>
      <c r="N31" s="930"/>
    </row>
    <row r="32" spans="1:14" s="920" customFormat="1">
      <c r="A32" s="924"/>
      <c r="B32" s="939"/>
      <c r="C32" s="926"/>
      <c r="D32" s="926"/>
      <c r="E32" s="926"/>
      <c r="F32" s="927"/>
      <c r="G32" s="944"/>
      <c r="H32" s="929"/>
      <c r="I32" s="928">
        <f>SUM(I30:I31)</f>
        <v>1.46</v>
      </c>
      <c r="J32" s="928"/>
      <c r="K32" s="928"/>
      <c r="L32" s="928"/>
      <c r="M32" s="929"/>
      <c r="N32" s="930"/>
    </row>
    <row r="33" spans="1:16" s="920" customFormat="1" ht="14.1">
      <c r="A33" s="924"/>
      <c r="B33" s="939"/>
      <c r="C33" s="926"/>
      <c r="D33" s="926"/>
      <c r="E33" s="926"/>
      <c r="F33" s="927"/>
      <c r="G33" s="944"/>
      <c r="H33" s="929"/>
      <c r="I33" s="940">
        <v>1.5</v>
      </c>
      <c r="J33" s="1110" t="s">
        <v>465</v>
      </c>
      <c r="K33" s="940" t="e">
        <f>#REF!</f>
        <v>#REF!</v>
      </c>
      <c r="L33" s="941">
        <v>1</v>
      </c>
      <c r="M33" s="1110" t="s">
        <v>465</v>
      </c>
      <c r="N33" s="942" t="e">
        <f>ROUND(I33*K33/L33,0)</f>
        <v>#REF!</v>
      </c>
      <c r="O33" s="920">
        <v>0</v>
      </c>
      <c r="P33" s="946" t="e">
        <f>N33+#REF!</f>
        <v>#REF!</v>
      </c>
    </row>
    <row r="34" spans="1:16" s="920" customFormat="1">
      <c r="A34" s="924">
        <f>A18+1</f>
        <v>4</v>
      </c>
      <c r="B34" s="1620" t="e">
        <f>#REF!</f>
        <v>#REF!</v>
      </c>
      <c r="C34" s="1620"/>
      <c r="D34" s="1620"/>
      <c r="E34" s="1620"/>
      <c r="F34" s="1620"/>
      <c r="G34" s="1620"/>
      <c r="H34" s="1620"/>
      <c r="I34" s="1620"/>
      <c r="J34" s="1620"/>
      <c r="K34" s="1620"/>
      <c r="L34" s="1620"/>
      <c r="M34" s="1620"/>
      <c r="N34" s="930"/>
    </row>
    <row r="35" spans="1:16" s="920" customFormat="1" ht="14.1">
      <c r="A35" s="924"/>
      <c r="B35" s="1619" t="s">
        <v>2245</v>
      </c>
      <c r="C35" s="1619"/>
      <c r="D35" s="1619"/>
      <c r="E35" s="1619"/>
      <c r="F35" s="1619"/>
      <c r="G35" s="1619"/>
      <c r="H35" s="1619"/>
      <c r="I35" s="926"/>
      <c r="J35" s="926"/>
      <c r="K35" s="929"/>
      <c r="L35" s="929"/>
      <c r="M35" s="929"/>
      <c r="N35" s="930"/>
    </row>
    <row r="36" spans="1:16" s="920" customFormat="1">
      <c r="A36" s="924"/>
      <c r="B36" s="1111" t="s">
        <v>1628</v>
      </c>
      <c r="C36" s="926">
        <v>1</v>
      </c>
      <c r="D36" s="926" t="s">
        <v>33</v>
      </c>
      <c r="E36" s="926">
        <v>2</v>
      </c>
      <c r="F36" s="927">
        <f>F7</f>
        <v>8.35</v>
      </c>
      <c r="G36" s="947">
        <v>0.6</v>
      </c>
      <c r="H36" s="928">
        <v>0.1</v>
      </c>
      <c r="I36" s="928">
        <f t="shared" ref="I36:I45" si="6">ROUND(PRODUCT(C36:H36),2)</f>
        <v>1</v>
      </c>
      <c r="J36" s="929"/>
      <c r="K36" s="928"/>
      <c r="L36" s="928"/>
      <c r="M36" s="929"/>
      <c r="N36" s="930"/>
    </row>
    <row r="37" spans="1:16" s="920" customFormat="1">
      <c r="A37" s="924"/>
      <c r="B37" s="1111" t="s">
        <v>2241</v>
      </c>
      <c r="C37" s="926">
        <v>1</v>
      </c>
      <c r="D37" s="926" t="s">
        <v>33</v>
      </c>
      <c r="E37" s="926">
        <v>2</v>
      </c>
      <c r="F37" s="927">
        <f>F8</f>
        <v>5.33</v>
      </c>
      <c r="G37" s="947">
        <v>0.6</v>
      </c>
      <c r="H37" s="928">
        <v>0.1</v>
      </c>
      <c r="I37" s="928">
        <f t="shared" si="6"/>
        <v>0.64</v>
      </c>
      <c r="J37" s="929"/>
      <c r="K37" s="928"/>
      <c r="L37" s="928"/>
      <c r="M37" s="929"/>
      <c r="N37" s="930"/>
    </row>
    <row r="38" spans="1:16" s="920" customFormat="1">
      <c r="A38" s="924"/>
      <c r="B38" s="1111" t="s">
        <v>1279</v>
      </c>
      <c r="C38" s="926">
        <v>1</v>
      </c>
      <c r="D38" s="926" t="s">
        <v>33</v>
      </c>
      <c r="E38" s="926">
        <v>1</v>
      </c>
      <c r="F38" s="927">
        <v>3.6</v>
      </c>
      <c r="G38" s="947">
        <v>2</v>
      </c>
      <c r="H38" s="928">
        <v>0.1</v>
      </c>
      <c r="I38" s="928">
        <f t="shared" si="6"/>
        <v>0.72</v>
      </c>
      <c r="J38" s="929"/>
      <c r="K38" s="928"/>
      <c r="L38" s="928"/>
      <c r="M38" s="929"/>
      <c r="N38" s="930"/>
    </row>
    <row r="39" spans="1:16" s="920" customFormat="1">
      <c r="A39" s="924"/>
      <c r="B39" s="1111" t="s">
        <v>2207</v>
      </c>
      <c r="C39" s="926">
        <v>1</v>
      </c>
      <c r="D39" s="926" t="s">
        <v>33</v>
      </c>
      <c r="E39" s="926">
        <v>2</v>
      </c>
      <c r="F39" s="927">
        <v>3.6</v>
      </c>
      <c r="G39" s="947">
        <v>0.6</v>
      </c>
      <c r="H39" s="928">
        <v>0.1</v>
      </c>
      <c r="I39" s="928">
        <f t="shared" si="6"/>
        <v>0.43</v>
      </c>
      <c r="J39" s="929"/>
      <c r="K39" s="928"/>
      <c r="L39" s="928"/>
      <c r="M39" s="929"/>
      <c r="N39" s="930"/>
    </row>
    <row r="40" spans="1:16" s="920" customFormat="1" ht="14.1">
      <c r="A40" s="924"/>
      <c r="B40" s="948" t="s">
        <v>2246</v>
      </c>
      <c r="C40" s="929"/>
      <c r="D40" s="926"/>
      <c r="E40" s="929"/>
      <c r="F40" s="929"/>
      <c r="G40" s="929"/>
      <c r="H40" s="929"/>
      <c r="I40" s="928"/>
      <c r="J40" s="929"/>
      <c r="K40" s="928"/>
      <c r="L40" s="928"/>
      <c r="M40" s="929"/>
      <c r="N40" s="930"/>
    </row>
    <row r="41" spans="1:16" s="920" customFormat="1">
      <c r="A41" s="924"/>
      <c r="B41" s="1111" t="s">
        <v>2255</v>
      </c>
      <c r="C41" s="929">
        <v>1</v>
      </c>
      <c r="D41" s="926" t="s">
        <v>33</v>
      </c>
      <c r="E41" s="929">
        <v>1</v>
      </c>
      <c r="F41" s="928">
        <v>6.1</v>
      </c>
      <c r="G41" s="928">
        <v>6.7</v>
      </c>
      <c r="H41" s="928">
        <v>0.1</v>
      </c>
      <c r="I41" s="928">
        <f t="shared" si="6"/>
        <v>4.09</v>
      </c>
      <c r="J41" s="929"/>
      <c r="K41" s="928"/>
      <c r="L41" s="928"/>
      <c r="M41" s="929"/>
      <c r="N41" s="930"/>
    </row>
    <row r="42" spans="1:16" s="920" customFormat="1" ht="14.1">
      <c r="A42" s="924"/>
      <c r="B42" s="948" t="s">
        <v>2247</v>
      </c>
      <c r="C42" s="929"/>
      <c r="D42" s="926"/>
      <c r="E42" s="929"/>
      <c r="F42" s="929"/>
      <c r="G42" s="929"/>
      <c r="H42" s="928"/>
      <c r="I42" s="928"/>
      <c r="J42" s="929"/>
      <c r="K42" s="928"/>
      <c r="L42" s="928"/>
      <c r="M42" s="929"/>
      <c r="N42" s="930"/>
    </row>
    <row r="43" spans="1:16" s="920" customFormat="1">
      <c r="A43" s="924"/>
      <c r="B43" s="1111" t="s">
        <v>1635</v>
      </c>
      <c r="C43" s="929">
        <v>1</v>
      </c>
      <c r="D43" s="926" t="s">
        <v>33</v>
      </c>
      <c r="E43" s="929">
        <v>1</v>
      </c>
      <c r="F43" s="928">
        <v>4.88</v>
      </c>
      <c r="G43" s="929">
        <v>0.45</v>
      </c>
      <c r="H43" s="928">
        <v>0.1</v>
      </c>
      <c r="I43" s="928">
        <f t="shared" si="6"/>
        <v>0.22</v>
      </c>
      <c r="J43" s="929"/>
      <c r="K43" s="928"/>
      <c r="L43" s="928"/>
      <c r="M43" s="929"/>
      <c r="N43" s="930"/>
    </row>
    <row r="44" spans="1:16" s="920" customFormat="1">
      <c r="A44" s="924"/>
      <c r="B44" s="1111" t="s">
        <v>1635</v>
      </c>
      <c r="C44" s="929">
        <v>1</v>
      </c>
      <c r="D44" s="926" t="s">
        <v>33</v>
      </c>
      <c r="E44" s="929">
        <v>2</v>
      </c>
      <c r="F44" s="928">
        <v>3.78</v>
      </c>
      <c r="G44" s="929">
        <v>0.45</v>
      </c>
      <c r="H44" s="928">
        <v>0.1</v>
      </c>
      <c r="I44" s="928">
        <f t="shared" si="6"/>
        <v>0.34</v>
      </c>
      <c r="J44" s="929"/>
      <c r="K44" s="928"/>
      <c r="L44" s="928"/>
      <c r="M44" s="929"/>
      <c r="N44" s="930"/>
    </row>
    <row r="45" spans="1:16" s="920" customFormat="1">
      <c r="A45" s="924"/>
      <c r="B45" s="1111" t="s">
        <v>1635</v>
      </c>
      <c r="C45" s="929">
        <v>1</v>
      </c>
      <c r="D45" s="926" t="s">
        <v>33</v>
      </c>
      <c r="E45" s="929">
        <v>1</v>
      </c>
      <c r="F45" s="928">
        <v>1.5</v>
      </c>
      <c r="G45" s="929">
        <v>0.45</v>
      </c>
      <c r="H45" s="928">
        <v>0.1</v>
      </c>
      <c r="I45" s="928">
        <f t="shared" si="6"/>
        <v>7.0000000000000007E-2</v>
      </c>
      <c r="J45" s="929"/>
      <c r="K45" s="928"/>
      <c r="L45" s="928"/>
      <c r="M45" s="929"/>
      <c r="N45" s="930"/>
    </row>
    <row r="46" spans="1:16" s="920" customFormat="1">
      <c r="A46" s="924"/>
      <c r="B46" s="939"/>
      <c r="C46" s="926"/>
      <c r="D46" s="926"/>
      <c r="E46" s="926"/>
      <c r="F46" s="927"/>
      <c r="G46" s="944"/>
      <c r="H46" s="929"/>
      <c r="I46" s="928">
        <f>SUM(I36:I44)</f>
        <v>7.44</v>
      </c>
      <c r="J46" s="928"/>
      <c r="K46" s="928"/>
      <c r="L46" s="928"/>
      <c r="M46" s="929"/>
      <c r="N46" s="930"/>
    </row>
    <row r="47" spans="1:16" s="920" customFormat="1" ht="14.1">
      <c r="A47" s="924"/>
      <c r="B47" s="939"/>
      <c r="C47" s="926"/>
      <c r="D47" s="926"/>
      <c r="E47" s="926"/>
      <c r="F47" s="927"/>
      <c r="G47" s="944"/>
      <c r="H47" s="1110" t="s">
        <v>392</v>
      </c>
      <c r="I47" s="940">
        <v>7.5</v>
      </c>
      <c r="J47" s="1110" t="s">
        <v>465</v>
      </c>
      <c r="K47" s="940" t="e">
        <f>#REF!</f>
        <v>#REF!</v>
      </c>
      <c r="L47" s="941">
        <v>1</v>
      </c>
      <c r="M47" s="1110" t="s">
        <v>465</v>
      </c>
      <c r="N47" s="942" t="e">
        <f>ROUND(I47*K47/L47,0)</f>
        <v>#REF!</v>
      </c>
      <c r="O47" s="920">
        <v>0</v>
      </c>
    </row>
    <row r="48" spans="1:16" s="920" customFormat="1">
      <c r="A48" s="924">
        <v>5</v>
      </c>
      <c r="B48" s="1620" t="e">
        <f>#REF!</f>
        <v>#REF!</v>
      </c>
      <c r="C48" s="1620"/>
      <c r="D48" s="1620"/>
      <c r="E48" s="1620"/>
      <c r="F48" s="1620"/>
      <c r="G48" s="1620"/>
      <c r="H48" s="1620"/>
      <c r="I48" s="1620"/>
      <c r="J48" s="1620"/>
      <c r="K48" s="1620"/>
      <c r="L48" s="1620"/>
      <c r="M48" s="1620"/>
      <c r="N48" s="930"/>
    </row>
    <row r="49" spans="1:14" s="920" customFormat="1" ht="14.1">
      <c r="A49" s="924"/>
      <c r="B49" s="1113" t="s">
        <v>2248</v>
      </c>
      <c r="C49" s="926"/>
      <c r="D49" s="926"/>
      <c r="E49" s="926"/>
      <c r="F49" s="926"/>
      <c r="G49" s="926"/>
      <c r="H49" s="926"/>
      <c r="I49" s="926"/>
      <c r="J49" s="926"/>
      <c r="K49" s="929"/>
      <c r="L49" s="929"/>
      <c r="M49" s="929"/>
      <c r="N49" s="930"/>
    </row>
    <row r="50" spans="1:14" s="920" customFormat="1">
      <c r="A50" s="924"/>
      <c r="B50" s="1111" t="s">
        <v>1628</v>
      </c>
      <c r="C50" s="926">
        <v>1</v>
      </c>
      <c r="D50" s="926" t="s">
        <v>33</v>
      </c>
      <c r="E50" s="926">
        <v>2</v>
      </c>
      <c r="F50" s="927">
        <v>8.35</v>
      </c>
      <c r="G50" s="928">
        <v>0.45</v>
      </c>
      <c r="H50" s="928">
        <v>0.5</v>
      </c>
      <c r="I50" s="928">
        <f t="shared" ref="I50:I56" si="7">ROUND(PRODUCT(C50:H50),2)</f>
        <v>3.76</v>
      </c>
      <c r="J50" s="926"/>
      <c r="K50" s="929"/>
      <c r="L50" s="929"/>
      <c r="M50" s="929"/>
      <c r="N50" s="930"/>
    </row>
    <row r="51" spans="1:14" s="920" customFormat="1">
      <c r="A51" s="924"/>
      <c r="B51" s="1111" t="s">
        <v>2241</v>
      </c>
      <c r="C51" s="926">
        <v>1</v>
      </c>
      <c r="D51" s="926" t="s">
        <v>33</v>
      </c>
      <c r="E51" s="926">
        <v>2</v>
      </c>
      <c r="F51" s="927">
        <v>5.33</v>
      </c>
      <c r="G51" s="928">
        <v>0.45</v>
      </c>
      <c r="H51" s="928">
        <v>0.5</v>
      </c>
      <c r="I51" s="928">
        <f t="shared" si="7"/>
        <v>2.4</v>
      </c>
      <c r="J51" s="926"/>
      <c r="K51" s="929"/>
      <c r="L51" s="929"/>
      <c r="M51" s="929"/>
      <c r="N51" s="930"/>
    </row>
    <row r="52" spans="1:14" s="920" customFormat="1">
      <c r="A52" s="924"/>
      <c r="B52" s="1111" t="s">
        <v>1279</v>
      </c>
      <c r="C52" s="926">
        <v>1</v>
      </c>
      <c r="D52" s="926" t="s">
        <v>33</v>
      </c>
      <c r="E52" s="926">
        <v>1</v>
      </c>
      <c r="F52" s="927">
        <v>3.6</v>
      </c>
      <c r="G52" s="947">
        <v>2</v>
      </c>
      <c r="H52" s="928">
        <v>0.2</v>
      </c>
      <c r="I52" s="928">
        <f t="shared" si="7"/>
        <v>1.44</v>
      </c>
      <c r="J52" s="928"/>
      <c r="K52" s="928"/>
      <c r="L52" s="928"/>
      <c r="M52" s="929"/>
      <c r="N52" s="930"/>
    </row>
    <row r="53" spans="1:14" s="920" customFormat="1">
      <c r="A53" s="924"/>
      <c r="B53" s="1111" t="s">
        <v>2249</v>
      </c>
      <c r="C53" s="926">
        <v>1</v>
      </c>
      <c r="D53" s="926" t="s">
        <v>33</v>
      </c>
      <c r="E53" s="926">
        <v>2</v>
      </c>
      <c r="F53" s="927">
        <v>3.6</v>
      </c>
      <c r="G53" s="947">
        <v>0.45</v>
      </c>
      <c r="H53" s="928">
        <v>0.35</v>
      </c>
      <c r="I53" s="928">
        <f t="shared" si="7"/>
        <v>1.1299999999999999</v>
      </c>
      <c r="J53" s="926"/>
      <c r="K53" s="929"/>
      <c r="L53" s="929"/>
      <c r="M53" s="929"/>
      <c r="N53" s="930"/>
    </row>
    <row r="54" spans="1:14" s="920" customFormat="1" ht="14.1">
      <c r="A54" s="924"/>
      <c r="B54" s="949" t="s">
        <v>2250</v>
      </c>
      <c r="C54" s="929"/>
      <c r="D54" s="929"/>
      <c r="E54" s="929"/>
      <c r="F54" s="927"/>
      <c r="G54" s="927"/>
      <c r="H54" s="927"/>
      <c r="I54" s="928"/>
      <c r="J54" s="929"/>
      <c r="K54" s="929"/>
      <c r="L54" s="929"/>
      <c r="M54" s="929"/>
      <c r="N54" s="930"/>
    </row>
    <row r="55" spans="1:14" s="920" customFormat="1">
      <c r="A55" s="924"/>
      <c r="B55" s="1111" t="s">
        <v>1628</v>
      </c>
      <c r="C55" s="926">
        <v>1</v>
      </c>
      <c r="D55" s="926" t="s">
        <v>33</v>
      </c>
      <c r="E55" s="926">
        <v>2</v>
      </c>
      <c r="F55" s="927">
        <v>8.35</v>
      </c>
      <c r="G55" s="928">
        <v>0.45</v>
      </c>
      <c r="H55" s="928">
        <v>1.2</v>
      </c>
      <c r="I55" s="928">
        <f t="shared" si="7"/>
        <v>9.02</v>
      </c>
      <c r="J55" s="929"/>
      <c r="K55" s="929"/>
      <c r="L55" s="929"/>
      <c r="M55" s="929"/>
      <c r="N55" s="930"/>
    </row>
    <row r="56" spans="1:14" s="920" customFormat="1">
      <c r="A56" s="924"/>
      <c r="B56" s="1111" t="s">
        <v>2241</v>
      </c>
      <c r="C56" s="926">
        <v>1</v>
      </c>
      <c r="D56" s="926" t="s">
        <v>33</v>
      </c>
      <c r="E56" s="926">
        <v>2</v>
      </c>
      <c r="F56" s="927">
        <v>5.33</v>
      </c>
      <c r="G56" s="928">
        <v>0.45</v>
      </c>
      <c r="H56" s="928">
        <v>1.2</v>
      </c>
      <c r="I56" s="928">
        <f t="shared" si="7"/>
        <v>5.76</v>
      </c>
      <c r="J56" s="929"/>
      <c r="K56" s="929"/>
      <c r="L56" s="929"/>
      <c r="M56" s="929"/>
      <c r="N56" s="930"/>
    </row>
    <row r="57" spans="1:14" s="920" customFormat="1">
      <c r="A57" s="924"/>
      <c r="B57" s="1111"/>
      <c r="C57" s="929"/>
      <c r="D57" s="926"/>
      <c r="E57" s="929"/>
      <c r="F57" s="928"/>
      <c r="G57" s="928"/>
      <c r="H57" s="928"/>
      <c r="I57" s="928">
        <f>SUM(I50:I56)</f>
        <v>23.509999999999998</v>
      </c>
      <c r="J57" s="929"/>
      <c r="K57" s="929"/>
      <c r="L57" s="929"/>
      <c r="M57" s="929"/>
      <c r="N57" s="930"/>
    </row>
    <row r="58" spans="1:14" s="920" customFormat="1" ht="14.1">
      <c r="A58" s="924"/>
      <c r="B58" s="939"/>
      <c r="C58" s="926"/>
      <c r="D58" s="926"/>
      <c r="E58" s="926"/>
      <c r="F58" s="927"/>
      <c r="G58" s="927"/>
      <c r="H58" s="1110" t="s">
        <v>392</v>
      </c>
      <c r="I58" s="940">
        <v>24</v>
      </c>
      <c r="J58" s="940" t="s">
        <v>465</v>
      </c>
      <c r="K58" s="940" t="e">
        <f>#REF!</f>
        <v>#REF!</v>
      </c>
      <c r="L58" s="1110">
        <v>1</v>
      </c>
      <c r="M58" s="1110" t="s">
        <v>465</v>
      </c>
      <c r="N58" s="942" t="e">
        <f>ROUND(I58*K58/L58,0)</f>
        <v>#REF!</v>
      </c>
    </row>
    <row r="59" spans="1:14" s="920" customFormat="1">
      <c r="A59" s="924">
        <v>6</v>
      </c>
      <c r="B59" s="1620" t="e">
        <f>#REF!</f>
        <v>#REF!</v>
      </c>
      <c r="C59" s="1620"/>
      <c r="D59" s="1620"/>
      <c r="E59" s="1620"/>
      <c r="F59" s="1620"/>
      <c r="G59" s="1620"/>
      <c r="H59" s="1620"/>
      <c r="I59" s="1620"/>
      <c r="J59" s="1620"/>
      <c r="K59" s="1620"/>
      <c r="L59" s="1620"/>
      <c r="M59" s="1620"/>
      <c r="N59" s="930"/>
    </row>
    <row r="60" spans="1:14" s="920" customFormat="1" ht="14.1">
      <c r="A60" s="924"/>
      <c r="B60" s="948" t="s">
        <v>2250</v>
      </c>
      <c r="C60" s="926"/>
      <c r="D60" s="926"/>
      <c r="E60" s="926"/>
      <c r="F60" s="926"/>
      <c r="G60" s="928"/>
      <c r="H60" s="928"/>
      <c r="I60" s="928"/>
      <c r="J60" s="928"/>
      <c r="K60" s="928"/>
      <c r="L60" s="929"/>
      <c r="M60" s="929"/>
      <c r="N60" s="930"/>
    </row>
    <row r="61" spans="1:14" s="920" customFormat="1">
      <c r="A61" s="924"/>
      <c r="B61" s="1111" t="s">
        <v>1628</v>
      </c>
      <c r="C61" s="926">
        <v>1</v>
      </c>
      <c r="D61" s="926" t="s">
        <v>33</v>
      </c>
      <c r="E61" s="926">
        <v>2</v>
      </c>
      <c r="F61" s="927">
        <v>8.35</v>
      </c>
      <c r="G61" s="928"/>
      <c r="H61" s="928">
        <v>1.2</v>
      </c>
      <c r="I61" s="928">
        <f t="shared" ref="I61:I62" si="8">ROUND(PRODUCT(C61:H61),2)</f>
        <v>20.04</v>
      </c>
      <c r="J61" s="928"/>
      <c r="K61" s="928"/>
      <c r="L61" s="929"/>
      <c r="M61" s="929"/>
      <c r="N61" s="930"/>
    </row>
    <row r="62" spans="1:14" s="920" customFormat="1">
      <c r="A62" s="924"/>
      <c r="B62" s="1111" t="s">
        <v>2241</v>
      </c>
      <c r="C62" s="926">
        <v>1</v>
      </c>
      <c r="D62" s="926" t="s">
        <v>33</v>
      </c>
      <c r="E62" s="926">
        <v>2</v>
      </c>
      <c r="F62" s="927">
        <v>5.33</v>
      </c>
      <c r="G62" s="928"/>
      <c r="H62" s="928">
        <v>1.2</v>
      </c>
      <c r="I62" s="928">
        <f t="shared" si="8"/>
        <v>12.79</v>
      </c>
      <c r="J62" s="928"/>
      <c r="K62" s="928"/>
      <c r="L62" s="929"/>
      <c r="M62" s="929"/>
      <c r="N62" s="930"/>
    </row>
    <row r="63" spans="1:14" s="920" customFormat="1">
      <c r="A63" s="924"/>
      <c r="B63" s="1111"/>
      <c r="C63" s="926"/>
      <c r="D63" s="926"/>
      <c r="E63" s="926"/>
      <c r="F63" s="927"/>
      <c r="G63" s="927"/>
      <c r="H63" s="929"/>
      <c r="I63" s="928">
        <f>SUM(I61:I62)</f>
        <v>32.83</v>
      </c>
      <c r="J63" s="928"/>
      <c r="K63" s="928"/>
      <c r="L63" s="929"/>
      <c r="M63" s="929"/>
      <c r="N63" s="930"/>
    </row>
    <row r="64" spans="1:14" s="920" customFormat="1" ht="14.1">
      <c r="A64" s="924"/>
      <c r="B64" s="939"/>
      <c r="C64" s="926"/>
      <c r="D64" s="926"/>
      <c r="E64" s="926"/>
      <c r="F64" s="927"/>
      <c r="G64" s="927"/>
      <c r="H64" s="1110" t="s">
        <v>392</v>
      </c>
      <c r="I64" s="940">
        <v>33</v>
      </c>
      <c r="J64" s="940" t="s">
        <v>461</v>
      </c>
      <c r="K64" s="940" t="e">
        <f>#REF!</f>
        <v>#REF!</v>
      </c>
      <c r="L64" s="1110">
        <v>1</v>
      </c>
      <c r="M64" s="1110" t="s">
        <v>461</v>
      </c>
      <c r="N64" s="942" t="e">
        <f>ROUND(I64*K64/L64,0)</f>
        <v>#REF!</v>
      </c>
    </row>
    <row r="65" spans="1:14" s="920" customFormat="1">
      <c r="A65" s="924">
        <f>A59+1</f>
        <v>7</v>
      </c>
      <c r="B65" s="1620" t="e">
        <f>#REF!</f>
        <v>#REF!</v>
      </c>
      <c r="C65" s="1620"/>
      <c r="D65" s="1620"/>
      <c r="E65" s="1620"/>
      <c r="F65" s="1620"/>
      <c r="G65" s="1620"/>
      <c r="H65" s="1620"/>
      <c r="I65" s="1620"/>
      <c r="J65" s="1620"/>
      <c r="K65" s="1620"/>
      <c r="L65" s="1620"/>
      <c r="M65" s="1620"/>
      <c r="N65" s="930"/>
    </row>
    <row r="66" spans="1:14" s="920" customFormat="1">
      <c r="A66" s="924"/>
      <c r="B66" s="1621" t="s">
        <v>2251</v>
      </c>
      <c r="C66" s="1621"/>
      <c r="D66" s="1621"/>
      <c r="E66" s="1621"/>
      <c r="F66" s="1621"/>
      <c r="G66" s="1621"/>
      <c r="H66" s="927"/>
      <c r="I66" s="928">
        <f>I12</f>
        <v>84</v>
      </c>
      <c r="J66" s="929"/>
      <c r="K66" s="929"/>
      <c r="L66" s="929"/>
      <c r="M66" s="929"/>
      <c r="N66" s="930"/>
    </row>
    <row r="67" spans="1:14" s="920" customFormat="1">
      <c r="A67" s="924"/>
      <c r="B67" s="1112"/>
      <c r="C67" s="926"/>
      <c r="D67" s="926"/>
      <c r="E67" s="926"/>
      <c r="F67" s="926"/>
      <c r="G67" s="926"/>
      <c r="H67" s="927"/>
      <c r="I67" s="928">
        <f>SUM(I66:I66)</f>
        <v>84</v>
      </c>
      <c r="J67" s="929"/>
      <c r="K67" s="929"/>
      <c r="L67" s="929"/>
      <c r="M67" s="929"/>
      <c r="N67" s="930"/>
    </row>
    <row r="68" spans="1:14" s="920" customFormat="1" ht="14.1">
      <c r="A68" s="924"/>
      <c r="B68" s="939"/>
      <c r="C68" s="926"/>
      <c r="D68" s="926"/>
      <c r="E68" s="926"/>
      <c r="F68" s="927"/>
      <c r="G68" s="927"/>
      <c r="H68" s="929"/>
      <c r="I68" s="940">
        <f>+I67</f>
        <v>84</v>
      </c>
      <c r="J68" s="940" t="s">
        <v>465</v>
      </c>
      <c r="K68" s="940" t="e">
        <f>#REF!</f>
        <v>#REF!</v>
      </c>
      <c r="L68" s="1110">
        <v>1</v>
      </c>
      <c r="M68" s="1110" t="s">
        <v>465</v>
      </c>
      <c r="N68" s="942" t="e">
        <f>ROUND(I68*K68/L68,0)</f>
        <v>#REF!</v>
      </c>
    </row>
    <row r="69" spans="1:14" s="920" customFormat="1">
      <c r="A69" s="924">
        <v>8</v>
      </c>
      <c r="B69" s="1620" t="e">
        <f>#REF!</f>
        <v>#REF!</v>
      </c>
      <c r="C69" s="1620"/>
      <c r="D69" s="1620"/>
      <c r="E69" s="1620"/>
      <c r="F69" s="1620"/>
      <c r="G69" s="1620"/>
      <c r="H69" s="1620"/>
      <c r="I69" s="1620"/>
      <c r="J69" s="1620"/>
      <c r="K69" s="1620"/>
      <c r="L69" s="1620"/>
      <c r="M69" s="1620"/>
      <c r="N69" s="930"/>
    </row>
    <row r="70" spans="1:14" s="920" customFormat="1" ht="14.1">
      <c r="A70" s="924" t="s">
        <v>646</v>
      </c>
      <c r="B70" s="1113" t="s">
        <v>2252</v>
      </c>
      <c r="C70" s="926"/>
      <c r="D70" s="926"/>
      <c r="E70" s="926"/>
      <c r="F70" s="926"/>
      <c r="G70" s="926"/>
      <c r="H70" s="926"/>
      <c r="I70" s="926"/>
      <c r="J70" s="926"/>
      <c r="K70" s="929"/>
      <c r="L70" s="929"/>
      <c r="M70" s="929"/>
      <c r="N70" s="930"/>
    </row>
    <row r="71" spans="1:14" s="920" customFormat="1">
      <c r="A71" s="924"/>
      <c r="B71" s="939" t="s">
        <v>1635</v>
      </c>
      <c r="C71" s="929">
        <v>1</v>
      </c>
      <c r="D71" s="929" t="s">
        <v>33</v>
      </c>
      <c r="E71" s="929">
        <v>3</v>
      </c>
      <c r="F71" s="928">
        <v>4.88</v>
      </c>
      <c r="G71" s="928">
        <v>0.3</v>
      </c>
      <c r="H71" s="928">
        <v>0.45</v>
      </c>
      <c r="I71" s="928">
        <f t="shared" ref="I71:I73" si="9">ROUND(PRODUCT(C71:H71),2)</f>
        <v>1.98</v>
      </c>
      <c r="J71" s="928"/>
      <c r="K71" s="928"/>
      <c r="L71" s="928"/>
      <c r="M71" s="929"/>
      <c r="N71" s="930"/>
    </row>
    <row r="72" spans="1:14" s="920" customFormat="1">
      <c r="A72" s="924"/>
      <c r="B72" s="939" t="s">
        <v>1635</v>
      </c>
      <c r="C72" s="929">
        <v>1</v>
      </c>
      <c r="D72" s="929" t="s">
        <v>33</v>
      </c>
      <c r="E72" s="929">
        <v>6</v>
      </c>
      <c r="F72" s="928">
        <v>3.78</v>
      </c>
      <c r="G72" s="928">
        <v>0.23</v>
      </c>
      <c r="H72" s="928">
        <v>0.3</v>
      </c>
      <c r="I72" s="928">
        <f t="shared" si="9"/>
        <v>1.56</v>
      </c>
      <c r="J72" s="928"/>
      <c r="K72" s="928"/>
      <c r="L72" s="928"/>
      <c r="M72" s="929"/>
      <c r="N72" s="930"/>
    </row>
    <row r="73" spans="1:14" s="920" customFormat="1">
      <c r="A73" s="924"/>
      <c r="B73" s="939" t="s">
        <v>1635</v>
      </c>
      <c r="C73" s="929">
        <v>1</v>
      </c>
      <c r="D73" s="929" t="s">
        <v>33</v>
      </c>
      <c r="E73" s="929">
        <v>3</v>
      </c>
      <c r="F73" s="928">
        <v>1.5</v>
      </c>
      <c r="G73" s="928">
        <v>0.23</v>
      </c>
      <c r="H73" s="928">
        <v>0.3</v>
      </c>
      <c r="I73" s="928">
        <f t="shared" si="9"/>
        <v>0.31</v>
      </c>
      <c r="J73" s="928"/>
      <c r="K73" s="928"/>
      <c r="L73" s="928"/>
      <c r="M73" s="929"/>
      <c r="N73" s="930"/>
    </row>
    <row r="74" spans="1:14" s="920" customFormat="1" ht="14.1">
      <c r="A74" s="924"/>
      <c r="B74" s="939"/>
      <c r="C74" s="926"/>
      <c r="D74" s="926"/>
      <c r="E74" s="926"/>
      <c r="F74" s="927"/>
      <c r="G74" s="944"/>
      <c r="H74" s="929"/>
      <c r="I74" s="940">
        <f>SUM(I71:I73)</f>
        <v>3.85</v>
      </c>
      <c r="J74" s="928"/>
      <c r="K74" s="928"/>
      <c r="L74" s="928"/>
      <c r="M74" s="929"/>
      <c r="N74" s="930"/>
    </row>
    <row r="75" spans="1:14" s="920" customFormat="1" ht="14.1">
      <c r="A75" s="924"/>
      <c r="B75" s="939"/>
      <c r="C75" s="926"/>
      <c r="D75" s="926"/>
      <c r="E75" s="926"/>
      <c r="F75" s="927"/>
      <c r="G75" s="944"/>
      <c r="H75" s="1110" t="s">
        <v>392</v>
      </c>
      <c r="I75" s="940">
        <v>4</v>
      </c>
      <c r="J75" s="1110" t="s">
        <v>465</v>
      </c>
      <c r="K75" s="940" t="e">
        <f>#REF!</f>
        <v>#REF!</v>
      </c>
      <c r="N75" s="942" t="e">
        <f>ROUND(I75*K75/L81,0)</f>
        <v>#REF!</v>
      </c>
    </row>
    <row r="76" spans="1:14" ht="14.1">
      <c r="A76" s="1135" t="s">
        <v>469</v>
      </c>
      <c r="B76" s="1136" t="s">
        <v>2310</v>
      </c>
      <c r="C76" s="1137"/>
      <c r="D76" s="1137"/>
      <c r="E76" s="1137"/>
      <c r="F76" s="1137"/>
      <c r="G76" s="1137"/>
      <c r="H76" s="1137"/>
      <c r="I76" s="1137"/>
      <c r="J76" s="1137"/>
    </row>
    <row r="77" spans="1:14">
      <c r="A77" s="1138"/>
      <c r="B77" s="1139" t="s">
        <v>2311</v>
      </c>
      <c r="C77" s="1137">
        <v>1</v>
      </c>
      <c r="D77" s="929" t="s">
        <v>33</v>
      </c>
      <c r="E77" s="1137">
        <v>2</v>
      </c>
      <c r="F77" s="1140">
        <v>0.3</v>
      </c>
      <c r="G77" s="1141">
        <v>0.375</v>
      </c>
      <c r="H77" s="1140">
        <v>3.6</v>
      </c>
      <c r="I77" s="1140">
        <f>C77*E77*F77*G77*H77</f>
        <v>0.80999999999999994</v>
      </c>
      <c r="J77" s="1137"/>
      <c r="K77" s="1137"/>
    </row>
    <row r="78" spans="1:14">
      <c r="A78" s="1138"/>
      <c r="B78" s="1139" t="s">
        <v>2312</v>
      </c>
      <c r="C78" s="1137">
        <v>1</v>
      </c>
      <c r="D78" s="929" t="s">
        <v>33</v>
      </c>
      <c r="E78" s="1137">
        <v>2</v>
      </c>
      <c r="F78" s="1140">
        <v>0.3</v>
      </c>
      <c r="G78" s="1141">
        <v>0.375</v>
      </c>
      <c r="H78" s="1140">
        <v>3.6</v>
      </c>
      <c r="I78" s="1140">
        <f>C78*E78*F78*G78*H78</f>
        <v>0.80999999999999994</v>
      </c>
      <c r="J78" s="1137"/>
      <c r="K78" s="1137"/>
    </row>
    <row r="79" spans="1:14">
      <c r="A79" s="1138"/>
      <c r="B79" s="1139" t="s">
        <v>2313</v>
      </c>
      <c r="C79" s="1142">
        <v>1</v>
      </c>
      <c r="D79" s="929" t="s">
        <v>33</v>
      </c>
      <c r="E79" s="1142">
        <v>2</v>
      </c>
      <c r="F79" s="1140">
        <v>0.3</v>
      </c>
      <c r="G79" s="1141">
        <v>0.375</v>
      </c>
      <c r="H79" s="1140">
        <v>3.6</v>
      </c>
      <c r="I79" s="1140">
        <f>C79*E79*F79*G79*H79</f>
        <v>0.80999999999999994</v>
      </c>
      <c r="J79" s="1137"/>
      <c r="K79" s="1137"/>
    </row>
    <row r="80" spans="1:14">
      <c r="A80" s="1138"/>
      <c r="B80" s="1139" t="s">
        <v>2314</v>
      </c>
      <c r="C80" s="1142">
        <v>1</v>
      </c>
      <c r="D80" s="929" t="s">
        <v>33</v>
      </c>
      <c r="E80" s="1142">
        <v>3</v>
      </c>
      <c r="F80" s="1140">
        <v>0.3</v>
      </c>
      <c r="G80" s="1140">
        <v>0.3</v>
      </c>
      <c r="H80" s="1140">
        <v>3.6</v>
      </c>
      <c r="I80" s="1140">
        <f>C80*E80*F80*G80*H80</f>
        <v>0.97199999999999986</v>
      </c>
      <c r="J80" s="1137"/>
      <c r="K80" s="1137"/>
    </row>
    <row r="81" spans="1:14" ht="14.1">
      <c r="A81" s="1138"/>
      <c r="B81" s="1139"/>
      <c r="C81" s="1137"/>
      <c r="E81" s="1137"/>
      <c r="F81" s="1140"/>
      <c r="G81" s="1140"/>
      <c r="H81" s="1140"/>
      <c r="I81" s="1143">
        <f>SUM(I77:I80)</f>
        <v>3.4019999999999997</v>
      </c>
      <c r="J81" s="1144" t="s">
        <v>465</v>
      </c>
      <c r="K81" s="1143" t="e">
        <f>#REF!</f>
        <v>#REF!</v>
      </c>
      <c r="L81" s="941">
        <v>1</v>
      </c>
      <c r="M81" s="1110" t="s">
        <v>465</v>
      </c>
      <c r="N81" s="1145" t="e">
        <f>ROUND((I81*K81),0)</f>
        <v>#REF!</v>
      </c>
    </row>
    <row r="82" spans="1:14" ht="14.1">
      <c r="A82" s="1135" t="s">
        <v>469</v>
      </c>
      <c r="B82" s="1147" t="s">
        <v>2315</v>
      </c>
      <c r="C82" s="1148"/>
      <c r="D82" s="1148"/>
      <c r="E82" s="1148"/>
      <c r="F82" s="1148"/>
      <c r="G82" s="1140"/>
      <c r="H82" s="1137"/>
      <c r="I82" s="1137"/>
      <c r="J82" s="1137"/>
    </row>
    <row r="83" spans="1:14">
      <c r="A83" s="1138"/>
      <c r="B83" s="1139" t="s">
        <v>2316</v>
      </c>
      <c r="C83" s="1137">
        <v>1</v>
      </c>
      <c r="D83" s="929" t="s">
        <v>33</v>
      </c>
      <c r="E83" s="1137">
        <v>2</v>
      </c>
      <c r="F83" s="1137">
        <v>3.02</v>
      </c>
      <c r="G83" s="1140">
        <v>0.23</v>
      </c>
      <c r="H83" s="1140">
        <v>0.3</v>
      </c>
      <c r="I83" s="1140">
        <f t="shared" ref="I83:I94" si="10">C83*E83*F83*G83*H83</f>
        <v>0.41675999999999996</v>
      </c>
      <c r="J83" s="1140"/>
      <c r="K83" s="1137"/>
    </row>
    <row r="84" spans="1:14">
      <c r="A84" s="1138"/>
      <c r="B84" s="1139" t="s">
        <v>2316</v>
      </c>
      <c r="C84" s="1137">
        <v>1</v>
      </c>
      <c r="D84" s="929" t="s">
        <v>33</v>
      </c>
      <c r="E84" s="1137">
        <v>2</v>
      </c>
      <c r="F84" s="1141">
        <v>2.9449999999999998</v>
      </c>
      <c r="G84" s="1140">
        <v>0.23</v>
      </c>
      <c r="H84" s="1140">
        <v>0.3</v>
      </c>
      <c r="I84" s="1140">
        <f t="shared" si="10"/>
        <v>0.40640999999999999</v>
      </c>
      <c r="J84" s="1137"/>
      <c r="K84" s="1137"/>
    </row>
    <row r="85" spans="1:14" ht="14.1">
      <c r="A85" s="1135"/>
      <c r="B85" s="1139" t="s">
        <v>2317</v>
      </c>
      <c r="C85" s="1148">
        <v>1</v>
      </c>
      <c r="D85" s="929" t="s">
        <v>33</v>
      </c>
      <c r="E85" s="1148">
        <v>1</v>
      </c>
      <c r="F85" s="1149">
        <v>3</v>
      </c>
      <c r="G85" s="1149">
        <v>0.23</v>
      </c>
      <c r="H85" s="1140">
        <v>0.3</v>
      </c>
      <c r="I85" s="1140">
        <f t="shared" si="10"/>
        <v>0.20700000000000002</v>
      </c>
      <c r="J85" s="1137"/>
      <c r="K85" s="1137"/>
    </row>
    <row r="86" spans="1:14">
      <c r="A86" s="1138"/>
      <c r="B86" s="1139" t="s">
        <v>2317</v>
      </c>
      <c r="C86" s="1137">
        <v>1</v>
      </c>
      <c r="D86" s="929" t="s">
        <v>33</v>
      </c>
      <c r="E86" s="1137">
        <v>2</v>
      </c>
      <c r="F86" s="1137">
        <v>3.02</v>
      </c>
      <c r="G86" s="1140">
        <v>0.23</v>
      </c>
      <c r="H86" s="1140">
        <v>0.3</v>
      </c>
      <c r="I86" s="1140">
        <f t="shared" si="10"/>
        <v>0.41675999999999996</v>
      </c>
      <c r="J86" s="1140"/>
      <c r="K86" s="1137"/>
    </row>
    <row r="87" spans="1:14">
      <c r="A87" s="1138"/>
      <c r="B87" s="1139" t="s">
        <v>2317</v>
      </c>
      <c r="C87" s="1137">
        <v>1</v>
      </c>
      <c r="D87" s="929" t="s">
        <v>33</v>
      </c>
      <c r="E87" s="1137">
        <v>2</v>
      </c>
      <c r="F87" s="1141">
        <v>2.9449999999999998</v>
      </c>
      <c r="G87" s="1140">
        <v>0.23</v>
      </c>
      <c r="H87" s="1140">
        <v>0.3</v>
      </c>
      <c r="I87" s="1140">
        <f t="shared" si="10"/>
        <v>0.40640999999999999</v>
      </c>
      <c r="J87" s="1137"/>
      <c r="K87" s="1137"/>
    </row>
    <row r="88" spans="1:14">
      <c r="A88" s="1138"/>
      <c r="B88" s="1139" t="s">
        <v>2318</v>
      </c>
      <c r="C88" s="1137">
        <v>1</v>
      </c>
      <c r="D88" s="929" t="s">
        <v>33</v>
      </c>
      <c r="E88" s="1137">
        <v>1</v>
      </c>
      <c r="F88" s="1140">
        <v>3</v>
      </c>
      <c r="G88" s="1140">
        <v>0.23</v>
      </c>
      <c r="H88" s="1140">
        <f>0.355-0.125</f>
        <v>0.22999999999999998</v>
      </c>
      <c r="I88" s="1140">
        <f t="shared" si="10"/>
        <v>0.15870000000000001</v>
      </c>
      <c r="J88" s="1137"/>
      <c r="K88" s="1137"/>
    </row>
    <row r="89" spans="1:14">
      <c r="A89" s="1138"/>
      <c r="B89" s="1139" t="s">
        <v>2318</v>
      </c>
      <c r="C89" s="1142">
        <v>1</v>
      </c>
      <c r="D89" s="929" t="s">
        <v>33</v>
      </c>
      <c r="E89" s="1142">
        <v>4</v>
      </c>
      <c r="F89" s="1140">
        <f>3.17-0.3</f>
        <v>2.87</v>
      </c>
      <c r="G89" s="1140">
        <v>0.23</v>
      </c>
      <c r="H89" s="1140">
        <f>0.355-0.125</f>
        <v>0.22999999999999998</v>
      </c>
      <c r="I89" s="1140">
        <f t="shared" si="10"/>
        <v>0.60729199999999994</v>
      </c>
      <c r="J89" s="1137"/>
      <c r="K89" s="1137"/>
    </row>
    <row r="90" spans="1:14">
      <c r="A90" s="1138"/>
      <c r="B90" s="1139" t="s">
        <v>2319</v>
      </c>
      <c r="C90" s="1142">
        <v>1</v>
      </c>
      <c r="D90" s="929" t="s">
        <v>33</v>
      </c>
      <c r="E90" s="1142">
        <v>1</v>
      </c>
      <c r="F90" s="1140">
        <f>5.11-0.115-0.22</f>
        <v>4.7750000000000004</v>
      </c>
      <c r="G90" s="1140">
        <v>0.23</v>
      </c>
      <c r="H90" s="1140">
        <f>0.505-0.125</f>
        <v>0.38</v>
      </c>
      <c r="I90" s="1140">
        <f t="shared" si="10"/>
        <v>0.41733500000000007</v>
      </c>
      <c r="J90" s="1137"/>
      <c r="K90" s="1137"/>
    </row>
    <row r="91" spans="1:14">
      <c r="A91" s="1138"/>
      <c r="B91" s="1139" t="s">
        <v>2320</v>
      </c>
      <c r="C91" s="1142">
        <v>1</v>
      </c>
      <c r="D91" s="929" t="s">
        <v>33</v>
      </c>
      <c r="E91" s="1142">
        <v>3</v>
      </c>
      <c r="F91" s="1140">
        <f>5.11-0.115-0.22</f>
        <v>4.7750000000000004</v>
      </c>
      <c r="G91" s="1140">
        <v>0.23</v>
      </c>
      <c r="H91" s="1140">
        <f>0.505-0.125</f>
        <v>0.38</v>
      </c>
      <c r="I91" s="1140">
        <f t="shared" si="10"/>
        <v>1.2520050000000003</v>
      </c>
      <c r="J91" s="1137"/>
      <c r="K91" s="1137"/>
    </row>
    <row r="92" spans="1:14">
      <c r="A92" s="1138"/>
      <c r="B92" s="1139" t="s">
        <v>2321</v>
      </c>
      <c r="C92" s="1137">
        <v>1</v>
      </c>
      <c r="D92" s="929" t="s">
        <v>33</v>
      </c>
      <c r="E92" s="1137">
        <v>2</v>
      </c>
      <c r="F92" s="1140">
        <f>5.11-0.115-0.07</f>
        <v>4.9249999999999998</v>
      </c>
      <c r="G92" s="1140">
        <v>0.23</v>
      </c>
      <c r="H92" s="1140">
        <f>0.505-0.125</f>
        <v>0.38</v>
      </c>
      <c r="I92" s="1140">
        <f t="shared" si="10"/>
        <v>0.86088999999999993</v>
      </c>
      <c r="J92" s="1137"/>
      <c r="K92" s="1137"/>
    </row>
    <row r="93" spans="1:14">
      <c r="A93" s="1138"/>
      <c r="B93" s="1139" t="s">
        <v>2322</v>
      </c>
      <c r="C93" s="1137">
        <v>1</v>
      </c>
      <c r="D93" s="929" t="s">
        <v>33</v>
      </c>
      <c r="E93" s="1137">
        <v>4</v>
      </c>
      <c r="F93" s="1140">
        <f>2.03-0.23</f>
        <v>1.7999999999999998</v>
      </c>
      <c r="G93" s="1140">
        <v>0.23</v>
      </c>
      <c r="H93" s="1140">
        <v>0.23</v>
      </c>
      <c r="I93" s="1140">
        <f t="shared" si="10"/>
        <v>0.38088</v>
      </c>
      <c r="J93" s="1137"/>
      <c r="K93" s="1137"/>
    </row>
    <row r="94" spans="1:14">
      <c r="A94" s="1138"/>
      <c r="B94" s="1139" t="s">
        <v>2323</v>
      </c>
      <c r="C94" s="1137">
        <v>1</v>
      </c>
      <c r="D94" s="929" t="s">
        <v>33</v>
      </c>
      <c r="E94" s="1137">
        <v>1</v>
      </c>
      <c r="F94" s="1140">
        <v>3.3</v>
      </c>
      <c r="G94" s="1140">
        <v>0.23</v>
      </c>
      <c r="H94" s="1140">
        <v>0.3</v>
      </c>
      <c r="I94" s="1140">
        <f t="shared" si="10"/>
        <v>0.22769999999999999</v>
      </c>
      <c r="J94" s="1137"/>
      <c r="K94" s="1137"/>
    </row>
    <row r="95" spans="1:14" ht="14.1">
      <c r="A95" s="1138"/>
      <c r="B95" s="1137"/>
      <c r="C95" s="1137"/>
      <c r="E95" s="1137"/>
      <c r="F95" s="1137"/>
      <c r="G95" s="1137"/>
      <c r="H95" s="1137"/>
      <c r="I95" s="1143">
        <f>SUM(I83:I94)</f>
        <v>5.7581419999999994</v>
      </c>
      <c r="J95" s="1143" t="s">
        <v>465</v>
      </c>
      <c r="K95" s="1145" t="e">
        <f>#REF!</f>
        <v>#REF!</v>
      </c>
      <c r="L95" s="941">
        <v>1</v>
      </c>
      <c r="M95" s="1110" t="s">
        <v>465</v>
      </c>
    </row>
    <row r="96" spans="1:14" ht="14.1">
      <c r="A96" s="1138"/>
      <c r="B96" s="1137"/>
      <c r="C96" s="1137"/>
      <c r="D96" s="1137"/>
      <c r="E96" s="1137"/>
      <c r="F96" s="1137"/>
      <c r="G96" s="1137"/>
      <c r="H96" s="1144"/>
      <c r="I96" s="1144"/>
      <c r="J96" s="1137"/>
    </row>
    <row r="97" spans="1:13" ht="14.1">
      <c r="A97" s="1135" t="s">
        <v>1</v>
      </c>
      <c r="B97" s="1146" t="s">
        <v>2324</v>
      </c>
      <c r="C97" s="1137"/>
      <c r="D97" s="1137"/>
      <c r="E97" s="1137"/>
      <c r="F97" s="1137">
        <f>0.45-0.115</f>
        <v>0.33500000000000002</v>
      </c>
      <c r="G97" s="1137">
        <f>0.3-0.115</f>
        <v>0.185</v>
      </c>
      <c r="H97" s="1137"/>
      <c r="I97" s="1137"/>
      <c r="J97" s="1137"/>
    </row>
    <row r="98" spans="1:13">
      <c r="A98" s="1138"/>
      <c r="B98" s="1137" t="s">
        <v>2325</v>
      </c>
      <c r="C98" s="1137">
        <v>1</v>
      </c>
      <c r="D98" s="929" t="s">
        <v>33</v>
      </c>
      <c r="E98" s="1137">
        <v>1</v>
      </c>
      <c r="F98" s="1137">
        <f>3.3+3.17+3.17+0.3</f>
        <v>9.9400000000000013</v>
      </c>
      <c r="G98" s="1137">
        <f>5.11+2.03+0.335+0.185+0.6</f>
        <v>8.26</v>
      </c>
      <c r="H98" s="1137"/>
      <c r="I98" s="1140">
        <f>C98*E98*F98*G98</f>
        <v>82.104400000000012</v>
      </c>
      <c r="J98" s="1137"/>
      <c r="K98" s="1137"/>
    </row>
    <row r="99" spans="1:13">
      <c r="A99" s="1138"/>
      <c r="B99" s="1137" t="s">
        <v>2326</v>
      </c>
      <c r="C99" s="1137">
        <v>-1</v>
      </c>
      <c r="D99" s="929" t="s">
        <v>33</v>
      </c>
      <c r="E99" s="1137">
        <v>1</v>
      </c>
      <c r="F99" s="1140">
        <f>3.3+1.5-0.3</f>
        <v>4.5</v>
      </c>
      <c r="G99" s="1140">
        <v>3</v>
      </c>
      <c r="H99" s="1137"/>
      <c r="I99" s="1140">
        <f>C99*E99*F99*G99</f>
        <v>-13.5</v>
      </c>
      <c r="J99" s="1137"/>
      <c r="K99" s="1137"/>
    </row>
    <row r="100" spans="1:13">
      <c r="A100" s="1138"/>
      <c r="B100" s="1137"/>
      <c r="C100" s="1137"/>
      <c r="E100" s="1137"/>
      <c r="F100" s="1137"/>
      <c r="G100" s="1137"/>
      <c r="H100" s="1137"/>
      <c r="I100" s="1140">
        <f>SUM(I98:I99)</f>
        <v>68.604400000000012</v>
      </c>
      <c r="J100" s="1137"/>
      <c r="K100" s="1137"/>
    </row>
    <row r="101" spans="1:13" ht="14.1">
      <c r="A101" s="1138"/>
      <c r="B101" s="1137"/>
      <c r="C101" s="1137"/>
      <c r="E101" s="1137"/>
      <c r="F101" s="1137"/>
      <c r="G101" s="1137"/>
      <c r="H101" s="1137"/>
      <c r="I101" s="1143">
        <f>I100</f>
        <v>68.604400000000012</v>
      </c>
      <c r="J101" s="1143" t="s">
        <v>461</v>
      </c>
      <c r="K101" s="1145" t="e">
        <f>#REF!</f>
        <v>#REF!</v>
      </c>
      <c r="L101" s="1134">
        <v>1</v>
      </c>
      <c r="M101" s="1134" t="s">
        <v>461</v>
      </c>
    </row>
    <row r="102" spans="1:13" ht="14.1">
      <c r="A102" s="1138"/>
      <c r="B102" s="1137"/>
      <c r="C102" s="1137"/>
      <c r="D102" s="1137"/>
      <c r="E102" s="1137"/>
      <c r="F102" s="1137"/>
      <c r="G102" s="1137"/>
      <c r="H102" s="1144"/>
      <c r="I102" s="1144"/>
      <c r="J102" s="1137"/>
    </row>
    <row r="103" spans="1:13" ht="14.1">
      <c r="A103" s="1135" t="s">
        <v>363</v>
      </c>
      <c r="B103" s="1146" t="s">
        <v>2327</v>
      </c>
      <c r="C103" s="1137"/>
      <c r="D103" s="1137"/>
      <c r="E103" s="1137"/>
      <c r="F103" s="1137"/>
      <c r="G103" s="1137"/>
      <c r="H103" s="1144"/>
      <c r="I103" s="1144"/>
      <c r="J103" s="1137"/>
    </row>
    <row r="104" spans="1:13" ht="14.1">
      <c r="A104" s="1138"/>
      <c r="B104" s="1137" t="s">
        <v>2328</v>
      </c>
      <c r="C104" s="1137">
        <v>1</v>
      </c>
      <c r="D104" s="929" t="s">
        <v>33</v>
      </c>
      <c r="E104" s="1137">
        <v>2</v>
      </c>
      <c r="F104" s="1140">
        <v>3.3</v>
      </c>
      <c r="G104" s="1140">
        <v>1.5</v>
      </c>
      <c r="H104" s="1137"/>
      <c r="I104" s="1140">
        <f>C104*E104*F104*G104</f>
        <v>9.8999999999999986</v>
      </c>
      <c r="J104" s="1144"/>
      <c r="K104" s="1137"/>
    </row>
    <row r="105" spans="1:13" ht="14.1">
      <c r="A105" s="1138"/>
      <c r="B105" s="1137" t="s">
        <v>2329</v>
      </c>
      <c r="C105" s="1137">
        <v>1</v>
      </c>
      <c r="D105" s="929" t="s">
        <v>33</v>
      </c>
      <c r="E105" s="1137">
        <v>1</v>
      </c>
      <c r="F105" s="1140">
        <v>3</v>
      </c>
      <c r="G105" s="1140">
        <v>1.5</v>
      </c>
      <c r="H105" s="1137"/>
      <c r="I105" s="1140">
        <f>C105*E105*F105*G105</f>
        <v>4.5</v>
      </c>
      <c r="J105" s="1144"/>
      <c r="K105" s="1137"/>
    </row>
    <row r="106" spans="1:13" ht="14.1">
      <c r="A106" s="1138"/>
      <c r="B106" s="1137"/>
      <c r="C106" s="1137"/>
      <c r="E106" s="1137"/>
      <c r="F106" s="1137"/>
      <c r="G106" s="1137"/>
      <c r="H106" s="1137"/>
      <c r="I106" s="1145">
        <f>SUM(I104:I105)</f>
        <v>14.399999999999999</v>
      </c>
      <c r="J106" s="1143" t="s">
        <v>461</v>
      </c>
      <c r="K106" s="1145">
        <f>'C-data'!E635</f>
        <v>1403.7</v>
      </c>
      <c r="L106" s="1134">
        <v>1</v>
      </c>
      <c r="M106" s="1134" t="s">
        <v>461</v>
      </c>
    </row>
    <row r="107" spans="1:13" ht="14.1">
      <c r="A107" s="1138"/>
      <c r="B107" s="1137"/>
      <c r="C107" s="1137"/>
      <c r="D107" s="1137"/>
      <c r="E107" s="1137"/>
      <c r="F107" s="1137"/>
      <c r="G107" s="1137"/>
      <c r="H107" s="1144"/>
      <c r="I107" s="1144"/>
      <c r="J107" s="1137"/>
    </row>
    <row r="108" spans="1:13" ht="14.25" customHeight="1">
      <c r="A108" s="1138"/>
      <c r="B108" s="1622" t="s">
        <v>2330</v>
      </c>
      <c r="C108" s="1623"/>
      <c r="D108" s="1623"/>
      <c r="E108" s="1623"/>
      <c r="F108" s="1623"/>
      <c r="G108" s="1623"/>
      <c r="H108" s="1623"/>
      <c r="I108" s="1623"/>
      <c r="J108" s="1623"/>
      <c r="K108" s="1623"/>
      <c r="L108" s="1623"/>
      <c r="M108" s="1623"/>
    </row>
    <row r="109" spans="1:13" ht="14.1">
      <c r="A109" s="1138"/>
      <c r="B109" s="1137" t="s">
        <v>2331</v>
      </c>
      <c r="C109" s="1137">
        <v>0.5</v>
      </c>
      <c r="D109" s="929" t="s">
        <v>33</v>
      </c>
      <c r="E109" s="1137">
        <v>24</v>
      </c>
      <c r="F109" s="1140">
        <v>1.5</v>
      </c>
      <c r="G109" s="1140">
        <v>0.3</v>
      </c>
      <c r="H109" s="1137">
        <v>0.15</v>
      </c>
      <c r="I109" s="1145">
        <f>C109*E109*F109*G109*H109</f>
        <v>0.80999999999999994</v>
      </c>
      <c r="J109" s="1145" t="s">
        <v>465</v>
      </c>
      <c r="K109" s="1145"/>
      <c r="L109" s="1134">
        <v>1</v>
      </c>
      <c r="M109" s="1134" t="s">
        <v>465</v>
      </c>
    </row>
    <row r="110" spans="1:13" ht="14.1">
      <c r="A110" s="1138"/>
      <c r="B110" s="1137"/>
      <c r="C110" s="1137"/>
      <c r="E110" s="1137"/>
      <c r="F110" s="1137"/>
      <c r="G110" s="1137"/>
      <c r="H110" s="1137"/>
      <c r="I110" s="1144"/>
      <c r="J110" s="1144"/>
      <c r="K110" s="1137"/>
    </row>
    <row r="111" spans="1:13" ht="14.25" customHeight="1">
      <c r="A111" s="1138">
        <v>3</v>
      </c>
      <c r="B111" s="1615" t="s">
        <v>2332</v>
      </c>
      <c r="C111" s="1616"/>
      <c r="D111" s="1616"/>
      <c r="E111" s="1616"/>
      <c r="F111" s="1616"/>
      <c r="G111" s="1616"/>
      <c r="H111" s="1616"/>
      <c r="I111" s="1616"/>
      <c r="J111" s="1616"/>
      <c r="K111" s="1616"/>
      <c r="L111" s="1616"/>
      <c r="M111" s="1616"/>
    </row>
    <row r="112" spans="1:13" ht="14.1">
      <c r="A112" s="1138"/>
      <c r="B112" s="1137" t="s">
        <v>2333</v>
      </c>
      <c r="C112" s="1140">
        <f>I81</f>
        <v>3.4019999999999997</v>
      </c>
      <c r="E112" s="1137" t="s">
        <v>644</v>
      </c>
      <c r="F112" s="1137" t="s">
        <v>2334</v>
      </c>
      <c r="G112" s="1137">
        <v>130</v>
      </c>
      <c r="H112" s="1137" t="s">
        <v>2335</v>
      </c>
      <c r="I112" s="1150">
        <f>C112*G112</f>
        <v>442.25999999999993</v>
      </c>
      <c r="J112" s="1144"/>
      <c r="K112" s="1137"/>
    </row>
    <row r="113" spans="1:13" ht="14.1">
      <c r="A113" s="1138"/>
      <c r="B113" s="1137" t="s">
        <v>2336</v>
      </c>
      <c r="C113" s="1140">
        <f>I95</f>
        <v>5.7581419999999994</v>
      </c>
      <c r="E113" s="1137" t="s">
        <v>644</v>
      </c>
      <c r="F113" s="1137" t="s">
        <v>2334</v>
      </c>
      <c r="G113" s="1137">
        <v>130</v>
      </c>
      <c r="H113" s="1137" t="s">
        <v>2335</v>
      </c>
      <c r="I113" s="1150">
        <f>C113*G113</f>
        <v>748.55845999999997</v>
      </c>
      <c r="J113" s="1144"/>
      <c r="K113" s="1137"/>
    </row>
    <row r="114" spans="1:13" ht="14.1">
      <c r="A114" s="1138"/>
      <c r="B114" s="1137" t="s">
        <v>2337</v>
      </c>
      <c r="C114" s="1140">
        <f>I101*0.125</f>
        <v>8.5755500000000016</v>
      </c>
      <c r="E114" s="1137" t="s">
        <v>644</v>
      </c>
      <c r="F114" s="1137" t="s">
        <v>2334</v>
      </c>
      <c r="G114" s="1137">
        <v>130</v>
      </c>
      <c r="H114" s="1137" t="s">
        <v>2335</v>
      </c>
      <c r="I114" s="1150">
        <f>C114*G114</f>
        <v>1114.8215000000002</v>
      </c>
      <c r="J114" s="1144"/>
      <c r="K114" s="1137"/>
    </row>
    <row r="115" spans="1:13" ht="14.1">
      <c r="A115" s="1138"/>
      <c r="B115" s="1137" t="s">
        <v>1452</v>
      </c>
      <c r="C115" s="1140">
        <f>I146</f>
        <v>0.23874000000000001</v>
      </c>
      <c r="E115" s="1137" t="s">
        <v>644</v>
      </c>
      <c r="F115" s="1137" t="s">
        <v>2334</v>
      </c>
      <c r="G115" s="1137">
        <v>130</v>
      </c>
      <c r="H115" s="1137" t="s">
        <v>2335</v>
      </c>
      <c r="I115" s="1150">
        <f>C115*G115</f>
        <v>31.036200000000001</v>
      </c>
      <c r="J115" s="1144"/>
      <c r="K115" s="1137"/>
    </row>
    <row r="116" spans="1:13" ht="14.1">
      <c r="A116" s="1138"/>
      <c r="B116" s="1137" t="s">
        <v>2338</v>
      </c>
      <c r="C116" s="1137">
        <f>I149*0.05</f>
        <v>0.10800000000000001</v>
      </c>
      <c r="E116" s="1137" t="s">
        <v>644</v>
      </c>
      <c r="F116" s="1137" t="s">
        <v>2334</v>
      </c>
      <c r="G116" s="1137">
        <v>130</v>
      </c>
      <c r="H116" s="1137" t="s">
        <v>2335</v>
      </c>
      <c r="I116" s="1150">
        <f>C116*G116</f>
        <v>14.040000000000001</v>
      </c>
      <c r="J116" s="1144"/>
      <c r="K116" s="1137"/>
    </row>
    <row r="117" spans="1:13" ht="14.1">
      <c r="A117" s="1138"/>
      <c r="B117" s="1137"/>
      <c r="C117" s="1137"/>
      <c r="E117" s="1137"/>
      <c r="F117" s="1137"/>
      <c r="G117" s="1137"/>
      <c r="H117" s="1137"/>
      <c r="I117" s="1151">
        <f>SUM(I112:I116)</f>
        <v>2350.7161600000004</v>
      </c>
      <c r="J117" s="1144"/>
      <c r="K117" s="1137"/>
    </row>
    <row r="118" spans="1:13" ht="14.1">
      <c r="A118" s="1138"/>
      <c r="B118" s="1137"/>
      <c r="C118" s="1137"/>
      <c r="E118" s="1137"/>
      <c r="F118" s="1137"/>
      <c r="G118" s="1137"/>
      <c r="H118" s="1137"/>
      <c r="I118" s="1152">
        <f>I117/1000</f>
        <v>2.3507161600000006</v>
      </c>
      <c r="J118" s="1144" t="s">
        <v>50</v>
      </c>
      <c r="K118" s="1145"/>
      <c r="M118" s="1134" t="s">
        <v>50</v>
      </c>
    </row>
    <row r="119" spans="1:13" ht="14.1">
      <c r="A119" s="1138"/>
      <c r="B119" s="1137"/>
      <c r="C119" s="1137"/>
      <c r="E119" s="1137"/>
      <c r="F119" s="1137"/>
      <c r="G119" s="1137"/>
      <c r="H119" s="1137"/>
      <c r="I119" s="1144"/>
      <c r="J119" s="1144"/>
      <c r="K119" s="1137"/>
    </row>
    <row r="120" spans="1:13" ht="14.1">
      <c r="A120" s="1138"/>
      <c r="B120" s="1137"/>
      <c r="C120" s="1137"/>
      <c r="D120" s="1137"/>
      <c r="E120" s="1137"/>
      <c r="F120" s="1137"/>
      <c r="G120" s="1137"/>
      <c r="H120" s="1144"/>
      <c r="I120" s="1144"/>
      <c r="J120" s="1137"/>
    </row>
    <row r="121" spans="1:13">
      <c r="A121" s="1138">
        <v>4</v>
      </c>
      <c r="B121" s="1614" t="s">
        <v>1196</v>
      </c>
      <c r="C121" s="1614"/>
      <c r="D121" s="1614"/>
      <c r="E121" s="1614"/>
      <c r="F121" s="1614"/>
      <c r="G121" s="1614"/>
      <c r="H121" s="1137"/>
      <c r="I121" s="1137"/>
      <c r="J121" s="1137"/>
    </row>
    <row r="122" spans="1:13">
      <c r="A122" s="1138"/>
      <c r="B122" s="1139" t="s">
        <v>2339</v>
      </c>
      <c r="C122" s="1142">
        <v>1</v>
      </c>
      <c r="D122" s="929" t="s">
        <v>33</v>
      </c>
      <c r="E122" s="1142">
        <v>2</v>
      </c>
      <c r="F122" s="1140">
        <f>5.11-0.115-0.22</f>
        <v>4.7750000000000004</v>
      </c>
      <c r="G122" s="1140">
        <v>0.23</v>
      </c>
      <c r="H122" s="1140">
        <f>3.6-0.505</f>
        <v>3.0950000000000002</v>
      </c>
      <c r="I122" s="1140">
        <f t="shared" ref="I122:I127" si="11">C122*E122*F122*G122*H122</f>
        <v>6.7981675000000017</v>
      </c>
      <c r="J122" s="1137"/>
      <c r="K122" s="1137"/>
    </row>
    <row r="123" spans="1:13">
      <c r="A123" s="1138"/>
      <c r="B123" s="1139" t="s">
        <v>2340</v>
      </c>
      <c r="C123" s="1137">
        <v>2</v>
      </c>
      <c r="D123" s="929" t="s">
        <v>33</v>
      </c>
      <c r="E123" s="1137">
        <v>2</v>
      </c>
      <c r="F123" s="1137">
        <v>3.02</v>
      </c>
      <c r="G123" s="1140">
        <v>0.23</v>
      </c>
      <c r="H123" s="1141">
        <f>3.6-0.425</f>
        <v>3.1750000000000003</v>
      </c>
      <c r="I123" s="1140">
        <f t="shared" si="11"/>
        <v>8.8214199999999998</v>
      </c>
      <c r="J123" s="1137"/>
      <c r="K123" s="1137"/>
    </row>
    <row r="124" spans="1:13">
      <c r="A124" s="1138"/>
      <c r="B124" s="1139" t="s">
        <v>2341</v>
      </c>
      <c r="C124" s="1137">
        <v>1</v>
      </c>
      <c r="D124" s="929" t="s">
        <v>33</v>
      </c>
      <c r="E124" s="1137">
        <v>1</v>
      </c>
      <c r="F124" s="1140">
        <v>3</v>
      </c>
      <c r="G124" s="1140">
        <v>0.23</v>
      </c>
      <c r="H124" s="1141">
        <f>3.6-0.425</f>
        <v>3.1750000000000003</v>
      </c>
      <c r="I124" s="1140">
        <f t="shared" si="11"/>
        <v>2.1907500000000004</v>
      </c>
      <c r="J124" s="1137"/>
      <c r="K124" s="1137"/>
    </row>
    <row r="125" spans="1:13">
      <c r="A125" s="1138"/>
      <c r="B125" s="1139" t="s">
        <v>2342</v>
      </c>
      <c r="C125" s="1137">
        <v>1</v>
      </c>
      <c r="D125" s="929" t="s">
        <v>33</v>
      </c>
      <c r="E125" s="1137">
        <v>1</v>
      </c>
      <c r="F125" s="1140">
        <v>3</v>
      </c>
      <c r="G125" s="1140">
        <v>0.23</v>
      </c>
      <c r="H125" s="1140">
        <v>1</v>
      </c>
      <c r="I125" s="1140">
        <f t="shared" si="11"/>
        <v>0.69000000000000006</v>
      </c>
      <c r="J125" s="1137"/>
      <c r="K125" s="1137"/>
    </row>
    <row r="126" spans="1:13">
      <c r="A126" s="1138"/>
      <c r="B126" s="1139"/>
      <c r="C126" s="1142">
        <v>1</v>
      </c>
      <c r="D126" s="929" t="s">
        <v>33</v>
      </c>
      <c r="E126" s="1142">
        <v>1</v>
      </c>
      <c r="F126" s="1140">
        <f>3.17-0.3</f>
        <v>2.87</v>
      </c>
      <c r="G126" s="1140">
        <v>0.23</v>
      </c>
      <c r="H126" s="1140">
        <v>1</v>
      </c>
      <c r="I126" s="1140">
        <f t="shared" si="11"/>
        <v>0.66010000000000002</v>
      </c>
      <c r="J126" s="1137"/>
      <c r="K126" s="1137"/>
    </row>
    <row r="127" spans="1:13">
      <c r="A127" s="1138"/>
      <c r="B127" s="1139"/>
      <c r="C127" s="1137">
        <v>1</v>
      </c>
      <c r="D127" s="929" t="s">
        <v>33</v>
      </c>
      <c r="E127" s="1137">
        <v>1</v>
      </c>
      <c r="F127" s="1140">
        <f>2.03-0.23</f>
        <v>1.7999999999999998</v>
      </c>
      <c r="G127" s="1140">
        <v>0.23</v>
      </c>
      <c r="H127" s="1140">
        <v>1</v>
      </c>
      <c r="I127" s="1140">
        <f t="shared" si="11"/>
        <v>0.41399999999999998</v>
      </c>
      <c r="J127" s="1137"/>
      <c r="K127" s="1137"/>
    </row>
    <row r="128" spans="1:13" ht="14.1">
      <c r="A128" s="1138"/>
      <c r="B128" s="1136" t="s">
        <v>2343</v>
      </c>
      <c r="C128" s="1137"/>
      <c r="E128" s="1137"/>
      <c r="F128" s="1140"/>
      <c r="G128" s="1140"/>
      <c r="H128" s="1140"/>
      <c r="I128" s="1140"/>
      <c r="J128" s="1137"/>
      <c r="K128" s="1137"/>
    </row>
    <row r="129" spans="1:13">
      <c r="A129" s="1138"/>
      <c r="B129" s="1139" t="s">
        <v>1537</v>
      </c>
      <c r="C129" s="1137">
        <v>-1</v>
      </c>
      <c r="D129" s="929" t="s">
        <v>33</v>
      </c>
      <c r="E129" s="1137">
        <v>1</v>
      </c>
      <c r="F129" s="1140">
        <v>1.21</v>
      </c>
      <c r="G129" s="1140">
        <v>0.23</v>
      </c>
      <c r="H129" s="1140">
        <v>2.13</v>
      </c>
      <c r="I129" s="1140">
        <f t="shared" ref="I129:I135" si="12">C129*E129*F129*G129*H129</f>
        <v>-0.59277899999999994</v>
      </c>
      <c r="J129" s="1137"/>
      <c r="K129" s="1137"/>
    </row>
    <row r="130" spans="1:13">
      <c r="A130" s="1138"/>
      <c r="B130" s="1139" t="s">
        <v>2344</v>
      </c>
      <c r="C130" s="1137">
        <v>-1</v>
      </c>
      <c r="D130" s="929" t="s">
        <v>33</v>
      </c>
      <c r="E130" s="1137">
        <v>3</v>
      </c>
      <c r="F130" s="1140">
        <v>1.51</v>
      </c>
      <c r="G130" s="1140">
        <v>0.23</v>
      </c>
      <c r="H130" s="1140">
        <v>1.37</v>
      </c>
      <c r="I130" s="1140">
        <f t="shared" si="12"/>
        <v>-1.4274030000000002</v>
      </c>
      <c r="J130" s="1137"/>
      <c r="K130" s="1137"/>
    </row>
    <row r="131" spans="1:13">
      <c r="A131" s="1138"/>
      <c r="B131" s="1137" t="s">
        <v>1592</v>
      </c>
      <c r="C131" s="1137">
        <v>-1</v>
      </c>
      <c r="D131" s="929" t="s">
        <v>33</v>
      </c>
      <c r="E131" s="1137">
        <v>2</v>
      </c>
      <c r="F131" s="1140">
        <v>0.6</v>
      </c>
      <c r="G131" s="1137">
        <v>0.23</v>
      </c>
      <c r="H131" s="1140">
        <v>0.3</v>
      </c>
      <c r="I131" s="1140">
        <f t="shared" si="12"/>
        <v>-8.2799999999999999E-2</v>
      </c>
      <c r="J131" s="1137"/>
      <c r="K131" s="1137"/>
    </row>
    <row r="132" spans="1:13">
      <c r="A132" s="1138"/>
      <c r="B132" s="1137" t="s">
        <v>2345</v>
      </c>
      <c r="C132" s="1137">
        <v>-1</v>
      </c>
      <c r="D132" s="929" t="s">
        <v>33</v>
      </c>
      <c r="E132" s="1137">
        <v>2</v>
      </c>
      <c r="F132" s="1137">
        <v>1.52</v>
      </c>
      <c r="G132" s="1137">
        <v>0.23</v>
      </c>
      <c r="H132" s="1140">
        <v>0.15</v>
      </c>
      <c r="I132" s="1140">
        <f t="shared" si="12"/>
        <v>-0.10488</v>
      </c>
      <c r="J132" s="1137"/>
      <c r="K132" s="1137"/>
    </row>
    <row r="133" spans="1:13">
      <c r="A133" s="1138"/>
      <c r="B133" s="1137" t="s">
        <v>2346</v>
      </c>
      <c r="C133" s="1137">
        <v>-1</v>
      </c>
      <c r="D133" s="929" t="s">
        <v>33</v>
      </c>
      <c r="E133" s="1137">
        <v>3</v>
      </c>
      <c r="F133" s="1140">
        <v>1.8</v>
      </c>
      <c r="G133" s="1137">
        <v>0.23</v>
      </c>
      <c r="H133" s="1140">
        <v>0.15</v>
      </c>
      <c r="I133" s="1140">
        <f t="shared" si="12"/>
        <v>-0.18630000000000002</v>
      </c>
      <c r="J133" s="1137"/>
      <c r="K133" s="1137"/>
    </row>
    <row r="134" spans="1:13">
      <c r="A134" s="1138"/>
      <c r="B134" s="1137" t="s">
        <v>2347</v>
      </c>
      <c r="C134" s="1137">
        <v>-1</v>
      </c>
      <c r="D134" s="929" t="s">
        <v>33</v>
      </c>
      <c r="E134" s="1137">
        <v>6</v>
      </c>
      <c r="F134" s="1140">
        <v>0.2</v>
      </c>
      <c r="G134" s="1137">
        <v>0.23</v>
      </c>
      <c r="H134" s="1140">
        <v>0.23</v>
      </c>
      <c r="I134" s="1140">
        <f t="shared" si="12"/>
        <v>-6.3480000000000023E-2</v>
      </c>
      <c r="J134" s="1137"/>
      <c r="K134" s="1137"/>
    </row>
    <row r="135" spans="1:13">
      <c r="A135" s="1138"/>
      <c r="B135" s="1137" t="s">
        <v>2348</v>
      </c>
      <c r="C135" s="1137">
        <v>-1</v>
      </c>
      <c r="D135" s="929" t="s">
        <v>33</v>
      </c>
      <c r="E135" s="1137">
        <v>1</v>
      </c>
      <c r="F135" s="1140">
        <v>3.3</v>
      </c>
      <c r="G135" s="1140">
        <v>0.3</v>
      </c>
      <c r="H135" s="1140">
        <v>0.3</v>
      </c>
      <c r="I135" s="1140">
        <f t="shared" si="12"/>
        <v>-0.29699999999999993</v>
      </c>
      <c r="J135" s="1137"/>
      <c r="K135" s="1137"/>
    </row>
    <row r="136" spans="1:13">
      <c r="A136" s="1138"/>
      <c r="B136" s="1137"/>
      <c r="C136" s="1137"/>
      <c r="E136" s="1137"/>
      <c r="F136" s="1137"/>
      <c r="G136" s="1137"/>
      <c r="H136" s="1137"/>
      <c r="I136" s="1140">
        <f>SUM(I122:I135)</f>
        <v>16.819795500000005</v>
      </c>
      <c r="J136" s="1137"/>
      <c r="K136" s="1137"/>
    </row>
    <row r="137" spans="1:13" ht="14.1">
      <c r="A137" s="1138"/>
      <c r="B137" s="1137"/>
      <c r="C137" s="1137"/>
      <c r="E137" s="1137"/>
      <c r="F137" s="1137"/>
      <c r="G137" s="1137"/>
      <c r="H137" s="1137"/>
      <c r="I137" s="1143">
        <f>I136</f>
        <v>16.819795500000005</v>
      </c>
      <c r="J137" s="1144" t="s">
        <v>465</v>
      </c>
      <c r="K137" s="1145"/>
      <c r="M137" s="1134" t="s">
        <v>465</v>
      </c>
    </row>
    <row r="138" spans="1:13" ht="14.1">
      <c r="A138" s="1138"/>
      <c r="B138" s="1137"/>
      <c r="C138" s="1137"/>
      <c r="D138" s="1137"/>
      <c r="E138" s="1137"/>
      <c r="F138" s="1137"/>
      <c r="G138" s="1137"/>
      <c r="H138" s="1144"/>
      <c r="I138" s="1144"/>
      <c r="J138" s="1137"/>
    </row>
    <row r="139" spans="1:13">
      <c r="A139" s="1138">
        <v>5</v>
      </c>
      <c r="B139" s="1614" t="s">
        <v>720</v>
      </c>
      <c r="C139" s="1614"/>
      <c r="D139" s="1614"/>
      <c r="E139" s="1614"/>
      <c r="F139" s="1614"/>
      <c r="G139" s="1614"/>
      <c r="H139" s="1137"/>
      <c r="I139" s="1137"/>
      <c r="J139" s="1137"/>
    </row>
    <row r="140" spans="1:13" ht="14.1">
      <c r="A140" s="1138"/>
      <c r="B140" s="1137" t="s">
        <v>2349</v>
      </c>
      <c r="C140" s="1137">
        <v>1</v>
      </c>
      <c r="D140" s="929" t="s">
        <v>33</v>
      </c>
      <c r="E140" s="1137">
        <v>2</v>
      </c>
      <c r="F140" s="1140">
        <v>3.3</v>
      </c>
      <c r="G140" s="1137"/>
      <c r="H140" s="1140">
        <v>1</v>
      </c>
      <c r="I140" s="1145">
        <f>C140*E140*F140*H140</f>
        <v>6.6</v>
      </c>
      <c r="J140" s="1144" t="s">
        <v>461</v>
      </c>
      <c r="K140" s="1145"/>
      <c r="M140" s="1134" t="s">
        <v>461</v>
      </c>
    </row>
    <row r="141" spans="1:13" ht="14.1">
      <c r="A141" s="1138"/>
      <c r="B141" s="1137"/>
      <c r="C141" s="1137"/>
      <c r="E141" s="1137"/>
      <c r="F141" s="1137"/>
      <c r="G141" s="1137"/>
      <c r="H141" s="1137"/>
      <c r="I141" s="1144"/>
      <c r="J141" s="1144"/>
      <c r="K141" s="1137"/>
    </row>
    <row r="142" spans="1:13">
      <c r="A142" s="1138">
        <v>6</v>
      </c>
      <c r="B142" s="1614" t="s">
        <v>2350</v>
      </c>
      <c r="C142" s="1614"/>
      <c r="D142" s="1614"/>
      <c r="E142" s="1614"/>
      <c r="F142" s="1614"/>
      <c r="G142" s="1614"/>
      <c r="H142" s="1137"/>
      <c r="I142" s="1137"/>
      <c r="J142" s="1137"/>
    </row>
    <row r="143" spans="1:13" ht="14.1">
      <c r="A143" s="1135" t="s">
        <v>469</v>
      </c>
      <c r="B143" s="1146" t="s">
        <v>2351</v>
      </c>
      <c r="C143" s="1137"/>
      <c r="D143" s="1137"/>
      <c r="E143" s="1137"/>
      <c r="F143" s="1137"/>
      <c r="G143" s="1137"/>
      <c r="H143" s="1137"/>
      <c r="I143" s="1137"/>
      <c r="J143" s="1137"/>
    </row>
    <row r="144" spans="1:13">
      <c r="A144" s="1138"/>
      <c r="B144" s="1137" t="s">
        <v>2352</v>
      </c>
      <c r="C144" s="1137">
        <v>1</v>
      </c>
      <c r="D144" s="929" t="s">
        <v>33</v>
      </c>
      <c r="E144" s="1137">
        <v>1</v>
      </c>
      <c r="F144" s="1137">
        <v>1.52</v>
      </c>
      <c r="G144" s="1137">
        <v>0.23</v>
      </c>
      <c r="H144" s="1140">
        <v>0.15</v>
      </c>
      <c r="I144" s="1140">
        <f>C144*E144*F144*G144*H144</f>
        <v>5.2440000000000001E-2</v>
      </c>
      <c r="J144" s="1137"/>
      <c r="K144" s="1137"/>
    </row>
    <row r="145" spans="1:13">
      <c r="A145" s="1138"/>
      <c r="B145" s="1137" t="s">
        <v>2353</v>
      </c>
      <c r="C145" s="1137">
        <v>1</v>
      </c>
      <c r="D145" s="929" t="s">
        <v>33</v>
      </c>
      <c r="E145" s="1137">
        <v>3</v>
      </c>
      <c r="F145" s="1140">
        <v>1.8</v>
      </c>
      <c r="G145" s="1137">
        <v>0.23</v>
      </c>
      <c r="H145" s="1140">
        <v>0.15</v>
      </c>
      <c r="I145" s="1140">
        <f>C145*E145*F145*G145*H145</f>
        <v>0.18630000000000002</v>
      </c>
      <c r="J145" s="1137"/>
      <c r="K145" s="1137"/>
    </row>
    <row r="146" spans="1:13" ht="14.1">
      <c r="A146" s="1138"/>
      <c r="B146" s="1137"/>
      <c r="C146" s="1137"/>
      <c r="E146" s="1137"/>
      <c r="F146" s="1137"/>
      <c r="G146" s="1137"/>
      <c r="H146" s="1137"/>
      <c r="I146" s="1143">
        <f>SUM(I144:I145)</f>
        <v>0.23874000000000001</v>
      </c>
      <c r="J146" s="1144" t="s">
        <v>465</v>
      </c>
      <c r="K146" s="1145"/>
      <c r="M146" s="1134" t="s">
        <v>465</v>
      </c>
    </row>
    <row r="147" spans="1:13" ht="14.1">
      <c r="A147" s="1138"/>
      <c r="B147" s="1137"/>
      <c r="C147" s="1137"/>
      <c r="E147" s="1137"/>
      <c r="F147" s="1137"/>
      <c r="G147" s="1137"/>
      <c r="H147" s="1137"/>
      <c r="I147" s="1144"/>
      <c r="J147" s="1144"/>
      <c r="K147" s="1146"/>
    </row>
    <row r="148" spans="1:13" ht="14.1">
      <c r="A148" s="1135" t="s">
        <v>1</v>
      </c>
      <c r="B148" s="1146" t="s">
        <v>2354</v>
      </c>
      <c r="C148" s="1137"/>
      <c r="D148" s="1137"/>
      <c r="E148" s="1137"/>
      <c r="F148" s="1137"/>
      <c r="G148" s="1137"/>
      <c r="H148" s="1137"/>
      <c r="I148" s="1137"/>
      <c r="J148" s="1137"/>
    </row>
    <row r="149" spans="1:13" ht="14.1">
      <c r="A149" s="1138"/>
      <c r="B149" s="1137" t="s">
        <v>2353</v>
      </c>
      <c r="C149" s="1137">
        <v>1</v>
      </c>
      <c r="D149" s="929" t="s">
        <v>33</v>
      </c>
      <c r="E149" s="1137">
        <v>2</v>
      </c>
      <c r="F149" s="1140">
        <v>1.8</v>
      </c>
      <c r="G149" s="1140">
        <v>0.6</v>
      </c>
      <c r="H149" s="1140"/>
      <c r="I149" s="1144">
        <f>C149*E149*F149*G149</f>
        <v>2.16</v>
      </c>
      <c r="J149" s="1144" t="s">
        <v>461</v>
      </c>
      <c r="K149" s="1145"/>
      <c r="M149" s="1134" t="s">
        <v>461</v>
      </c>
    </row>
    <row r="150" spans="1:13" ht="14.1">
      <c r="A150" s="1138"/>
      <c r="B150" s="1137"/>
      <c r="C150" s="1137"/>
      <c r="E150" s="1137"/>
      <c r="F150" s="1137"/>
      <c r="G150" s="1137"/>
      <c r="H150" s="1137"/>
      <c r="I150" s="1144"/>
      <c r="J150" s="1144"/>
      <c r="K150" s="1144"/>
    </row>
    <row r="151" spans="1:13">
      <c r="A151" s="1138"/>
      <c r="B151" s="1137"/>
      <c r="C151" s="1137"/>
      <c r="D151" s="1137"/>
      <c r="E151" s="1137"/>
      <c r="F151" s="1137"/>
      <c r="G151" s="1137"/>
      <c r="H151" s="1137"/>
      <c r="I151" s="1137"/>
      <c r="J151" s="1137"/>
    </row>
    <row r="152" spans="1:13">
      <c r="A152" s="1138">
        <v>7</v>
      </c>
      <c r="B152" s="1614" t="s">
        <v>2355</v>
      </c>
      <c r="C152" s="1614"/>
      <c r="D152" s="1614"/>
      <c r="E152" s="1614"/>
      <c r="F152" s="1614"/>
      <c r="G152" s="1614"/>
      <c r="H152" s="1137"/>
      <c r="I152" s="1137"/>
      <c r="J152" s="1137"/>
    </row>
    <row r="153" spans="1:13">
      <c r="A153" s="1138"/>
      <c r="B153" s="1137" t="s">
        <v>2356</v>
      </c>
      <c r="C153" s="1137">
        <v>1</v>
      </c>
      <c r="D153" s="929" t="s">
        <v>33</v>
      </c>
      <c r="E153" s="1137">
        <v>6</v>
      </c>
      <c r="F153" s="1140">
        <v>0.2</v>
      </c>
      <c r="G153" s="1137">
        <v>0.23</v>
      </c>
      <c r="H153" s="1137">
        <v>0.15</v>
      </c>
      <c r="I153" s="1140">
        <f>C153*E153*F153*G153*H153</f>
        <v>4.1400000000000013E-2</v>
      </c>
      <c r="J153" s="1137"/>
      <c r="K153" s="1137"/>
    </row>
    <row r="154" spans="1:13">
      <c r="A154" s="1138"/>
      <c r="B154" s="1137" t="s">
        <v>2357</v>
      </c>
      <c r="C154" s="1137">
        <v>3</v>
      </c>
      <c r="D154" s="929" t="s">
        <v>33</v>
      </c>
      <c r="E154" s="1137">
        <v>4</v>
      </c>
      <c r="F154" s="1140">
        <v>0.2</v>
      </c>
      <c r="G154" s="1137">
        <v>0.23</v>
      </c>
      <c r="H154" s="1137">
        <v>0.15</v>
      </c>
      <c r="I154" s="1140">
        <f>C154*E154*F154*G154*H154</f>
        <v>8.2800000000000026E-2</v>
      </c>
      <c r="J154" s="1137"/>
      <c r="K154" s="1137"/>
    </row>
    <row r="155" spans="1:13" ht="14.1">
      <c r="A155" s="1138"/>
      <c r="B155" s="1137"/>
      <c r="C155" s="1137"/>
      <c r="E155" s="1137"/>
      <c r="F155" s="1137"/>
      <c r="G155" s="1137"/>
      <c r="H155" s="1137"/>
      <c r="I155" s="1140">
        <f>SUM(I153:I154)</f>
        <v>0.12420000000000003</v>
      </c>
      <c r="J155" s="1144" t="s">
        <v>465</v>
      </c>
      <c r="K155" s="1145"/>
      <c r="M155" s="1134" t="s">
        <v>465</v>
      </c>
    </row>
    <row r="156" spans="1:13" ht="14.1">
      <c r="A156" s="1138"/>
      <c r="B156" s="1137"/>
      <c r="C156" s="1137"/>
      <c r="E156" s="1137"/>
      <c r="F156" s="1137"/>
      <c r="G156" s="1137"/>
      <c r="H156" s="1137"/>
      <c r="I156" s="1144"/>
      <c r="J156" s="1144"/>
      <c r="K156" s="1137"/>
    </row>
    <row r="157" spans="1:13">
      <c r="A157" s="1138"/>
      <c r="B157" s="1614" t="s">
        <v>2358</v>
      </c>
      <c r="C157" s="1614"/>
      <c r="D157" s="1614"/>
      <c r="E157" s="1614"/>
      <c r="F157" s="1614"/>
      <c r="G157" s="1614"/>
      <c r="H157" s="1137"/>
      <c r="I157" s="1137"/>
      <c r="J157" s="1137"/>
    </row>
    <row r="158" spans="1:13" ht="14.1">
      <c r="A158" s="1138"/>
      <c r="B158" s="1137" t="s">
        <v>2359</v>
      </c>
      <c r="C158" s="1137">
        <v>1</v>
      </c>
      <c r="D158" s="929" t="s">
        <v>33</v>
      </c>
      <c r="E158" s="1137">
        <v>1</v>
      </c>
      <c r="F158" s="1137">
        <v>6.1</v>
      </c>
      <c r="G158" s="1137">
        <v>4.88</v>
      </c>
      <c r="H158" s="1137"/>
      <c r="I158" s="1145">
        <f>C158*E158*F158*G158</f>
        <v>29.767999999999997</v>
      </c>
    </row>
    <row r="159" spans="1:13" ht="14.1">
      <c r="A159" s="1138"/>
      <c r="B159" s="1137" t="s">
        <v>2360</v>
      </c>
      <c r="C159" s="1137">
        <v>1</v>
      </c>
      <c r="D159" s="929" t="s">
        <v>33</v>
      </c>
      <c r="E159" s="1137">
        <v>1</v>
      </c>
      <c r="F159" s="1137">
        <v>4.88</v>
      </c>
      <c r="G159" s="1137">
        <v>3.3</v>
      </c>
      <c r="H159" s="1137"/>
      <c r="I159" s="1145">
        <f>C159*E159*F159*G159</f>
        <v>16.103999999999999</v>
      </c>
    </row>
    <row r="160" spans="1:13" ht="14.1">
      <c r="A160" s="1138"/>
      <c r="B160" s="1137" t="s">
        <v>2253</v>
      </c>
      <c r="C160" s="1137">
        <v>1</v>
      </c>
      <c r="D160" s="929" t="s">
        <v>33</v>
      </c>
      <c r="E160" s="1137">
        <v>1</v>
      </c>
      <c r="F160" s="1137">
        <v>15.38</v>
      </c>
      <c r="G160" s="1137">
        <v>1.8</v>
      </c>
      <c r="H160" s="1137"/>
      <c r="I160" s="1145">
        <f>C160*E160*F160*G160</f>
        <v>27.684000000000001</v>
      </c>
      <c r="J160" s="1144"/>
      <c r="K160" s="1145"/>
    </row>
    <row r="161" spans="1:13" ht="14.1">
      <c r="A161" s="1138"/>
      <c r="B161" s="1137"/>
      <c r="C161" s="1137"/>
      <c r="E161" s="1137"/>
      <c r="F161" s="1137"/>
      <c r="G161" s="1137"/>
      <c r="H161" s="1137"/>
      <c r="I161" s="1145">
        <f>SUM(I158:I160)</f>
        <v>73.555999999999997</v>
      </c>
      <c r="J161" s="1144" t="s">
        <v>461</v>
      </c>
      <c r="K161" s="1145"/>
      <c r="M161" s="1134" t="s">
        <v>461</v>
      </c>
    </row>
    <row r="162" spans="1:13" ht="14.1">
      <c r="A162" s="1138"/>
      <c r="B162" s="1137"/>
      <c r="C162" s="1137"/>
      <c r="E162" s="1137"/>
      <c r="F162" s="1137"/>
      <c r="G162" s="1137"/>
      <c r="H162" s="1137"/>
      <c r="I162" s="1144"/>
      <c r="J162" s="1144"/>
      <c r="K162" s="1137"/>
    </row>
    <row r="163" spans="1:13">
      <c r="A163" s="1138"/>
      <c r="B163" s="1614" t="s">
        <v>2358</v>
      </c>
      <c r="C163" s="1614"/>
      <c r="D163" s="1614"/>
      <c r="E163" s="1614"/>
      <c r="F163" s="1614"/>
      <c r="G163" s="1614"/>
      <c r="H163" s="1137"/>
      <c r="I163" s="1137"/>
      <c r="J163" s="1137"/>
    </row>
    <row r="164" spans="1:13" ht="14.1">
      <c r="A164" s="1138"/>
      <c r="B164" s="1137" t="s">
        <v>2361</v>
      </c>
      <c r="C164" s="1137">
        <v>2</v>
      </c>
      <c r="D164" s="929" t="s">
        <v>33</v>
      </c>
      <c r="E164" s="1137">
        <v>12</v>
      </c>
      <c r="F164" s="1137">
        <v>1.5</v>
      </c>
      <c r="G164" s="1137"/>
      <c r="H164" s="1137">
        <v>0.15</v>
      </c>
      <c r="I164" s="1144">
        <f>H164*F164*E164*C164</f>
        <v>5.3999999999999995</v>
      </c>
      <c r="J164" s="1144" t="s">
        <v>461</v>
      </c>
      <c r="K164" s="1145"/>
      <c r="M164" s="1134" t="s">
        <v>461</v>
      </c>
    </row>
    <row r="165" spans="1:13" ht="14.1">
      <c r="A165" s="1138"/>
      <c r="B165" s="1137"/>
      <c r="C165" s="1137"/>
      <c r="E165" s="1137"/>
      <c r="F165" s="1137"/>
      <c r="G165" s="1137"/>
      <c r="H165" s="1137"/>
      <c r="I165" s="1144"/>
      <c r="J165" s="1144"/>
      <c r="K165" s="1137"/>
    </row>
    <row r="166" spans="1:13" ht="14.1">
      <c r="A166" s="1138"/>
      <c r="B166" s="1137"/>
      <c r="C166" s="1137"/>
      <c r="E166" s="1137"/>
      <c r="F166" s="1137"/>
      <c r="G166" s="1137"/>
      <c r="H166" s="1137"/>
      <c r="I166" s="1144"/>
      <c r="J166" s="1144"/>
      <c r="K166" s="1137"/>
    </row>
    <row r="167" spans="1:13" ht="14.1">
      <c r="A167" s="1138"/>
      <c r="B167" s="1137" t="s">
        <v>2362</v>
      </c>
      <c r="C167" s="1137">
        <v>2</v>
      </c>
      <c r="D167" s="929" t="s">
        <v>33</v>
      </c>
      <c r="E167" s="1137">
        <v>12</v>
      </c>
      <c r="F167" s="1137">
        <v>1.5</v>
      </c>
      <c r="G167" s="1137">
        <v>0.3</v>
      </c>
      <c r="H167" s="1137"/>
      <c r="I167" s="1145">
        <f>C167*E167*F167*G167</f>
        <v>10.799999999999999</v>
      </c>
      <c r="J167" s="1144" t="s">
        <v>461</v>
      </c>
      <c r="K167" s="1145"/>
      <c r="M167" s="1134" t="s">
        <v>461</v>
      </c>
    </row>
    <row r="168" spans="1:13" ht="14.1">
      <c r="A168" s="1138"/>
      <c r="B168" s="1137"/>
      <c r="C168" s="1137"/>
      <c r="E168" s="1137"/>
      <c r="F168" s="1137"/>
      <c r="G168" s="1137"/>
      <c r="H168" s="1137"/>
      <c r="I168" s="1144"/>
      <c r="J168" s="1144"/>
      <c r="K168" s="1137"/>
    </row>
    <row r="169" spans="1:13">
      <c r="A169" s="1138">
        <v>8</v>
      </c>
      <c r="B169" s="1614" t="s">
        <v>715</v>
      </c>
      <c r="C169" s="1614"/>
      <c r="D169" s="1614"/>
      <c r="E169" s="1614"/>
      <c r="F169" s="1614"/>
      <c r="G169" s="1614"/>
      <c r="H169" s="1137"/>
      <c r="I169" s="1137"/>
      <c r="J169" s="1137"/>
    </row>
    <row r="170" spans="1:13">
      <c r="A170" s="1138"/>
      <c r="B170" s="1137" t="s">
        <v>2363</v>
      </c>
      <c r="C170" s="1137">
        <v>1</v>
      </c>
      <c r="D170" s="929" t="s">
        <v>33</v>
      </c>
      <c r="E170" s="1137">
        <v>1</v>
      </c>
      <c r="F170" s="1140">
        <v>6.1</v>
      </c>
      <c r="G170" s="1137">
        <v>4.88</v>
      </c>
      <c r="H170" s="1137"/>
      <c r="I170" s="1140">
        <f t="shared" ref="I170:I175" si="13">C170*E170*F170*G170</f>
        <v>29.767999999999997</v>
      </c>
      <c r="J170" s="1137"/>
      <c r="K170" s="1137"/>
    </row>
    <row r="171" spans="1:13">
      <c r="A171" s="1138"/>
      <c r="B171" s="1137" t="s">
        <v>2364</v>
      </c>
      <c r="C171" s="1137">
        <v>1</v>
      </c>
      <c r="D171" s="929" t="s">
        <v>33</v>
      </c>
      <c r="E171" s="1137">
        <v>1</v>
      </c>
      <c r="F171" s="1137">
        <f>3+3.17+3.17+3.17+3.17-0.3</f>
        <v>15.379999999999999</v>
      </c>
      <c r="G171" s="1140">
        <v>1.8</v>
      </c>
      <c r="H171" s="1137"/>
      <c r="I171" s="1140">
        <f t="shared" si="13"/>
        <v>27.683999999999997</v>
      </c>
      <c r="J171" s="1137"/>
      <c r="K171" s="1137"/>
    </row>
    <row r="172" spans="1:13">
      <c r="A172" s="1138"/>
      <c r="B172" s="1137" t="s">
        <v>2254</v>
      </c>
      <c r="C172" s="1137">
        <v>2</v>
      </c>
      <c r="D172" s="929" t="s">
        <v>33</v>
      </c>
      <c r="E172" s="1137">
        <v>2</v>
      </c>
      <c r="F172" s="1137">
        <v>4.88</v>
      </c>
      <c r="G172" s="1140">
        <f>0.495-0.115</f>
        <v>0.38</v>
      </c>
      <c r="H172" s="1137"/>
      <c r="I172" s="1140">
        <f t="shared" si="13"/>
        <v>7.4176000000000002</v>
      </c>
      <c r="J172" s="1137"/>
      <c r="K172" s="1137"/>
    </row>
    <row r="173" spans="1:13">
      <c r="A173" s="1138"/>
      <c r="B173" s="1137"/>
      <c r="C173" s="1137">
        <v>1</v>
      </c>
      <c r="D173" s="929" t="s">
        <v>33</v>
      </c>
      <c r="E173" s="1137">
        <v>3</v>
      </c>
      <c r="F173" s="1140">
        <v>1.8</v>
      </c>
      <c r="G173" s="1140">
        <v>0.23</v>
      </c>
      <c r="H173" s="1137"/>
      <c r="I173" s="1140">
        <f t="shared" si="13"/>
        <v>1.2420000000000002</v>
      </c>
      <c r="J173" s="1137"/>
      <c r="K173" s="1137"/>
    </row>
    <row r="174" spans="1:13">
      <c r="A174" s="1138"/>
      <c r="B174" s="1137" t="s">
        <v>2365</v>
      </c>
      <c r="C174" s="1137">
        <v>1</v>
      </c>
      <c r="D174" s="929" t="s">
        <v>33</v>
      </c>
      <c r="E174" s="1137">
        <v>2</v>
      </c>
      <c r="F174" s="1137">
        <v>3.6</v>
      </c>
      <c r="G174" s="1140">
        <v>1.5</v>
      </c>
      <c r="H174" s="1137"/>
      <c r="I174" s="1140">
        <f t="shared" si="13"/>
        <v>10.8</v>
      </c>
      <c r="J174" s="1137"/>
      <c r="K174" s="1137"/>
    </row>
    <row r="175" spans="1:13">
      <c r="A175" s="1138"/>
      <c r="B175" s="1137" t="s">
        <v>2366</v>
      </c>
      <c r="C175" s="1137">
        <v>1</v>
      </c>
      <c r="D175" s="929" t="s">
        <v>33</v>
      </c>
      <c r="E175" s="1137">
        <v>1</v>
      </c>
      <c r="F175" s="1153">
        <v>3</v>
      </c>
      <c r="G175" s="1140">
        <v>1.5</v>
      </c>
      <c r="H175" s="1137"/>
      <c r="I175" s="1140">
        <f t="shared" si="13"/>
        <v>4.5</v>
      </c>
      <c r="J175" s="1137"/>
      <c r="K175" s="1137"/>
    </row>
    <row r="176" spans="1:13" ht="14.1">
      <c r="A176" s="1138"/>
      <c r="B176" s="1137"/>
      <c r="C176" s="1137"/>
      <c r="E176" s="1137"/>
      <c r="F176" s="1137"/>
      <c r="G176" s="1137"/>
      <c r="H176" s="1137"/>
      <c r="I176" s="1143">
        <f>SUM(I170:I175)</f>
        <v>81.411599999999993</v>
      </c>
      <c r="J176" s="1144" t="s">
        <v>461</v>
      </c>
      <c r="K176" s="1145"/>
      <c r="M176" s="1134" t="s">
        <v>461</v>
      </c>
    </row>
    <row r="177" spans="1:11" ht="14.1">
      <c r="A177" s="1138"/>
      <c r="B177" s="1137"/>
      <c r="C177" s="1137"/>
      <c r="E177" s="1137"/>
      <c r="F177" s="1137"/>
      <c r="G177" s="1137"/>
      <c r="H177" s="1137"/>
      <c r="I177" s="1144"/>
      <c r="J177" s="1144"/>
      <c r="K177" s="1137"/>
    </row>
    <row r="178" spans="1:11">
      <c r="A178" s="1138">
        <v>9</v>
      </c>
      <c r="B178" s="1614" t="s">
        <v>1198</v>
      </c>
      <c r="C178" s="1614"/>
      <c r="D178" s="1614"/>
      <c r="E178" s="1614"/>
      <c r="F178" s="1614"/>
      <c r="G178" s="1614"/>
      <c r="H178" s="1137"/>
      <c r="I178" s="1137"/>
      <c r="J178" s="1137"/>
    </row>
    <row r="179" spans="1:11">
      <c r="A179" s="1138"/>
      <c r="B179" s="1137" t="s">
        <v>2367</v>
      </c>
      <c r="C179" s="1137">
        <v>1</v>
      </c>
      <c r="D179" s="929" t="s">
        <v>33</v>
      </c>
      <c r="E179" s="1137">
        <v>2</v>
      </c>
      <c r="F179" s="1140">
        <v>4.88</v>
      </c>
      <c r="G179" s="1137"/>
      <c r="H179" s="1141">
        <f>3.6-0.125</f>
        <v>3.4750000000000001</v>
      </c>
      <c r="I179" s="1140">
        <f t="shared" ref="I179:I186" si="14">C179*E179*F179*H179</f>
        <v>33.915999999999997</v>
      </c>
      <c r="J179" s="1137"/>
      <c r="K179" s="1137"/>
    </row>
    <row r="180" spans="1:11">
      <c r="A180" s="1138"/>
      <c r="B180" s="1137" t="s">
        <v>2368</v>
      </c>
      <c r="C180" s="1137">
        <v>1</v>
      </c>
      <c r="D180" s="929" t="s">
        <v>33</v>
      </c>
      <c r="E180" s="1137">
        <v>2</v>
      </c>
      <c r="F180" s="1140">
        <v>6.1</v>
      </c>
      <c r="G180" s="1137"/>
      <c r="H180" s="1141">
        <f>3.6-0.125</f>
        <v>3.4750000000000001</v>
      </c>
      <c r="I180" s="1140">
        <f t="shared" si="14"/>
        <v>42.394999999999996</v>
      </c>
      <c r="J180" s="1137"/>
      <c r="K180" s="1137"/>
    </row>
    <row r="181" spans="1:11">
      <c r="A181" s="1138"/>
      <c r="B181" s="1137" t="s">
        <v>2369</v>
      </c>
      <c r="C181" s="1137">
        <v>1</v>
      </c>
      <c r="D181" s="929" t="s">
        <v>33</v>
      </c>
      <c r="E181" s="1137">
        <v>1</v>
      </c>
      <c r="F181" s="1140">
        <f>3.3+1.5+0.3</f>
        <v>5.0999999999999996</v>
      </c>
      <c r="G181" s="1137"/>
      <c r="H181" s="1140">
        <v>3.3</v>
      </c>
      <c r="I181" s="1140">
        <f t="shared" si="14"/>
        <v>16.829999999999998</v>
      </c>
      <c r="J181" s="1137"/>
      <c r="K181" s="1137"/>
    </row>
    <row r="182" spans="1:11">
      <c r="A182" s="1138"/>
      <c r="B182" s="1137"/>
      <c r="C182" s="1137">
        <v>1</v>
      </c>
      <c r="D182" s="929" t="s">
        <v>33</v>
      </c>
      <c r="E182" s="1137">
        <v>1</v>
      </c>
      <c r="F182" s="1137">
        <f>4.88+0.23</f>
        <v>5.1100000000000003</v>
      </c>
      <c r="G182" s="1137"/>
      <c r="H182" s="1137">
        <v>3.22</v>
      </c>
      <c r="I182" s="1140">
        <f t="shared" si="14"/>
        <v>16.454200000000004</v>
      </c>
      <c r="J182" s="1137"/>
      <c r="K182" s="1137"/>
    </row>
    <row r="183" spans="1:11">
      <c r="A183" s="1138"/>
      <c r="B183" s="1137" t="s">
        <v>2370</v>
      </c>
      <c r="C183" s="1137">
        <v>1</v>
      </c>
      <c r="D183" s="929" t="s">
        <v>33</v>
      </c>
      <c r="E183" s="1137">
        <v>1</v>
      </c>
      <c r="F183" s="1137">
        <f>F171</f>
        <v>15.379999999999999</v>
      </c>
      <c r="G183" s="1137"/>
      <c r="H183" s="1140">
        <v>1.2</v>
      </c>
      <c r="I183" s="1140">
        <f t="shared" si="14"/>
        <v>18.456</v>
      </c>
      <c r="J183" s="1137"/>
      <c r="K183" s="1137"/>
    </row>
    <row r="184" spans="1:11">
      <c r="A184" s="1138"/>
      <c r="B184" s="1137"/>
      <c r="C184" s="1137">
        <v>1</v>
      </c>
      <c r="D184" s="929" t="s">
        <v>33</v>
      </c>
      <c r="E184" s="1137">
        <v>2</v>
      </c>
      <c r="F184" s="1140">
        <v>1.8</v>
      </c>
      <c r="G184" s="1137"/>
      <c r="H184" s="1140">
        <v>1.2</v>
      </c>
      <c r="I184" s="1140">
        <f t="shared" si="14"/>
        <v>4.32</v>
      </c>
      <c r="J184" s="1137"/>
      <c r="K184" s="1137"/>
    </row>
    <row r="185" spans="1:11">
      <c r="A185" s="1138"/>
      <c r="B185" s="1137" t="s">
        <v>2371</v>
      </c>
      <c r="C185" s="1137">
        <v>2</v>
      </c>
      <c r="D185" s="929" t="s">
        <v>33</v>
      </c>
      <c r="E185" s="1137">
        <v>2</v>
      </c>
      <c r="F185" s="1137">
        <v>7.0000000000000007E-2</v>
      </c>
      <c r="G185" s="1137"/>
      <c r="H185" s="1141">
        <v>3.4750000000000001</v>
      </c>
      <c r="I185" s="1140">
        <f t="shared" si="14"/>
        <v>0.97300000000000009</v>
      </c>
      <c r="J185" s="1137"/>
      <c r="K185" s="1137"/>
    </row>
    <row r="186" spans="1:11">
      <c r="A186" s="1138"/>
      <c r="B186" s="1137" t="s">
        <v>2372</v>
      </c>
      <c r="C186" s="1137">
        <v>1</v>
      </c>
      <c r="D186" s="929" t="s">
        <v>33</v>
      </c>
      <c r="E186" s="1137">
        <v>5</v>
      </c>
      <c r="F186" s="1140">
        <v>0.9</v>
      </c>
      <c r="G186" s="1137"/>
      <c r="H186" s="1140">
        <f>3.6-0.355-1.2</f>
        <v>2.0449999999999999</v>
      </c>
      <c r="I186" s="1140">
        <f t="shared" si="14"/>
        <v>9.2025000000000006</v>
      </c>
      <c r="J186" s="1137"/>
      <c r="K186" s="1137"/>
    </row>
    <row r="187" spans="1:11">
      <c r="A187" s="1138"/>
      <c r="B187" s="1137" t="s">
        <v>2373</v>
      </c>
      <c r="C187" s="1137">
        <v>1</v>
      </c>
      <c r="D187" s="929" t="s">
        <v>33</v>
      </c>
      <c r="E187" s="1137">
        <v>1</v>
      </c>
      <c r="F187" s="1137">
        <f>F183</f>
        <v>15.379999999999999</v>
      </c>
      <c r="G187" s="1137">
        <v>0.23</v>
      </c>
      <c r="H187" s="1140"/>
      <c r="I187" s="1140">
        <f>C187*E187*F187*G187</f>
        <v>3.5373999999999999</v>
      </c>
      <c r="J187" s="1137"/>
      <c r="K187" s="1137"/>
    </row>
    <row r="188" spans="1:11">
      <c r="A188" s="1138"/>
      <c r="B188" s="1137" t="s">
        <v>2374</v>
      </c>
      <c r="C188" s="1137">
        <v>-0.5</v>
      </c>
      <c r="D188" s="929" t="s">
        <v>33</v>
      </c>
      <c r="E188" s="1137">
        <v>5</v>
      </c>
      <c r="F188" s="1137">
        <v>0.23</v>
      </c>
      <c r="G188" s="1140">
        <v>0.23</v>
      </c>
      <c r="H188" s="1140"/>
      <c r="I188" s="1140">
        <f>C188*E188*F188*G188</f>
        <v>-0.13225000000000003</v>
      </c>
      <c r="J188" s="1137"/>
      <c r="K188" s="1137"/>
    </row>
    <row r="189" spans="1:11">
      <c r="A189" s="1138"/>
      <c r="B189" s="1137" t="s">
        <v>1537</v>
      </c>
      <c r="C189" s="1137">
        <v>-0.5</v>
      </c>
      <c r="D189" s="929" t="s">
        <v>33</v>
      </c>
      <c r="E189" s="1137">
        <v>2</v>
      </c>
      <c r="F189" s="1137">
        <v>1.21</v>
      </c>
      <c r="G189" s="1140"/>
      <c r="H189" s="1140">
        <v>2.1</v>
      </c>
      <c r="I189" s="1140">
        <f>C189*E189*F189*H189</f>
        <v>-2.5409999999999999</v>
      </c>
      <c r="J189" s="1137"/>
      <c r="K189" s="1137"/>
    </row>
    <row r="190" spans="1:11">
      <c r="A190" s="1138"/>
      <c r="B190" s="1137" t="s">
        <v>2344</v>
      </c>
      <c r="C190" s="1137">
        <v>-0.5</v>
      </c>
      <c r="D190" s="929" t="s">
        <v>33</v>
      </c>
      <c r="E190" s="1137">
        <v>6</v>
      </c>
      <c r="F190" s="1137">
        <v>1.51</v>
      </c>
      <c r="G190" s="1140"/>
      <c r="H190" s="1140">
        <v>1.37</v>
      </c>
      <c r="I190" s="1140">
        <f>C190*E190*F190*H190</f>
        <v>-6.2061000000000011</v>
      </c>
      <c r="J190" s="1137"/>
      <c r="K190" s="1137"/>
    </row>
    <row r="191" spans="1:11">
      <c r="A191" s="1138"/>
      <c r="B191" s="1137" t="s">
        <v>1592</v>
      </c>
      <c r="C191" s="1137">
        <v>-0.5</v>
      </c>
      <c r="D191" s="929" t="s">
        <v>33</v>
      </c>
      <c r="E191" s="1137">
        <v>8</v>
      </c>
      <c r="F191" s="1140">
        <v>0.6</v>
      </c>
      <c r="G191" s="1140"/>
      <c r="H191" s="1140">
        <v>0.3</v>
      </c>
      <c r="I191" s="1140">
        <f>C191*E191*F191*H191</f>
        <v>-0.72</v>
      </c>
      <c r="J191" s="1137"/>
      <c r="K191" s="1137"/>
    </row>
    <row r="192" spans="1:11">
      <c r="A192" s="1138"/>
      <c r="B192" s="1137" t="s">
        <v>2375</v>
      </c>
      <c r="C192" s="1137"/>
      <c r="D192" s="929" t="s">
        <v>33</v>
      </c>
      <c r="E192" s="1137"/>
      <c r="F192" s="1140"/>
      <c r="G192" s="1140"/>
      <c r="H192" s="1140"/>
      <c r="I192" s="1140"/>
      <c r="J192" s="1137"/>
      <c r="K192" s="1137"/>
    </row>
    <row r="193" spans="1:13">
      <c r="A193" s="1138"/>
      <c r="B193" s="1137" t="s">
        <v>2376</v>
      </c>
      <c r="C193" s="1137">
        <v>1</v>
      </c>
      <c r="D193" s="929" t="s">
        <v>33</v>
      </c>
      <c r="E193" s="1137">
        <v>2</v>
      </c>
      <c r="F193" s="1137">
        <f>3.17+3.17+3.3+0.3</f>
        <v>9.9400000000000013</v>
      </c>
      <c r="G193" s="1137"/>
      <c r="H193" s="1140">
        <v>3.6</v>
      </c>
      <c r="I193" s="1140">
        <f>C193*E193*F193*H193</f>
        <v>71.568000000000012</v>
      </c>
      <c r="J193" s="1137"/>
      <c r="K193" s="1137"/>
    </row>
    <row r="194" spans="1:13">
      <c r="A194" s="1138"/>
      <c r="B194" s="1137" t="s">
        <v>2377</v>
      </c>
      <c r="C194" s="1137">
        <v>1</v>
      </c>
      <c r="D194" s="929" t="s">
        <v>33</v>
      </c>
      <c r="E194" s="1137">
        <v>2</v>
      </c>
      <c r="F194" s="1137">
        <f>G98-0.6</f>
        <v>7.66</v>
      </c>
      <c r="G194" s="1137"/>
      <c r="H194" s="1140">
        <v>3.6</v>
      </c>
      <c r="I194" s="1140">
        <f>C194*E194*F194*H194</f>
        <v>55.152000000000001</v>
      </c>
      <c r="J194" s="1137"/>
      <c r="K194" s="1137"/>
    </row>
    <row r="195" spans="1:13">
      <c r="A195" s="1138"/>
      <c r="B195" s="1137" t="s">
        <v>2370</v>
      </c>
      <c r="C195" s="1137">
        <v>1</v>
      </c>
      <c r="D195" s="929" t="s">
        <v>33</v>
      </c>
      <c r="E195" s="1137">
        <v>1</v>
      </c>
      <c r="F195" s="1137">
        <f>6.1+6.1+0.69</f>
        <v>12.889999999999999</v>
      </c>
      <c r="G195" s="1137"/>
      <c r="H195" s="1141">
        <v>3.4750000000000001</v>
      </c>
      <c r="I195" s="1140">
        <f>C195*E195*F195*H195</f>
        <v>44.792749999999998</v>
      </c>
      <c r="J195" s="1137"/>
      <c r="K195" s="1137"/>
    </row>
    <row r="196" spans="1:13">
      <c r="A196" s="1138"/>
      <c r="B196" s="1137" t="s">
        <v>2367</v>
      </c>
      <c r="C196" s="1137">
        <v>1</v>
      </c>
      <c r="D196" s="929" t="s">
        <v>33</v>
      </c>
      <c r="E196" s="1137">
        <v>1</v>
      </c>
      <c r="F196" s="1140">
        <v>4.88</v>
      </c>
      <c r="G196" s="1137"/>
      <c r="H196" s="1141">
        <f>3.6-0.125</f>
        <v>3.4750000000000001</v>
      </c>
      <c r="I196" s="1140">
        <f>C196*E196*F196*H196</f>
        <v>16.957999999999998</v>
      </c>
      <c r="J196" s="1137"/>
      <c r="K196" s="1137"/>
    </row>
    <row r="197" spans="1:13">
      <c r="A197" s="1138"/>
      <c r="B197" s="1137"/>
      <c r="C197" s="1137">
        <v>1</v>
      </c>
      <c r="D197" s="929" t="s">
        <v>33</v>
      </c>
      <c r="E197" s="1137">
        <v>1</v>
      </c>
      <c r="F197" s="1137">
        <f>4.88+0.23</f>
        <v>5.1100000000000003</v>
      </c>
      <c r="G197" s="1137"/>
      <c r="H197" s="1140">
        <v>3.22</v>
      </c>
      <c r="I197" s="1140">
        <f>C197*E197*F197*H197</f>
        <v>16.454200000000004</v>
      </c>
      <c r="J197" s="1137"/>
      <c r="K197" s="1137"/>
    </row>
    <row r="198" spans="1:13">
      <c r="A198" s="1138"/>
      <c r="B198" s="1137" t="s">
        <v>2378</v>
      </c>
      <c r="C198" s="1137">
        <v>1</v>
      </c>
      <c r="D198" s="929" t="s">
        <v>33</v>
      </c>
      <c r="E198" s="1137">
        <v>1</v>
      </c>
      <c r="F198" s="1137">
        <f>F98+F98+G98+G98</f>
        <v>36.4</v>
      </c>
      <c r="G198" s="1140">
        <v>0.3</v>
      </c>
      <c r="H198" s="1140"/>
      <c r="I198" s="1140">
        <f>C198*E198*F198*G198</f>
        <v>10.92</v>
      </c>
      <c r="J198" s="1137"/>
      <c r="K198" s="1137"/>
    </row>
    <row r="199" spans="1:13">
      <c r="A199" s="1138"/>
      <c r="B199" s="1137" t="s">
        <v>2371</v>
      </c>
      <c r="C199" s="1137">
        <v>3</v>
      </c>
      <c r="D199" s="929" t="s">
        <v>33</v>
      </c>
      <c r="E199" s="1137">
        <v>2</v>
      </c>
      <c r="F199" s="1137">
        <f>0.07</f>
        <v>7.0000000000000007E-2</v>
      </c>
      <c r="G199" s="1137"/>
      <c r="H199" s="1140">
        <v>3.6</v>
      </c>
      <c r="I199" s="1140">
        <f t="shared" ref="I199:I205" si="15">C199*E199*F199*H199</f>
        <v>1.5120000000000002</v>
      </c>
      <c r="J199" s="1137"/>
      <c r="K199" s="1137"/>
    </row>
    <row r="200" spans="1:13">
      <c r="A200" s="1138"/>
      <c r="B200" s="1137"/>
      <c r="C200" s="1137">
        <v>3</v>
      </c>
      <c r="D200" s="929" t="s">
        <v>33</v>
      </c>
      <c r="E200" s="1137">
        <v>2</v>
      </c>
      <c r="F200" s="1137">
        <f>0.45-0.23</f>
        <v>0.22</v>
      </c>
      <c r="G200" s="1137"/>
      <c r="H200" s="1140">
        <v>3.6</v>
      </c>
      <c r="I200" s="1140">
        <f t="shared" si="15"/>
        <v>4.7520000000000007</v>
      </c>
      <c r="J200" s="1137"/>
      <c r="K200" s="1137"/>
    </row>
    <row r="201" spans="1:13">
      <c r="A201" s="1138"/>
      <c r="B201" s="1137"/>
      <c r="C201" s="1137">
        <v>2</v>
      </c>
      <c r="D201" s="929" t="s">
        <v>33</v>
      </c>
      <c r="E201" s="1137">
        <v>2</v>
      </c>
      <c r="F201" s="1137">
        <v>7.0000000000000007E-2</v>
      </c>
      <c r="G201" s="1137"/>
      <c r="H201" s="1140">
        <v>3.6</v>
      </c>
      <c r="I201" s="1140">
        <f t="shared" si="15"/>
        <v>1.0080000000000002</v>
      </c>
      <c r="J201" s="1137"/>
      <c r="K201" s="1137"/>
    </row>
    <row r="202" spans="1:13" ht="14.1">
      <c r="A202" s="1138"/>
      <c r="B202" s="1137" t="s">
        <v>2395</v>
      </c>
      <c r="C202" s="1137">
        <v>-0.5</v>
      </c>
      <c r="D202" s="929" t="s">
        <v>33</v>
      </c>
      <c r="E202" s="1137">
        <v>2</v>
      </c>
      <c r="F202" s="1140">
        <v>1.21</v>
      </c>
      <c r="G202" s="1137"/>
      <c r="H202" s="1140">
        <v>2.1</v>
      </c>
      <c r="I202" s="1140">
        <f t="shared" si="15"/>
        <v>-2.5409999999999999</v>
      </c>
      <c r="J202" s="1137"/>
      <c r="K202" s="1137"/>
    </row>
    <row r="203" spans="1:13">
      <c r="A203" s="1138"/>
      <c r="B203" s="1137" t="s">
        <v>2379</v>
      </c>
      <c r="C203" s="1137">
        <v>-0.5</v>
      </c>
      <c r="D203" s="929" t="s">
        <v>33</v>
      </c>
      <c r="E203" s="1137">
        <v>6</v>
      </c>
      <c r="F203" s="1140">
        <v>1.51</v>
      </c>
      <c r="G203" s="1137"/>
      <c r="H203" s="1140">
        <v>1.37</v>
      </c>
      <c r="I203" s="1140">
        <f t="shared" si="15"/>
        <v>-6.2061000000000011</v>
      </c>
      <c r="J203" s="1137"/>
      <c r="K203" s="1137"/>
    </row>
    <row r="204" spans="1:13">
      <c r="A204" s="1138"/>
      <c r="B204" s="1137" t="s">
        <v>1592</v>
      </c>
      <c r="C204" s="1137">
        <v>-0.5</v>
      </c>
      <c r="D204" s="929" t="s">
        <v>33</v>
      </c>
      <c r="E204" s="1137">
        <v>8</v>
      </c>
      <c r="F204" s="1140">
        <v>0.6</v>
      </c>
      <c r="G204" s="1137"/>
      <c r="H204" s="1140">
        <v>0.3</v>
      </c>
      <c r="I204" s="1140">
        <f t="shared" si="15"/>
        <v>-0.72</v>
      </c>
      <c r="J204" s="1137"/>
      <c r="K204" s="1137"/>
    </row>
    <row r="205" spans="1:13">
      <c r="A205" s="1138"/>
      <c r="B205" s="1137" t="s">
        <v>2380</v>
      </c>
      <c r="C205" s="1137">
        <v>-1</v>
      </c>
      <c r="D205" s="929" t="s">
        <v>33</v>
      </c>
      <c r="E205" s="1137">
        <v>5</v>
      </c>
      <c r="F205" s="1140">
        <f>3.17-0.13</f>
        <v>3.04</v>
      </c>
      <c r="G205" s="1137"/>
      <c r="H205" s="1140">
        <v>2.0499999999999998</v>
      </c>
      <c r="I205" s="1140">
        <f t="shared" si="15"/>
        <v>-31.159999999999997</v>
      </c>
      <c r="J205" s="1137"/>
      <c r="K205" s="1137"/>
    </row>
    <row r="206" spans="1:13">
      <c r="A206" s="1138"/>
      <c r="B206" s="1137"/>
      <c r="C206" s="1137"/>
      <c r="E206" s="1137"/>
      <c r="F206" s="1140"/>
      <c r="G206" s="1137"/>
      <c r="H206" s="1140"/>
      <c r="I206" s="1140">
        <f>SUM(I179:I205)</f>
        <v>318.97460000000001</v>
      </c>
      <c r="J206" s="1137"/>
      <c r="K206" s="1137"/>
    </row>
    <row r="207" spans="1:13" ht="14.1">
      <c r="A207" s="1138"/>
      <c r="B207" s="1137"/>
      <c r="C207" s="1137"/>
      <c r="E207" s="1137"/>
      <c r="F207" s="1137"/>
      <c r="G207" s="1137"/>
      <c r="H207" s="1137"/>
      <c r="I207" s="1143">
        <f>I206</f>
        <v>318.97460000000001</v>
      </c>
      <c r="J207" s="1144" t="s">
        <v>461</v>
      </c>
      <c r="K207" s="1145"/>
      <c r="M207" s="1134" t="s">
        <v>461</v>
      </c>
    </row>
    <row r="208" spans="1:13" ht="14.1">
      <c r="A208" s="1138"/>
      <c r="B208" s="1137"/>
      <c r="C208" s="1137"/>
      <c r="E208" s="1137"/>
      <c r="F208" s="1137"/>
      <c r="G208" s="1137"/>
      <c r="H208" s="1137"/>
      <c r="I208" s="1144"/>
      <c r="J208" s="1144"/>
      <c r="K208" s="1137"/>
    </row>
    <row r="209" spans="1:13">
      <c r="A209" s="1138">
        <v>11</v>
      </c>
      <c r="B209" s="1614" t="s">
        <v>2381</v>
      </c>
      <c r="C209" s="1614"/>
      <c r="D209" s="1614"/>
      <c r="E209" s="1614"/>
      <c r="F209" s="1614"/>
      <c r="G209" s="1614"/>
      <c r="H209" s="1137"/>
      <c r="I209" s="1137"/>
      <c r="J209" s="1137"/>
    </row>
    <row r="210" spans="1:13">
      <c r="A210" s="1138"/>
      <c r="B210" s="1137" t="s">
        <v>2382</v>
      </c>
      <c r="C210" s="1137">
        <v>1</v>
      </c>
      <c r="D210" s="929" t="s">
        <v>33</v>
      </c>
      <c r="E210" s="1137">
        <v>1</v>
      </c>
      <c r="F210" s="1140">
        <v>3</v>
      </c>
      <c r="G210" s="1140"/>
      <c r="H210" s="1140">
        <v>1.35</v>
      </c>
      <c r="I210" s="1140">
        <f>C210*E210*F210*H210</f>
        <v>4.0500000000000007</v>
      </c>
      <c r="J210" s="1137"/>
      <c r="K210" s="1137"/>
    </row>
    <row r="211" spans="1:13" ht="14.1">
      <c r="A211" s="1138"/>
      <c r="B211" s="1137"/>
      <c r="C211" s="1137"/>
      <c r="E211" s="1137"/>
      <c r="F211" s="1140"/>
      <c r="G211" s="1140"/>
      <c r="H211" s="1140"/>
      <c r="I211" s="1143">
        <f>I210</f>
        <v>4.0500000000000007</v>
      </c>
      <c r="J211" s="1144" t="s">
        <v>461</v>
      </c>
      <c r="K211" s="1145"/>
      <c r="M211" s="1134" t="s">
        <v>461</v>
      </c>
    </row>
    <row r="212" spans="1:13" ht="14.1">
      <c r="A212" s="1138"/>
      <c r="B212" s="1137"/>
      <c r="C212" s="1137"/>
      <c r="E212" s="1137"/>
      <c r="F212" s="1137"/>
      <c r="G212" s="1137"/>
      <c r="H212" s="1137"/>
      <c r="I212" s="1144"/>
      <c r="J212" s="1144"/>
      <c r="K212" s="1137"/>
    </row>
    <row r="213" spans="1:13">
      <c r="A213" s="1138">
        <v>12</v>
      </c>
      <c r="B213" s="1614" t="s">
        <v>1200</v>
      </c>
      <c r="C213" s="1614"/>
      <c r="D213" s="1614"/>
      <c r="E213" s="1614"/>
      <c r="F213" s="1614"/>
      <c r="G213" s="1614"/>
      <c r="H213" s="1137"/>
      <c r="I213" s="1137"/>
      <c r="J213" s="1137"/>
    </row>
    <row r="214" spans="1:13">
      <c r="A214" s="1138"/>
      <c r="B214" s="1137" t="s">
        <v>2382</v>
      </c>
      <c r="C214" s="1137">
        <v>1</v>
      </c>
      <c r="D214" s="929" t="s">
        <v>33</v>
      </c>
      <c r="E214" s="1137">
        <v>2</v>
      </c>
      <c r="F214" s="1140">
        <v>6.1</v>
      </c>
      <c r="G214" s="1137">
        <v>4.88</v>
      </c>
      <c r="H214" s="1137"/>
      <c r="I214" s="1140">
        <f>C214*E214*F214*G214</f>
        <v>59.535999999999994</v>
      </c>
      <c r="J214" s="1137"/>
      <c r="K214" s="1137"/>
    </row>
    <row r="215" spans="1:13">
      <c r="A215" s="1138"/>
      <c r="B215" s="1137" t="s">
        <v>2383</v>
      </c>
      <c r="C215" s="1137">
        <v>1</v>
      </c>
      <c r="D215" s="929" t="s">
        <v>33</v>
      </c>
      <c r="E215" s="1137">
        <v>1</v>
      </c>
      <c r="F215" s="1137">
        <f>F171</f>
        <v>15.379999999999999</v>
      </c>
      <c r="G215" s="1140">
        <v>1.8</v>
      </c>
      <c r="H215" s="1137"/>
      <c r="I215" s="1140">
        <f>C215*E215*F215*G215</f>
        <v>27.683999999999997</v>
      </c>
      <c r="J215" s="1137"/>
      <c r="K215" s="1137"/>
    </row>
    <row r="216" spans="1:13">
      <c r="A216" s="1138"/>
      <c r="B216" s="1137" t="s">
        <v>2384</v>
      </c>
      <c r="C216" s="1137">
        <v>1</v>
      </c>
      <c r="D216" s="929" t="s">
        <v>33</v>
      </c>
      <c r="E216" s="1137">
        <v>2</v>
      </c>
      <c r="F216" s="1137">
        <v>1.21</v>
      </c>
      <c r="G216" s="1137">
        <v>0.23</v>
      </c>
      <c r="H216" s="1137"/>
      <c r="I216" s="1140">
        <f>C216*E216*F216*G216</f>
        <v>0.55659999999999998</v>
      </c>
      <c r="J216" s="1137"/>
      <c r="K216" s="1137"/>
    </row>
    <row r="217" spans="1:13">
      <c r="A217" s="1138"/>
      <c r="B217" s="1137" t="s">
        <v>2385</v>
      </c>
      <c r="C217" s="1137">
        <v>1</v>
      </c>
      <c r="D217" s="929" t="s">
        <v>33</v>
      </c>
      <c r="E217" s="1137">
        <v>1</v>
      </c>
      <c r="F217" s="1140">
        <v>3.3</v>
      </c>
      <c r="G217" s="1137">
        <v>1.5</v>
      </c>
      <c r="H217" s="1137"/>
      <c r="I217" s="1140">
        <f>C217*E217*F217*G217</f>
        <v>4.9499999999999993</v>
      </c>
      <c r="J217" s="1137"/>
      <c r="K217" s="1137"/>
    </row>
    <row r="218" spans="1:13">
      <c r="A218" s="1138"/>
      <c r="B218" s="1137"/>
      <c r="C218" s="1137"/>
      <c r="E218" s="1137"/>
      <c r="F218" s="1137"/>
      <c r="G218" s="1137"/>
      <c r="H218" s="1137"/>
      <c r="I218" s="1140">
        <f>SUM(I214:I217)</f>
        <v>92.726600000000005</v>
      </c>
      <c r="J218" s="1137"/>
      <c r="K218" s="1137"/>
    </row>
    <row r="219" spans="1:13" ht="14.1">
      <c r="A219" s="1138"/>
      <c r="B219" s="1137"/>
      <c r="C219" s="1137"/>
      <c r="E219" s="1137"/>
      <c r="F219" s="1137"/>
      <c r="G219" s="1137"/>
      <c r="H219" s="1137"/>
      <c r="I219" s="1143">
        <v>82</v>
      </c>
      <c r="J219" s="1144" t="s">
        <v>461</v>
      </c>
      <c r="K219" s="1145"/>
      <c r="M219" s="1134" t="s">
        <v>461</v>
      </c>
    </row>
    <row r="220" spans="1:13" ht="14.1">
      <c r="A220" s="1138"/>
      <c r="B220" s="1137"/>
      <c r="C220" s="1137"/>
      <c r="E220" s="1137"/>
      <c r="F220" s="1137"/>
      <c r="G220" s="1137"/>
      <c r="H220" s="1137"/>
      <c r="I220" s="1144"/>
      <c r="J220" s="1144"/>
      <c r="K220" s="1137"/>
    </row>
    <row r="221" spans="1:13">
      <c r="A221" s="1138">
        <v>13</v>
      </c>
      <c r="B221" s="1614" t="s">
        <v>1200</v>
      </c>
      <c r="C221" s="1614"/>
      <c r="D221" s="1614"/>
      <c r="E221" s="1614"/>
      <c r="F221" s="1614"/>
      <c r="G221" s="1614"/>
      <c r="H221" s="1137"/>
      <c r="I221" s="1137"/>
      <c r="J221" s="1137"/>
    </row>
    <row r="222" spans="1:13" ht="14.1">
      <c r="A222" s="1135" t="s">
        <v>469</v>
      </c>
      <c r="B222" s="1137" t="s">
        <v>2396</v>
      </c>
      <c r="C222" s="1137">
        <v>2</v>
      </c>
      <c r="D222" s="929" t="s">
        <v>33</v>
      </c>
      <c r="E222" s="1137">
        <v>12</v>
      </c>
      <c r="F222" s="1140">
        <v>1.5</v>
      </c>
      <c r="G222" s="1137"/>
      <c r="H222" s="1137">
        <v>0.15</v>
      </c>
      <c r="I222" s="1145">
        <f>C222*E222*F222*H222</f>
        <v>5.3999999999999995</v>
      </c>
      <c r="J222" s="1144" t="s">
        <v>461</v>
      </c>
      <c r="K222" s="1145"/>
      <c r="M222" s="1134" t="s">
        <v>461</v>
      </c>
    </row>
    <row r="223" spans="1:13" ht="14.1">
      <c r="A223" s="1138"/>
      <c r="B223" s="1137"/>
      <c r="C223" s="1137"/>
      <c r="E223" s="1137"/>
      <c r="F223" s="1137"/>
      <c r="G223" s="1137"/>
      <c r="H223" s="1137"/>
      <c r="I223" s="1144"/>
      <c r="J223" s="1144"/>
      <c r="K223" s="1144"/>
    </row>
    <row r="224" spans="1:13">
      <c r="A224" s="1138"/>
      <c r="B224" s="1137"/>
      <c r="C224" s="1137"/>
      <c r="E224" s="1137"/>
      <c r="F224" s="1137"/>
      <c r="G224" s="1137"/>
      <c r="H224" s="1137"/>
      <c r="I224" s="1137"/>
      <c r="J224" s="1137"/>
      <c r="K224" s="1137"/>
    </row>
    <row r="225" spans="1:13" ht="14.1">
      <c r="A225" s="1135" t="s">
        <v>1</v>
      </c>
      <c r="B225" s="1137" t="s">
        <v>2397</v>
      </c>
      <c r="C225" s="1137">
        <v>2</v>
      </c>
      <c r="D225" s="929" t="s">
        <v>33</v>
      </c>
      <c r="E225" s="1137">
        <v>12</v>
      </c>
      <c r="F225" s="1140">
        <v>1.5</v>
      </c>
      <c r="G225" s="1140">
        <v>0.3</v>
      </c>
      <c r="H225" s="1137"/>
      <c r="I225" s="1145">
        <f>C225*E225*F225*G225</f>
        <v>10.799999999999999</v>
      </c>
      <c r="J225" s="1144" t="s">
        <v>461</v>
      </c>
      <c r="K225" s="1145"/>
      <c r="M225" s="1134" t="s">
        <v>461</v>
      </c>
    </row>
    <row r="226" spans="1:13" ht="14.1">
      <c r="A226" s="1138"/>
      <c r="B226" s="1137"/>
      <c r="C226" s="1137"/>
      <c r="E226" s="1137"/>
      <c r="F226" s="1137"/>
      <c r="G226" s="1137"/>
      <c r="H226" s="1137"/>
      <c r="I226" s="1144"/>
      <c r="J226" s="1144"/>
      <c r="K226" s="1144"/>
    </row>
    <row r="227" spans="1:13">
      <c r="A227" s="1138">
        <v>12</v>
      </c>
      <c r="B227" s="1614" t="s">
        <v>2386</v>
      </c>
      <c r="C227" s="1614"/>
      <c r="D227" s="1614"/>
      <c r="E227" s="1614"/>
      <c r="F227" s="1614"/>
      <c r="G227" s="1614"/>
      <c r="H227" s="1137"/>
      <c r="I227" s="1137"/>
      <c r="J227" s="1137"/>
    </row>
    <row r="228" spans="1:13" ht="14.1">
      <c r="A228" s="1138"/>
      <c r="B228" s="1137" t="s">
        <v>2387</v>
      </c>
      <c r="C228" s="1137">
        <v>1</v>
      </c>
      <c r="D228" s="929" t="s">
        <v>33</v>
      </c>
      <c r="E228" s="1137">
        <v>1</v>
      </c>
      <c r="F228" s="1137"/>
      <c r="G228" s="1137"/>
      <c r="H228" s="1137"/>
      <c r="I228" s="1151">
        <f>C228*E228</f>
        <v>1</v>
      </c>
      <c r="J228" s="1144" t="s">
        <v>329</v>
      </c>
      <c r="K228" s="1145"/>
      <c r="M228" s="1134" t="s">
        <v>329</v>
      </c>
    </row>
    <row r="229" spans="1:13" ht="14.1">
      <c r="A229" s="1138"/>
      <c r="B229" s="1137"/>
      <c r="C229" s="1137"/>
      <c r="E229" s="1137"/>
      <c r="F229" s="1137"/>
      <c r="G229" s="1137"/>
      <c r="H229" s="1137"/>
      <c r="I229" s="1144"/>
      <c r="J229" s="1144"/>
      <c r="K229" s="1144"/>
    </row>
    <row r="230" spans="1:13">
      <c r="A230" s="1138">
        <v>13</v>
      </c>
      <c r="B230" s="1614" t="s">
        <v>2388</v>
      </c>
      <c r="C230" s="1614"/>
      <c r="D230" s="1614"/>
      <c r="E230" s="1614"/>
      <c r="F230" s="1614"/>
      <c r="G230" s="1614"/>
      <c r="H230" s="1137"/>
      <c r="I230" s="1137"/>
      <c r="J230" s="1137"/>
    </row>
    <row r="231" spans="1:13" ht="14.1">
      <c r="A231" s="1138"/>
      <c r="B231" s="1137" t="s">
        <v>2389</v>
      </c>
      <c r="C231" s="1137">
        <v>1</v>
      </c>
      <c r="D231" s="929" t="s">
        <v>33</v>
      </c>
      <c r="E231" s="1137">
        <v>2</v>
      </c>
      <c r="F231" s="1137"/>
      <c r="G231" s="1137"/>
      <c r="H231" s="1137"/>
      <c r="I231" s="1144">
        <f>C231*E231</f>
        <v>2</v>
      </c>
      <c r="J231" s="1144" t="s">
        <v>329</v>
      </c>
      <c r="K231" s="1145"/>
      <c r="M231" s="1134" t="s">
        <v>329</v>
      </c>
    </row>
    <row r="232" spans="1:13" ht="14.1">
      <c r="A232" s="1138"/>
      <c r="B232" s="1137"/>
      <c r="C232" s="1137"/>
      <c r="E232" s="1137"/>
      <c r="F232" s="1137"/>
      <c r="G232" s="1137"/>
      <c r="H232" s="1137"/>
      <c r="I232" s="1144"/>
      <c r="J232" s="1144"/>
      <c r="K232" s="1144"/>
    </row>
    <row r="233" spans="1:13">
      <c r="A233" s="1138">
        <v>14</v>
      </c>
      <c r="B233" s="1614" t="s">
        <v>2390</v>
      </c>
      <c r="C233" s="1614"/>
      <c r="D233" s="1614"/>
      <c r="E233" s="1614"/>
      <c r="F233" s="1614"/>
      <c r="G233" s="1614"/>
      <c r="H233" s="1137"/>
      <c r="I233" s="1137"/>
      <c r="J233" s="1137"/>
    </row>
    <row r="234" spans="1:13">
      <c r="A234" s="1138"/>
      <c r="B234" s="1137" t="s">
        <v>2363</v>
      </c>
      <c r="C234" s="1137">
        <v>1</v>
      </c>
      <c r="D234" s="929" t="s">
        <v>33</v>
      </c>
      <c r="E234" s="1137">
        <v>1</v>
      </c>
      <c r="F234" s="1140">
        <v>6.1</v>
      </c>
      <c r="G234" s="1137">
        <v>4.88</v>
      </c>
      <c r="H234" s="1137"/>
      <c r="I234" s="1140">
        <f t="shared" ref="I234:I239" si="16">C234*E234*F234*G234</f>
        <v>29.767999999999997</v>
      </c>
      <c r="J234" s="1137"/>
      <c r="K234" s="1137"/>
    </row>
    <row r="235" spans="1:13">
      <c r="A235" s="1138"/>
      <c r="B235" s="1137" t="s">
        <v>2364</v>
      </c>
      <c r="C235" s="1137">
        <v>1</v>
      </c>
      <c r="D235" s="929" t="s">
        <v>33</v>
      </c>
      <c r="E235" s="1137">
        <v>1</v>
      </c>
      <c r="F235" s="1137">
        <f>3+3.17+3.17+3.17+3.17-0.3</f>
        <v>15.379999999999999</v>
      </c>
      <c r="G235" s="1140">
        <v>1.8</v>
      </c>
      <c r="H235" s="1137"/>
      <c r="I235" s="1140">
        <f t="shared" si="16"/>
        <v>27.683999999999997</v>
      </c>
      <c r="J235" s="1137"/>
      <c r="K235" s="1137"/>
    </row>
    <row r="236" spans="1:13">
      <c r="A236" s="1138"/>
      <c r="B236" s="1137" t="s">
        <v>2254</v>
      </c>
      <c r="C236" s="1137">
        <v>2</v>
      </c>
      <c r="D236" s="929" t="s">
        <v>33</v>
      </c>
      <c r="E236" s="1137">
        <v>2</v>
      </c>
      <c r="F236" s="1137">
        <v>4.88</v>
      </c>
      <c r="G236" s="1140">
        <f>0.495-0.115</f>
        <v>0.38</v>
      </c>
      <c r="H236" s="1137"/>
      <c r="I236" s="1140">
        <f t="shared" si="16"/>
        <v>7.4176000000000002</v>
      </c>
      <c r="J236" s="1137"/>
      <c r="K236" s="1137"/>
    </row>
    <row r="237" spans="1:13">
      <c r="A237" s="1138"/>
      <c r="B237" s="1137"/>
      <c r="C237" s="1137">
        <v>1</v>
      </c>
      <c r="D237" s="929" t="s">
        <v>33</v>
      </c>
      <c r="E237" s="1137">
        <v>3</v>
      </c>
      <c r="F237" s="1140">
        <v>1.8</v>
      </c>
      <c r="G237" s="1140">
        <v>0.23</v>
      </c>
      <c r="H237" s="1137"/>
      <c r="I237" s="1140">
        <f t="shared" si="16"/>
        <v>1.2420000000000002</v>
      </c>
      <c r="J237" s="1137"/>
      <c r="K237" s="1137"/>
    </row>
    <row r="238" spans="1:13">
      <c r="A238" s="1138"/>
      <c r="B238" s="1137" t="s">
        <v>2365</v>
      </c>
      <c r="C238" s="1137">
        <v>1</v>
      </c>
      <c r="D238" s="929" t="s">
        <v>33</v>
      </c>
      <c r="E238" s="1137">
        <v>2</v>
      </c>
      <c r="F238" s="1137">
        <v>3.6</v>
      </c>
      <c r="G238" s="1140">
        <v>1.5</v>
      </c>
      <c r="H238" s="1137"/>
      <c r="I238" s="1140">
        <f t="shared" si="16"/>
        <v>10.8</v>
      </c>
      <c r="J238" s="1137"/>
      <c r="K238" s="1137"/>
    </row>
    <row r="239" spans="1:13">
      <c r="A239" s="1138"/>
      <c r="B239" s="1137" t="s">
        <v>2366</v>
      </c>
      <c r="C239" s="1137">
        <v>1</v>
      </c>
      <c r="D239" s="929" t="s">
        <v>33</v>
      </c>
      <c r="E239" s="1137">
        <v>1</v>
      </c>
      <c r="F239" s="1153">
        <v>3</v>
      </c>
      <c r="G239" s="1140">
        <v>1.5</v>
      </c>
      <c r="H239" s="1137"/>
      <c r="I239" s="1140">
        <f t="shared" si="16"/>
        <v>4.5</v>
      </c>
      <c r="J239" s="1137"/>
      <c r="K239" s="1137"/>
    </row>
    <row r="240" spans="1:13">
      <c r="A240" s="1138"/>
      <c r="B240" s="1137" t="s">
        <v>2391</v>
      </c>
      <c r="C240" s="1137"/>
      <c r="E240" s="1137"/>
      <c r="F240" s="1140"/>
      <c r="G240" s="1137"/>
      <c r="H240" s="1141"/>
      <c r="I240" s="1140"/>
      <c r="J240" s="1137"/>
      <c r="K240" s="1137"/>
    </row>
    <row r="241" spans="1:13">
      <c r="A241" s="1138"/>
      <c r="B241" s="1137" t="s">
        <v>2367</v>
      </c>
      <c r="C241" s="1137">
        <v>1</v>
      </c>
      <c r="D241" s="929" t="s">
        <v>33</v>
      </c>
      <c r="E241" s="1137">
        <v>2</v>
      </c>
      <c r="F241" s="1140">
        <v>4.88</v>
      </c>
      <c r="G241" s="1137"/>
      <c r="H241" s="1141">
        <f>3.6-0.125</f>
        <v>3.4750000000000001</v>
      </c>
      <c r="I241" s="1140">
        <f t="shared" ref="I241:I248" si="17">C241*E241*F241*H241</f>
        <v>33.915999999999997</v>
      </c>
      <c r="J241" s="1137"/>
      <c r="K241" s="1137"/>
    </row>
    <row r="242" spans="1:13">
      <c r="A242" s="1138"/>
      <c r="B242" s="1137" t="s">
        <v>2368</v>
      </c>
      <c r="C242" s="1137">
        <v>1</v>
      </c>
      <c r="D242" s="929" t="s">
        <v>33</v>
      </c>
      <c r="E242" s="1137">
        <v>2</v>
      </c>
      <c r="F242" s="1140">
        <v>6.1</v>
      </c>
      <c r="G242" s="1137"/>
      <c r="H242" s="1141">
        <f>3.6-0.125</f>
        <v>3.4750000000000001</v>
      </c>
      <c r="I242" s="1140">
        <f t="shared" si="17"/>
        <v>42.394999999999996</v>
      </c>
      <c r="J242" s="1137"/>
      <c r="K242" s="1137"/>
    </row>
    <row r="243" spans="1:13">
      <c r="A243" s="1138"/>
      <c r="B243" s="1137" t="s">
        <v>2369</v>
      </c>
      <c r="C243" s="1137">
        <v>1</v>
      </c>
      <c r="D243" s="929" t="s">
        <v>33</v>
      </c>
      <c r="E243" s="1137">
        <v>1</v>
      </c>
      <c r="F243" s="1140">
        <f>3.3+1.5+0.3</f>
        <v>5.0999999999999996</v>
      </c>
      <c r="G243" s="1137"/>
      <c r="H243" s="1140">
        <v>3.3</v>
      </c>
      <c r="I243" s="1140">
        <f t="shared" si="17"/>
        <v>16.829999999999998</v>
      </c>
      <c r="J243" s="1137"/>
      <c r="K243" s="1137"/>
    </row>
    <row r="244" spans="1:13">
      <c r="A244" s="1138"/>
      <c r="B244" s="1137"/>
      <c r="C244" s="1137">
        <v>1</v>
      </c>
      <c r="D244" s="929" t="s">
        <v>33</v>
      </c>
      <c r="E244" s="1137">
        <v>1</v>
      </c>
      <c r="F244" s="1137">
        <f>4.88+0.23</f>
        <v>5.1100000000000003</v>
      </c>
      <c r="G244" s="1137"/>
      <c r="H244" s="1137">
        <v>3.22</v>
      </c>
      <c r="I244" s="1140">
        <f t="shared" si="17"/>
        <v>16.454200000000004</v>
      </c>
      <c r="J244" s="1137"/>
      <c r="K244" s="1137"/>
    </row>
    <row r="245" spans="1:13">
      <c r="A245" s="1138"/>
      <c r="B245" s="1137" t="s">
        <v>2370</v>
      </c>
      <c r="C245" s="1137">
        <v>1</v>
      </c>
      <c r="D245" s="929" t="s">
        <v>33</v>
      </c>
      <c r="E245" s="1137">
        <v>1</v>
      </c>
      <c r="F245" s="1137">
        <f>E233</f>
        <v>0</v>
      </c>
      <c r="G245" s="1137"/>
      <c r="H245" s="1140">
        <v>1.2</v>
      </c>
      <c r="I245" s="1140">
        <f t="shared" si="17"/>
        <v>0</v>
      </c>
      <c r="J245" s="1137"/>
      <c r="K245" s="1137"/>
    </row>
    <row r="246" spans="1:13">
      <c r="A246" s="1138"/>
      <c r="B246" s="1137"/>
      <c r="C246" s="1137">
        <v>1</v>
      </c>
      <c r="D246" s="929" t="s">
        <v>33</v>
      </c>
      <c r="E246" s="1137">
        <v>2</v>
      </c>
      <c r="F246" s="1140">
        <v>1.8</v>
      </c>
      <c r="G246" s="1137"/>
      <c r="H246" s="1140">
        <v>1.2</v>
      </c>
      <c r="I246" s="1140">
        <f t="shared" si="17"/>
        <v>4.32</v>
      </c>
      <c r="J246" s="1137"/>
      <c r="K246" s="1137"/>
    </row>
    <row r="247" spans="1:13">
      <c r="A247" s="1138"/>
      <c r="B247" s="1137" t="s">
        <v>2371</v>
      </c>
      <c r="C247" s="1137">
        <v>2</v>
      </c>
      <c r="D247" s="929" t="s">
        <v>33</v>
      </c>
      <c r="E247" s="1137">
        <v>2</v>
      </c>
      <c r="F247" s="1137">
        <v>7.0000000000000007E-2</v>
      </c>
      <c r="G247" s="1137"/>
      <c r="H247" s="1141">
        <v>3.4750000000000001</v>
      </c>
      <c r="I247" s="1140">
        <f t="shared" si="17"/>
        <v>0.97300000000000009</v>
      </c>
      <c r="J247" s="1137"/>
      <c r="K247" s="1137"/>
    </row>
    <row r="248" spans="1:13">
      <c r="A248" s="1138"/>
      <c r="B248" s="1137" t="s">
        <v>2372</v>
      </c>
      <c r="C248" s="1137">
        <v>1</v>
      </c>
      <c r="D248" s="929" t="s">
        <v>33</v>
      </c>
      <c r="E248" s="1137">
        <v>5</v>
      </c>
      <c r="F248" s="1140">
        <v>0.9</v>
      </c>
      <c r="G248" s="1137"/>
      <c r="H248" s="1140">
        <f>3.6-0.355-1.2</f>
        <v>2.0449999999999999</v>
      </c>
      <c r="I248" s="1140">
        <f t="shared" si="17"/>
        <v>9.2025000000000006</v>
      </c>
      <c r="J248" s="1137"/>
      <c r="K248" s="1137"/>
    </row>
    <row r="249" spans="1:13">
      <c r="A249" s="1138"/>
      <c r="B249" s="1137" t="s">
        <v>2373</v>
      </c>
      <c r="C249" s="1137">
        <v>1</v>
      </c>
      <c r="D249" s="929" t="s">
        <v>33</v>
      </c>
      <c r="E249" s="1137">
        <v>1</v>
      </c>
      <c r="F249" s="1137">
        <f>F245</f>
        <v>0</v>
      </c>
      <c r="G249" s="1137">
        <v>0.23</v>
      </c>
      <c r="H249" s="1140"/>
      <c r="I249" s="1140">
        <f>C249*E249*F249*G249</f>
        <v>0</v>
      </c>
      <c r="J249" s="1137"/>
      <c r="K249" s="1137"/>
    </row>
    <row r="250" spans="1:13">
      <c r="A250" s="1138"/>
      <c r="B250" s="1137" t="s">
        <v>2374</v>
      </c>
      <c r="C250" s="1137">
        <v>-0.5</v>
      </c>
      <c r="D250" s="929" t="s">
        <v>33</v>
      </c>
      <c r="E250" s="1137">
        <v>5</v>
      </c>
      <c r="F250" s="1137">
        <v>0.23</v>
      </c>
      <c r="G250" s="1140">
        <v>0.23</v>
      </c>
      <c r="H250" s="1140"/>
      <c r="I250" s="1140">
        <f>C250*E250*F250*G250</f>
        <v>-0.13225000000000003</v>
      </c>
      <c r="J250" s="1137"/>
      <c r="K250" s="1137"/>
    </row>
    <row r="251" spans="1:13">
      <c r="A251" s="1138"/>
      <c r="B251" s="1137" t="s">
        <v>1537</v>
      </c>
      <c r="C251" s="1137">
        <v>-0.5</v>
      </c>
      <c r="D251" s="929" t="s">
        <v>33</v>
      </c>
      <c r="E251" s="1137">
        <v>2</v>
      </c>
      <c r="F251" s="1137">
        <v>1.21</v>
      </c>
      <c r="G251" s="1140"/>
      <c r="H251" s="1140">
        <v>2.1</v>
      </c>
      <c r="I251" s="1140">
        <f>C251*E251*F251*H251</f>
        <v>-2.5409999999999999</v>
      </c>
      <c r="J251" s="1137"/>
      <c r="K251" s="1137"/>
    </row>
    <row r="252" spans="1:13">
      <c r="A252" s="1138"/>
      <c r="B252" s="1137" t="s">
        <v>2344</v>
      </c>
      <c r="C252" s="1137">
        <v>-0.5</v>
      </c>
      <c r="D252" s="929" t="s">
        <v>33</v>
      </c>
      <c r="E252" s="1137">
        <v>6</v>
      </c>
      <c r="F252" s="1137">
        <v>1.51</v>
      </c>
      <c r="G252" s="1140"/>
      <c r="H252" s="1140">
        <v>1.37</v>
      </c>
      <c r="I252" s="1140">
        <f>C252*E252*F252*H252</f>
        <v>-6.2061000000000011</v>
      </c>
      <c r="J252" s="1137"/>
      <c r="K252" s="1137"/>
    </row>
    <row r="253" spans="1:13">
      <c r="A253" s="1138"/>
      <c r="B253" s="1137" t="s">
        <v>1592</v>
      </c>
      <c r="C253" s="1137">
        <v>-0.5</v>
      </c>
      <c r="D253" s="929" t="s">
        <v>33</v>
      </c>
      <c r="E253" s="1137">
        <v>8</v>
      </c>
      <c r="F253" s="1140">
        <v>0.6</v>
      </c>
      <c r="G253" s="1140"/>
      <c r="H253" s="1140">
        <v>0.3</v>
      </c>
      <c r="I253" s="1140">
        <f>C253*E253*F253*H253</f>
        <v>-0.72</v>
      </c>
      <c r="J253" s="1137"/>
      <c r="K253" s="1137"/>
    </row>
    <row r="254" spans="1:13" ht="14.1">
      <c r="A254" s="1138"/>
      <c r="B254" s="1137"/>
      <c r="C254" s="1137"/>
      <c r="E254" s="1137"/>
      <c r="F254" s="1137"/>
      <c r="G254" s="1137"/>
      <c r="H254" s="1137"/>
      <c r="I254" s="1145">
        <f>SUM(I234:I253)</f>
        <v>195.90295</v>
      </c>
      <c r="J254" s="1144" t="s">
        <v>461</v>
      </c>
      <c r="K254" s="1145"/>
      <c r="M254" s="1134" t="s">
        <v>461</v>
      </c>
    </row>
    <row r="255" spans="1:13" ht="14.1">
      <c r="A255" s="1138"/>
      <c r="B255" s="1137"/>
      <c r="C255" s="1137"/>
      <c r="E255" s="1137"/>
      <c r="F255" s="1137"/>
      <c r="G255" s="1137"/>
      <c r="H255" s="1137"/>
      <c r="I255" s="1144"/>
      <c r="J255" s="1144"/>
      <c r="K255" s="1144"/>
    </row>
    <row r="256" spans="1:13">
      <c r="A256" s="1138">
        <v>15</v>
      </c>
      <c r="B256" s="1614" t="s">
        <v>2392</v>
      </c>
      <c r="C256" s="1614"/>
      <c r="D256" s="1614"/>
      <c r="E256" s="1614"/>
      <c r="F256" s="1614"/>
      <c r="G256" s="1614"/>
      <c r="H256" s="1137"/>
      <c r="I256" s="1137"/>
      <c r="J256" s="1137"/>
    </row>
    <row r="257" spans="1:13" ht="14.1">
      <c r="A257" s="1138"/>
      <c r="B257" s="1146" t="s">
        <v>2393</v>
      </c>
      <c r="C257" s="1137"/>
      <c r="D257" s="1137"/>
      <c r="E257" s="1137"/>
      <c r="F257" s="1137"/>
      <c r="G257" s="1137"/>
      <c r="H257" s="1144"/>
      <c r="I257" s="1144"/>
      <c r="J257" s="1144"/>
    </row>
    <row r="258" spans="1:13" ht="14.1">
      <c r="A258" s="1138"/>
      <c r="B258" s="1137" t="s">
        <v>2376</v>
      </c>
      <c r="C258" s="1137">
        <v>1</v>
      </c>
      <c r="D258" s="929" t="s">
        <v>33</v>
      </c>
      <c r="E258" s="1137">
        <v>2</v>
      </c>
      <c r="F258" s="1137">
        <f>3.17+3.17+3.3+0.3</f>
        <v>9.9400000000000013</v>
      </c>
      <c r="G258" s="1137"/>
      <c r="H258" s="1140">
        <v>3.6</v>
      </c>
      <c r="I258" s="1140">
        <f>C258*E258*F258*H258</f>
        <v>71.568000000000012</v>
      </c>
      <c r="J258" s="1144"/>
      <c r="K258" s="1144"/>
    </row>
    <row r="259" spans="1:13" ht="14.1">
      <c r="A259" s="1138"/>
      <c r="B259" s="1137" t="s">
        <v>2377</v>
      </c>
      <c r="C259" s="1137">
        <v>1</v>
      </c>
      <c r="D259" s="929" t="s">
        <v>33</v>
      </c>
      <c r="E259" s="1137">
        <v>2</v>
      </c>
      <c r="F259" s="1137">
        <f>F169-0.6</f>
        <v>-0.6</v>
      </c>
      <c r="G259" s="1137"/>
      <c r="H259" s="1140">
        <v>3.6</v>
      </c>
      <c r="I259" s="1140">
        <f>C259*E259*F259*H259</f>
        <v>-4.32</v>
      </c>
      <c r="J259" s="1144"/>
      <c r="K259" s="1144"/>
    </row>
    <row r="260" spans="1:13" ht="14.1">
      <c r="A260" s="1138"/>
      <c r="B260" s="1137" t="s">
        <v>2370</v>
      </c>
      <c r="C260" s="1137">
        <v>1</v>
      </c>
      <c r="D260" s="929" t="s">
        <v>33</v>
      </c>
      <c r="E260" s="1137">
        <v>1</v>
      </c>
      <c r="F260" s="1137">
        <f>6.1+6.1+0.69</f>
        <v>12.889999999999999</v>
      </c>
      <c r="G260" s="1137"/>
      <c r="H260" s="1141">
        <v>3.4750000000000001</v>
      </c>
      <c r="I260" s="1140">
        <f>C260*E260*F260*H260</f>
        <v>44.792749999999998</v>
      </c>
      <c r="J260" s="1144"/>
      <c r="K260" s="1144"/>
    </row>
    <row r="261" spans="1:13" ht="14.1">
      <c r="A261" s="1138"/>
      <c r="B261" s="1137" t="s">
        <v>2367</v>
      </c>
      <c r="C261" s="1137">
        <v>1</v>
      </c>
      <c r="D261" s="929" t="s">
        <v>33</v>
      </c>
      <c r="E261" s="1137">
        <v>1</v>
      </c>
      <c r="F261" s="1140">
        <v>4.88</v>
      </c>
      <c r="G261" s="1137"/>
      <c r="H261" s="1141">
        <f>3.6-0.125</f>
        <v>3.4750000000000001</v>
      </c>
      <c r="I261" s="1140">
        <f>C261*E261*F261*H261</f>
        <v>16.957999999999998</v>
      </c>
      <c r="J261" s="1144"/>
      <c r="K261" s="1144"/>
    </row>
    <row r="262" spans="1:13" ht="14.1">
      <c r="A262" s="1138"/>
      <c r="B262" s="1137"/>
      <c r="C262" s="1137">
        <v>1</v>
      </c>
      <c r="D262" s="929" t="s">
        <v>33</v>
      </c>
      <c r="E262" s="1137">
        <v>1</v>
      </c>
      <c r="F262" s="1137">
        <f>4.88+0.23</f>
        <v>5.1100000000000003</v>
      </c>
      <c r="G262" s="1137"/>
      <c r="H262" s="1140">
        <v>3.22</v>
      </c>
      <c r="I262" s="1140">
        <f>C262*E262*F262*H262</f>
        <v>16.454200000000004</v>
      </c>
      <c r="J262" s="1144"/>
      <c r="K262" s="1144"/>
    </row>
    <row r="263" spans="1:13" ht="14.1">
      <c r="A263" s="1138"/>
      <c r="B263" s="1137" t="s">
        <v>2378</v>
      </c>
      <c r="C263" s="1137">
        <v>1</v>
      </c>
      <c r="D263" s="929" t="s">
        <v>33</v>
      </c>
      <c r="E263" s="1137">
        <v>1</v>
      </c>
      <c r="F263" s="1137">
        <f>E169+E169+F169+F169</f>
        <v>0</v>
      </c>
      <c r="G263" s="1140">
        <v>0.3</v>
      </c>
      <c r="H263" s="1140"/>
      <c r="I263" s="1140">
        <f>C263*E263*F263*G263</f>
        <v>0</v>
      </c>
      <c r="J263" s="1144"/>
      <c r="K263" s="1144"/>
    </row>
    <row r="264" spans="1:13" ht="14.1">
      <c r="A264" s="1138"/>
      <c r="B264" s="1137" t="s">
        <v>2371</v>
      </c>
      <c r="C264" s="1137">
        <v>3</v>
      </c>
      <c r="D264" s="929" t="s">
        <v>33</v>
      </c>
      <c r="E264" s="1137">
        <v>2</v>
      </c>
      <c r="F264" s="1137">
        <f>0.07</f>
        <v>7.0000000000000007E-2</v>
      </c>
      <c r="G264" s="1137"/>
      <c r="H264" s="1140">
        <v>3.6</v>
      </c>
      <c r="I264" s="1140">
        <f t="shared" ref="I264:I270" si="18">C264*E264*F264*H264</f>
        <v>1.5120000000000002</v>
      </c>
      <c r="J264" s="1144"/>
      <c r="K264" s="1144"/>
    </row>
    <row r="265" spans="1:13" ht="14.1">
      <c r="A265" s="1138"/>
      <c r="B265" s="1137"/>
      <c r="C265" s="1137">
        <v>3</v>
      </c>
      <c r="D265" s="929" t="s">
        <v>33</v>
      </c>
      <c r="E265" s="1137">
        <v>2</v>
      </c>
      <c r="F265" s="1137">
        <f>0.45-0.23</f>
        <v>0.22</v>
      </c>
      <c r="G265" s="1137"/>
      <c r="H265" s="1140">
        <v>3.6</v>
      </c>
      <c r="I265" s="1140">
        <f t="shared" si="18"/>
        <v>4.7520000000000007</v>
      </c>
      <c r="J265" s="1144"/>
      <c r="K265" s="1144"/>
    </row>
    <row r="266" spans="1:13" ht="14.1">
      <c r="A266" s="1138"/>
      <c r="B266" s="1137"/>
      <c r="C266" s="1137">
        <v>2</v>
      </c>
      <c r="D266" s="929" t="s">
        <v>33</v>
      </c>
      <c r="E266" s="1137">
        <v>2</v>
      </c>
      <c r="F266" s="1137">
        <v>7.0000000000000007E-2</v>
      </c>
      <c r="G266" s="1137"/>
      <c r="H266" s="1140">
        <v>3.6</v>
      </c>
      <c r="I266" s="1140">
        <f t="shared" si="18"/>
        <v>1.0080000000000002</v>
      </c>
      <c r="J266" s="1144"/>
      <c r="K266" s="1144"/>
    </row>
    <row r="267" spans="1:13" ht="14.1">
      <c r="A267" s="1138"/>
      <c r="B267" s="1137" t="s">
        <v>2395</v>
      </c>
      <c r="C267" s="1137">
        <v>-0.5</v>
      </c>
      <c r="D267" s="929" t="s">
        <v>33</v>
      </c>
      <c r="E267" s="1137">
        <v>2</v>
      </c>
      <c r="F267" s="1140">
        <v>1.21</v>
      </c>
      <c r="G267" s="1137"/>
      <c r="H267" s="1140">
        <v>2.1</v>
      </c>
      <c r="I267" s="1140">
        <f t="shared" si="18"/>
        <v>-2.5409999999999999</v>
      </c>
      <c r="J267" s="1144"/>
      <c r="K267" s="1144"/>
    </row>
    <row r="268" spans="1:13">
      <c r="A268" s="1138"/>
      <c r="B268" s="1137" t="s">
        <v>2379</v>
      </c>
      <c r="C268" s="1137">
        <v>-0.5</v>
      </c>
      <c r="D268" s="929" t="s">
        <v>33</v>
      </c>
      <c r="E268" s="1137">
        <v>6</v>
      </c>
      <c r="F268" s="1140">
        <v>1.51</v>
      </c>
      <c r="G268" s="1137"/>
      <c r="H268" s="1140">
        <v>1.37</v>
      </c>
      <c r="I268" s="1140">
        <f t="shared" si="18"/>
        <v>-6.2061000000000011</v>
      </c>
      <c r="J268" s="1137"/>
      <c r="K268" s="1137"/>
    </row>
    <row r="269" spans="1:13">
      <c r="A269" s="1138"/>
      <c r="B269" s="1137" t="s">
        <v>1592</v>
      </c>
      <c r="C269" s="1137">
        <v>-0.5</v>
      </c>
      <c r="D269" s="929" t="s">
        <v>33</v>
      </c>
      <c r="E269" s="1137">
        <v>8</v>
      </c>
      <c r="F269" s="1140">
        <v>0.6</v>
      </c>
      <c r="G269" s="1137"/>
      <c r="H269" s="1140">
        <v>0.3</v>
      </c>
      <c r="I269" s="1140">
        <f t="shared" si="18"/>
        <v>-0.72</v>
      </c>
      <c r="J269" s="1137"/>
      <c r="K269" s="1137"/>
    </row>
    <row r="270" spans="1:13">
      <c r="A270" s="1138"/>
      <c r="B270" s="1137" t="s">
        <v>2380</v>
      </c>
      <c r="C270" s="1137">
        <v>-1</v>
      </c>
      <c r="D270" s="929" t="s">
        <v>33</v>
      </c>
      <c r="E270" s="1137">
        <v>5</v>
      </c>
      <c r="F270" s="1140">
        <f>3.17-0.13</f>
        <v>3.04</v>
      </c>
      <c r="G270" s="1137"/>
      <c r="H270" s="1140">
        <v>2.0499999999999998</v>
      </c>
      <c r="I270" s="1140">
        <f t="shared" si="18"/>
        <v>-31.159999999999997</v>
      </c>
      <c r="J270" s="1137"/>
      <c r="K270" s="1137"/>
    </row>
    <row r="271" spans="1:13">
      <c r="A271" s="1138"/>
      <c r="B271" s="1137"/>
      <c r="C271" s="1137"/>
      <c r="E271" s="1137"/>
      <c r="F271" s="1140"/>
      <c r="G271" s="1137"/>
      <c r="H271" s="1140"/>
      <c r="I271" s="1140">
        <f>SUM(I258:I270)</f>
        <v>112.09785000000008</v>
      </c>
      <c r="J271" s="1137"/>
      <c r="K271" s="1137"/>
    </row>
    <row r="272" spans="1:13" ht="14.1">
      <c r="A272" s="1138"/>
      <c r="B272" s="1137"/>
      <c r="C272" s="1137"/>
      <c r="E272" s="1137"/>
      <c r="F272" s="1137"/>
      <c r="G272" s="1137"/>
      <c r="H272" s="1137"/>
      <c r="I272" s="1143">
        <f>SUM(I258:I271)</f>
        <v>224.19570000000016</v>
      </c>
      <c r="J272" s="1144" t="s">
        <v>461</v>
      </c>
      <c r="K272" s="1145"/>
      <c r="M272" s="1134" t="s">
        <v>461</v>
      </c>
    </row>
    <row r="273" spans="1:11" ht="14.1">
      <c r="A273" s="1138"/>
      <c r="B273" s="1137"/>
      <c r="C273" s="1137"/>
      <c r="E273" s="1137"/>
      <c r="F273" s="1137"/>
      <c r="G273" s="1137"/>
      <c r="H273" s="1140"/>
      <c r="I273" s="1144"/>
      <c r="J273" s="1144"/>
      <c r="K273" s="1146"/>
    </row>
    <row r="274" spans="1:11" ht="14.1">
      <c r="A274" s="1138"/>
      <c r="B274" s="1137"/>
      <c r="C274" s="1137"/>
      <c r="D274" s="1137"/>
      <c r="E274" s="1137"/>
      <c r="F274" s="1137"/>
      <c r="G274" s="1137"/>
      <c r="H274" s="1144"/>
      <c r="I274" s="1144"/>
      <c r="J274" s="1144"/>
    </row>
    <row r="275" spans="1:11" ht="14.1">
      <c r="A275" s="1138"/>
      <c r="B275" s="1146" t="s">
        <v>2394</v>
      </c>
      <c r="C275" s="1137"/>
      <c r="D275" s="1137"/>
      <c r="E275" s="1137"/>
      <c r="F275" s="1137"/>
      <c r="G275" s="1137"/>
      <c r="H275" s="1137"/>
      <c r="I275" s="1137"/>
      <c r="J275" s="1143">
        <f>SUM(J76:J274)</f>
        <v>0</v>
      </c>
    </row>
  </sheetData>
  <mergeCells count="30">
    <mergeCell ref="B59:M59"/>
    <mergeCell ref="B65:M65"/>
    <mergeCell ref="B66:G66"/>
    <mergeCell ref="B69:M69"/>
    <mergeCell ref="B108:M108"/>
    <mergeCell ref="B256:G256"/>
    <mergeCell ref="B3:M3"/>
    <mergeCell ref="V5:Z5"/>
    <mergeCell ref="B6:H6"/>
    <mergeCell ref="B13:M13"/>
    <mergeCell ref="B18:M18"/>
    <mergeCell ref="B29:I29"/>
    <mergeCell ref="B34:M34"/>
    <mergeCell ref="B35:H35"/>
    <mergeCell ref="B48:M48"/>
    <mergeCell ref="B209:G209"/>
    <mergeCell ref="B213:G213"/>
    <mergeCell ref="B221:G221"/>
    <mergeCell ref="B227:G227"/>
    <mergeCell ref="B230:G230"/>
    <mergeCell ref="B233:G233"/>
    <mergeCell ref="B178:G178"/>
    <mergeCell ref="B121:G121"/>
    <mergeCell ref="B139:G139"/>
    <mergeCell ref="B111:M111"/>
    <mergeCell ref="B142:G142"/>
    <mergeCell ref="B152:G152"/>
    <mergeCell ref="B157:G157"/>
    <mergeCell ref="B163:G163"/>
    <mergeCell ref="B169:G169"/>
  </mergeCells>
  <pageMargins left="0.7" right="0.7" top="0.75" bottom="0.75" header="0.3" footer="0.3"/>
  <pageSetup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I1622"/>
  <sheetViews>
    <sheetView topLeftCell="A1285" workbookViewId="0">
      <selection activeCell="C1618" sqref="C1618:C1620"/>
    </sheetView>
  </sheetViews>
  <sheetFormatPr defaultColWidth="9.15625" defaultRowHeight="13.8"/>
  <cols>
    <col min="1" max="1" width="4.68359375" style="978" customWidth="1"/>
    <col min="2" max="2" width="42.15625" style="978" customWidth="1"/>
    <col min="3" max="3" width="9.68359375" style="950" customWidth="1"/>
    <col min="4" max="4" width="9.68359375" style="978" customWidth="1"/>
    <col min="5" max="5" width="8.578125" style="978" customWidth="1"/>
    <col min="6" max="6" width="8.26171875" style="978" customWidth="1"/>
    <col min="7" max="7" width="11.15625" style="978" bestFit="1" customWidth="1"/>
    <col min="8" max="8" width="9.15625" style="950"/>
    <col min="9" max="9" width="7.68359375" style="950" customWidth="1"/>
    <col min="10" max="16384" width="9.15625" style="950"/>
  </cols>
  <sheetData>
    <row r="1" spans="1:7" ht="14.1">
      <c r="A1" s="1613" t="s">
        <v>2257</v>
      </c>
      <c r="B1" s="1613"/>
      <c r="C1" s="1613"/>
      <c r="D1" s="1613"/>
      <c r="E1" s="1613"/>
      <c r="F1" s="1613"/>
      <c r="G1" s="1613"/>
    </row>
    <row r="2" spans="1:7">
      <c r="A2" s="951"/>
      <c r="B2" s="951"/>
      <c r="C2" s="952"/>
      <c r="D2" s="951"/>
      <c r="E2" s="951"/>
      <c r="F2" s="951"/>
      <c r="G2" s="951"/>
    </row>
    <row r="3" spans="1:7" s="954" customFormat="1" ht="14.1">
      <c r="A3" s="953">
        <v>1</v>
      </c>
      <c r="B3" s="1611" t="s">
        <v>2258</v>
      </c>
      <c r="C3" s="1611"/>
      <c r="D3" s="1611"/>
      <c r="E3" s="1611"/>
      <c r="F3" s="1611"/>
      <c r="G3" s="1611"/>
    </row>
    <row r="4" spans="1:7" s="954" customFormat="1" ht="14.1">
      <c r="A4" s="955"/>
      <c r="B4" s="956" t="s">
        <v>2259</v>
      </c>
      <c r="C4" s="957">
        <v>3.5</v>
      </c>
      <c r="D4" s="957">
        <v>1.2</v>
      </c>
      <c r="E4" s="1230">
        <f>C4*D4</f>
        <v>4.2</v>
      </c>
      <c r="F4" s="958" t="s">
        <v>547</v>
      </c>
      <c r="G4" s="958"/>
    </row>
    <row r="5" spans="1:7" s="954" customFormat="1" ht="14.1">
      <c r="A5" s="955"/>
      <c r="B5" s="1229"/>
      <c r="C5" s="959"/>
      <c r="D5" s="958"/>
      <c r="E5" s="960"/>
      <c r="F5" s="958"/>
      <c r="G5" s="958"/>
    </row>
    <row r="6" spans="1:7" s="954" customFormat="1" ht="14.1">
      <c r="A6" s="955"/>
      <c r="B6" s="961" t="s">
        <v>2260</v>
      </c>
      <c r="C6" s="959"/>
      <c r="D6" s="958"/>
      <c r="E6" s="960"/>
      <c r="F6" s="958"/>
      <c r="G6" s="958"/>
    </row>
    <row r="7" spans="1:7" s="954" customFormat="1" ht="14.1">
      <c r="A7" s="955"/>
      <c r="B7" s="1229" t="s">
        <v>2261</v>
      </c>
      <c r="C7" s="960">
        <v>2</v>
      </c>
      <c r="D7" s="957">
        <v>1.2</v>
      </c>
      <c r="E7" s="957">
        <f>C7*D7</f>
        <v>2.4</v>
      </c>
      <c r="F7" s="962"/>
      <c r="G7" s="958"/>
    </row>
    <row r="8" spans="1:7" s="954" customFormat="1" ht="14.1">
      <c r="A8" s="955"/>
      <c r="B8" s="1229" t="s">
        <v>1475</v>
      </c>
      <c r="C8" s="960">
        <v>2</v>
      </c>
      <c r="D8" s="957">
        <v>3.5</v>
      </c>
      <c r="E8" s="957">
        <f>C8*D8</f>
        <v>7</v>
      </c>
      <c r="F8" s="962"/>
      <c r="G8" s="958"/>
    </row>
    <row r="9" spans="1:7" s="954" customFormat="1" ht="14.1">
      <c r="A9" s="955"/>
      <c r="B9" s="1229" t="s">
        <v>1510</v>
      </c>
      <c r="C9" s="960">
        <v>4</v>
      </c>
      <c r="D9" s="957">
        <v>0.23</v>
      </c>
      <c r="E9" s="957">
        <f>C9*D9</f>
        <v>0.92</v>
      </c>
      <c r="F9" s="962"/>
      <c r="G9" s="958"/>
    </row>
    <row r="10" spans="1:7" s="954" customFormat="1" ht="14.1">
      <c r="A10" s="955"/>
      <c r="B10" s="1229"/>
      <c r="C10" s="960"/>
      <c r="D10" s="957"/>
      <c r="E10" s="1230">
        <f>SUM(E7:E9)</f>
        <v>10.32</v>
      </c>
      <c r="F10" s="962"/>
      <c r="G10" s="958"/>
    </row>
    <row r="11" spans="1:7" s="954" customFormat="1" ht="14.1">
      <c r="A11" s="955"/>
      <c r="B11" s="1229" t="s">
        <v>2262</v>
      </c>
      <c r="C11" s="957">
        <v>1.8</v>
      </c>
      <c r="D11" s="957" t="s">
        <v>2263</v>
      </c>
      <c r="E11" s="957"/>
      <c r="F11" s="962"/>
      <c r="G11" s="958"/>
    </row>
    <row r="12" spans="1:7" s="954" customFormat="1" ht="14.1">
      <c r="A12" s="955"/>
      <c r="B12" s="963" t="s">
        <v>2264</v>
      </c>
      <c r="C12" s="957">
        <f>E10</f>
        <v>10.32</v>
      </c>
      <c r="D12" s="957">
        <f>C11</f>
        <v>1.8</v>
      </c>
      <c r="E12" s="957"/>
      <c r="F12" s="1230">
        <f>C12*D12</f>
        <v>18.576000000000001</v>
      </c>
      <c r="G12" s="964" t="s">
        <v>462</v>
      </c>
    </row>
    <row r="13" spans="1:7" s="954" customFormat="1" ht="14.1">
      <c r="A13" s="955"/>
      <c r="B13" s="963"/>
      <c r="C13" s="957"/>
      <c r="D13" s="957"/>
      <c r="E13" s="957"/>
      <c r="F13" s="1230"/>
      <c r="G13" s="964"/>
    </row>
    <row r="14" spans="1:7" s="954" customFormat="1" ht="14.1">
      <c r="A14" s="955"/>
      <c r="B14" s="961" t="s">
        <v>2265</v>
      </c>
      <c r="C14" s="959"/>
      <c r="D14" s="958"/>
      <c r="E14" s="960"/>
      <c r="F14" s="958"/>
      <c r="G14" s="958"/>
    </row>
    <row r="15" spans="1:7" s="954" customFormat="1" ht="14.1">
      <c r="A15" s="955"/>
      <c r="B15" s="1229" t="s">
        <v>1477</v>
      </c>
      <c r="C15" s="960">
        <v>23</v>
      </c>
      <c r="D15" s="957">
        <f>D7</f>
        <v>1.2</v>
      </c>
      <c r="E15" s="957">
        <f>C15*D15</f>
        <v>27.599999999999998</v>
      </c>
      <c r="F15" s="962"/>
      <c r="G15" s="958"/>
    </row>
    <row r="16" spans="1:7" s="954" customFormat="1" ht="14.1">
      <c r="A16" s="955"/>
      <c r="B16" s="1229" t="s">
        <v>1475</v>
      </c>
      <c r="C16" s="960">
        <f>1.2/0.15</f>
        <v>8</v>
      </c>
      <c r="D16" s="957">
        <f>D8</f>
        <v>3.5</v>
      </c>
      <c r="E16" s="957">
        <f>C16*D16</f>
        <v>28</v>
      </c>
      <c r="F16" s="962"/>
      <c r="G16" s="958"/>
    </row>
    <row r="17" spans="1:7" s="954" customFormat="1" ht="14.1">
      <c r="A17" s="955"/>
      <c r="B17" s="1229"/>
      <c r="C17" s="960"/>
      <c r="D17" s="957"/>
      <c r="E17" s="1230">
        <f>SUM(E15:E16)</f>
        <v>55.599999999999994</v>
      </c>
      <c r="F17" s="962"/>
      <c r="G17" s="958"/>
    </row>
    <row r="18" spans="1:7" s="954" customFormat="1" ht="14.1">
      <c r="A18" s="955"/>
      <c r="B18" s="1229" t="s">
        <v>2262</v>
      </c>
      <c r="C18" s="957">
        <v>0.78</v>
      </c>
      <c r="D18" s="957" t="s">
        <v>2263</v>
      </c>
      <c r="E18" s="957"/>
      <c r="F18" s="962"/>
      <c r="G18" s="958"/>
    </row>
    <row r="19" spans="1:7" s="954" customFormat="1" ht="14.1">
      <c r="A19" s="955"/>
      <c r="B19" s="963" t="s">
        <v>2264</v>
      </c>
      <c r="C19" s="957">
        <f>E17</f>
        <v>55.599999999999994</v>
      </c>
      <c r="D19" s="957">
        <f>C18</f>
        <v>0.78</v>
      </c>
      <c r="E19" s="957"/>
      <c r="F19" s="1230">
        <f>C19*D19</f>
        <v>43.367999999999995</v>
      </c>
      <c r="G19" s="964" t="s">
        <v>462</v>
      </c>
    </row>
    <row r="20" spans="1:7" s="954" customFormat="1" ht="14.1">
      <c r="A20" s="955"/>
      <c r="B20" s="963"/>
      <c r="C20" s="957"/>
      <c r="D20" s="957"/>
      <c r="E20" s="957"/>
      <c r="F20" s="1230"/>
      <c r="G20" s="964"/>
    </row>
    <row r="21" spans="1:7" s="954" customFormat="1" ht="14.1">
      <c r="A21" s="955"/>
      <c r="B21" s="961" t="s">
        <v>2266</v>
      </c>
      <c r="C21" s="960"/>
      <c r="D21" s="957"/>
      <c r="E21" s="957"/>
      <c r="F21" s="1230"/>
      <c r="G21" s="964"/>
    </row>
    <row r="22" spans="1:7" s="954" customFormat="1" ht="14.1">
      <c r="A22" s="955"/>
      <c r="B22" s="1229" t="s">
        <v>2267</v>
      </c>
      <c r="C22" s="960">
        <v>0.6</v>
      </c>
      <c r="D22" s="965">
        <f>'[8]C-data (K)'!$F$86</f>
        <v>129</v>
      </c>
      <c r="E22" s="957">
        <f>C22*D22</f>
        <v>77.399999999999991</v>
      </c>
      <c r="F22" s="962"/>
      <c r="G22" s="958"/>
    </row>
    <row r="23" spans="1:7" s="954" customFormat="1" ht="14.1">
      <c r="A23" s="955"/>
      <c r="B23" s="1229" t="s">
        <v>771</v>
      </c>
      <c r="C23" s="960">
        <v>0.21</v>
      </c>
      <c r="D23" s="965">
        <f>'[8]C-data (K)'!$F$19</f>
        <v>684</v>
      </c>
      <c r="E23" s="957">
        <f>C23*D23</f>
        <v>143.63999999999999</v>
      </c>
      <c r="F23" s="962"/>
      <c r="G23" s="958"/>
    </row>
    <row r="24" spans="1:7" s="954" customFormat="1" ht="14.1">
      <c r="A24" s="955"/>
      <c r="B24" s="1229" t="s">
        <v>772</v>
      </c>
      <c r="C24" s="960">
        <v>0.49</v>
      </c>
      <c r="D24" s="965">
        <f>'[8]C-data (K)'!$F$20</f>
        <v>564</v>
      </c>
      <c r="E24" s="957">
        <f>C24*D24</f>
        <v>276.36</v>
      </c>
      <c r="F24" s="962"/>
      <c r="G24" s="958"/>
    </row>
    <row r="25" spans="1:7" s="954" customFormat="1" ht="14.1">
      <c r="A25" s="955"/>
      <c r="B25" s="963"/>
      <c r="C25" s="960"/>
      <c r="D25" s="957"/>
      <c r="E25" s="1230">
        <f>SUM(E22:E24)</f>
        <v>497.4</v>
      </c>
      <c r="F25" s="966" t="s">
        <v>2268</v>
      </c>
      <c r="G25" s="964"/>
    </row>
    <row r="26" spans="1:7" s="954" customFormat="1" ht="14.1">
      <c r="A26" s="955"/>
      <c r="B26" s="963"/>
      <c r="C26" s="960"/>
      <c r="D26" s="957"/>
      <c r="E26" s="1230"/>
      <c r="F26" s="964"/>
      <c r="G26" s="964"/>
    </row>
    <row r="27" spans="1:7" s="954" customFormat="1" ht="28.2">
      <c r="A27" s="953" t="s">
        <v>2269</v>
      </c>
      <c r="B27" s="953" t="s">
        <v>2270</v>
      </c>
      <c r="C27" s="953" t="s">
        <v>2271</v>
      </c>
      <c r="D27" s="967"/>
      <c r="E27" s="953" t="s">
        <v>92</v>
      </c>
      <c r="F27" s="967"/>
      <c r="G27" s="967" t="s">
        <v>151</v>
      </c>
    </row>
    <row r="28" spans="1:7" s="954" customFormat="1">
      <c r="A28" s="955">
        <v>1</v>
      </c>
      <c r="B28" s="1229" t="str">
        <f>B6</f>
        <v>Outer frame "L' angle 25x25x5mm</v>
      </c>
      <c r="C28" s="957">
        <f>F12</f>
        <v>18.576000000000001</v>
      </c>
      <c r="D28" s="968" t="s">
        <v>2272</v>
      </c>
      <c r="E28" s="957"/>
      <c r="F28" s="968"/>
      <c r="G28" s="957"/>
    </row>
    <row r="29" spans="1:7" s="954" customFormat="1">
      <c r="A29" s="955">
        <v>2</v>
      </c>
      <c r="B29" s="1229" t="str">
        <f>B14</f>
        <v>10mm square rods safety bars</v>
      </c>
      <c r="C29" s="957">
        <f>F19</f>
        <v>43.367999999999995</v>
      </c>
      <c r="D29" s="968" t="s">
        <v>462</v>
      </c>
      <c r="E29" s="957"/>
      <c r="F29" s="968"/>
      <c r="G29" s="957"/>
    </row>
    <row r="30" spans="1:7" s="954" customFormat="1" ht="14.1">
      <c r="A30" s="969"/>
      <c r="B30" s="970"/>
      <c r="C30" s="1230">
        <f>SUM(C28:C29)</f>
        <v>61.943999999999996</v>
      </c>
      <c r="D30" s="968" t="s">
        <v>462</v>
      </c>
      <c r="E30" s="957">
        <f>[8]LEAD!$P$30/1000</f>
        <v>49</v>
      </c>
      <c r="F30" s="968" t="s">
        <v>462</v>
      </c>
      <c r="G30" s="957">
        <f>ROUND(C30*E30,2)</f>
        <v>3035.26</v>
      </c>
    </row>
    <row r="31" spans="1:7" s="954" customFormat="1">
      <c r="A31" s="955">
        <v>3</v>
      </c>
      <c r="B31" s="971" t="s">
        <v>2273</v>
      </c>
      <c r="C31" s="957">
        <f>E4</f>
        <v>4.2</v>
      </c>
      <c r="D31" s="968" t="s">
        <v>461</v>
      </c>
      <c r="E31" s="957">
        <f>E25</f>
        <v>497.4</v>
      </c>
      <c r="F31" s="968" t="s">
        <v>2274</v>
      </c>
      <c r="G31" s="957">
        <f>ROUND(C31*E31/10,2)</f>
        <v>208.91</v>
      </c>
    </row>
    <row r="32" spans="1:7" s="954" customFormat="1" ht="14.1">
      <c r="A32" s="955">
        <v>4</v>
      </c>
      <c r="B32" s="972" t="s">
        <v>2497</v>
      </c>
      <c r="C32" s="957">
        <f>C30</f>
        <v>61.943999999999996</v>
      </c>
      <c r="D32" s="968" t="s">
        <v>462</v>
      </c>
      <c r="E32" s="957">
        <f>30+4</f>
        <v>34</v>
      </c>
      <c r="F32" s="968" t="s">
        <v>462</v>
      </c>
      <c r="G32" s="957">
        <f>ROUND(C32*E32,2)</f>
        <v>2106.1</v>
      </c>
    </row>
    <row r="33" spans="1:7" s="954" customFormat="1">
      <c r="A33" s="955">
        <v>5</v>
      </c>
      <c r="B33" s="971" t="s">
        <v>2275</v>
      </c>
      <c r="C33" s="957">
        <f>'[8]C-data (K)'!$E$5</f>
        <v>0.2</v>
      </c>
      <c r="D33" s="968"/>
      <c r="E33" s="957">
        <f>G32</f>
        <v>2106.1</v>
      </c>
      <c r="F33" s="968"/>
      <c r="G33" s="957">
        <f>C33*E33</f>
        <v>421.22</v>
      </c>
    </row>
    <row r="34" spans="1:7" s="954" customFormat="1" ht="14.1">
      <c r="A34" s="955"/>
      <c r="B34" s="971"/>
      <c r="C34" s="960"/>
      <c r="D34" s="957"/>
      <c r="E34" s="960"/>
      <c r="F34" s="957"/>
      <c r="G34" s="1230">
        <f>SUM(G30:G33)</f>
        <v>5771.4900000000007</v>
      </c>
    </row>
    <row r="35" spans="1:7" s="954" customFormat="1" ht="14.1">
      <c r="A35" s="955">
        <v>6</v>
      </c>
      <c r="B35" s="1277" t="str">
        <f>'[8]C-data (K)'!$C$174</f>
        <v>Add 5% over heads</v>
      </c>
      <c r="C35" s="974">
        <f>'[8]C-data (K)'!$D$3</f>
        <v>0</v>
      </c>
      <c r="D35" s="957"/>
      <c r="E35" s="960"/>
      <c r="F35" s="957"/>
      <c r="G35" s="1230">
        <f>G34*C35</f>
        <v>0</v>
      </c>
    </row>
    <row r="36" spans="1:7" s="954" customFormat="1" ht="14.1">
      <c r="A36" s="955"/>
      <c r="B36" s="971"/>
      <c r="C36" s="957"/>
      <c r="D36" s="957"/>
      <c r="E36" s="960"/>
      <c r="F36" s="957"/>
      <c r="G36" s="1230">
        <f>SUM(G34:G35)</f>
        <v>5771.4900000000007</v>
      </c>
    </row>
    <row r="37" spans="1:7" s="954" customFormat="1" ht="14.1">
      <c r="A37" s="955"/>
      <c r="B37" s="975" t="s">
        <v>1806</v>
      </c>
      <c r="C37" s="960"/>
      <c r="D37" s="957"/>
      <c r="E37" s="1610" t="s">
        <v>2276</v>
      </c>
      <c r="F37" s="1610"/>
      <c r="G37" s="1230">
        <f>ROUND(G36,0)</f>
        <v>5771</v>
      </c>
    </row>
    <row r="38" spans="1:7" s="954" customFormat="1" ht="14.1">
      <c r="A38" s="955"/>
      <c r="B38" s="971"/>
      <c r="C38" s="960"/>
      <c r="D38" s="957"/>
      <c r="E38" s="960"/>
      <c r="F38" s="957"/>
      <c r="G38" s="1230"/>
    </row>
    <row r="39" spans="1:7" s="954" customFormat="1" ht="14.1">
      <c r="A39" s="953">
        <v>1</v>
      </c>
      <c r="B39" s="1611" t="s">
        <v>2498</v>
      </c>
      <c r="C39" s="1611"/>
      <c r="D39" s="1611"/>
      <c r="E39" s="1611"/>
      <c r="F39" s="1611"/>
      <c r="G39" s="1611"/>
    </row>
    <row r="40" spans="1:7" s="954" customFormat="1" ht="14.1">
      <c r="A40" s="955"/>
      <c r="B40" s="956" t="s">
        <v>2259</v>
      </c>
      <c r="C40" s="957">
        <v>1.2</v>
      </c>
      <c r="D40" s="957">
        <v>0.45</v>
      </c>
      <c r="E40" s="1230">
        <f>C40*D40</f>
        <v>0.54</v>
      </c>
      <c r="F40" s="958" t="s">
        <v>547</v>
      </c>
      <c r="G40" s="958"/>
    </row>
    <row r="41" spans="1:7" s="954" customFormat="1" ht="14.1">
      <c r="A41" s="955"/>
      <c r="B41" s="1229"/>
      <c r="C41" s="959"/>
      <c r="D41" s="958"/>
      <c r="E41" s="960"/>
      <c r="F41" s="958"/>
      <c r="G41" s="958"/>
    </row>
    <row r="42" spans="1:7" s="954" customFormat="1" ht="14.1">
      <c r="A42" s="955"/>
      <c r="B42" s="961" t="s">
        <v>2260</v>
      </c>
      <c r="C42" s="959"/>
      <c r="D42" s="958"/>
      <c r="E42" s="960"/>
      <c r="F42" s="958"/>
      <c r="G42" s="958"/>
    </row>
    <row r="43" spans="1:7" s="954" customFormat="1" ht="14.1">
      <c r="A43" s="955"/>
      <c r="B43" s="1229" t="s">
        <v>2261</v>
      </c>
      <c r="C43" s="960">
        <v>2</v>
      </c>
      <c r="D43" s="957">
        <f>D40</f>
        <v>0.45</v>
      </c>
      <c r="E43" s="957">
        <f>C43*D43</f>
        <v>0.9</v>
      </c>
      <c r="F43" s="962"/>
      <c r="G43" s="958"/>
    </row>
    <row r="44" spans="1:7" s="954" customFormat="1" ht="14.1">
      <c r="A44" s="955"/>
      <c r="B44" s="1229" t="s">
        <v>1475</v>
      </c>
      <c r="C44" s="960">
        <v>2</v>
      </c>
      <c r="D44" s="957">
        <f>C40</f>
        <v>1.2</v>
      </c>
      <c r="E44" s="957">
        <f>C44*D44</f>
        <v>2.4</v>
      </c>
      <c r="F44" s="962"/>
      <c r="G44" s="958"/>
    </row>
    <row r="45" spans="1:7" s="954" customFormat="1" ht="14.1">
      <c r="A45" s="955"/>
      <c r="B45" s="1229" t="s">
        <v>1510</v>
      </c>
      <c r="C45" s="960">
        <v>2</v>
      </c>
      <c r="D45" s="957">
        <v>0.23</v>
      </c>
      <c r="E45" s="957">
        <f>C45*D45</f>
        <v>0.46</v>
      </c>
      <c r="F45" s="962"/>
      <c r="G45" s="958"/>
    </row>
    <row r="46" spans="1:7" s="954" customFormat="1" ht="14.1">
      <c r="A46" s="955"/>
      <c r="B46" s="1229"/>
      <c r="C46" s="960"/>
      <c r="D46" s="957"/>
      <c r="E46" s="1230">
        <f>SUM(E43:E45)</f>
        <v>3.76</v>
      </c>
      <c r="F46" s="962"/>
      <c r="G46" s="958"/>
    </row>
    <row r="47" spans="1:7" s="954" customFormat="1" ht="14.1">
      <c r="A47" s="955"/>
      <c r="B47" s="1229" t="s">
        <v>2262</v>
      </c>
      <c r="C47" s="957">
        <v>1.8</v>
      </c>
      <c r="D47" s="957" t="s">
        <v>2263</v>
      </c>
      <c r="E47" s="957"/>
      <c r="F47" s="962"/>
      <c r="G47" s="958"/>
    </row>
    <row r="48" spans="1:7" s="954" customFormat="1" ht="14.1">
      <c r="A48" s="955"/>
      <c r="B48" s="963" t="s">
        <v>2264</v>
      </c>
      <c r="C48" s="957">
        <f>E46</f>
        <v>3.76</v>
      </c>
      <c r="D48" s="957">
        <f>C47</f>
        <v>1.8</v>
      </c>
      <c r="E48" s="957"/>
      <c r="F48" s="1230">
        <f>C48*D48</f>
        <v>6.7679999999999998</v>
      </c>
      <c r="G48" s="964" t="s">
        <v>462</v>
      </c>
    </row>
    <row r="49" spans="1:7" s="954" customFormat="1" ht="14.1">
      <c r="A49" s="955"/>
      <c r="B49" s="963"/>
      <c r="C49" s="957"/>
      <c r="D49" s="957"/>
      <c r="E49" s="957"/>
      <c r="F49" s="1230"/>
      <c r="G49" s="964"/>
    </row>
    <row r="50" spans="1:7" s="954" customFormat="1" ht="14.1">
      <c r="A50" s="955"/>
      <c r="B50" s="961" t="s">
        <v>2265</v>
      </c>
      <c r="C50" s="959"/>
      <c r="D50" s="958"/>
      <c r="E50" s="960"/>
      <c r="F50" s="958"/>
      <c r="G50" s="958"/>
    </row>
    <row r="51" spans="1:7" s="954" customFormat="1" ht="14.1">
      <c r="A51" s="955"/>
      <c r="B51" s="1229" t="s">
        <v>1477</v>
      </c>
      <c r="C51" s="960">
        <v>10</v>
      </c>
      <c r="D51" s="957">
        <f>D43</f>
        <v>0.45</v>
      </c>
      <c r="E51" s="957">
        <f>C51*D51</f>
        <v>4.5</v>
      </c>
      <c r="F51" s="962"/>
      <c r="G51" s="958"/>
    </row>
    <row r="52" spans="1:7" s="954" customFormat="1" ht="14.1">
      <c r="A52" s="955"/>
      <c r="B52" s="1229" t="s">
        <v>1475</v>
      </c>
      <c r="C52" s="960">
        <v>3</v>
      </c>
      <c r="D52" s="957">
        <f>D44</f>
        <v>1.2</v>
      </c>
      <c r="E52" s="957">
        <f>C52*D52</f>
        <v>3.5999999999999996</v>
      </c>
      <c r="F52" s="962"/>
      <c r="G52" s="958"/>
    </row>
    <row r="53" spans="1:7" s="954" customFormat="1" ht="14.1">
      <c r="A53" s="955"/>
      <c r="B53" s="1229"/>
      <c r="C53" s="960"/>
      <c r="D53" s="957"/>
      <c r="E53" s="1230">
        <f>SUM(E51:E52)</f>
        <v>8.1</v>
      </c>
      <c r="F53" s="962"/>
      <c r="G53" s="958"/>
    </row>
    <row r="54" spans="1:7" s="954" customFormat="1" ht="14.1">
      <c r="A54" s="955"/>
      <c r="B54" s="1229" t="s">
        <v>2262</v>
      </c>
      <c r="C54" s="957">
        <v>0.78</v>
      </c>
      <c r="D54" s="957" t="s">
        <v>2263</v>
      </c>
      <c r="E54" s="957"/>
      <c r="F54" s="962"/>
      <c r="G54" s="958"/>
    </row>
    <row r="55" spans="1:7" s="954" customFormat="1" ht="14.1">
      <c r="A55" s="955"/>
      <c r="B55" s="963" t="s">
        <v>2264</v>
      </c>
      <c r="C55" s="957">
        <f>E53</f>
        <v>8.1</v>
      </c>
      <c r="D55" s="957">
        <f>C54</f>
        <v>0.78</v>
      </c>
      <c r="E55" s="957"/>
      <c r="F55" s="1230">
        <f>C55*D55</f>
        <v>6.3179999999999996</v>
      </c>
      <c r="G55" s="964" t="s">
        <v>462</v>
      </c>
    </row>
    <row r="56" spans="1:7" s="954" customFormat="1" ht="14.1">
      <c r="A56" s="955"/>
      <c r="B56" s="963"/>
      <c r="C56" s="957"/>
      <c r="D56" s="957"/>
      <c r="E56" s="957"/>
      <c r="F56" s="1230"/>
      <c r="G56" s="964"/>
    </row>
    <row r="57" spans="1:7" s="954" customFormat="1" ht="14.1">
      <c r="A57" s="955"/>
      <c r="B57" s="961" t="s">
        <v>2266</v>
      </c>
      <c r="C57" s="960"/>
      <c r="D57" s="957"/>
      <c r="E57" s="957"/>
      <c r="F57" s="1230"/>
      <c r="G57" s="964"/>
    </row>
    <row r="58" spans="1:7" s="954" customFormat="1" ht="14.1">
      <c r="A58" s="955"/>
      <c r="B58" s="1229" t="s">
        <v>2267</v>
      </c>
      <c r="C58" s="960">
        <v>0.6</v>
      </c>
      <c r="D58" s="965">
        <f>'[8]C-data (K)'!$F$86</f>
        <v>129</v>
      </c>
      <c r="E58" s="957">
        <f>C58*D58</f>
        <v>77.399999999999991</v>
      </c>
      <c r="F58" s="962"/>
      <c r="G58" s="958"/>
    </row>
    <row r="59" spans="1:7" s="954" customFormat="1" ht="14.1">
      <c r="A59" s="955"/>
      <c r="B59" s="1229" t="s">
        <v>771</v>
      </c>
      <c r="C59" s="960">
        <v>0.21</v>
      </c>
      <c r="D59" s="965">
        <f>'[8]C-data (K)'!$F$19</f>
        <v>684</v>
      </c>
      <c r="E59" s="957">
        <f>C59*D59</f>
        <v>143.63999999999999</v>
      </c>
      <c r="F59" s="962"/>
      <c r="G59" s="958"/>
    </row>
    <row r="60" spans="1:7" s="954" customFormat="1" ht="14.1">
      <c r="A60" s="955"/>
      <c r="B60" s="1229" t="s">
        <v>772</v>
      </c>
      <c r="C60" s="960">
        <v>0.49</v>
      </c>
      <c r="D60" s="965">
        <f>'[8]C-data (K)'!$F$20</f>
        <v>564</v>
      </c>
      <c r="E60" s="957">
        <f>C60*D60</f>
        <v>276.36</v>
      </c>
      <c r="F60" s="962"/>
      <c r="G60" s="958"/>
    </row>
    <row r="61" spans="1:7" s="954" customFormat="1" ht="14.1">
      <c r="A61" s="955"/>
      <c r="B61" s="963"/>
      <c r="C61" s="960"/>
      <c r="D61" s="957"/>
      <c r="E61" s="1230">
        <f>SUM(E58:E60)</f>
        <v>497.4</v>
      </c>
      <c r="F61" s="966" t="s">
        <v>2268</v>
      </c>
      <c r="G61" s="964"/>
    </row>
    <row r="62" spans="1:7" s="954" customFormat="1" ht="14.1">
      <c r="A62" s="955"/>
      <c r="B62" s="963"/>
      <c r="C62" s="960"/>
      <c r="D62" s="957"/>
      <c r="E62" s="1230"/>
      <c r="F62" s="964"/>
      <c r="G62" s="964"/>
    </row>
    <row r="63" spans="1:7" s="954" customFormat="1" ht="28.2">
      <c r="A63" s="953" t="s">
        <v>2269</v>
      </c>
      <c r="B63" s="953" t="s">
        <v>2270</v>
      </c>
      <c r="C63" s="953" t="s">
        <v>2271</v>
      </c>
      <c r="D63" s="967"/>
      <c r="E63" s="953" t="s">
        <v>92</v>
      </c>
      <c r="F63" s="967"/>
      <c r="G63" s="967" t="s">
        <v>151</v>
      </c>
    </row>
    <row r="64" spans="1:7" s="954" customFormat="1">
      <c r="A64" s="955">
        <v>1</v>
      </c>
      <c r="B64" s="1229" t="str">
        <f>B42</f>
        <v>Outer frame "L' angle 25x25x5mm</v>
      </c>
      <c r="C64" s="957">
        <f>F48</f>
        <v>6.7679999999999998</v>
      </c>
      <c r="D64" s="968" t="s">
        <v>2272</v>
      </c>
      <c r="E64" s="957"/>
      <c r="F64" s="968"/>
      <c r="G64" s="957"/>
    </row>
    <row r="65" spans="1:7" s="954" customFormat="1">
      <c r="A65" s="955">
        <v>2</v>
      </c>
      <c r="B65" s="1229" t="str">
        <f>B50</f>
        <v>10mm square rods safety bars</v>
      </c>
      <c r="C65" s="957">
        <f>F55</f>
        <v>6.3179999999999996</v>
      </c>
      <c r="D65" s="968" t="s">
        <v>462</v>
      </c>
      <c r="E65" s="957"/>
      <c r="F65" s="968"/>
      <c r="G65" s="957"/>
    </row>
    <row r="66" spans="1:7" s="954" customFormat="1" ht="14.1">
      <c r="A66" s="969"/>
      <c r="B66" s="970"/>
      <c r="C66" s="1230">
        <f>SUM(C64:C65)</f>
        <v>13.085999999999999</v>
      </c>
      <c r="D66" s="968" t="s">
        <v>462</v>
      </c>
      <c r="E66" s="957">
        <f>[8]LEAD!$P$30/1000</f>
        <v>49</v>
      </c>
      <c r="F66" s="968" t="s">
        <v>462</v>
      </c>
      <c r="G66" s="957">
        <f>ROUND(C66*E66,2)</f>
        <v>641.21</v>
      </c>
    </row>
    <row r="67" spans="1:7" s="954" customFormat="1">
      <c r="A67" s="955">
        <v>3</v>
      </c>
      <c r="B67" s="971" t="s">
        <v>2273</v>
      </c>
      <c r="C67" s="957">
        <f>E40</f>
        <v>0.54</v>
      </c>
      <c r="D67" s="968" t="s">
        <v>461</v>
      </c>
      <c r="E67" s="957">
        <f>E61</f>
        <v>497.4</v>
      </c>
      <c r="F67" s="968" t="s">
        <v>2274</v>
      </c>
      <c r="G67" s="957">
        <f>ROUND(C67*E67/10,2)</f>
        <v>26.86</v>
      </c>
    </row>
    <row r="68" spans="1:7" s="954" customFormat="1" ht="14.1">
      <c r="A68" s="955">
        <v>4</v>
      </c>
      <c r="B68" s="972" t="s">
        <v>2497</v>
      </c>
      <c r="C68" s="957">
        <f>C66</f>
        <v>13.085999999999999</v>
      </c>
      <c r="D68" s="968" t="s">
        <v>462</v>
      </c>
      <c r="E68" s="957">
        <f>30+4</f>
        <v>34</v>
      </c>
      <c r="F68" s="968" t="s">
        <v>462</v>
      </c>
      <c r="G68" s="957">
        <f>ROUND(C68*E68,2)</f>
        <v>444.92</v>
      </c>
    </row>
    <row r="69" spans="1:7" s="954" customFormat="1">
      <c r="A69" s="955">
        <v>5</v>
      </c>
      <c r="B69" s="971" t="s">
        <v>2275</v>
      </c>
      <c r="C69" s="957">
        <f>'[8]C-data (K)'!$E$5</f>
        <v>0.2</v>
      </c>
      <c r="D69" s="968"/>
      <c r="E69" s="957">
        <f>G68</f>
        <v>444.92</v>
      </c>
      <c r="F69" s="968"/>
      <c r="G69" s="957">
        <f>C69*E69</f>
        <v>88.984000000000009</v>
      </c>
    </row>
    <row r="70" spans="1:7" s="954" customFormat="1" ht="14.1">
      <c r="A70" s="955"/>
      <c r="B70" s="971"/>
      <c r="C70" s="960"/>
      <c r="D70" s="957"/>
      <c r="E70" s="960"/>
      <c r="F70" s="957"/>
      <c r="G70" s="1230">
        <f>SUM(G66:G69)</f>
        <v>1201.9739999999999</v>
      </c>
    </row>
    <row r="71" spans="1:7" s="954" customFormat="1" ht="14.1">
      <c r="A71" s="955">
        <v>6</v>
      </c>
      <c r="B71" s="1277" t="str">
        <f>'[8]C-data (K)'!$C$174</f>
        <v>Add 5% over heads</v>
      </c>
      <c r="C71" s="974">
        <f>'[8]C-data (K)'!$D$3</f>
        <v>0</v>
      </c>
      <c r="D71" s="957"/>
      <c r="E71" s="960"/>
      <c r="F71" s="957"/>
      <c r="G71" s="957">
        <f>G70*C71</f>
        <v>0</v>
      </c>
    </row>
    <row r="72" spans="1:7" s="954" customFormat="1">
      <c r="A72" s="955"/>
      <c r="B72" s="971"/>
      <c r="C72" s="957"/>
      <c r="D72" s="957"/>
      <c r="E72" s="960"/>
      <c r="F72" s="957"/>
      <c r="G72" s="957">
        <f>SUM(G70:G71)</f>
        <v>1201.9739999999999</v>
      </c>
    </row>
    <row r="73" spans="1:7" s="954" customFormat="1" ht="14.1">
      <c r="A73" s="955"/>
      <c r="B73" s="975" t="s">
        <v>1806</v>
      </c>
      <c r="C73" s="960"/>
      <c r="D73" s="957"/>
      <c r="E73" s="1610" t="s">
        <v>2276</v>
      </c>
      <c r="F73" s="1610"/>
      <c r="G73" s="1230">
        <f>ROUND(G72,0)</f>
        <v>1202</v>
      </c>
    </row>
    <row r="74" spans="1:7" s="954" customFormat="1" ht="14.1">
      <c r="A74" s="955"/>
      <c r="B74" s="975"/>
      <c r="C74" s="960"/>
      <c r="D74" s="957"/>
      <c r="E74" s="1228"/>
      <c r="F74" s="1228"/>
      <c r="G74" s="1230"/>
    </row>
    <row r="75" spans="1:7" s="954" customFormat="1" ht="14.1">
      <c r="A75" s="953">
        <v>1</v>
      </c>
      <c r="B75" s="1611" t="s">
        <v>2499</v>
      </c>
      <c r="C75" s="1611"/>
      <c r="D75" s="1611"/>
      <c r="E75" s="1611"/>
      <c r="F75" s="1611"/>
      <c r="G75" s="1611"/>
    </row>
    <row r="76" spans="1:7" s="954" customFormat="1" ht="14.1">
      <c r="A76" s="955"/>
      <c r="B76" s="956" t="s">
        <v>2259</v>
      </c>
      <c r="C76" s="957">
        <v>1.2</v>
      </c>
      <c r="D76" s="957">
        <v>0.3</v>
      </c>
      <c r="E76" s="1230">
        <f>C76*D76</f>
        <v>0.36</v>
      </c>
      <c r="F76" s="958" t="s">
        <v>547</v>
      </c>
      <c r="G76" s="958"/>
    </row>
    <row r="77" spans="1:7" s="954" customFormat="1" ht="14.1">
      <c r="A77" s="955"/>
      <c r="B77" s="1229"/>
      <c r="C77" s="959"/>
      <c r="D77" s="958"/>
      <c r="E77" s="960"/>
      <c r="F77" s="958"/>
      <c r="G77" s="958"/>
    </row>
    <row r="78" spans="1:7" s="954" customFormat="1" ht="14.1">
      <c r="A78" s="955"/>
      <c r="B78" s="961" t="s">
        <v>2500</v>
      </c>
      <c r="C78" s="959"/>
      <c r="D78" s="958"/>
      <c r="E78" s="960"/>
      <c r="F78" s="958"/>
      <c r="G78" s="958"/>
    </row>
    <row r="79" spans="1:7" s="954" customFormat="1" ht="14.1">
      <c r="A79" s="955"/>
      <c r="B79" s="1229" t="s">
        <v>2261</v>
      </c>
      <c r="C79" s="960">
        <v>2</v>
      </c>
      <c r="D79" s="957">
        <f>D76</f>
        <v>0.3</v>
      </c>
      <c r="E79" s="957">
        <f>C79*D79</f>
        <v>0.6</v>
      </c>
      <c r="F79" s="962"/>
      <c r="G79" s="958"/>
    </row>
    <row r="80" spans="1:7" s="954" customFormat="1" ht="14.1">
      <c r="A80" s="955"/>
      <c r="B80" s="1229" t="s">
        <v>1475</v>
      </c>
      <c r="C80" s="960">
        <v>2</v>
      </c>
      <c r="D80" s="957">
        <f>C76</f>
        <v>1.2</v>
      </c>
      <c r="E80" s="957">
        <f>C80*D80</f>
        <v>2.4</v>
      </c>
      <c r="F80" s="962"/>
      <c r="G80" s="958"/>
    </row>
    <row r="81" spans="1:7" s="954" customFormat="1" ht="14.1">
      <c r="A81" s="955"/>
      <c r="B81" s="1229" t="s">
        <v>1510</v>
      </c>
      <c r="C81" s="960">
        <v>2</v>
      </c>
      <c r="D81" s="957">
        <v>0.23</v>
      </c>
      <c r="E81" s="957">
        <f>C81*D81</f>
        <v>0.46</v>
      </c>
      <c r="F81" s="962"/>
      <c r="G81" s="958"/>
    </row>
    <row r="82" spans="1:7" s="954" customFormat="1" ht="14.1">
      <c r="A82" s="955"/>
      <c r="B82" s="1229"/>
      <c r="C82" s="960"/>
      <c r="D82" s="957"/>
      <c r="E82" s="1230">
        <f>SUM(E79:E81)</f>
        <v>3.46</v>
      </c>
      <c r="F82" s="962"/>
      <c r="G82" s="958"/>
    </row>
    <row r="83" spans="1:7" s="954" customFormat="1" ht="14.1">
      <c r="A83" s="955"/>
      <c r="B83" s="1229" t="s">
        <v>2262</v>
      </c>
      <c r="C83" s="957">
        <v>2.6</v>
      </c>
      <c r="D83" s="957" t="s">
        <v>2263</v>
      </c>
      <c r="E83" s="957"/>
      <c r="F83" s="962"/>
      <c r="G83" s="958"/>
    </row>
    <row r="84" spans="1:7" s="954" customFormat="1" ht="14.1">
      <c r="A84" s="955"/>
      <c r="B84" s="963" t="s">
        <v>2264</v>
      </c>
      <c r="C84" s="957">
        <f>E82</f>
        <v>3.46</v>
      </c>
      <c r="D84" s="957">
        <f>C83</f>
        <v>2.6</v>
      </c>
      <c r="E84" s="957"/>
      <c r="F84" s="1230">
        <f>C84*D84</f>
        <v>8.9960000000000004</v>
      </c>
      <c r="G84" s="964" t="s">
        <v>462</v>
      </c>
    </row>
    <row r="85" spans="1:7" s="954" customFormat="1" ht="14.1">
      <c r="A85" s="955"/>
      <c r="B85" s="963"/>
      <c r="C85" s="957"/>
      <c r="D85" s="957"/>
      <c r="E85" s="957"/>
      <c r="F85" s="1230"/>
      <c r="G85" s="964"/>
    </row>
    <row r="86" spans="1:7" s="954" customFormat="1" ht="14.1">
      <c r="A86" s="955"/>
      <c r="B86" s="961" t="s">
        <v>2265</v>
      </c>
      <c r="C86" s="959"/>
      <c r="D86" s="958"/>
      <c r="E86" s="960"/>
      <c r="F86" s="958"/>
      <c r="G86" s="958"/>
    </row>
    <row r="87" spans="1:7" s="954" customFormat="1" ht="14.1">
      <c r="A87" s="955"/>
      <c r="B87" s="1229" t="s">
        <v>1477</v>
      </c>
      <c r="C87" s="960">
        <v>10</v>
      </c>
      <c r="D87" s="957">
        <f>D79</f>
        <v>0.3</v>
      </c>
      <c r="E87" s="957">
        <f>C87*D87</f>
        <v>3</v>
      </c>
      <c r="F87" s="962"/>
      <c r="G87" s="958"/>
    </row>
    <row r="88" spans="1:7" s="954" customFormat="1" ht="14.1">
      <c r="A88" s="955"/>
      <c r="B88" s="1229" t="s">
        <v>1475</v>
      </c>
      <c r="C88" s="960">
        <v>2</v>
      </c>
      <c r="D88" s="957">
        <f>D80</f>
        <v>1.2</v>
      </c>
      <c r="E88" s="957">
        <f>C88*D88</f>
        <v>2.4</v>
      </c>
      <c r="F88" s="962"/>
      <c r="G88" s="958"/>
    </row>
    <row r="89" spans="1:7" s="954" customFormat="1" ht="14.1">
      <c r="A89" s="955"/>
      <c r="B89" s="1229"/>
      <c r="C89" s="960"/>
      <c r="D89" s="957"/>
      <c r="E89" s="1230">
        <f>SUM(E87:E88)</f>
        <v>5.4</v>
      </c>
      <c r="F89" s="962"/>
      <c r="G89" s="958"/>
    </row>
    <row r="90" spans="1:7" s="954" customFormat="1" ht="14.1">
      <c r="A90" s="955"/>
      <c r="B90" s="1229" t="s">
        <v>2262</v>
      </c>
      <c r="C90" s="957">
        <v>0.78</v>
      </c>
      <c r="D90" s="957" t="s">
        <v>2263</v>
      </c>
      <c r="E90" s="957"/>
      <c r="F90" s="962"/>
      <c r="G90" s="958"/>
    </row>
    <row r="91" spans="1:7" s="954" customFormat="1" ht="14.1">
      <c r="A91" s="955"/>
      <c r="B91" s="963" t="s">
        <v>2264</v>
      </c>
      <c r="C91" s="957">
        <f>E89</f>
        <v>5.4</v>
      </c>
      <c r="D91" s="957">
        <f>C90</f>
        <v>0.78</v>
      </c>
      <c r="E91" s="957"/>
      <c r="F91" s="1230">
        <f>C91*D91</f>
        <v>4.2120000000000006</v>
      </c>
      <c r="G91" s="964" t="s">
        <v>462</v>
      </c>
    </row>
    <row r="92" spans="1:7" s="954" customFormat="1" ht="14.1">
      <c r="A92" s="955"/>
      <c r="B92" s="963"/>
      <c r="C92" s="957"/>
      <c r="D92" s="957"/>
      <c r="E92" s="957"/>
      <c r="F92" s="1230"/>
      <c r="G92" s="964"/>
    </row>
    <row r="93" spans="1:7" s="954" customFormat="1" ht="14.1">
      <c r="A93" s="955"/>
      <c r="B93" s="961" t="s">
        <v>2266</v>
      </c>
      <c r="C93" s="960"/>
      <c r="D93" s="957"/>
      <c r="E93" s="957"/>
      <c r="F93" s="1230"/>
      <c r="G93" s="964"/>
    </row>
    <row r="94" spans="1:7" s="954" customFormat="1" ht="14.1">
      <c r="A94" s="955"/>
      <c r="B94" s="1229" t="s">
        <v>2267</v>
      </c>
      <c r="C94" s="960">
        <v>0.6</v>
      </c>
      <c r="D94" s="965">
        <f>'[8]C-data (K)'!$F$86</f>
        <v>129</v>
      </c>
      <c r="E94" s="957">
        <f>C94*D94</f>
        <v>77.399999999999991</v>
      </c>
      <c r="F94" s="962"/>
      <c r="G94" s="958"/>
    </row>
    <row r="95" spans="1:7" s="954" customFormat="1" ht="14.1">
      <c r="A95" s="955"/>
      <c r="B95" s="1229" t="s">
        <v>771</v>
      </c>
      <c r="C95" s="960">
        <v>0.21</v>
      </c>
      <c r="D95" s="965">
        <f>'[8]C-data (K)'!$F$19</f>
        <v>684</v>
      </c>
      <c r="E95" s="957">
        <f>C95*D95</f>
        <v>143.63999999999999</v>
      </c>
      <c r="F95" s="962"/>
      <c r="G95" s="958"/>
    </row>
    <row r="96" spans="1:7" s="954" customFormat="1" ht="14.1">
      <c r="A96" s="955"/>
      <c r="B96" s="1229" t="s">
        <v>772</v>
      </c>
      <c r="C96" s="960">
        <v>0.49</v>
      </c>
      <c r="D96" s="965">
        <f>'[8]C-data (K)'!$F$20</f>
        <v>564</v>
      </c>
      <c r="E96" s="957">
        <f>C96*D96</f>
        <v>276.36</v>
      </c>
      <c r="F96" s="962"/>
      <c r="G96" s="958"/>
    </row>
    <row r="97" spans="1:7" s="954" customFormat="1" ht="14.1">
      <c r="A97" s="955"/>
      <c r="B97" s="963"/>
      <c r="C97" s="960"/>
      <c r="D97" s="957"/>
      <c r="E97" s="1230">
        <f>SUM(E94:E96)</f>
        <v>497.4</v>
      </c>
      <c r="F97" s="966" t="s">
        <v>2268</v>
      </c>
      <c r="G97" s="964"/>
    </row>
    <row r="98" spans="1:7" s="954" customFormat="1" ht="14.1">
      <c r="A98" s="955"/>
      <c r="B98" s="963"/>
      <c r="C98" s="960"/>
      <c r="D98" s="957"/>
      <c r="E98" s="1230"/>
      <c r="F98" s="964"/>
      <c r="G98" s="964"/>
    </row>
    <row r="99" spans="1:7" s="954" customFormat="1" ht="28.2">
      <c r="A99" s="953" t="s">
        <v>2269</v>
      </c>
      <c r="B99" s="953" t="s">
        <v>2270</v>
      </c>
      <c r="C99" s="953" t="s">
        <v>2271</v>
      </c>
      <c r="D99" s="967"/>
      <c r="E99" s="953" t="s">
        <v>92</v>
      </c>
      <c r="F99" s="967"/>
      <c r="G99" s="967" t="s">
        <v>151</v>
      </c>
    </row>
    <row r="100" spans="1:7" s="954" customFormat="1">
      <c r="A100" s="955">
        <v>1</v>
      </c>
      <c r="B100" s="1229" t="str">
        <f>B78</f>
        <v>Outer frame "L' angle 35x35x5mm</v>
      </c>
      <c r="C100" s="957">
        <f>F84</f>
        <v>8.9960000000000004</v>
      </c>
      <c r="D100" s="968" t="s">
        <v>2272</v>
      </c>
      <c r="E100" s="957"/>
      <c r="F100" s="968"/>
      <c r="G100" s="957"/>
    </row>
    <row r="101" spans="1:7" s="954" customFormat="1">
      <c r="A101" s="955">
        <v>2</v>
      </c>
      <c r="B101" s="1229" t="str">
        <f>B86</f>
        <v>10mm square rods safety bars</v>
      </c>
      <c r="C101" s="957">
        <f>F91</f>
        <v>4.2120000000000006</v>
      </c>
      <c r="D101" s="968" t="s">
        <v>462</v>
      </c>
      <c r="E101" s="957"/>
      <c r="F101" s="968"/>
      <c r="G101" s="957"/>
    </row>
    <row r="102" spans="1:7" s="954" customFormat="1" ht="14.1">
      <c r="A102" s="969"/>
      <c r="B102" s="970"/>
      <c r="C102" s="1230">
        <f>SUM(C100:C101)</f>
        <v>13.208000000000002</v>
      </c>
      <c r="D102" s="968" t="s">
        <v>462</v>
      </c>
      <c r="E102" s="957">
        <f>[8]LEAD!$P$30/1000</f>
        <v>49</v>
      </c>
      <c r="F102" s="968" t="s">
        <v>462</v>
      </c>
      <c r="G102" s="957">
        <f>ROUND(C102*E102,2)</f>
        <v>647.19000000000005</v>
      </c>
    </row>
    <row r="103" spans="1:7" s="954" customFormat="1">
      <c r="A103" s="955">
        <v>3</v>
      </c>
      <c r="B103" s="971" t="s">
        <v>2273</v>
      </c>
      <c r="C103" s="957">
        <f>E76</f>
        <v>0.36</v>
      </c>
      <c r="D103" s="968" t="s">
        <v>461</v>
      </c>
      <c r="E103" s="957">
        <f>E97</f>
        <v>497.4</v>
      </c>
      <c r="F103" s="968" t="s">
        <v>2274</v>
      </c>
      <c r="G103" s="957">
        <f>ROUND(C103*E103/10,2)</f>
        <v>17.91</v>
      </c>
    </row>
    <row r="104" spans="1:7" s="954" customFormat="1" ht="14.1">
      <c r="A104" s="955">
        <v>4</v>
      </c>
      <c r="B104" s="972" t="s">
        <v>2497</v>
      </c>
      <c r="C104" s="957">
        <f>C102</f>
        <v>13.208000000000002</v>
      </c>
      <c r="D104" s="968" t="s">
        <v>462</v>
      </c>
      <c r="E104" s="957">
        <f>30+4</f>
        <v>34</v>
      </c>
      <c r="F104" s="968" t="s">
        <v>462</v>
      </c>
      <c r="G104" s="957">
        <f>ROUND(C104*E104,2)</f>
        <v>449.07</v>
      </c>
    </row>
    <row r="105" spans="1:7" s="954" customFormat="1">
      <c r="A105" s="955">
        <v>5</v>
      </c>
      <c r="B105" s="971" t="s">
        <v>2275</v>
      </c>
      <c r="C105" s="957">
        <f>'[8]C-data (K)'!$E$5</f>
        <v>0.2</v>
      </c>
      <c r="D105" s="968"/>
      <c r="E105" s="957">
        <f>G104</f>
        <v>449.07</v>
      </c>
      <c r="F105" s="968"/>
      <c r="G105" s="957">
        <f>C105*E105</f>
        <v>89.814000000000007</v>
      </c>
    </row>
    <row r="106" spans="1:7" s="954" customFormat="1" ht="14.1">
      <c r="A106" s="955"/>
      <c r="B106" s="971"/>
      <c r="C106" s="960"/>
      <c r="D106" s="957"/>
      <c r="E106" s="960"/>
      <c r="F106" s="957"/>
      <c r="G106" s="1230">
        <f>SUM(G102:G105)</f>
        <v>1203.9840000000002</v>
      </c>
    </row>
    <row r="107" spans="1:7" s="954" customFormat="1" ht="14.1">
      <c r="A107" s="955">
        <v>6</v>
      </c>
      <c r="B107" s="1277" t="str">
        <f>'[8]C-data (K)'!$C$174</f>
        <v>Add 5% over heads</v>
      </c>
      <c r="C107" s="974">
        <f>'[8]C-data (K)'!$D$3</f>
        <v>0</v>
      </c>
      <c r="D107" s="957"/>
      <c r="E107" s="960"/>
      <c r="F107" s="957"/>
      <c r="G107" s="957">
        <f>G106*C107</f>
        <v>0</v>
      </c>
    </row>
    <row r="108" spans="1:7" s="954" customFormat="1">
      <c r="A108" s="955"/>
      <c r="B108" s="971"/>
      <c r="C108" s="957"/>
      <c r="D108" s="957"/>
      <c r="E108" s="960"/>
      <c r="F108" s="957"/>
      <c r="G108" s="957">
        <f>SUM(G106:G107)</f>
        <v>1203.9840000000002</v>
      </c>
    </row>
    <row r="109" spans="1:7" s="954" customFormat="1" ht="14.1">
      <c r="A109" s="955"/>
      <c r="B109" s="975" t="s">
        <v>1806</v>
      </c>
      <c r="C109" s="960"/>
      <c r="D109" s="957"/>
      <c r="E109" s="1610" t="s">
        <v>2276</v>
      </c>
      <c r="F109" s="1610"/>
      <c r="G109" s="1230">
        <f>ROUND(G108,0)</f>
        <v>1204</v>
      </c>
    </row>
    <row r="110" spans="1:7" s="954" customFormat="1" ht="14.1">
      <c r="A110" s="955"/>
      <c r="B110" s="975"/>
      <c r="C110" s="960"/>
      <c r="D110" s="957"/>
      <c r="E110" s="1228"/>
      <c r="F110" s="1228"/>
      <c r="G110" s="1230"/>
    </row>
    <row r="111" spans="1:7" s="954" customFormat="1" ht="14.1">
      <c r="A111" s="953">
        <v>4</v>
      </c>
      <c r="B111" s="1611" t="s">
        <v>2501</v>
      </c>
      <c r="C111" s="1611"/>
      <c r="D111" s="1611"/>
      <c r="E111" s="1611"/>
      <c r="F111" s="1611"/>
      <c r="G111" s="1611"/>
    </row>
    <row r="112" spans="1:7" s="954" customFormat="1" ht="14.1">
      <c r="A112" s="955"/>
      <c r="B112" s="956" t="s">
        <v>2259</v>
      </c>
      <c r="C112" s="957">
        <v>1.2</v>
      </c>
      <c r="D112" s="957">
        <v>0.45</v>
      </c>
      <c r="E112" s="1230">
        <f>C112*D112</f>
        <v>0.54</v>
      </c>
      <c r="F112" s="958" t="s">
        <v>547</v>
      </c>
      <c r="G112" s="958"/>
    </row>
    <row r="113" spans="1:7" s="954" customFormat="1" ht="14.1">
      <c r="A113" s="955"/>
      <c r="B113" s="1229"/>
      <c r="C113" s="959"/>
      <c r="D113" s="958"/>
      <c r="E113" s="960"/>
      <c r="F113" s="958"/>
      <c r="G113" s="958"/>
    </row>
    <row r="114" spans="1:7" s="954" customFormat="1" ht="14.1">
      <c r="A114" s="955"/>
      <c r="B114" s="961" t="s">
        <v>2500</v>
      </c>
      <c r="C114" s="959"/>
      <c r="D114" s="958"/>
      <c r="E114" s="960"/>
      <c r="F114" s="958"/>
      <c r="G114" s="958"/>
    </row>
    <row r="115" spans="1:7" s="954" customFormat="1" ht="14.1">
      <c r="A115" s="955"/>
      <c r="B115" s="1229" t="s">
        <v>2261</v>
      </c>
      <c r="C115" s="960">
        <v>2</v>
      </c>
      <c r="D115" s="957">
        <f>D112</f>
        <v>0.45</v>
      </c>
      <c r="E115" s="957">
        <f>C115*D115</f>
        <v>0.9</v>
      </c>
      <c r="F115" s="962"/>
      <c r="G115" s="958"/>
    </row>
    <row r="116" spans="1:7" s="954" customFormat="1" ht="14.1">
      <c r="A116" s="955"/>
      <c r="B116" s="1229" t="s">
        <v>1475</v>
      </c>
      <c r="C116" s="960">
        <v>2</v>
      </c>
      <c r="D116" s="957">
        <f>C112</f>
        <v>1.2</v>
      </c>
      <c r="E116" s="957">
        <f>C116*D116</f>
        <v>2.4</v>
      </c>
      <c r="F116" s="962"/>
      <c r="G116" s="958"/>
    </row>
    <row r="117" spans="1:7" s="954" customFormat="1" ht="14.1">
      <c r="A117" s="955"/>
      <c r="B117" s="1229" t="s">
        <v>1510</v>
      </c>
      <c r="C117" s="960">
        <v>2</v>
      </c>
      <c r="D117" s="957">
        <v>0.23</v>
      </c>
      <c r="E117" s="957">
        <f>C117*D117</f>
        <v>0.46</v>
      </c>
      <c r="F117" s="962"/>
      <c r="G117" s="958"/>
    </row>
    <row r="118" spans="1:7" s="954" customFormat="1" ht="14.1">
      <c r="A118" s="955"/>
      <c r="B118" s="1229"/>
      <c r="C118" s="960"/>
      <c r="D118" s="957"/>
      <c r="E118" s="1230">
        <f>SUM(E115:E117)</f>
        <v>3.76</v>
      </c>
      <c r="F118" s="962"/>
      <c r="G118" s="958"/>
    </row>
    <row r="119" spans="1:7" s="954" customFormat="1" ht="14.1">
      <c r="A119" s="955"/>
      <c r="B119" s="1229" t="s">
        <v>2262</v>
      </c>
      <c r="C119" s="957">
        <v>2.6</v>
      </c>
      <c r="D119" s="957" t="s">
        <v>2263</v>
      </c>
      <c r="E119" s="957"/>
      <c r="F119" s="962"/>
      <c r="G119" s="958"/>
    </row>
    <row r="120" spans="1:7" s="954" customFormat="1" ht="14.1">
      <c r="A120" s="955"/>
      <c r="B120" s="963" t="s">
        <v>2264</v>
      </c>
      <c r="C120" s="957">
        <f>E118</f>
        <v>3.76</v>
      </c>
      <c r="D120" s="957">
        <f>C119</f>
        <v>2.6</v>
      </c>
      <c r="E120" s="957"/>
      <c r="F120" s="1230">
        <f>C120*D120</f>
        <v>9.7759999999999998</v>
      </c>
      <c r="G120" s="964" t="s">
        <v>462</v>
      </c>
    </row>
    <row r="121" spans="1:7" s="954" customFormat="1" ht="14.1">
      <c r="A121" s="955"/>
      <c r="B121" s="963"/>
      <c r="C121" s="957"/>
      <c r="D121" s="957"/>
      <c r="E121" s="957"/>
      <c r="F121" s="1230"/>
      <c r="G121" s="964"/>
    </row>
    <row r="122" spans="1:7" s="954" customFormat="1" ht="14.1">
      <c r="A122" s="955"/>
      <c r="B122" s="961" t="s">
        <v>2265</v>
      </c>
      <c r="C122" s="959"/>
      <c r="D122" s="958"/>
      <c r="E122" s="960"/>
      <c r="F122" s="958"/>
      <c r="G122" s="958"/>
    </row>
    <row r="123" spans="1:7" s="954" customFormat="1" ht="14.1">
      <c r="A123" s="955"/>
      <c r="B123" s="1229" t="s">
        <v>1477</v>
      </c>
      <c r="C123" s="960">
        <v>10</v>
      </c>
      <c r="D123" s="957">
        <f>D115</f>
        <v>0.45</v>
      </c>
      <c r="E123" s="957">
        <f>C123*D123</f>
        <v>4.5</v>
      </c>
      <c r="F123" s="962"/>
      <c r="G123" s="958"/>
    </row>
    <row r="124" spans="1:7" s="954" customFormat="1" ht="14.1">
      <c r="A124" s="955"/>
      <c r="B124" s="1229" t="s">
        <v>1475</v>
      </c>
      <c r="C124" s="960">
        <v>3</v>
      </c>
      <c r="D124" s="957">
        <f>D116</f>
        <v>1.2</v>
      </c>
      <c r="E124" s="957">
        <f>C124*D124</f>
        <v>3.5999999999999996</v>
      </c>
      <c r="F124" s="962"/>
      <c r="G124" s="958"/>
    </row>
    <row r="125" spans="1:7" s="954" customFormat="1" ht="14.1">
      <c r="A125" s="955"/>
      <c r="B125" s="1229"/>
      <c r="C125" s="960"/>
      <c r="D125" s="957"/>
      <c r="E125" s="1230">
        <f>SUM(E123:E124)</f>
        <v>8.1</v>
      </c>
      <c r="F125" s="962"/>
      <c r="G125" s="958"/>
    </row>
    <row r="126" spans="1:7" s="954" customFormat="1" ht="14.1">
      <c r="A126" s="955"/>
      <c r="B126" s="1229" t="s">
        <v>2262</v>
      </c>
      <c r="C126" s="957">
        <v>0.78</v>
      </c>
      <c r="D126" s="957" t="s">
        <v>2263</v>
      </c>
      <c r="E126" s="957"/>
      <c r="F126" s="962"/>
      <c r="G126" s="958"/>
    </row>
    <row r="127" spans="1:7" s="954" customFormat="1" ht="14.1">
      <c r="A127" s="955"/>
      <c r="B127" s="963" t="s">
        <v>2264</v>
      </c>
      <c r="C127" s="957">
        <f>E125</f>
        <v>8.1</v>
      </c>
      <c r="D127" s="957">
        <f>C126</f>
        <v>0.78</v>
      </c>
      <c r="E127" s="957"/>
      <c r="F127" s="1230">
        <f>C127*D127</f>
        <v>6.3179999999999996</v>
      </c>
      <c r="G127" s="964" t="s">
        <v>462</v>
      </c>
    </row>
    <row r="128" spans="1:7" s="954" customFormat="1" ht="14.1">
      <c r="A128" s="955"/>
      <c r="B128" s="963"/>
      <c r="C128" s="957"/>
      <c r="D128" s="957"/>
      <c r="E128" s="957"/>
      <c r="F128" s="1230"/>
      <c r="G128" s="964"/>
    </row>
    <row r="129" spans="1:7" s="954" customFormat="1" ht="14.1">
      <c r="A129" s="955"/>
      <c r="B129" s="961" t="s">
        <v>2266</v>
      </c>
      <c r="C129" s="960"/>
      <c r="D129" s="957"/>
      <c r="E129" s="957"/>
      <c r="F129" s="1230"/>
      <c r="G129" s="964"/>
    </row>
    <row r="130" spans="1:7" s="954" customFormat="1" ht="14.1">
      <c r="A130" s="955"/>
      <c r="B130" s="1229" t="s">
        <v>2267</v>
      </c>
      <c r="C130" s="960">
        <v>0.6</v>
      </c>
      <c r="D130" s="965">
        <f>'[8]C-data (K)'!$F$86</f>
        <v>129</v>
      </c>
      <c r="E130" s="957">
        <f>C130*D130</f>
        <v>77.399999999999991</v>
      </c>
      <c r="F130" s="962"/>
      <c r="G130" s="958"/>
    </row>
    <row r="131" spans="1:7" s="954" customFormat="1" ht="14.1">
      <c r="A131" s="955"/>
      <c r="B131" s="1229" t="s">
        <v>771</v>
      </c>
      <c r="C131" s="960">
        <v>0.21</v>
      </c>
      <c r="D131" s="965">
        <f>'[8]C-data (K)'!$F$19</f>
        <v>684</v>
      </c>
      <c r="E131" s="957">
        <f>C131*D131</f>
        <v>143.63999999999999</v>
      </c>
      <c r="F131" s="962"/>
      <c r="G131" s="958"/>
    </row>
    <row r="132" spans="1:7" s="954" customFormat="1" ht="14.1">
      <c r="A132" s="955"/>
      <c r="B132" s="1229" t="s">
        <v>772</v>
      </c>
      <c r="C132" s="960">
        <v>0.49</v>
      </c>
      <c r="D132" s="965">
        <f>'[8]C-data (K)'!$F$20</f>
        <v>564</v>
      </c>
      <c r="E132" s="957">
        <f>C132*D132</f>
        <v>276.36</v>
      </c>
      <c r="F132" s="962"/>
      <c r="G132" s="958"/>
    </row>
    <row r="133" spans="1:7" s="954" customFormat="1" ht="14.1">
      <c r="A133" s="955"/>
      <c r="B133" s="963"/>
      <c r="C133" s="960"/>
      <c r="D133" s="957"/>
      <c r="E133" s="1230">
        <f>SUM(E130:E132)</f>
        <v>497.4</v>
      </c>
      <c r="F133" s="966" t="s">
        <v>2268</v>
      </c>
      <c r="G133" s="964"/>
    </row>
    <row r="134" spans="1:7" s="954" customFormat="1" ht="14.1">
      <c r="A134" s="955"/>
      <c r="B134" s="963"/>
      <c r="C134" s="960"/>
      <c r="D134" s="957"/>
      <c r="E134" s="1230"/>
      <c r="F134" s="964"/>
      <c r="G134" s="964"/>
    </row>
    <row r="135" spans="1:7" s="954" customFormat="1" ht="28.2">
      <c r="A135" s="953" t="s">
        <v>2269</v>
      </c>
      <c r="B135" s="953" t="s">
        <v>2270</v>
      </c>
      <c r="C135" s="953" t="s">
        <v>2271</v>
      </c>
      <c r="D135" s="967"/>
      <c r="E135" s="953" t="s">
        <v>92</v>
      </c>
      <c r="F135" s="967"/>
      <c r="G135" s="967" t="s">
        <v>151</v>
      </c>
    </row>
    <row r="136" spans="1:7" s="954" customFormat="1">
      <c r="A136" s="955">
        <v>1</v>
      </c>
      <c r="B136" s="1229" t="str">
        <f>B114</f>
        <v>Outer frame "L' angle 35x35x5mm</v>
      </c>
      <c r="C136" s="957">
        <f>F120</f>
        <v>9.7759999999999998</v>
      </c>
      <c r="D136" s="968" t="s">
        <v>2272</v>
      </c>
      <c r="E136" s="957"/>
      <c r="F136" s="968"/>
      <c r="G136" s="957"/>
    </row>
    <row r="137" spans="1:7" s="954" customFormat="1">
      <c r="A137" s="955">
        <v>2</v>
      </c>
      <c r="B137" s="1229" t="str">
        <f>B122</f>
        <v>10mm square rods safety bars</v>
      </c>
      <c r="C137" s="957">
        <f>F127</f>
        <v>6.3179999999999996</v>
      </c>
      <c r="D137" s="968" t="s">
        <v>462</v>
      </c>
      <c r="E137" s="957"/>
      <c r="F137" s="968"/>
      <c r="G137" s="957"/>
    </row>
    <row r="138" spans="1:7" s="954" customFormat="1" ht="14.1">
      <c r="A138" s="969"/>
      <c r="B138" s="970"/>
      <c r="C138" s="1230">
        <f>SUM(C136:C137)</f>
        <v>16.094000000000001</v>
      </c>
      <c r="D138" s="968" t="s">
        <v>462</v>
      </c>
      <c r="E138" s="957">
        <f>[8]LEAD!$P$30/1000</f>
        <v>49</v>
      </c>
      <c r="F138" s="968" t="s">
        <v>462</v>
      </c>
      <c r="G138" s="957">
        <f>ROUND(C138*E138,2)</f>
        <v>788.61</v>
      </c>
    </row>
    <row r="139" spans="1:7" s="954" customFormat="1">
      <c r="A139" s="955">
        <v>3</v>
      </c>
      <c r="B139" s="971" t="s">
        <v>2273</v>
      </c>
      <c r="C139" s="957">
        <f>E112</f>
        <v>0.54</v>
      </c>
      <c r="D139" s="968" t="s">
        <v>461</v>
      </c>
      <c r="E139" s="957">
        <f>E133</f>
        <v>497.4</v>
      </c>
      <c r="F139" s="968" t="s">
        <v>2274</v>
      </c>
      <c r="G139" s="957">
        <f>ROUND(C139*E139/10,2)</f>
        <v>26.86</v>
      </c>
    </row>
    <row r="140" spans="1:7" s="954" customFormat="1" ht="14.1">
      <c r="A140" s="955">
        <v>4</v>
      </c>
      <c r="B140" s="972" t="s">
        <v>2497</v>
      </c>
      <c r="C140" s="957">
        <f>C138</f>
        <v>16.094000000000001</v>
      </c>
      <c r="D140" s="968" t="s">
        <v>462</v>
      </c>
      <c r="E140" s="957">
        <f>30+4</f>
        <v>34</v>
      </c>
      <c r="F140" s="968" t="s">
        <v>462</v>
      </c>
      <c r="G140" s="957">
        <f>ROUND(C140*E140,2)</f>
        <v>547.20000000000005</v>
      </c>
    </row>
    <row r="141" spans="1:7" s="954" customFormat="1">
      <c r="A141" s="955">
        <v>5</v>
      </c>
      <c r="B141" s="971" t="s">
        <v>2275</v>
      </c>
      <c r="C141" s="957">
        <f>'[8]C-data (K)'!$E$5</f>
        <v>0.2</v>
      </c>
      <c r="D141" s="968"/>
      <c r="E141" s="957">
        <f>G140</f>
        <v>547.20000000000005</v>
      </c>
      <c r="F141" s="968"/>
      <c r="G141" s="957">
        <f>C141*E141</f>
        <v>109.44000000000001</v>
      </c>
    </row>
    <row r="142" spans="1:7" s="954" customFormat="1" ht="14.1">
      <c r="A142" s="955"/>
      <c r="B142" s="971"/>
      <c r="C142" s="960"/>
      <c r="D142" s="957"/>
      <c r="E142" s="960"/>
      <c r="F142" s="957"/>
      <c r="G142" s="1230">
        <f>SUM(G138:G141)</f>
        <v>1472.1100000000001</v>
      </c>
    </row>
    <row r="143" spans="1:7" s="954" customFormat="1" ht="14.1">
      <c r="A143" s="955">
        <v>6</v>
      </c>
      <c r="B143" s="1277" t="str">
        <f>'[8]C-data (K)'!$C$174</f>
        <v>Add 5% over heads</v>
      </c>
      <c r="C143" s="974">
        <f>'[8]C-data (K)'!$D$3</f>
        <v>0</v>
      </c>
      <c r="D143" s="957"/>
      <c r="E143" s="960"/>
      <c r="F143" s="957"/>
      <c r="G143" s="957">
        <f>G142*C143</f>
        <v>0</v>
      </c>
    </row>
    <row r="144" spans="1:7" s="954" customFormat="1">
      <c r="A144" s="955"/>
      <c r="B144" s="971"/>
      <c r="C144" s="957"/>
      <c r="D144" s="957"/>
      <c r="E144" s="960"/>
      <c r="F144" s="957"/>
      <c r="G144" s="957">
        <f>SUM(G142:G143)</f>
        <v>1472.1100000000001</v>
      </c>
    </row>
    <row r="145" spans="1:7" s="954" customFormat="1" ht="14.1">
      <c r="A145" s="955"/>
      <c r="B145" s="975" t="s">
        <v>1806</v>
      </c>
      <c r="C145" s="960"/>
      <c r="D145" s="957"/>
      <c r="E145" s="1610" t="s">
        <v>2276</v>
      </c>
      <c r="F145" s="1610"/>
      <c r="G145" s="1230">
        <f>ROUND(G144,0)</f>
        <v>1472</v>
      </c>
    </row>
    <row r="146" spans="1:7" s="954" customFormat="1" ht="14.1">
      <c r="A146" s="955"/>
      <c r="B146" s="975"/>
      <c r="C146" s="960"/>
      <c r="D146" s="957"/>
      <c r="E146" s="1228"/>
      <c r="F146" s="1228"/>
      <c r="G146" s="1230"/>
    </row>
    <row r="147" spans="1:7" s="954" customFormat="1" ht="14.1">
      <c r="A147" s="953">
        <v>5</v>
      </c>
      <c r="B147" s="1611" t="s">
        <v>2502</v>
      </c>
      <c r="C147" s="1611"/>
      <c r="D147" s="1611"/>
      <c r="E147" s="1611"/>
      <c r="F147" s="1611"/>
      <c r="G147" s="1611"/>
    </row>
    <row r="148" spans="1:7" s="954" customFormat="1" ht="14.1">
      <c r="A148" s="955"/>
      <c r="B148" s="956" t="s">
        <v>2259</v>
      </c>
      <c r="C148" s="957">
        <v>1</v>
      </c>
      <c r="D148" s="957">
        <v>0.3</v>
      </c>
      <c r="E148" s="1230">
        <f>C148*D148</f>
        <v>0.3</v>
      </c>
      <c r="F148" s="958" t="s">
        <v>547</v>
      </c>
      <c r="G148" s="958"/>
    </row>
    <row r="149" spans="1:7" s="954" customFormat="1" ht="14.1">
      <c r="A149" s="955"/>
      <c r="B149" s="1229"/>
      <c r="C149" s="959"/>
      <c r="D149" s="958"/>
      <c r="E149" s="960"/>
      <c r="F149" s="958"/>
      <c r="G149" s="958"/>
    </row>
    <row r="150" spans="1:7" s="954" customFormat="1" ht="14.1">
      <c r="A150" s="955"/>
      <c r="B150" s="961" t="s">
        <v>2260</v>
      </c>
      <c r="C150" s="959"/>
      <c r="D150" s="958"/>
      <c r="E150" s="960"/>
      <c r="F150" s="958"/>
      <c r="G150" s="958"/>
    </row>
    <row r="151" spans="1:7" s="954" customFormat="1" ht="14.1">
      <c r="A151" s="955"/>
      <c r="B151" s="1229" t="s">
        <v>2261</v>
      </c>
      <c r="C151" s="960">
        <v>2</v>
      </c>
      <c r="D151" s="957">
        <f>D148</f>
        <v>0.3</v>
      </c>
      <c r="E151" s="957">
        <f>C151*D151</f>
        <v>0.6</v>
      </c>
      <c r="F151" s="962"/>
      <c r="G151" s="958"/>
    </row>
    <row r="152" spans="1:7" s="954" customFormat="1" ht="14.1">
      <c r="A152" s="955"/>
      <c r="B152" s="1229" t="s">
        <v>1475</v>
      </c>
      <c r="C152" s="960">
        <v>2</v>
      </c>
      <c r="D152" s="957">
        <f>C148</f>
        <v>1</v>
      </c>
      <c r="E152" s="957">
        <f>C152*D152</f>
        <v>2</v>
      </c>
      <c r="F152" s="962"/>
      <c r="G152" s="958"/>
    </row>
    <row r="153" spans="1:7" s="954" customFormat="1" ht="14.1">
      <c r="A153" s="955"/>
      <c r="B153" s="1229" t="s">
        <v>1510</v>
      </c>
      <c r="C153" s="960">
        <v>2</v>
      </c>
      <c r="D153" s="957">
        <v>0.23</v>
      </c>
      <c r="E153" s="957">
        <f>C153*D153</f>
        <v>0.46</v>
      </c>
      <c r="F153" s="962"/>
      <c r="G153" s="958"/>
    </row>
    <row r="154" spans="1:7" s="954" customFormat="1" ht="14.1">
      <c r="A154" s="955"/>
      <c r="B154" s="1229"/>
      <c r="C154" s="960"/>
      <c r="D154" s="957"/>
      <c r="E154" s="1230">
        <f>SUM(E151:E153)</f>
        <v>3.06</v>
      </c>
      <c r="F154" s="962"/>
      <c r="G154" s="958"/>
    </row>
    <row r="155" spans="1:7" s="954" customFormat="1" ht="14.1">
      <c r="A155" s="955"/>
      <c r="B155" s="1229" t="s">
        <v>2262</v>
      </c>
      <c r="C155" s="957">
        <v>1.8</v>
      </c>
      <c r="D155" s="957" t="s">
        <v>2263</v>
      </c>
      <c r="E155" s="957"/>
      <c r="F155" s="962"/>
      <c r="G155" s="958"/>
    </row>
    <row r="156" spans="1:7" s="954" customFormat="1" ht="14.1">
      <c r="A156" s="955"/>
      <c r="B156" s="963" t="s">
        <v>2264</v>
      </c>
      <c r="C156" s="957">
        <f>E154</f>
        <v>3.06</v>
      </c>
      <c r="D156" s="957">
        <f>C155</f>
        <v>1.8</v>
      </c>
      <c r="E156" s="957"/>
      <c r="F156" s="1230">
        <f>C156*D156</f>
        <v>5.508</v>
      </c>
      <c r="G156" s="964" t="s">
        <v>462</v>
      </c>
    </row>
    <row r="157" spans="1:7" s="954" customFormat="1" ht="14.1">
      <c r="A157" s="955"/>
      <c r="B157" s="963"/>
      <c r="C157" s="957"/>
      <c r="D157" s="957"/>
      <c r="E157" s="957"/>
      <c r="F157" s="1230"/>
      <c r="G157" s="964"/>
    </row>
    <row r="158" spans="1:7" s="954" customFormat="1" ht="14.1">
      <c r="A158" s="955"/>
      <c r="B158" s="961" t="s">
        <v>2265</v>
      </c>
      <c r="C158" s="959"/>
      <c r="D158" s="958"/>
      <c r="E158" s="960"/>
      <c r="F158" s="958"/>
      <c r="G158" s="958"/>
    </row>
    <row r="159" spans="1:7" s="954" customFormat="1" ht="14.1">
      <c r="A159" s="955"/>
      <c r="B159" s="1229" t="s">
        <v>1477</v>
      </c>
      <c r="C159" s="960">
        <v>8</v>
      </c>
      <c r="D159" s="957">
        <f>D151</f>
        <v>0.3</v>
      </c>
      <c r="E159" s="957">
        <f>C159*D159</f>
        <v>2.4</v>
      </c>
      <c r="F159" s="962"/>
      <c r="G159" s="958"/>
    </row>
    <row r="160" spans="1:7" s="954" customFormat="1" ht="14.1">
      <c r="A160" s="955"/>
      <c r="B160" s="1229" t="s">
        <v>1475</v>
      </c>
      <c r="C160" s="960">
        <v>2</v>
      </c>
      <c r="D160" s="957">
        <f>D152</f>
        <v>1</v>
      </c>
      <c r="E160" s="957">
        <f>C160*D160</f>
        <v>2</v>
      </c>
      <c r="F160" s="962"/>
      <c r="G160" s="958"/>
    </row>
    <row r="161" spans="1:7" s="954" customFormat="1" ht="14.1">
      <c r="A161" s="955"/>
      <c r="B161" s="1229"/>
      <c r="C161" s="960"/>
      <c r="D161" s="957"/>
      <c r="E161" s="1230">
        <f>SUM(E159:E160)</f>
        <v>4.4000000000000004</v>
      </c>
      <c r="F161" s="962"/>
      <c r="G161" s="958"/>
    </row>
    <row r="162" spans="1:7" s="954" customFormat="1" ht="14.1">
      <c r="A162" s="955"/>
      <c r="B162" s="1229" t="s">
        <v>2262</v>
      </c>
      <c r="C162" s="957">
        <v>0.78</v>
      </c>
      <c r="D162" s="957" t="s">
        <v>2263</v>
      </c>
      <c r="E162" s="957"/>
      <c r="F162" s="962"/>
      <c r="G162" s="958"/>
    </row>
    <row r="163" spans="1:7" s="954" customFormat="1" ht="14.1">
      <c r="A163" s="955"/>
      <c r="B163" s="963" t="s">
        <v>2264</v>
      </c>
      <c r="C163" s="957">
        <f>E161</f>
        <v>4.4000000000000004</v>
      </c>
      <c r="D163" s="957">
        <f>C162</f>
        <v>0.78</v>
      </c>
      <c r="E163" s="957"/>
      <c r="F163" s="1230">
        <f>C163*D163</f>
        <v>3.4320000000000004</v>
      </c>
      <c r="G163" s="964" t="s">
        <v>462</v>
      </c>
    </row>
    <row r="164" spans="1:7" s="954" customFormat="1" ht="14.1">
      <c r="A164" s="955"/>
      <c r="B164" s="963"/>
      <c r="C164" s="957"/>
      <c r="D164" s="957"/>
      <c r="E164" s="957"/>
      <c r="F164" s="1230"/>
      <c r="G164" s="964"/>
    </row>
    <row r="165" spans="1:7" s="954" customFormat="1" ht="14.1">
      <c r="A165" s="955"/>
      <c r="B165" s="961" t="s">
        <v>2266</v>
      </c>
      <c r="C165" s="960"/>
      <c r="D165" s="957"/>
      <c r="E165" s="957"/>
      <c r="F165" s="1230"/>
      <c r="G165" s="964"/>
    </row>
    <row r="166" spans="1:7" s="954" customFormat="1" ht="14.1">
      <c r="A166" s="955"/>
      <c r="B166" s="1229" t="s">
        <v>2267</v>
      </c>
      <c r="C166" s="960">
        <v>0.6</v>
      </c>
      <c r="D166" s="965">
        <f>'[8]C-data (K)'!$F$86</f>
        <v>129</v>
      </c>
      <c r="E166" s="957">
        <f>C166*D166</f>
        <v>77.399999999999991</v>
      </c>
      <c r="F166" s="962"/>
      <c r="G166" s="958"/>
    </row>
    <row r="167" spans="1:7" s="954" customFormat="1" ht="14.1">
      <c r="A167" s="955"/>
      <c r="B167" s="1229" t="s">
        <v>771</v>
      </c>
      <c r="C167" s="960">
        <v>0.21</v>
      </c>
      <c r="D167" s="965">
        <f>'[8]C-data (K)'!$F$19</f>
        <v>684</v>
      </c>
      <c r="E167" s="957">
        <f>C167*D167</f>
        <v>143.63999999999999</v>
      </c>
      <c r="F167" s="962"/>
      <c r="G167" s="958"/>
    </row>
    <row r="168" spans="1:7" s="954" customFormat="1" ht="14.1">
      <c r="A168" s="955"/>
      <c r="B168" s="1229" t="s">
        <v>772</v>
      </c>
      <c r="C168" s="960">
        <v>0.49</v>
      </c>
      <c r="D168" s="965">
        <f>'[8]C-data (K)'!$F$20</f>
        <v>564</v>
      </c>
      <c r="E168" s="957">
        <f>C168*D168</f>
        <v>276.36</v>
      </c>
      <c r="F168" s="962"/>
      <c r="G168" s="958"/>
    </row>
    <row r="169" spans="1:7" s="954" customFormat="1" ht="14.1">
      <c r="A169" s="955"/>
      <c r="B169" s="963"/>
      <c r="C169" s="960"/>
      <c r="D169" s="957"/>
      <c r="E169" s="1230">
        <f>SUM(E166:E168)</f>
        <v>497.4</v>
      </c>
      <c r="F169" s="966" t="s">
        <v>2268</v>
      </c>
      <c r="G169" s="964"/>
    </row>
    <row r="170" spans="1:7" s="954" customFormat="1" ht="14.1">
      <c r="A170" s="955"/>
      <c r="B170" s="963"/>
      <c r="C170" s="960"/>
      <c r="D170" s="957"/>
      <c r="E170" s="1230"/>
      <c r="F170" s="964"/>
      <c r="G170" s="964"/>
    </row>
    <row r="171" spans="1:7" s="954" customFormat="1" ht="28.2">
      <c r="A171" s="953" t="s">
        <v>2269</v>
      </c>
      <c r="B171" s="953" t="s">
        <v>2270</v>
      </c>
      <c r="C171" s="953" t="s">
        <v>2271</v>
      </c>
      <c r="D171" s="967"/>
      <c r="E171" s="953" t="s">
        <v>92</v>
      </c>
      <c r="F171" s="967"/>
      <c r="G171" s="967" t="s">
        <v>151</v>
      </c>
    </row>
    <row r="172" spans="1:7" s="954" customFormat="1">
      <c r="A172" s="955">
        <v>1</v>
      </c>
      <c r="B172" s="1229" t="str">
        <f>B150</f>
        <v>Outer frame "L' angle 25x25x5mm</v>
      </c>
      <c r="C172" s="957">
        <f>F156</f>
        <v>5.508</v>
      </c>
      <c r="D172" s="968" t="s">
        <v>2272</v>
      </c>
      <c r="E172" s="957"/>
      <c r="F172" s="968"/>
      <c r="G172" s="957"/>
    </row>
    <row r="173" spans="1:7" s="954" customFormat="1">
      <c r="A173" s="955">
        <v>2</v>
      </c>
      <c r="B173" s="1229" t="str">
        <f>B158</f>
        <v>10mm square rods safety bars</v>
      </c>
      <c r="C173" s="957">
        <f>F163</f>
        <v>3.4320000000000004</v>
      </c>
      <c r="D173" s="968" t="s">
        <v>462</v>
      </c>
      <c r="E173" s="957"/>
      <c r="F173" s="968"/>
      <c r="G173" s="957"/>
    </row>
    <row r="174" spans="1:7" s="954" customFormat="1" ht="14.1">
      <c r="A174" s="969"/>
      <c r="B174" s="970"/>
      <c r="C174" s="1230">
        <f>SUM(C172:C173)</f>
        <v>8.9400000000000013</v>
      </c>
      <c r="D174" s="968" t="s">
        <v>462</v>
      </c>
      <c r="E174" s="957">
        <f>[8]LEAD!$P$30/1000</f>
        <v>49</v>
      </c>
      <c r="F174" s="968" t="s">
        <v>462</v>
      </c>
      <c r="G174" s="957">
        <f>ROUND(C174*E174,2)</f>
        <v>438.06</v>
      </c>
    </row>
    <row r="175" spans="1:7" s="954" customFormat="1">
      <c r="A175" s="955">
        <v>3</v>
      </c>
      <c r="B175" s="971" t="s">
        <v>2273</v>
      </c>
      <c r="C175" s="957">
        <f>E148</f>
        <v>0.3</v>
      </c>
      <c r="D175" s="968" t="s">
        <v>461</v>
      </c>
      <c r="E175" s="957">
        <f>E169</f>
        <v>497.4</v>
      </c>
      <c r="F175" s="968" t="s">
        <v>2274</v>
      </c>
      <c r="G175" s="957">
        <f>ROUND(C175*E175/10,2)</f>
        <v>14.92</v>
      </c>
    </row>
    <row r="176" spans="1:7" s="954" customFormat="1" ht="14.1">
      <c r="A176" s="955">
        <v>4</v>
      </c>
      <c r="B176" s="972" t="s">
        <v>2497</v>
      </c>
      <c r="C176" s="957">
        <f>C174</f>
        <v>8.9400000000000013</v>
      </c>
      <c r="D176" s="968" t="s">
        <v>462</v>
      </c>
      <c r="E176" s="957">
        <f>30+4</f>
        <v>34</v>
      </c>
      <c r="F176" s="968" t="s">
        <v>462</v>
      </c>
      <c r="G176" s="957">
        <f>ROUND(C176*E176,2)</f>
        <v>303.95999999999998</v>
      </c>
    </row>
    <row r="177" spans="1:7" s="954" customFormat="1">
      <c r="A177" s="955">
        <v>5</v>
      </c>
      <c r="B177" s="971" t="s">
        <v>2275</v>
      </c>
      <c r="C177" s="957">
        <f>'[8]C-data (K)'!$E$5</f>
        <v>0.2</v>
      </c>
      <c r="D177" s="968"/>
      <c r="E177" s="957">
        <f>G176</f>
        <v>303.95999999999998</v>
      </c>
      <c r="F177" s="968"/>
      <c r="G177" s="957">
        <f>C177*E177</f>
        <v>60.792000000000002</v>
      </c>
    </row>
    <row r="178" spans="1:7" s="954" customFormat="1" ht="14.1">
      <c r="A178" s="955"/>
      <c r="B178" s="971"/>
      <c r="C178" s="960"/>
      <c r="D178" s="957"/>
      <c r="E178" s="960"/>
      <c r="F178" s="957"/>
      <c r="G178" s="1230">
        <f>SUM(G174:G177)</f>
        <v>817.73200000000008</v>
      </c>
    </row>
    <row r="179" spans="1:7" s="954" customFormat="1" ht="14.1">
      <c r="A179" s="955">
        <v>6</v>
      </c>
      <c r="B179" s="1277" t="str">
        <f>'[8]C-data (K)'!$C$174</f>
        <v>Add 5% over heads</v>
      </c>
      <c r="C179" s="974">
        <f>'[8]C-data (K)'!$D$3</f>
        <v>0</v>
      </c>
      <c r="D179" s="957"/>
      <c r="E179" s="960"/>
      <c r="F179" s="957"/>
      <c r="G179" s="957">
        <f>G178*C179</f>
        <v>0</v>
      </c>
    </row>
    <row r="180" spans="1:7" s="954" customFormat="1" ht="14.1">
      <c r="A180" s="955"/>
      <c r="B180" s="971"/>
      <c r="C180" s="957"/>
      <c r="D180" s="957"/>
      <c r="E180" s="960"/>
      <c r="F180" s="957"/>
      <c r="G180" s="1230">
        <f>SUM(G178:G179)</f>
        <v>817.73200000000008</v>
      </c>
    </row>
    <row r="181" spans="1:7" s="954" customFormat="1" ht="14.1">
      <c r="A181" s="955"/>
      <c r="B181" s="975" t="s">
        <v>1806</v>
      </c>
      <c r="C181" s="960"/>
      <c r="D181" s="957"/>
      <c r="E181" s="1610" t="s">
        <v>2276</v>
      </c>
      <c r="F181" s="1610"/>
      <c r="G181" s="1230">
        <f>ROUND(G180,0)</f>
        <v>818</v>
      </c>
    </row>
    <row r="182" spans="1:7" s="954" customFormat="1" ht="14.1">
      <c r="A182" s="955"/>
      <c r="B182" s="971"/>
      <c r="C182" s="960"/>
      <c r="D182" s="957"/>
      <c r="E182" s="960"/>
      <c r="F182" s="957"/>
      <c r="G182" s="1230"/>
    </row>
    <row r="183" spans="1:7" s="954" customFormat="1" ht="14.1">
      <c r="A183" s="953">
        <v>6</v>
      </c>
      <c r="B183" s="1611" t="s">
        <v>2503</v>
      </c>
      <c r="C183" s="1611"/>
      <c r="D183" s="1611"/>
      <c r="E183" s="1611"/>
      <c r="F183" s="1611"/>
      <c r="G183" s="1611"/>
    </row>
    <row r="184" spans="1:7" s="954" customFormat="1" ht="14.1">
      <c r="A184" s="955"/>
      <c r="B184" s="956" t="s">
        <v>2259</v>
      </c>
      <c r="C184" s="957">
        <v>1</v>
      </c>
      <c r="D184" s="957">
        <v>0.45</v>
      </c>
      <c r="E184" s="1230">
        <f>C184*D184</f>
        <v>0.45</v>
      </c>
      <c r="F184" s="958" t="s">
        <v>547</v>
      </c>
      <c r="G184" s="958"/>
    </row>
    <row r="185" spans="1:7" s="954" customFormat="1" ht="14.1">
      <c r="A185" s="955"/>
      <c r="B185" s="1229"/>
      <c r="C185" s="959"/>
      <c r="D185" s="958"/>
      <c r="E185" s="960"/>
      <c r="F185" s="958"/>
      <c r="G185" s="958"/>
    </row>
    <row r="186" spans="1:7" s="954" customFormat="1" ht="14.1">
      <c r="A186" s="955"/>
      <c r="B186" s="961" t="s">
        <v>2260</v>
      </c>
      <c r="C186" s="959"/>
      <c r="D186" s="958"/>
      <c r="E186" s="960"/>
      <c r="F186" s="958"/>
      <c r="G186" s="958"/>
    </row>
    <row r="187" spans="1:7" s="954" customFormat="1" ht="14.1">
      <c r="A187" s="955"/>
      <c r="B187" s="1229" t="s">
        <v>2261</v>
      </c>
      <c r="C187" s="960">
        <v>2</v>
      </c>
      <c r="D187" s="957">
        <f>D184</f>
        <v>0.45</v>
      </c>
      <c r="E187" s="957">
        <f>C187*D187</f>
        <v>0.9</v>
      </c>
      <c r="F187" s="962"/>
      <c r="G187" s="958"/>
    </row>
    <row r="188" spans="1:7" s="954" customFormat="1" ht="14.1">
      <c r="A188" s="955"/>
      <c r="B188" s="1229" t="s">
        <v>1475</v>
      </c>
      <c r="C188" s="960">
        <v>2</v>
      </c>
      <c r="D188" s="957">
        <f>C184</f>
        <v>1</v>
      </c>
      <c r="E188" s="957">
        <f>C188*D188</f>
        <v>2</v>
      </c>
      <c r="F188" s="962"/>
      <c r="G188" s="958"/>
    </row>
    <row r="189" spans="1:7" s="954" customFormat="1" ht="14.1">
      <c r="A189" s="955"/>
      <c r="B189" s="1229" t="s">
        <v>1510</v>
      </c>
      <c r="C189" s="960">
        <v>2</v>
      </c>
      <c r="D189" s="957">
        <v>0.23</v>
      </c>
      <c r="E189" s="957">
        <f>C189*D189</f>
        <v>0.46</v>
      </c>
      <c r="F189" s="962"/>
      <c r="G189" s="958"/>
    </row>
    <row r="190" spans="1:7" s="954" customFormat="1" ht="14.1">
      <c r="A190" s="955"/>
      <c r="B190" s="1229"/>
      <c r="C190" s="960"/>
      <c r="D190" s="957"/>
      <c r="E190" s="1230">
        <f>SUM(E187:E189)</f>
        <v>3.36</v>
      </c>
      <c r="F190" s="962"/>
      <c r="G190" s="958"/>
    </row>
    <row r="191" spans="1:7" s="954" customFormat="1" ht="14.1">
      <c r="A191" s="955"/>
      <c r="B191" s="1229" t="s">
        <v>2262</v>
      </c>
      <c r="C191" s="957">
        <v>1.8</v>
      </c>
      <c r="D191" s="957" t="s">
        <v>2263</v>
      </c>
      <c r="E191" s="957"/>
      <c r="F191" s="962"/>
      <c r="G191" s="958"/>
    </row>
    <row r="192" spans="1:7" s="954" customFormat="1" ht="14.1">
      <c r="A192" s="955"/>
      <c r="B192" s="963" t="s">
        <v>2264</v>
      </c>
      <c r="C192" s="957">
        <f>E190</f>
        <v>3.36</v>
      </c>
      <c r="D192" s="957">
        <f>C191</f>
        <v>1.8</v>
      </c>
      <c r="E192" s="957"/>
      <c r="F192" s="1230">
        <f>C192*D192</f>
        <v>6.048</v>
      </c>
      <c r="G192" s="964" t="s">
        <v>462</v>
      </c>
    </row>
    <row r="193" spans="1:7" s="954" customFormat="1" ht="14.1">
      <c r="A193" s="955"/>
      <c r="B193" s="963"/>
      <c r="C193" s="957"/>
      <c r="D193" s="957"/>
      <c r="E193" s="957"/>
      <c r="F193" s="1230"/>
      <c r="G193" s="964"/>
    </row>
    <row r="194" spans="1:7" s="954" customFormat="1" ht="14.1">
      <c r="A194" s="955"/>
      <c r="B194" s="961" t="s">
        <v>2265</v>
      </c>
      <c r="C194" s="959"/>
      <c r="D194" s="958"/>
      <c r="E194" s="960"/>
      <c r="F194" s="958"/>
      <c r="G194" s="958"/>
    </row>
    <row r="195" spans="1:7" s="954" customFormat="1" ht="14.1">
      <c r="A195" s="955"/>
      <c r="B195" s="1229" t="s">
        <v>1477</v>
      </c>
      <c r="C195" s="960">
        <v>8</v>
      </c>
      <c r="D195" s="957">
        <f>D187</f>
        <v>0.45</v>
      </c>
      <c r="E195" s="957">
        <f>C195*D195</f>
        <v>3.6</v>
      </c>
      <c r="F195" s="962"/>
      <c r="G195" s="958"/>
    </row>
    <row r="196" spans="1:7" s="954" customFormat="1" ht="14.1">
      <c r="A196" s="955"/>
      <c r="B196" s="1229" t="s">
        <v>1475</v>
      </c>
      <c r="C196" s="960">
        <v>3</v>
      </c>
      <c r="D196" s="957">
        <f>D188</f>
        <v>1</v>
      </c>
      <c r="E196" s="957">
        <f>C196*D196</f>
        <v>3</v>
      </c>
      <c r="F196" s="962"/>
      <c r="G196" s="958"/>
    </row>
    <row r="197" spans="1:7" s="954" customFormat="1" ht="14.1">
      <c r="A197" s="955"/>
      <c r="B197" s="1229"/>
      <c r="C197" s="960"/>
      <c r="D197" s="957"/>
      <c r="E197" s="1230">
        <f>SUM(E195:E196)</f>
        <v>6.6</v>
      </c>
      <c r="F197" s="962"/>
      <c r="G197" s="958"/>
    </row>
    <row r="198" spans="1:7" s="954" customFormat="1" ht="14.1">
      <c r="A198" s="955"/>
      <c r="B198" s="1229" t="s">
        <v>2262</v>
      </c>
      <c r="C198" s="957">
        <v>0.78</v>
      </c>
      <c r="D198" s="957" t="s">
        <v>2263</v>
      </c>
      <c r="E198" s="957"/>
      <c r="F198" s="962"/>
      <c r="G198" s="958"/>
    </row>
    <row r="199" spans="1:7" s="954" customFormat="1" ht="14.1">
      <c r="A199" s="955"/>
      <c r="B199" s="963" t="s">
        <v>2264</v>
      </c>
      <c r="C199" s="957">
        <f>E197</f>
        <v>6.6</v>
      </c>
      <c r="D199" s="957">
        <f>C198</f>
        <v>0.78</v>
      </c>
      <c r="E199" s="957"/>
      <c r="F199" s="1230">
        <f>C199*D199</f>
        <v>5.1479999999999997</v>
      </c>
      <c r="G199" s="964" t="s">
        <v>462</v>
      </c>
    </row>
    <row r="200" spans="1:7" s="954" customFormat="1" ht="14.1">
      <c r="A200" s="955"/>
      <c r="B200" s="963"/>
      <c r="C200" s="957"/>
      <c r="D200" s="957"/>
      <c r="E200" s="957"/>
      <c r="F200" s="1230"/>
      <c r="G200" s="964"/>
    </row>
    <row r="201" spans="1:7" s="954" customFormat="1" ht="14.1">
      <c r="A201" s="955"/>
      <c r="B201" s="961" t="s">
        <v>2266</v>
      </c>
      <c r="C201" s="960"/>
      <c r="D201" s="957"/>
      <c r="E201" s="957"/>
      <c r="F201" s="1230"/>
      <c r="G201" s="964"/>
    </row>
    <row r="202" spans="1:7" s="954" customFormat="1" ht="14.1">
      <c r="A202" s="955"/>
      <c r="B202" s="1229" t="s">
        <v>2267</v>
      </c>
      <c r="C202" s="960">
        <v>0.6</v>
      </c>
      <c r="D202" s="965">
        <f>'[8]C-data (K)'!$F$86</f>
        <v>129</v>
      </c>
      <c r="E202" s="957">
        <f>C202*D202</f>
        <v>77.399999999999991</v>
      </c>
      <c r="F202" s="962"/>
      <c r="G202" s="958"/>
    </row>
    <row r="203" spans="1:7" s="954" customFormat="1" ht="14.1">
      <c r="A203" s="955"/>
      <c r="B203" s="1229" t="s">
        <v>771</v>
      </c>
      <c r="C203" s="960">
        <v>0.21</v>
      </c>
      <c r="D203" s="965">
        <f>'[8]C-data (K)'!$F$19</f>
        <v>684</v>
      </c>
      <c r="E203" s="957">
        <f>C203*D203</f>
        <v>143.63999999999999</v>
      </c>
      <c r="F203" s="962"/>
      <c r="G203" s="958"/>
    </row>
    <row r="204" spans="1:7" s="954" customFormat="1" ht="14.1">
      <c r="A204" s="955"/>
      <c r="B204" s="1229" t="s">
        <v>772</v>
      </c>
      <c r="C204" s="960">
        <v>0.49</v>
      </c>
      <c r="D204" s="965">
        <f>'[8]C-data (K)'!$F$20</f>
        <v>564</v>
      </c>
      <c r="E204" s="957">
        <f>C204*D204</f>
        <v>276.36</v>
      </c>
      <c r="F204" s="962"/>
      <c r="G204" s="958"/>
    </row>
    <row r="205" spans="1:7" s="954" customFormat="1" ht="14.1">
      <c r="A205" s="955"/>
      <c r="B205" s="963"/>
      <c r="C205" s="960"/>
      <c r="D205" s="957"/>
      <c r="E205" s="1230">
        <f>SUM(E202:E204)</f>
        <v>497.4</v>
      </c>
      <c r="F205" s="966" t="s">
        <v>2268</v>
      </c>
      <c r="G205" s="964"/>
    </row>
    <row r="206" spans="1:7" s="954" customFormat="1" ht="14.1">
      <c r="A206" s="955"/>
      <c r="B206" s="963"/>
      <c r="C206" s="960"/>
      <c r="D206" s="957"/>
      <c r="E206" s="1230"/>
      <c r="F206" s="964"/>
      <c r="G206" s="964"/>
    </row>
    <row r="207" spans="1:7" s="954" customFormat="1" ht="28.2">
      <c r="A207" s="953" t="s">
        <v>2269</v>
      </c>
      <c r="B207" s="953" t="s">
        <v>2270</v>
      </c>
      <c r="C207" s="953" t="s">
        <v>2271</v>
      </c>
      <c r="D207" s="967"/>
      <c r="E207" s="953" t="s">
        <v>92</v>
      </c>
      <c r="F207" s="967"/>
      <c r="G207" s="967" t="s">
        <v>151</v>
      </c>
    </row>
    <row r="208" spans="1:7" s="954" customFormat="1">
      <c r="A208" s="955">
        <v>1</v>
      </c>
      <c r="B208" s="1229" t="str">
        <f>B186</f>
        <v>Outer frame "L' angle 25x25x5mm</v>
      </c>
      <c r="C208" s="957">
        <f>F192</f>
        <v>6.048</v>
      </c>
      <c r="D208" s="968" t="s">
        <v>2272</v>
      </c>
      <c r="E208" s="957"/>
      <c r="F208" s="968"/>
      <c r="G208" s="957"/>
    </row>
    <row r="209" spans="1:7" s="954" customFormat="1">
      <c r="A209" s="955">
        <v>2</v>
      </c>
      <c r="B209" s="1229" t="str">
        <f>B194</f>
        <v>10mm square rods safety bars</v>
      </c>
      <c r="C209" s="957">
        <f>F199</f>
        <v>5.1479999999999997</v>
      </c>
      <c r="D209" s="968" t="s">
        <v>462</v>
      </c>
      <c r="E209" s="957"/>
      <c r="F209" s="968"/>
      <c r="G209" s="957"/>
    </row>
    <row r="210" spans="1:7" s="954" customFormat="1" ht="14.1">
      <c r="A210" s="969"/>
      <c r="B210" s="970"/>
      <c r="C210" s="1230">
        <f>SUM(C208:C209)</f>
        <v>11.196</v>
      </c>
      <c r="D210" s="968" t="s">
        <v>462</v>
      </c>
      <c r="E210" s="957">
        <f>[8]LEAD!$P$30/1000</f>
        <v>49</v>
      </c>
      <c r="F210" s="968" t="s">
        <v>462</v>
      </c>
      <c r="G210" s="957">
        <f>ROUND(C210*E210,2)</f>
        <v>548.6</v>
      </c>
    </row>
    <row r="211" spans="1:7" s="954" customFormat="1">
      <c r="A211" s="955">
        <v>3</v>
      </c>
      <c r="B211" s="971" t="s">
        <v>2273</v>
      </c>
      <c r="C211" s="957">
        <f>E184</f>
        <v>0.45</v>
      </c>
      <c r="D211" s="968" t="s">
        <v>461</v>
      </c>
      <c r="E211" s="957">
        <f>E205</f>
        <v>497.4</v>
      </c>
      <c r="F211" s="968" t="s">
        <v>2274</v>
      </c>
      <c r="G211" s="957">
        <f>ROUND(C211*E211/10,2)</f>
        <v>22.38</v>
      </c>
    </row>
    <row r="212" spans="1:7" s="954" customFormat="1" ht="14.1">
      <c r="A212" s="955">
        <v>4</v>
      </c>
      <c r="B212" s="972" t="s">
        <v>2497</v>
      </c>
      <c r="C212" s="957">
        <f>C210</f>
        <v>11.196</v>
      </c>
      <c r="D212" s="968" t="s">
        <v>462</v>
      </c>
      <c r="E212" s="957">
        <f>30+4</f>
        <v>34</v>
      </c>
      <c r="F212" s="968" t="s">
        <v>462</v>
      </c>
      <c r="G212" s="957">
        <f>ROUND(C212*E212,2)</f>
        <v>380.66</v>
      </c>
    </row>
    <row r="213" spans="1:7" s="954" customFormat="1">
      <c r="A213" s="955">
        <v>5</v>
      </c>
      <c r="B213" s="971" t="s">
        <v>2275</v>
      </c>
      <c r="C213" s="957">
        <f>'[8]C-data (K)'!$E$5</f>
        <v>0.2</v>
      </c>
      <c r="D213" s="968"/>
      <c r="E213" s="957">
        <f>G212</f>
        <v>380.66</v>
      </c>
      <c r="F213" s="968"/>
      <c r="G213" s="957">
        <f>C213*E213</f>
        <v>76.132000000000005</v>
      </c>
    </row>
    <row r="214" spans="1:7" s="954" customFormat="1" ht="14.1">
      <c r="A214" s="955"/>
      <c r="B214" s="971"/>
      <c r="C214" s="960"/>
      <c r="D214" s="957"/>
      <c r="E214" s="960"/>
      <c r="F214" s="957"/>
      <c r="G214" s="1230">
        <f>SUM(G210:G213)</f>
        <v>1027.7720000000002</v>
      </c>
    </row>
    <row r="215" spans="1:7" s="954" customFormat="1" ht="14.1">
      <c r="A215" s="955">
        <v>6</v>
      </c>
      <c r="B215" s="1277" t="str">
        <f>'[8]C-data (K)'!$C$174</f>
        <v>Add 5% over heads</v>
      </c>
      <c r="C215" s="974">
        <f>'[8]C-data (K)'!$D$3</f>
        <v>0</v>
      </c>
      <c r="D215" s="957"/>
      <c r="E215" s="960"/>
      <c r="F215" s="957"/>
      <c r="G215" s="957">
        <f>G214*C215</f>
        <v>0</v>
      </c>
    </row>
    <row r="216" spans="1:7" s="954" customFormat="1">
      <c r="A216" s="955"/>
      <c r="B216" s="971"/>
      <c r="C216" s="957"/>
      <c r="D216" s="957"/>
      <c r="E216" s="960"/>
      <c r="F216" s="957"/>
      <c r="G216" s="957">
        <f>SUM(G214:G215)</f>
        <v>1027.7720000000002</v>
      </c>
    </row>
    <row r="217" spans="1:7" s="954" customFormat="1" ht="14.1">
      <c r="A217" s="955"/>
      <c r="B217" s="975" t="s">
        <v>1806</v>
      </c>
      <c r="C217" s="960"/>
      <c r="D217" s="957"/>
      <c r="E217" s="1610" t="s">
        <v>2276</v>
      </c>
      <c r="F217" s="1610"/>
      <c r="G217" s="1230">
        <f>ROUND(G216,0)</f>
        <v>1028</v>
      </c>
    </row>
    <row r="218" spans="1:7" s="954" customFormat="1" ht="14.1">
      <c r="A218" s="955"/>
      <c r="B218" s="971"/>
      <c r="C218" s="960"/>
      <c r="D218" s="957"/>
      <c r="E218" s="960"/>
      <c r="F218" s="957"/>
      <c r="G218" s="1230"/>
    </row>
    <row r="219" spans="1:7" s="954" customFormat="1" ht="14.1">
      <c r="A219" s="953">
        <v>7</v>
      </c>
      <c r="B219" s="1611" t="s">
        <v>2504</v>
      </c>
      <c r="C219" s="1611"/>
      <c r="D219" s="1611"/>
      <c r="E219" s="1611"/>
      <c r="F219" s="1611"/>
      <c r="G219" s="1611"/>
    </row>
    <row r="220" spans="1:7" s="954" customFormat="1" ht="14.1">
      <c r="A220" s="955"/>
      <c r="B220" s="956" t="s">
        <v>2259</v>
      </c>
      <c r="C220" s="957">
        <v>1</v>
      </c>
      <c r="D220" s="957">
        <v>0.3</v>
      </c>
      <c r="E220" s="1230">
        <f>C220*D220</f>
        <v>0.3</v>
      </c>
      <c r="F220" s="958" t="s">
        <v>547</v>
      </c>
      <c r="G220" s="958"/>
    </row>
    <row r="221" spans="1:7" s="954" customFormat="1" ht="14.1">
      <c r="A221" s="955"/>
      <c r="B221" s="1229"/>
      <c r="C221" s="959"/>
      <c r="D221" s="958"/>
      <c r="E221" s="960"/>
      <c r="F221" s="958"/>
      <c r="G221" s="958"/>
    </row>
    <row r="222" spans="1:7" s="954" customFormat="1" ht="14.1">
      <c r="A222" s="955"/>
      <c r="B222" s="961" t="s">
        <v>2500</v>
      </c>
      <c r="C222" s="959"/>
      <c r="D222" s="958"/>
      <c r="E222" s="960"/>
      <c r="F222" s="958"/>
      <c r="G222" s="958"/>
    </row>
    <row r="223" spans="1:7" s="954" customFormat="1" ht="14.1">
      <c r="A223" s="955"/>
      <c r="B223" s="1229" t="s">
        <v>2261</v>
      </c>
      <c r="C223" s="960">
        <v>2</v>
      </c>
      <c r="D223" s="957">
        <f>D220</f>
        <v>0.3</v>
      </c>
      <c r="E223" s="957">
        <f>C223*D223</f>
        <v>0.6</v>
      </c>
      <c r="F223" s="962"/>
      <c r="G223" s="958"/>
    </row>
    <row r="224" spans="1:7" s="954" customFormat="1" ht="14.1">
      <c r="A224" s="955"/>
      <c r="B224" s="1229" t="s">
        <v>1475</v>
      </c>
      <c r="C224" s="960">
        <v>2</v>
      </c>
      <c r="D224" s="957">
        <f>C220</f>
        <v>1</v>
      </c>
      <c r="E224" s="957">
        <f>C224*D224</f>
        <v>2</v>
      </c>
      <c r="F224" s="962"/>
      <c r="G224" s="958"/>
    </row>
    <row r="225" spans="1:7" s="954" customFormat="1" ht="14.1">
      <c r="A225" s="955"/>
      <c r="B225" s="1229" t="s">
        <v>1510</v>
      </c>
      <c r="C225" s="960">
        <v>2</v>
      </c>
      <c r="D225" s="957">
        <v>0.23</v>
      </c>
      <c r="E225" s="957">
        <f>C225*D225</f>
        <v>0.46</v>
      </c>
      <c r="F225" s="962"/>
      <c r="G225" s="958"/>
    </row>
    <row r="226" spans="1:7" s="954" customFormat="1" ht="14.1">
      <c r="A226" s="955"/>
      <c r="B226" s="1229"/>
      <c r="C226" s="960"/>
      <c r="D226" s="957"/>
      <c r="E226" s="1230">
        <f>SUM(E223:E225)</f>
        <v>3.06</v>
      </c>
      <c r="F226" s="962"/>
      <c r="G226" s="958"/>
    </row>
    <row r="227" spans="1:7" s="954" customFormat="1" ht="14.1">
      <c r="A227" s="955"/>
      <c r="B227" s="1229" t="s">
        <v>2262</v>
      </c>
      <c r="C227" s="957">
        <v>2.6</v>
      </c>
      <c r="D227" s="957" t="s">
        <v>2263</v>
      </c>
      <c r="E227" s="957"/>
      <c r="F227" s="962"/>
      <c r="G227" s="958"/>
    </row>
    <row r="228" spans="1:7" s="954" customFormat="1" ht="14.1">
      <c r="A228" s="955"/>
      <c r="B228" s="963" t="s">
        <v>2264</v>
      </c>
      <c r="C228" s="957">
        <f>E226</f>
        <v>3.06</v>
      </c>
      <c r="D228" s="957">
        <f>C227</f>
        <v>2.6</v>
      </c>
      <c r="E228" s="957"/>
      <c r="F228" s="1230">
        <f>C228*D228</f>
        <v>7.9560000000000004</v>
      </c>
      <c r="G228" s="964" t="s">
        <v>462</v>
      </c>
    </row>
    <row r="229" spans="1:7" s="954" customFormat="1" ht="14.1">
      <c r="A229" s="955"/>
      <c r="B229" s="963"/>
      <c r="C229" s="957"/>
      <c r="D229" s="957"/>
      <c r="E229" s="957"/>
      <c r="F229" s="1230"/>
      <c r="G229" s="964"/>
    </row>
    <row r="230" spans="1:7" s="954" customFormat="1" ht="14.1">
      <c r="A230" s="955"/>
      <c r="B230" s="961" t="s">
        <v>2265</v>
      </c>
      <c r="C230" s="959"/>
      <c r="D230" s="958"/>
      <c r="E230" s="960"/>
      <c r="F230" s="958"/>
      <c r="G230" s="958"/>
    </row>
    <row r="231" spans="1:7" s="954" customFormat="1" ht="14.1">
      <c r="A231" s="955"/>
      <c r="B231" s="1229" t="s">
        <v>1477</v>
      </c>
      <c r="C231" s="960">
        <v>8</v>
      </c>
      <c r="D231" s="957">
        <f>D223</f>
        <v>0.3</v>
      </c>
      <c r="E231" s="957">
        <f>C231*D231</f>
        <v>2.4</v>
      </c>
      <c r="F231" s="962"/>
      <c r="G231" s="958"/>
    </row>
    <row r="232" spans="1:7" s="954" customFormat="1" ht="14.1">
      <c r="A232" s="955"/>
      <c r="B232" s="1229" t="s">
        <v>1475</v>
      </c>
      <c r="C232" s="960">
        <v>2</v>
      </c>
      <c r="D232" s="957">
        <f>D224</f>
        <v>1</v>
      </c>
      <c r="E232" s="957">
        <f>C232*D232</f>
        <v>2</v>
      </c>
      <c r="F232" s="962"/>
      <c r="G232" s="958"/>
    </row>
    <row r="233" spans="1:7" s="954" customFormat="1" ht="14.1">
      <c r="A233" s="955"/>
      <c r="B233" s="1229"/>
      <c r="C233" s="960"/>
      <c r="D233" s="957"/>
      <c r="E233" s="1230">
        <f>SUM(E231:E232)</f>
        <v>4.4000000000000004</v>
      </c>
      <c r="F233" s="962"/>
      <c r="G233" s="958"/>
    </row>
    <row r="234" spans="1:7" s="954" customFormat="1" ht="14.1">
      <c r="A234" s="955"/>
      <c r="B234" s="1229" t="s">
        <v>2262</v>
      </c>
      <c r="C234" s="957">
        <v>0.78</v>
      </c>
      <c r="D234" s="957" t="s">
        <v>2263</v>
      </c>
      <c r="E234" s="957"/>
      <c r="F234" s="962"/>
      <c r="G234" s="958"/>
    </row>
    <row r="235" spans="1:7" s="954" customFormat="1" ht="14.1">
      <c r="A235" s="955"/>
      <c r="B235" s="963" t="s">
        <v>2264</v>
      </c>
      <c r="C235" s="957">
        <f>E233</f>
        <v>4.4000000000000004</v>
      </c>
      <c r="D235" s="957">
        <f>C234</f>
        <v>0.78</v>
      </c>
      <c r="E235" s="957"/>
      <c r="F235" s="1230">
        <f>C235*D235</f>
        <v>3.4320000000000004</v>
      </c>
      <c r="G235" s="964" t="s">
        <v>462</v>
      </c>
    </row>
    <row r="236" spans="1:7" s="954" customFormat="1" ht="14.1">
      <c r="A236" s="955"/>
      <c r="B236" s="963"/>
      <c r="C236" s="957"/>
      <c r="D236" s="957"/>
      <c r="E236" s="957"/>
      <c r="F236" s="1230"/>
      <c r="G236" s="964"/>
    </row>
    <row r="237" spans="1:7" s="954" customFormat="1" ht="14.1">
      <c r="A237" s="955"/>
      <c r="B237" s="961" t="s">
        <v>2266</v>
      </c>
      <c r="C237" s="960"/>
      <c r="D237" s="957"/>
      <c r="E237" s="957"/>
      <c r="F237" s="1230"/>
      <c r="G237" s="964"/>
    </row>
    <row r="238" spans="1:7" s="954" customFormat="1" ht="14.1">
      <c r="A238" s="955"/>
      <c r="B238" s="1229" t="s">
        <v>2267</v>
      </c>
      <c r="C238" s="960">
        <v>0.6</v>
      </c>
      <c r="D238" s="965">
        <f>'[8]C-data (K)'!$F$86</f>
        <v>129</v>
      </c>
      <c r="E238" s="957">
        <f>C238*D238</f>
        <v>77.399999999999991</v>
      </c>
      <c r="F238" s="962"/>
      <c r="G238" s="958"/>
    </row>
    <row r="239" spans="1:7" s="954" customFormat="1" ht="14.1">
      <c r="A239" s="955"/>
      <c r="B239" s="1229" t="s">
        <v>771</v>
      </c>
      <c r="C239" s="960">
        <v>0.21</v>
      </c>
      <c r="D239" s="965">
        <f>'[8]C-data (K)'!$F$19</f>
        <v>684</v>
      </c>
      <c r="E239" s="957">
        <f>C239*D239</f>
        <v>143.63999999999999</v>
      </c>
      <c r="F239" s="962"/>
      <c r="G239" s="958"/>
    </row>
    <row r="240" spans="1:7" s="954" customFormat="1" ht="14.1">
      <c r="A240" s="955"/>
      <c r="B240" s="1229" t="s">
        <v>772</v>
      </c>
      <c r="C240" s="960">
        <v>0.49</v>
      </c>
      <c r="D240" s="965">
        <f>'[8]C-data (K)'!$F$20</f>
        <v>564</v>
      </c>
      <c r="E240" s="957">
        <f>C240*D240</f>
        <v>276.36</v>
      </c>
      <c r="F240" s="962"/>
      <c r="G240" s="958"/>
    </row>
    <row r="241" spans="1:7" s="954" customFormat="1" ht="14.1">
      <c r="A241" s="955"/>
      <c r="B241" s="963"/>
      <c r="C241" s="960"/>
      <c r="D241" s="957"/>
      <c r="E241" s="1230">
        <f>SUM(E238:E240)</f>
        <v>497.4</v>
      </c>
      <c r="F241" s="966" t="s">
        <v>2268</v>
      </c>
      <c r="G241" s="964"/>
    </row>
    <row r="242" spans="1:7" s="954" customFormat="1" ht="14.1">
      <c r="A242" s="955"/>
      <c r="B242" s="963"/>
      <c r="C242" s="960"/>
      <c r="D242" s="957"/>
      <c r="E242" s="1230"/>
      <c r="F242" s="964"/>
      <c r="G242" s="964"/>
    </row>
    <row r="243" spans="1:7" s="954" customFormat="1" ht="28.2">
      <c r="A243" s="953" t="s">
        <v>2269</v>
      </c>
      <c r="B243" s="953" t="s">
        <v>2270</v>
      </c>
      <c r="C243" s="953" t="s">
        <v>2271</v>
      </c>
      <c r="D243" s="967"/>
      <c r="E243" s="953" t="s">
        <v>92</v>
      </c>
      <c r="F243" s="967"/>
      <c r="G243" s="967" t="s">
        <v>151</v>
      </c>
    </row>
    <row r="244" spans="1:7" s="954" customFormat="1">
      <c r="A244" s="955">
        <v>1</v>
      </c>
      <c r="B244" s="1229" t="str">
        <f>B222</f>
        <v>Outer frame "L' angle 35x35x5mm</v>
      </c>
      <c r="C244" s="957">
        <f>F228</f>
        <v>7.9560000000000004</v>
      </c>
      <c r="D244" s="968" t="s">
        <v>2272</v>
      </c>
      <c r="E244" s="957"/>
      <c r="F244" s="968"/>
      <c r="G244" s="957"/>
    </row>
    <row r="245" spans="1:7" s="954" customFormat="1">
      <c r="A245" s="955">
        <v>2</v>
      </c>
      <c r="B245" s="1229" t="str">
        <f>B230</f>
        <v>10mm square rods safety bars</v>
      </c>
      <c r="C245" s="957">
        <f>F235</f>
        <v>3.4320000000000004</v>
      </c>
      <c r="D245" s="968" t="s">
        <v>462</v>
      </c>
      <c r="E245" s="957"/>
      <c r="F245" s="968"/>
      <c r="G245" s="957"/>
    </row>
    <row r="246" spans="1:7" s="954" customFormat="1" ht="14.1">
      <c r="A246" s="969"/>
      <c r="B246" s="970"/>
      <c r="C246" s="1230">
        <f>SUM(C244:C245)</f>
        <v>11.388000000000002</v>
      </c>
      <c r="D246" s="968" t="s">
        <v>462</v>
      </c>
      <c r="E246" s="957">
        <f>[8]LEAD!$P$30/1000</f>
        <v>49</v>
      </c>
      <c r="F246" s="968" t="s">
        <v>462</v>
      </c>
      <c r="G246" s="957">
        <f>ROUND(C246*E246,2)</f>
        <v>558.01</v>
      </c>
    </row>
    <row r="247" spans="1:7" s="954" customFormat="1">
      <c r="A247" s="955">
        <v>3</v>
      </c>
      <c r="B247" s="971" t="s">
        <v>2273</v>
      </c>
      <c r="C247" s="957">
        <f>E220</f>
        <v>0.3</v>
      </c>
      <c r="D247" s="968" t="s">
        <v>461</v>
      </c>
      <c r="E247" s="957">
        <f>E241</f>
        <v>497.4</v>
      </c>
      <c r="F247" s="968" t="s">
        <v>2274</v>
      </c>
      <c r="G247" s="957">
        <f>ROUND(C247*E247/10,2)</f>
        <v>14.92</v>
      </c>
    </row>
    <row r="248" spans="1:7" s="954" customFormat="1" ht="14.1">
      <c r="A248" s="955">
        <v>4</v>
      </c>
      <c r="B248" s="972" t="s">
        <v>2497</v>
      </c>
      <c r="C248" s="957">
        <f>C246</f>
        <v>11.388000000000002</v>
      </c>
      <c r="D248" s="968" t="s">
        <v>462</v>
      </c>
      <c r="E248" s="957">
        <f>30+4</f>
        <v>34</v>
      </c>
      <c r="F248" s="968" t="s">
        <v>462</v>
      </c>
      <c r="G248" s="957">
        <f>ROUND(C248*E248,2)</f>
        <v>387.19</v>
      </c>
    </row>
    <row r="249" spans="1:7" s="954" customFormat="1">
      <c r="A249" s="955">
        <v>5</v>
      </c>
      <c r="B249" s="971" t="s">
        <v>2275</v>
      </c>
      <c r="C249" s="957">
        <f>'[8]C-data (K)'!$E$5</f>
        <v>0.2</v>
      </c>
      <c r="D249" s="968"/>
      <c r="E249" s="957">
        <f>G248</f>
        <v>387.19</v>
      </c>
      <c r="F249" s="968"/>
      <c r="G249" s="957">
        <f>C249*E249</f>
        <v>77.438000000000002</v>
      </c>
    </row>
    <row r="250" spans="1:7" s="954" customFormat="1" ht="14.1">
      <c r="A250" s="955"/>
      <c r="B250" s="971"/>
      <c r="C250" s="960"/>
      <c r="D250" s="957"/>
      <c r="E250" s="960"/>
      <c r="F250" s="957"/>
      <c r="G250" s="1230">
        <f>SUM(G246:G249)</f>
        <v>1037.558</v>
      </c>
    </row>
    <row r="251" spans="1:7" s="954" customFormat="1" ht="14.1">
      <c r="A251" s="955">
        <v>6</v>
      </c>
      <c r="B251" s="1277" t="str">
        <f>'[8]C-data (K)'!$C$174</f>
        <v>Add 5% over heads</v>
      </c>
      <c r="C251" s="974">
        <f>'[8]C-data (K)'!$D$3</f>
        <v>0</v>
      </c>
      <c r="D251" s="957"/>
      <c r="E251" s="960"/>
      <c r="F251" s="957"/>
      <c r="G251" s="957">
        <f>G250*C251</f>
        <v>0</v>
      </c>
    </row>
    <row r="252" spans="1:7" s="954" customFormat="1">
      <c r="A252" s="955"/>
      <c r="B252" s="971"/>
      <c r="C252" s="957"/>
      <c r="D252" s="957"/>
      <c r="E252" s="960"/>
      <c r="F252" s="957"/>
      <c r="G252" s="957">
        <f>SUM(G250:G251)</f>
        <v>1037.558</v>
      </c>
    </row>
    <row r="253" spans="1:7" s="954" customFormat="1" ht="14.1">
      <c r="A253" s="955"/>
      <c r="B253" s="975" t="s">
        <v>1806</v>
      </c>
      <c r="C253" s="960"/>
      <c r="D253" s="957"/>
      <c r="E253" s="1610" t="s">
        <v>2276</v>
      </c>
      <c r="F253" s="1610"/>
      <c r="G253" s="1230">
        <f>ROUND(G252,0)</f>
        <v>1038</v>
      </c>
    </row>
    <row r="254" spans="1:7" s="954" customFormat="1" ht="14.1">
      <c r="A254" s="955"/>
      <c r="B254" s="975"/>
      <c r="C254" s="960"/>
      <c r="D254" s="957"/>
      <c r="E254" s="1228"/>
      <c r="F254" s="1228"/>
      <c r="G254" s="1230"/>
    </row>
    <row r="255" spans="1:7" s="954" customFormat="1" ht="14.1">
      <c r="A255" s="953">
        <v>8</v>
      </c>
      <c r="B255" s="1611" t="s">
        <v>2505</v>
      </c>
      <c r="C255" s="1611"/>
      <c r="D255" s="1611"/>
      <c r="E255" s="1611"/>
      <c r="F255" s="1611"/>
      <c r="G255" s="1611"/>
    </row>
    <row r="256" spans="1:7" s="954" customFormat="1" ht="14.1">
      <c r="A256" s="955"/>
      <c r="B256" s="956" t="s">
        <v>2259</v>
      </c>
      <c r="C256" s="957">
        <v>1</v>
      </c>
      <c r="D256" s="957">
        <v>0.45</v>
      </c>
      <c r="E256" s="1230">
        <f>C256*D256</f>
        <v>0.45</v>
      </c>
      <c r="F256" s="958" t="s">
        <v>547</v>
      </c>
      <c r="G256" s="958"/>
    </row>
    <row r="257" spans="1:7" s="954" customFormat="1" ht="14.1">
      <c r="A257" s="955"/>
      <c r="B257" s="1229"/>
      <c r="C257" s="959"/>
      <c r="D257" s="958"/>
      <c r="E257" s="960"/>
      <c r="F257" s="958"/>
      <c r="G257" s="958"/>
    </row>
    <row r="258" spans="1:7" s="954" customFormat="1" ht="14.1">
      <c r="A258" s="955"/>
      <c r="B258" s="961" t="s">
        <v>2500</v>
      </c>
      <c r="C258" s="959"/>
      <c r="D258" s="958"/>
      <c r="E258" s="960"/>
      <c r="F258" s="958"/>
      <c r="G258" s="958"/>
    </row>
    <row r="259" spans="1:7" s="954" customFormat="1" ht="14.1">
      <c r="A259" s="955"/>
      <c r="B259" s="1229" t="s">
        <v>2261</v>
      </c>
      <c r="C259" s="960">
        <v>2</v>
      </c>
      <c r="D259" s="957">
        <f>D256</f>
        <v>0.45</v>
      </c>
      <c r="E259" s="957">
        <f>C259*D259</f>
        <v>0.9</v>
      </c>
      <c r="F259" s="962"/>
      <c r="G259" s="958"/>
    </row>
    <row r="260" spans="1:7" s="954" customFormat="1" ht="14.1">
      <c r="A260" s="955"/>
      <c r="B260" s="1229" t="s">
        <v>1475</v>
      </c>
      <c r="C260" s="960">
        <v>2</v>
      </c>
      <c r="D260" s="957">
        <f>C256</f>
        <v>1</v>
      </c>
      <c r="E260" s="957">
        <f>C260*D260</f>
        <v>2</v>
      </c>
      <c r="F260" s="962"/>
      <c r="G260" s="958"/>
    </row>
    <row r="261" spans="1:7" s="954" customFormat="1" ht="14.1">
      <c r="A261" s="955"/>
      <c r="B261" s="1229" t="s">
        <v>1510</v>
      </c>
      <c r="C261" s="960">
        <v>2</v>
      </c>
      <c r="D261" s="957">
        <v>0.23</v>
      </c>
      <c r="E261" s="957">
        <f>C261*D261</f>
        <v>0.46</v>
      </c>
      <c r="F261" s="962"/>
      <c r="G261" s="958"/>
    </row>
    <row r="262" spans="1:7" s="954" customFormat="1" ht="14.1">
      <c r="A262" s="955"/>
      <c r="B262" s="1229"/>
      <c r="C262" s="960"/>
      <c r="D262" s="957"/>
      <c r="E262" s="1230">
        <f>SUM(E259:E261)</f>
        <v>3.36</v>
      </c>
      <c r="F262" s="962"/>
      <c r="G262" s="958"/>
    </row>
    <row r="263" spans="1:7" s="954" customFormat="1" ht="14.1">
      <c r="A263" s="955"/>
      <c r="B263" s="1229" t="s">
        <v>2262</v>
      </c>
      <c r="C263" s="957">
        <v>2.6</v>
      </c>
      <c r="D263" s="957" t="s">
        <v>2263</v>
      </c>
      <c r="E263" s="957"/>
      <c r="F263" s="962"/>
      <c r="G263" s="958"/>
    </row>
    <row r="264" spans="1:7" s="954" customFormat="1" ht="14.1">
      <c r="A264" s="955"/>
      <c r="B264" s="963" t="s">
        <v>2264</v>
      </c>
      <c r="C264" s="957">
        <f>E262</f>
        <v>3.36</v>
      </c>
      <c r="D264" s="957">
        <f>C263</f>
        <v>2.6</v>
      </c>
      <c r="E264" s="957"/>
      <c r="F264" s="1230">
        <f>C264*D264</f>
        <v>8.7360000000000007</v>
      </c>
      <c r="G264" s="964" t="s">
        <v>462</v>
      </c>
    </row>
    <row r="265" spans="1:7" s="954" customFormat="1" ht="14.1">
      <c r="A265" s="955"/>
      <c r="B265" s="963"/>
      <c r="C265" s="957"/>
      <c r="D265" s="957"/>
      <c r="E265" s="957"/>
      <c r="F265" s="1230"/>
      <c r="G265" s="964"/>
    </row>
    <row r="266" spans="1:7" s="954" customFormat="1" ht="14.1">
      <c r="A266" s="955"/>
      <c r="B266" s="961" t="s">
        <v>2265</v>
      </c>
      <c r="C266" s="959"/>
      <c r="D266" s="958"/>
      <c r="E266" s="960"/>
      <c r="F266" s="958"/>
      <c r="G266" s="958"/>
    </row>
    <row r="267" spans="1:7" s="954" customFormat="1" ht="14.1">
      <c r="A267" s="955"/>
      <c r="B267" s="1229" t="s">
        <v>1477</v>
      </c>
      <c r="C267" s="960">
        <v>8</v>
      </c>
      <c r="D267" s="957">
        <f>D259</f>
        <v>0.45</v>
      </c>
      <c r="E267" s="957">
        <f>C267*D267</f>
        <v>3.6</v>
      </c>
      <c r="F267" s="962"/>
      <c r="G267" s="958"/>
    </row>
    <row r="268" spans="1:7" s="954" customFormat="1" ht="14.1">
      <c r="A268" s="955"/>
      <c r="B268" s="1229" t="s">
        <v>1475</v>
      </c>
      <c r="C268" s="960">
        <v>3</v>
      </c>
      <c r="D268" s="957">
        <f>D260</f>
        <v>1</v>
      </c>
      <c r="E268" s="957">
        <f>C268*D268</f>
        <v>3</v>
      </c>
      <c r="F268" s="962"/>
      <c r="G268" s="958"/>
    </row>
    <row r="269" spans="1:7" s="954" customFormat="1" ht="14.1">
      <c r="A269" s="955"/>
      <c r="B269" s="1229"/>
      <c r="C269" s="960"/>
      <c r="D269" s="957"/>
      <c r="E269" s="1230">
        <f>SUM(E267:E268)</f>
        <v>6.6</v>
      </c>
      <c r="F269" s="962"/>
      <c r="G269" s="958"/>
    </row>
    <row r="270" spans="1:7" s="954" customFormat="1" ht="14.1">
      <c r="A270" s="955"/>
      <c r="B270" s="1229" t="s">
        <v>2262</v>
      </c>
      <c r="C270" s="957">
        <v>0.78</v>
      </c>
      <c r="D270" s="957" t="s">
        <v>2263</v>
      </c>
      <c r="E270" s="957"/>
      <c r="F270" s="962"/>
      <c r="G270" s="958"/>
    </row>
    <row r="271" spans="1:7" s="954" customFormat="1" ht="14.1">
      <c r="A271" s="955"/>
      <c r="B271" s="963" t="s">
        <v>2264</v>
      </c>
      <c r="C271" s="957">
        <f>E269</f>
        <v>6.6</v>
      </c>
      <c r="D271" s="957">
        <f>C270</f>
        <v>0.78</v>
      </c>
      <c r="E271" s="957"/>
      <c r="F271" s="1230">
        <f>C271*D271</f>
        <v>5.1479999999999997</v>
      </c>
      <c r="G271" s="964" t="s">
        <v>462</v>
      </c>
    </row>
    <row r="272" spans="1:7" s="954" customFormat="1" ht="14.1">
      <c r="A272" s="955"/>
      <c r="B272" s="963"/>
      <c r="C272" s="957"/>
      <c r="D272" s="957"/>
      <c r="E272" s="957"/>
      <c r="F272" s="1230"/>
      <c r="G272" s="964"/>
    </row>
    <row r="273" spans="1:7" s="954" customFormat="1" ht="14.1">
      <c r="A273" s="955"/>
      <c r="B273" s="961" t="s">
        <v>2266</v>
      </c>
      <c r="C273" s="960"/>
      <c r="D273" s="957"/>
      <c r="E273" s="957"/>
      <c r="F273" s="1230"/>
      <c r="G273" s="964"/>
    </row>
    <row r="274" spans="1:7" s="954" customFormat="1" ht="14.1">
      <c r="A274" s="955"/>
      <c r="B274" s="1229" t="s">
        <v>2267</v>
      </c>
      <c r="C274" s="960">
        <v>0.6</v>
      </c>
      <c r="D274" s="965">
        <f>'[8]C-data (K)'!$F$86</f>
        <v>129</v>
      </c>
      <c r="E274" s="957">
        <f>C274*D274</f>
        <v>77.399999999999991</v>
      </c>
      <c r="F274" s="962"/>
      <c r="G274" s="958"/>
    </row>
    <row r="275" spans="1:7" s="954" customFormat="1" ht="14.1">
      <c r="A275" s="955"/>
      <c r="B275" s="1229" t="s">
        <v>771</v>
      </c>
      <c r="C275" s="960">
        <v>0.21</v>
      </c>
      <c r="D275" s="965">
        <f>'[8]C-data (K)'!$F$19</f>
        <v>684</v>
      </c>
      <c r="E275" s="957">
        <f>C275*D275</f>
        <v>143.63999999999999</v>
      </c>
      <c r="F275" s="962"/>
      <c r="G275" s="958"/>
    </row>
    <row r="276" spans="1:7" s="954" customFormat="1" ht="14.1">
      <c r="A276" s="955"/>
      <c r="B276" s="1229" t="s">
        <v>772</v>
      </c>
      <c r="C276" s="960">
        <v>0.49</v>
      </c>
      <c r="D276" s="965">
        <f>'[8]C-data (K)'!$F$20</f>
        <v>564</v>
      </c>
      <c r="E276" s="957">
        <f>C276*D276</f>
        <v>276.36</v>
      </c>
      <c r="F276" s="962"/>
      <c r="G276" s="958"/>
    </row>
    <row r="277" spans="1:7" s="954" customFormat="1" ht="14.1">
      <c r="A277" s="955"/>
      <c r="B277" s="963"/>
      <c r="C277" s="960"/>
      <c r="D277" s="957"/>
      <c r="E277" s="1230">
        <f>SUM(E274:E276)</f>
        <v>497.4</v>
      </c>
      <c r="F277" s="966" t="s">
        <v>2268</v>
      </c>
      <c r="G277" s="964"/>
    </row>
    <row r="278" spans="1:7" s="954" customFormat="1" ht="14.1">
      <c r="A278" s="955"/>
      <c r="B278" s="963"/>
      <c r="C278" s="960"/>
      <c r="D278" s="957"/>
      <c r="E278" s="1230"/>
      <c r="F278" s="964"/>
      <c r="G278" s="964"/>
    </row>
    <row r="279" spans="1:7" s="954" customFormat="1" ht="28.2">
      <c r="A279" s="953" t="s">
        <v>2269</v>
      </c>
      <c r="B279" s="953" t="s">
        <v>2270</v>
      </c>
      <c r="C279" s="953" t="s">
        <v>2271</v>
      </c>
      <c r="D279" s="967"/>
      <c r="E279" s="953" t="s">
        <v>92</v>
      </c>
      <c r="F279" s="967"/>
      <c r="G279" s="967" t="s">
        <v>151</v>
      </c>
    </row>
    <row r="280" spans="1:7" s="954" customFormat="1">
      <c r="A280" s="955">
        <v>1</v>
      </c>
      <c r="B280" s="1229" t="str">
        <f>B258</f>
        <v>Outer frame "L' angle 35x35x5mm</v>
      </c>
      <c r="C280" s="957">
        <f>F264</f>
        <v>8.7360000000000007</v>
      </c>
      <c r="D280" s="968" t="s">
        <v>2272</v>
      </c>
      <c r="E280" s="957"/>
      <c r="F280" s="968"/>
      <c r="G280" s="957"/>
    </row>
    <row r="281" spans="1:7" s="954" customFormat="1">
      <c r="A281" s="955">
        <v>2</v>
      </c>
      <c r="B281" s="1229" t="str">
        <f>B266</f>
        <v>10mm square rods safety bars</v>
      </c>
      <c r="C281" s="957">
        <f>F271</f>
        <v>5.1479999999999997</v>
      </c>
      <c r="D281" s="968" t="s">
        <v>462</v>
      </c>
      <c r="E281" s="957"/>
      <c r="F281" s="968"/>
      <c r="G281" s="957"/>
    </row>
    <row r="282" spans="1:7" s="954" customFormat="1" ht="14.1">
      <c r="A282" s="969"/>
      <c r="B282" s="970"/>
      <c r="C282" s="1230">
        <f>SUM(C280:C281)</f>
        <v>13.884</v>
      </c>
      <c r="D282" s="968" t="s">
        <v>462</v>
      </c>
      <c r="E282" s="957">
        <f>[8]LEAD!$P$30/1000</f>
        <v>49</v>
      </c>
      <c r="F282" s="968" t="s">
        <v>462</v>
      </c>
      <c r="G282" s="957">
        <f>ROUND(C282*E282,2)</f>
        <v>680.32</v>
      </c>
    </row>
    <row r="283" spans="1:7" s="954" customFormat="1">
      <c r="A283" s="955">
        <v>3</v>
      </c>
      <c r="B283" s="971" t="s">
        <v>2273</v>
      </c>
      <c r="C283" s="957">
        <f>E256</f>
        <v>0.45</v>
      </c>
      <c r="D283" s="968" t="s">
        <v>461</v>
      </c>
      <c r="E283" s="957">
        <f>E277</f>
        <v>497.4</v>
      </c>
      <c r="F283" s="968" t="s">
        <v>2274</v>
      </c>
      <c r="G283" s="957">
        <f>ROUND(C283*E283/10,2)</f>
        <v>22.38</v>
      </c>
    </row>
    <row r="284" spans="1:7" s="954" customFormat="1" ht="14.1">
      <c r="A284" s="955">
        <v>4</v>
      </c>
      <c r="B284" s="972" t="s">
        <v>2497</v>
      </c>
      <c r="C284" s="957">
        <f>C282</f>
        <v>13.884</v>
      </c>
      <c r="D284" s="968" t="s">
        <v>462</v>
      </c>
      <c r="E284" s="957">
        <f>30+4</f>
        <v>34</v>
      </c>
      <c r="F284" s="968" t="s">
        <v>462</v>
      </c>
      <c r="G284" s="957">
        <f>ROUND(C284*E284,2)</f>
        <v>472.06</v>
      </c>
    </row>
    <row r="285" spans="1:7" s="954" customFormat="1">
      <c r="A285" s="955">
        <v>5</v>
      </c>
      <c r="B285" s="971" t="s">
        <v>2275</v>
      </c>
      <c r="C285" s="957">
        <f>'[8]C-data (K)'!$E$5</f>
        <v>0.2</v>
      </c>
      <c r="D285" s="968"/>
      <c r="E285" s="957">
        <f>G284</f>
        <v>472.06</v>
      </c>
      <c r="F285" s="968"/>
      <c r="G285" s="957">
        <f>C285*E285</f>
        <v>94.412000000000006</v>
      </c>
    </row>
    <row r="286" spans="1:7" s="954" customFormat="1" ht="14.1">
      <c r="A286" s="955"/>
      <c r="B286" s="971"/>
      <c r="C286" s="960"/>
      <c r="D286" s="957"/>
      <c r="E286" s="960"/>
      <c r="F286" s="957"/>
      <c r="G286" s="1230">
        <f>SUM(G282:G285)</f>
        <v>1269.172</v>
      </c>
    </row>
    <row r="287" spans="1:7" s="954" customFormat="1" ht="14.1">
      <c r="A287" s="955">
        <v>6</v>
      </c>
      <c r="B287" s="1277" t="str">
        <f>'[8]C-data (K)'!$C$174</f>
        <v>Add 5% over heads</v>
      </c>
      <c r="C287" s="974">
        <f>'[8]C-data (K)'!$D$3</f>
        <v>0</v>
      </c>
      <c r="D287" s="957"/>
      <c r="E287" s="960"/>
      <c r="F287" s="957"/>
      <c r="G287" s="957">
        <f>G286*C287</f>
        <v>0</v>
      </c>
    </row>
    <row r="288" spans="1:7" s="954" customFormat="1">
      <c r="A288" s="955"/>
      <c r="B288" s="971"/>
      <c r="C288" s="957"/>
      <c r="D288" s="957"/>
      <c r="E288" s="960"/>
      <c r="F288" s="957"/>
      <c r="G288" s="957">
        <f>SUM(G286:G287)</f>
        <v>1269.172</v>
      </c>
    </row>
    <row r="289" spans="1:7" s="954" customFormat="1" ht="14.1">
      <c r="A289" s="955"/>
      <c r="B289" s="975" t="s">
        <v>1806</v>
      </c>
      <c r="C289" s="960"/>
      <c r="D289" s="957"/>
      <c r="E289" s="1610" t="s">
        <v>2276</v>
      </c>
      <c r="F289" s="1610"/>
      <c r="G289" s="1230">
        <f>ROUND(G288,0)</f>
        <v>1269</v>
      </c>
    </row>
    <row r="290" spans="1:7" s="954" customFormat="1" ht="14.1">
      <c r="A290" s="955"/>
      <c r="B290" s="975"/>
      <c r="C290" s="960"/>
      <c r="D290" s="957"/>
      <c r="E290" s="1228"/>
      <c r="F290" s="1228"/>
      <c r="G290" s="1230"/>
    </row>
    <row r="291" spans="1:7" s="954" customFormat="1" ht="14.1">
      <c r="A291" s="953">
        <v>9</v>
      </c>
      <c r="B291" s="1611" t="s">
        <v>2506</v>
      </c>
      <c r="C291" s="1611"/>
      <c r="D291" s="1611"/>
      <c r="E291" s="1611"/>
      <c r="F291" s="1611"/>
      <c r="G291" s="1611"/>
    </row>
    <row r="292" spans="1:7" s="954" customFormat="1" ht="14.1">
      <c r="A292" s="955"/>
      <c r="B292" s="956" t="s">
        <v>2259</v>
      </c>
      <c r="C292" s="957">
        <v>0.9</v>
      </c>
      <c r="D292" s="957">
        <v>0.3</v>
      </c>
      <c r="E292" s="1230">
        <f>C292*D292</f>
        <v>0.27</v>
      </c>
      <c r="F292" s="958" t="s">
        <v>547</v>
      </c>
      <c r="G292" s="958"/>
    </row>
    <row r="293" spans="1:7" s="954" customFormat="1" ht="14.1">
      <c r="A293" s="955"/>
      <c r="B293" s="1229"/>
      <c r="C293" s="959"/>
      <c r="D293" s="958"/>
      <c r="E293" s="960"/>
      <c r="F293" s="958"/>
      <c r="G293" s="958"/>
    </row>
    <row r="294" spans="1:7" s="954" customFormat="1" ht="14.1">
      <c r="A294" s="955"/>
      <c r="B294" s="961" t="s">
        <v>2260</v>
      </c>
      <c r="C294" s="959"/>
      <c r="D294" s="958"/>
      <c r="E294" s="960"/>
      <c r="F294" s="958"/>
      <c r="G294" s="958"/>
    </row>
    <row r="295" spans="1:7" s="954" customFormat="1" ht="14.1">
      <c r="A295" s="955"/>
      <c r="B295" s="1229" t="s">
        <v>2261</v>
      </c>
      <c r="C295" s="960">
        <v>2</v>
      </c>
      <c r="D295" s="957">
        <f>D292</f>
        <v>0.3</v>
      </c>
      <c r="E295" s="957">
        <f>C295*D295</f>
        <v>0.6</v>
      </c>
      <c r="F295" s="962"/>
      <c r="G295" s="958"/>
    </row>
    <row r="296" spans="1:7" s="954" customFormat="1" ht="14.1">
      <c r="A296" s="955"/>
      <c r="B296" s="1229" t="s">
        <v>1475</v>
      </c>
      <c r="C296" s="960">
        <v>2</v>
      </c>
      <c r="D296" s="957">
        <f>C292</f>
        <v>0.9</v>
      </c>
      <c r="E296" s="957">
        <f>C296*D296</f>
        <v>1.8</v>
      </c>
      <c r="F296" s="962"/>
      <c r="G296" s="958"/>
    </row>
    <row r="297" spans="1:7" s="954" customFormat="1" ht="14.1">
      <c r="A297" s="955"/>
      <c r="B297" s="1229" t="s">
        <v>1510</v>
      </c>
      <c r="C297" s="960">
        <v>2</v>
      </c>
      <c r="D297" s="957">
        <v>0.23</v>
      </c>
      <c r="E297" s="957">
        <f>C297*D297</f>
        <v>0.46</v>
      </c>
      <c r="F297" s="962"/>
      <c r="G297" s="958"/>
    </row>
    <row r="298" spans="1:7" s="954" customFormat="1" ht="14.1">
      <c r="A298" s="955"/>
      <c r="B298" s="1229"/>
      <c r="C298" s="960"/>
      <c r="D298" s="957"/>
      <c r="E298" s="1230">
        <f>SUM(E295:E297)</f>
        <v>2.86</v>
      </c>
      <c r="F298" s="962"/>
      <c r="G298" s="958"/>
    </row>
    <row r="299" spans="1:7" s="954" customFormat="1" ht="14.1">
      <c r="A299" s="955"/>
      <c r="B299" s="1229" t="s">
        <v>2262</v>
      </c>
      <c r="C299" s="957">
        <v>1.8</v>
      </c>
      <c r="D299" s="957" t="s">
        <v>2263</v>
      </c>
      <c r="E299" s="957"/>
      <c r="F299" s="962"/>
      <c r="G299" s="958"/>
    </row>
    <row r="300" spans="1:7" s="954" customFormat="1" ht="14.1">
      <c r="A300" s="955"/>
      <c r="B300" s="963" t="s">
        <v>2264</v>
      </c>
      <c r="C300" s="957">
        <f>E298</f>
        <v>2.86</v>
      </c>
      <c r="D300" s="957">
        <f>C299</f>
        <v>1.8</v>
      </c>
      <c r="E300" s="957"/>
      <c r="F300" s="1230">
        <f>C300*D300</f>
        <v>5.1479999999999997</v>
      </c>
      <c r="G300" s="964" t="s">
        <v>462</v>
      </c>
    </row>
    <row r="301" spans="1:7" s="954" customFormat="1" ht="14.1">
      <c r="A301" s="955"/>
      <c r="B301" s="963"/>
      <c r="C301" s="957"/>
      <c r="D301" s="957"/>
      <c r="E301" s="957"/>
      <c r="F301" s="1230"/>
      <c r="G301" s="964"/>
    </row>
    <row r="302" spans="1:7" s="954" customFormat="1" ht="14.1">
      <c r="A302" s="955"/>
      <c r="B302" s="961" t="s">
        <v>2265</v>
      </c>
      <c r="C302" s="959"/>
      <c r="D302" s="958"/>
      <c r="E302" s="960"/>
      <c r="F302" s="958"/>
      <c r="G302" s="958"/>
    </row>
    <row r="303" spans="1:7" s="954" customFormat="1" ht="14.1">
      <c r="A303" s="955"/>
      <c r="B303" s="1229" t="s">
        <v>1477</v>
      </c>
      <c r="C303" s="960">
        <v>7</v>
      </c>
      <c r="D303" s="957">
        <f>D295</f>
        <v>0.3</v>
      </c>
      <c r="E303" s="957">
        <f>C303*D303</f>
        <v>2.1</v>
      </c>
      <c r="F303" s="962"/>
      <c r="G303" s="958"/>
    </row>
    <row r="304" spans="1:7" s="954" customFormat="1" ht="14.1">
      <c r="A304" s="955"/>
      <c r="B304" s="1229" t="s">
        <v>1475</v>
      </c>
      <c r="C304" s="960">
        <v>2</v>
      </c>
      <c r="D304" s="957">
        <f>D296</f>
        <v>0.9</v>
      </c>
      <c r="E304" s="957">
        <f>C304*D304</f>
        <v>1.8</v>
      </c>
      <c r="F304" s="962"/>
      <c r="G304" s="958"/>
    </row>
    <row r="305" spans="1:7" s="954" customFormat="1" ht="14.1">
      <c r="A305" s="955"/>
      <c r="B305" s="1229"/>
      <c r="C305" s="960"/>
      <c r="D305" s="957"/>
      <c r="E305" s="1230">
        <f>SUM(E303:E304)</f>
        <v>3.9000000000000004</v>
      </c>
      <c r="F305" s="962"/>
      <c r="G305" s="958"/>
    </row>
    <row r="306" spans="1:7" s="954" customFormat="1" ht="14.1">
      <c r="A306" s="955"/>
      <c r="B306" s="1229" t="s">
        <v>2262</v>
      </c>
      <c r="C306" s="957">
        <v>0.78</v>
      </c>
      <c r="D306" s="957" t="s">
        <v>2263</v>
      </c>
      <c r="E306" s="957"/>
      <c r="F306" s="962"/>
      <c r="G306" s="958"/>
    </row>
    <row r="307" spans="1:7" s="954" customFormat="1" ht="14.1">
      <c r="A307" s="955"/>
      <c r="B307" s="963" t="s">
        <v>2264</v>
      </c>
      <c r="C307" s="957">
        <f>E305</f>
        <v>3.9000000000000004</v>
      </c>
      <c r="D307" s="957">
        <f>C306</f>
        <v>0.78</v>
      </c>
      <c r="E307" s="957"/>
      <c r="F307" s="1230">
        <f>C307*D307</f>
        <v>3.0420000000000003</v>
      </c>
      <c r="G307" s="964" t="s">
        <v>462</v>
      </c>
    </row>
    <row r="308" spans="1:7" s="954" customFormat="1" ht="14.1">
      <c r="A308" s="955"/>
      <c r="B308" s="963"/>
      <c r="C308" s="957"/>
      <c r="D308" s="957"/>
      <c r="E308" s="957"/>
      <c r="F308" s="1230"/>
      <c r="G308" s="964"/>
    </row>
    <row r="309" spans="1:7" s="954" customFormat="1" ht="14.1">
      <c r="A309" s="955"/>
      <c r="B309" s="961" t="s">
        <v>2266</v>
      </c>
      <c r="C309" s="960"/>
      <c r="D309" s="957"/>
      <c r="E309" s="957"/>
      <c r="F309" s="1230"/>
      <c r="G309" s="964"/>
    </row>
    <row r="310" spans="1:7" s="954" customFormat="1" ht="14.1">
      <c r="A310" s="955"/>
      <c r="B310" s="1229" t="s">
        <v>2267</v>
      </c>
      <c r="C310" s="960">
        <v>0.6</v>
      </c>
      <c r="D310" s="965">
        <f>'[8]C-data (K)'!$F$86</f>
        <v>129</v>
      </c>
      <c r="E310" s="957">
        <f>C310*D310</f>
        <v>77.399999999999991</v>
      </c>
      <c r="F310" s="962"/>
      <c r="G310" s="958"/>
    </row>
    <row r="311" spans="1:7" s="954" customFormat="1" ht="14.1">
      <c r="A311" s="955"/>
      <c r="B311" s="1229" t="s">
        <v>771</v>
      </c>
      <c r="C311" s="960">
        <v>0.21</v>
      </c>
      <c r="D311" s="965">
        <f>'[8]C-data (K)'!$F$19</f>
        <v>684</v>
      </c>
      <c r="E311" s="957">
        <f>C311*D311</f>
        <v>143.63999999999999</v>
      </c>
      <c r="F311" s="962"/>
      <c r="G311" s="958"/>
    </row>
    <row r="312" spans="1:7" s="954" customFormat="1" ht="14.1">
      <c r="A312" s="955"/>
      <c r="B312" s="1229" t="s">
        <v>772</v>
      </c>
      <c r="C312" s="960">
        <v>0.49</v>
      </c>
      <c r="D312" s="965">
        <f>'[8]C-data (K)'!$F$20</f>
        <v>564</v>
      </c>
      <c r="E312" s="957">
        <f>C312*D312</f>
        <v>276.36</v>
      </c>
      <c r="F312" s="962"/>
      <c r="G312" s="958"/>
    </row>
    <row r="313" spans="1:7" s="954" customFormat="1" ht="14.1">
      <c r="A313" s="955"/>
      <c r="B313" s="963"/>
      <c r="C313" s="960"/>
      <c r="D313" s="957"/>
      <c r="E313" s="1230">
        <f>SUM(E310:E312)</f>
        <v>497.4</v>
      </c>
      <c r="F313" s="966" t="s">
        <v>2268</v>
      </c>
      <c r="G313" s="964"/>
    </row>
    <row r="314" spans="1:7" s="954" customFormat="1" ht="14.1">
      <c r="A314" s="955"/>
      <c r="B314" s="963"/>
      <c r="C314" s="960"/>
      <c r="D314" s="957"/>
      <c r="E314" s="1230"/>
      <c r="F314" s="964"/>
      <c r="G314" s="964"/>
    </row>
    <row r="315" spans="1:7" s="954" customFormat="1" ht="28.2">
      <c r="A315" s="953" t="s">
        <v>2269</v>
      </c>
      <c r="B315" s="953" t="s">
        <v>2270</v>
      </c>
      <c r="C315" s="953" t="s">
        <v>2271</v>
      </c>
      <c r="D315" s="967"/>
      <c r="E315" s="953" t="s">
        <v>92</v>
      </c>
      <c r="F315" s="967"/>
      <c r="G315" s="967" t="s">
        <v>151</v>
      </c>
    </row>
    <row r="316" spans="1:7" s="954" customFormat="1">
      <c r="A316" s="955">
        <v>1</v>
      </c>
      <c r="B316" s="1229" t="str">
        <f>B294</f>
        <v>Outer frame "L' angle 25x25x5mm</v>
      </c>
      <c r="C316" s="957">
        <f>F300</f>
        <v>5.1479999999999997</v>
      </c>
      <c r="D316" s="968" t="s">
        <v>2272</v>
      </c>
      <c r="E316" s="957"/>
      <c r="F316" s="968"/>
      <c r="G316" s="957"/>
    </row>
    <row r="317" spans="1:7" s="954" customFormat="1">
      <c r="A317" s="955">
        <v>2</v>
      </c>
      <c r="B317" s="1229" t="str">
        <f>B302</f>
        <v>10mm square rods safety bars</v>
      </c>
      <c r="C317" s="957">
        <f>F307</f>
        <v>3.0420000000000003</v>
      </c>
      <c r="D317" s="968" t="s">
        <v>462</v>
      </c>
      <c r="E317" s="957"/>
      <c r="F317" s="968"/>
      <c r="G317" s="957"/>
    </row>
    <row r="318" spans="1:7" s="954" customFormat="1" ht="14.1">
      <c r="A318" s="969"/>
      <c r="B318" s="970"/>
      <c r="C318" s="1230">
        <f>SUM(C316:C317)</f>
        <v>8.19</v>
      </c>
      <c r="D318" s="968" t="s">
        <v>462</v>
      </c>
      <c r="E318" s="957">
        <f>[8]LEAD!$P$30/1000</f>
        <v>49</v>
      </c>
      <c r="F318" s="968" t="s">
        <v>462</v>
      </c>
      <c r="G318" s="957">
        <f>ROUND(C318*E318,2)</f>
        <v>401.31</v>
      </c>
    </row>
    <row r="319" spans="1:7" s="954" customFormat="1">
      <c r="A319" s="955">
        <v>3</v>
      </c>
      <c r="B319" s="971" t="s">
        <v>2273</v>
      </c>
      <c r="C319" s="957">
        <f>E292</f>
        <v>0.27</v>
      </c>
      <c r="D319" s="968" t="s">
        <v>461</v>
      </c>
      <c r="E319" s="957">
        <f>E313</f>
        <v>497.4</v>
      </c>
      <c r="F319" s="968" t="s">
        <v>2274</v>
      </c>
      <c r="G319" s="957">
        <f>ROUND(C319*E319/10,2)</f>
        <v>13.43</v>
      </c>
    </row>
    <row r="320" spans="1:7" s="954" customFormat="1" ht="14.1">
      <c r="A320" s="955">
        <v>4</v>
      </c>
      <c r="B320" s="972" t="s">
        <v>2497</v>
      </c>
      <c r="C320" s="957">
        <f>C318</f>
        <v>8.19</v>
      </c>
      <c r="D320" s="968" t="s">
        <v>462</v>
      </c>
      <c r="E320" s="957">
        <f>30+4</f>
        <v>34</v>
      </c>
      <c r="F320" s="968" t="s">
        <v>462</v>
      </c>
      <c r="G320" s="957">
        <f>ROUND(C320*E320,2)</f>
        <v>278.45999999999998</v>
      </c>
    </row>
    <row r="321" spans="1:7" s="954" customFormat="1">
      <c r="A321" s="955">
        <v>5</v>
      </c>
      <c r="B321" s="971" t="s">
        <v>2275</v>
      </c>
      <c r="C321" s="957">
        <f>'[8]C-data (K)'!$E$5</f>
        <v>0.2</v>
      </c>
      <c r="D321" s="968"/>
      <c r="E321" s="957">
        <f>G320</f>
        <v>278.45999999999998</v>
      </c>
      <c r="F321" s="968"/>
      <c r="G321" s="957">
        <f>C321*E321</f>
        <v>55.692</v>
      </c>
    </row>
    <row r="322" spans="1:7" s="954" customFormat="1" ht="14.1">
      <c r="A322" s="955"/>
      <c r="B322" s="971"/>
      <c r="C322" s="960"/>
      <c r="D322" s="957"/>
      <c r="E322" s="960"/>
      <c r="F322" s="957"/>
      <c r="G322" s="1230">
        <f>SUM(G318:G321)</f>
        <v>748.89200000000005</v>
      </c>
    </row>
    <row r="323" spans="1:7" s="954" customFormat="1" ht="14.1">
      <c r="A323" s="955">
        <v>6</v>
      </c>
      <c r="B323" s="1277" t="str">
        <f>'[8]C-data (K)'!$C$174</f>
        <v>Add 5% over heads</v>
      </c>
      <c r="C323" s="974">
        <f>'[8]C-data (K)'!$D$3</f>
        <v>0</v>
      </c>
      <c r="D323" s="957"/>
      <c r="E323" s="960"/>
      <c r="F323" s="957"/>
      <c r="G323" s="957">
        <f>G322*C323</f>
        <v>0</v>
      </c>
    </row>
    <row r="324" spans="1:7" s="954" customFormat="1" ht="14.1">
      <c r="A324" s="955"/>
      <c r="B324" s="971"/>
      <c r="C324" s="957"/>
      <c r="D324" s="957"/>
      <c r="E324" s="960"/>
      <c r="F324" s="957"/>
      <c r="G324" s="1230">
        <f>SUM(G322:G323)</f>
        <v>748.89200000000005</v>
      </c>
    </row>
    <row r="325" spans="1:7" s="954" customFormat="1" ht="14.1">
      <c r="A325" s="955"/>
      <c r="B325" s="975" t="s">
        <v>1806</v>
      </c>
      <c r="C325" s="960"/>
      <c r="D325" s="957"/>
      <c r="E325" s="1610" t="s">
        <v>2276</v>
      </c>
      <c r="F325" s="1610"/>
      <c r="G325" s="1230">
        <f>ROUND(G324,0)</f>
        <v>749</v>
      </c>
    </row>
    <row r="326" spans="1:7">
      <c r="A326" s="951"/>
      <c r="B326" s="951"/>
      <c r="C326" s="952"/>
      <c r="D326" s="951"/>
      <c r="E326" s="951"/>
      <c r="F326" s="951"/>
      <c r="G326" s="951"/>
    </row>
    <row r="327" spans="1:7" s="954" customFormat="1" ht="14.1">
      <c r="A327" s="953">
        <v>10</v>
      </c>
      <c r="B327" s="1611" t="s">
        <v>2507</v>
      </c>
      <c r="C327" s="1611"/>
      <c r="D327" s="1611"/>
      <c r="E327" s="1611"/>
      <c r="F327" s="1611"/>
      <c r="G327" s="1611"/>
    </row>
    <row r="328" spans="1:7" s="954" customFormat="1" ht="14.1">
      <c r="A328" s="955"/>
      <c r="B328" s="956" t="s">
        <v>2259</v>
      </c>
      <c r="C328" s="957">
        <v>0.9</v>
      </c>
      <c r="D328" s="957">
        <v>0.45</v>
      </c>
      <c r="E328" s="1230">
        <f>C328*D328</f>
        <v>0.40500000000000003</v>
      </c>
      <c r="F328" s="958" t="s">
        <v>547</v>
      </c>
      <c r="G328" s="958"/>
    </row>
    <row r="329" spans="1:7" s="954" customFormat="1" ht="14.1">
      <c r="A329" s="955"/>
      <c r="B329" s="1229"/>
      <c r="C329" s="959"/>
      <c r="D329" s="958"/>
      <c r="E329" s="960"/>
      <c r="F329" s="958"/>
      <c r="G329" s="958"/>
    </row>
    <row r="330" spans="1:7" s="954" customFormat="1" ht="14.1">
      <c r="A330" s="955"/>
      <c r="B330" s="961" t="s">
        <v>2260</v>
      </c>
      <c r="C330" s="959"/>
      <c r="D330" s="958"/>
      <c r="E330" s="960"/>
      <c r="F330" s="958"/>
      <c r="G330" s="958"/>
    </row>
    <row r="331" spans="1:7" s="954" customFormat="1" ht="14.1">
      <c r="A331" s="955"/>
      <c r="B331" s="1229" t="s">
        <v>2261</v>
      </c>
      <c r="C331" s="960">
        <v>2</v>
      </c>
      <c r="D331" s="957">
        <f>D328</f>
        <v>0.45</v>
      </c>
      <c r="E331" s="957">
        <f>C331*D331</f>
        <v>0.9</v>
      </c>
      <c r="F331" s="962"/>
      <c r="G331" s="958"/>
    </row>
    <row r="332" spans="1:7" s="954" customFormat="1" ht="14.1">
      <c r="A332" s="955"/>
      <c r="B332" s="1229" t="s">
        <v>1475</v>
      </c>
      <c r="C332" s="960">
        <v>2</v>
      </c>
      <c r="D332" s="957">
        <f>C328</f>
        <v>0.9</v>
      </c>
      <c r="E332" s="957">
        <f>C332*D332</f>
        <v>1.8</v>
      </c>
      <c r="F332" s="962"/>
      <c r="G332" s="958"/>
    </row>
    <row r="333" spans="1:7" s="954" customFormat="1" ht="14.1">
      <c r="A333" s="955"/>
      <c r="B333" s="1229" t="s">
        <v>1510</v>
      </c>
      <c r="C333" s="960">
        <v>2</v>
      </c>
      <c r="D333" s="957">
        <v>0.23</v>
      </c>
      <c r="E333" s="957">
        <f>C333*D333</f>
        <v>0.46</v>
      </c>
      <c r="F333" s="962"/>
      <c r="G333" s="958"/>
    </row>
    <row r="334" spans="1:7" s="954" customFormat="1" ht="14.1">
      <c r="A334" s="955"/>
      <c r="B334" s="1229"/>
      <c r="C334" s="960"/>
      <c r="D334" s="957"/>
      <c r="E334" s="1230">
        <f>SUM(E331:E333)</f>
        <v>3.16</v>
      </c>
      <c r="F334" s="962"/>
      <c r="G334" s="958"/>
    </row>
    <row r="335" spans="1:7" s="954" customFormat="1" ht="14.1">
      <c r="A335" s="955"/>
      <c r="B335" s="1229" t="s">
        <v>2262</v>
      </c>
      <c r="C335" s="957">
        <v>1.8</v>
      </c>
      <c r="D335" s="957" t="s">
        <v>2263</v>
      </c>
      <c r="E335" s="957"/>
      <c r="F335" s="962"/>
      <c r="G335" s="958"/>
    </row>
    <row r="336" spans="1:7" s="954" customFormat="1" ht="14.1">
      <c r="A336" s="955"/>
      <c r="B336" s="963" t="s">
        <v>2264</v>
      </c>
      <c r="C336" s="957">
        <f>E334</f>
        <v>3.16</v>
      </c>
      <c r="D336" s="957">
        <f>C335</f>
        <v>1.8</v>
      </c>
      <c r="E336" s="957"/>
      <c r="F336" s="1230">
        <f>C336*D336</f>
        <v>5.6880000000000006</v>
      </c>
      <c r="G336" s="964" t="s">
        <v>462</v>
      </c>
    </row>
    <row r="337" spans="1:7" s="954" customFormat="1" ht="14.1">
      <c r="A337" s="955"/>
      <c r="B337" s="963"/>
      <c r="C337" s="957"/>
      <c r="D337" s="957"/>
      <c r="E337" s="957"/>
      <c r="F337" s="1230"/>
      <c r="G337" s="964"/>
    </row>
    <row r="338" spans="1:7" s="954" customFormat="1" ht="14.1">
      <c r="A338" s="955"/>
      <c r="B338" s="961" t="s">
        <v>2265</v>
      </c>
      <c r="C338" s="959"/>
      <c r="D338" s="958"/>
      <c r="E338" s="960"/>
      <c r="F338" s="958"/>
      <c r="G338" s="958"/>
    </row>
    <row r="339" spans="1:7" s="954" customFormat="1" ht="14.1">
      <c r="A339" s="955"/>
      <c r="B339" s="1229" t="s">
        <v>1477</v>
      </c>
      <c r="C339" s="960">
        <v>7</v>
      </c>
      <c r="D339" s="957">
        <f>D331</f>
        <v>0.45</v>
      </c>
      <c r="E339" s="957">
        <f>C339*D339</f>
        <v>3.15</v>
      </c>
      <c r="F339" s="962"/>
      <c r="G339" s="958"/>
    </row>
    <row r="340" spans="1:7" s="954" customFormat="1" ht="14.1">
      <c r="A340" s="955"/>
      <c r="B340" s="1229" t="s">
        <v>1475</v>
      </c>
      <c r="C340" s="960">
        <v>3</v>
      </c>
      <c r="D340" s="957">
        <f>D332</f>
        <v>0.9</v>
      </c>
      <c r="E340" s="957">
        <f>C340*D340</f>
        <v>2.7</v>
      </c>
      <c r="F340" s="962"/>
      <c r="G340" s="958"/>
    </row>
    <row r="341" spans="1:7" s="954" customFormat="1" ht="14.1">
      <c r="A341" s="955"/>
      <c r="B341" s="1229"/>
      <c r="C341" s="960"/>
      <c r="D341" s="957"/>
      <c r="E341" s="1230">
        <f>SUM(E339:E340)</f>
        <v>5.85</v>
      </c>
      <c r="F341" s="962"/>
      <c r="G341" s="958"/>
    </row>
    <row r="342" spans="1:7" s="954" customFormat="1" ht="14.1">
      <c r="A342" s="955"/>
      <c r="B342" s="1229" t="s">
        <v>2262</v>
      </c>
      <c r="C342" s="957">
        <v>0.78</v>
      </c>
      <c r="D342" s="957" t="s">
        <v>2263</v>
      </c>
      <c r="E342" s="957"/>
      <c r="F342" s="962"/>
      <c r="G342" s="958"/>
    </row>
    <row r="343" spans="1:7" s="954" customFormat="1" ht="14.1">
      <c r="A343" s="955"/>
      <c r="B343" s="963" t="s">
        <v>2264</v>
      </c>
      <c r="C343" s="957">
        <f>E341</f>
        <v>5.85</v>
      </c>
      <c r="D343" s="957">
        <f>C342</f>
        <v>0.78</v>
      </c>
      <c r="E343" s="957"/>
      <c r="F343" s="1230">
        <f>C343*D343</f>
        <v>4.5629999999999997</v>
      </c>
      <c r="G343" s="964" t="s">
        <v>462</v>
      </c>
    </row>
    <row r="344" spans="1:7" s="954" customFormat="1" ht="14.1">
      <c r="A344" s="955"/>
      <c r="B344" s="963"/>
      <c r="C344" s="957"/>
      <c r="D344" s="957"/>
      <c r="E344" s="957"/>
      <c r="F344" s="1230"/>
      <c r="G344" s="964"/>
    </row>
    <row r="345" spans="1:7" s="954" customFormat="1" ht="14.1">
      <c r="A345" s="955"/>
      <c r="B345" s="961" t="s">
        <v>2266</v>
      </c>
      <c r="C345" s="960"/>
      <c r="D345" s="957"/>
      <c r="E345" s="957"/>
      <c r="F345" s="1230"/>
      <c r="G345" s="964"/>
    </row>
    <row r="346" spans="1:7" s="954" customFormat="1" ht="14.1">
      <c r="A346" s="955"/>
      <c r="B346" s="1229" t="s">
        <v>2267</v>
      </c>
      <c r="C346" s="960">
        <v>0.6</v>
      </c>
      <c r="D346" s="965">
        <f>'[8]C-data (K)'!$F$86</f>
        <v>129</v>
      </c>
      <c r="E346" s="957">
        <f>C346*D346</f>
        <v>77.399999999999991</v>
      </c>
      <c r="F346" s="962"/>
      <c r="G346" s="958"/>
    </row>
    <row r="347" spans="1:7" s="954" customFormat="1" ht="14.1">
      <c r="A347" s="955"/>
      <c r="B347" s="1229" t="s">
        <v>771</v>
      </c>
      <c r="C347" s="960">
        <v>0.21</v>
      </c>
      <c r="D347" s="965">
        <f>'[8]C-data (K)'!$F$19</f>
        <v>684</v>
      </c>
      <c r="E347" s="957">
        <f>C347*D347</f>
        <v>143.63999999999999</v>
      </c>
      <c r="F347" s="962"/>
      <c r="G347" s="958"/>
    </row>
    <row r="348" spans="1:7" s="954" customFormat="1" ht="14.1">
      <c r="A348" s="955"/>
      <c r="B348" s="1229" t="s">
        <v>772</v>
      </c>
      <c r="C348" s="960">
        <v>0.49</v>
      </c>
      <c r="D348" s="965">
        <f>'[8]C-data (K)'!$F$20</f>
        <v>564</v>
      </c>
      <c r="E348" s="957">
        <f>C348*D348</f>
        <v>276.36</v>
      </c>
      <c r="F348" s="962"/>
      <c r="G348" s="958"/>
    </row>
    <row r="349" spans="1:7" s="954" customFormat="1" ht="14.1">
      <c r="A349" s="955"/>
      <c r="B349" s="963"/>
      <c r="C349" s="960"/>
      <c r="D349" s="957"/>
      <c r="E349" s="1230">
        <f>SUM(E346:E348)</f>
        <v>497.4</v>
      </c>
      <c r="F349" s="966" t="s">
        <v>2268</v>
      </c>
      <c r="G349" s="964"/>
    </row>
    <row r="350" spans="1:7" s="954" customFormat="1" ht="14.1">
      <c r="A350" s="955"/>
      <c r="B350" s="963"/>
      <c r="C350" s="960"/>
      <c r="D350" s="957"/>
      <c r="E350" s="1230"/>
      <c r="F350" s="964"/>
      <c r="G350" s="964"/>
    </row>
    <row r="351" spans="1:7" s="954" customFormat="1" ht="28.2">
      <c r="A351" s="953" t="s">
        <v>2269</v>
      </c>
      <c r="B351" s="953" t="s">
        <v>2270</v>
      </c>
      <c r="C351" s="953" t="s">
        <v>2271</v>
      </c>
      <c r="D351" s="967"/>
      <c r="E351" s="953" t="s">
        <v>92</v>
      </c>
      <c r="F351" s="967"/>
      <c r="G351" s="967" t="s">
        <v>151</v>
      </c>
    </row>
    <row r="352" spans="1:7" s="954" customFormat="1">
      <c r="A352" s="955">
        <v>1</v>
      </c>
      <c r="B352" s="1229" t="str">
        <f>B330</f>
        <v>Outer frame "L' angle 25x25x5mm</v>
      </c>
      <c r="C352" s="957">
        <f>F336</f>
        <v>5.6880000000000006</v>
      </c>
      <c r="D352" s="968" t="s">
        <v>2272</v>
      </c>
      <c r="E352" s="957"/>
      <c r="F352" s="968"/>
      <c r="G352" s="957"/>
    </row>
    <row r="353" spans="1:7" s="954" customFormat="1">
      <c r="A353" s="955">
        <v>2</v>
      </c>
      <c r="B353" s="1229" t="str">
        <f>B338</f>
        <v>10mm square rods safety bars</v>
      </c>
      <c r="C353" s="957">
        <f>F343</f>
        <v>4.5629999999999997</v>
      </c>
      <c r="D353" s="968" t="s">
        <v>462</v>
      </c>
      <c r="E353" s="957"/>
      <c r="F353" s="968"/>
      <c r="G353" s="957"/>
    </row>
    <row r="354" spans="1:7" s="954" customFormat="1" ht="14.1">
      <c r="A354" s="969"/>
      <c r="B354" s="970"/>
      <c r="C354" s="1230">
        <f>SUM(C352:C353)</f>
        <v>10.251000000000001</v>
      </c>
      <c r="D354" s="968" t="s">
        <v>462</v>
      </c>
      <c r="E354" s="957">
        <f>[8]LEAD!$P$30/1000</f>
        <v>49</v>
      </c>
      <c r="F354" s="968" t="s">
        <v>462</v>
      </c>
      <c r="G354" s="957">
        <f>ROUND(C354*E354,2)</f>
        <v>502.3</v>
      </c>
    </row>
    <row r="355" spans="1:7" s="954" customFormat="1">
      <c r="A355" s="955">
        <v>3</v>
      </c>
      <c r="B355" s="971" t="s">
        <v>2273</v>
      </c>
      <c r="C355" s="957">
        <f>E328</f>
        <v>0.40500000000000003</v>
      </c>
      <c r="D355" s="968" t="s">
        <v>461</v>
      </c>
      <c r="E355" s="957">
        <f>E349</f>
        <v>497.4</v>
      </c>
      <c r="F355" s="968" t="s">
        <v>2274</v>
      </c>
      <c r="G355" s="957">
        <f>ROUND(C355*E355/10,2)</f>
        <v>20.14</v>
      </c>
    </row>
    <row r="356" spans="1:7" s="954" customFormat="1" ht="14.1">
      <c r="A356" s="955">
        <v>4</v>
      </c>
      <c r="B356" s="972" t="s">
        <v>2497</v>
      </c>
      <c r="C356" s="957">
        <f>C354</f>
        <v>10.251000000000001</v>
      </c>
      <c r="D356" s="968" t="s">
        <v>462</v>
      </c>
      <c r="E356" s="957">
        <f>30+4</f>
        <v>34</v>
      </c>
      <c r="F356" s="968" t="s">
        <v>462</v>
      </c>
      <c r="G356" s="957">
        <f>ROUND(C356*E356,2)</f>
        <v>348.53</v>
      </c>
    </row>
    <row r="357" spans="1:7" s="954" customFormat="1">
      <c r="A357" s="955">
        <v>5</v>
      </c>
      <c r="B357" s="971" t="s">
        <v>2275</v>
      </c>
      <c r="C357" s="957">
        <f>'[8]C-data (K)'!$E$5</f>
        <v>0.2</v>
      </c>
      <c r="D357" s="968"/>
      <c r="E357" s="957">
        <f>G356</f>
        <v>348.53</v>
      </c>
      <c r="F357" s="968"/>
      <c r="G357" s="957">
        <f>C357*E357</f>
        <v>69.706000000000003</v>
      </c>
    </row>
    <row r="358" spans="1:7" s="954" customFormat="1" ht="14.1">
      <c r="A358" s="955"/>
      <c r="B358" s="971"/>
      <c r="C358" s="960"/>
      <c r="D358" s="957"/>
      <c r="E358" s="960"/>
      <c r="F358" s="957"/>
      <c r="G358" s="1230">
        <f>SUM(G354:G357)</f>
        <v>940.67600000000004</v>
      </c>
    </row>
    <row r="359" spans="1:7" s="954" customFormat="1" ht="14.1">
      <c r="A359" s="955">
        <v>6</v>
      </c>
      <c r="B359" s="1277" t="str">
        <f>'[8]C-data (K)'!$C$174</f>
        <v>Add 5% over heads</v>
      </c>
      <c r="C359" s="974">
        <f>'[8]C-data (K)'!$D$3</f>
        <v>0</v>
      </c>
      <c r="D359" s="957"/>
      <c r="E359" s="960"/>
      <c r="F359" s="957"/>
      <c r="G359" s="1230">
        <f>G358*C359</f>
        <v>0</v>
      </c>
    </row>
    <row r="360" spans="1:7" s="954" customFormat="1" ht="14.1">
      <c r="A360" s="955"/>
      <c r="B360" s="971"/>
      <c r="C360" s="957"/>
      <c r="D360" s="957"/>
      <c r="E360" s="960"/>
      <c r="F360" s="957"/>
      <c r="G360" s="1230">
        <f>SUM(G358:G359)</f>
        <v>940.67600000000004</v>
      </c>
    </row>
    <row r="361" spans="1:7" s="954" customFormat="1" ht="14.1">
      <c r="A361" s="955"/>
      <c r="B361" s="975" t="s">
        <v>1806</v>
      </c>
      <c r="C361" s="960"/>
      <c r="D361" s="957"/>
      <c r="E361" s="1610" t="s">
        <v>2276</v>
      </c>
      <c r="F361" s="1610"/>
      <c r="G361" s="1230">
        <f>ROUND(G360,0)</f>
        <v>941</v>
      </c>
    </row>
    <row r="362" spans="1:7">
      <c r="A362" s="951"/>
      <c r="B362" s="951"/>
      <c r="C362" s="952"/>
      <c r="D362" s="951"/>
      <c r="E362" s="951"/>
      <c r="F362" s="951"/>
      <c r="G362" s="951"/>
    </row>
    <row r="363" spans="1:7" s="954" customFormat="1" ht="14.1">
      <c r="A363" s="953">
        <v>11</v>
      </c>
      <c r="B363" s="1611" t="s">
        <v>2508</v>
      </c>
      <c r="C363" s="1611"/>
      <c r="D363" s="1611"/>
      <c r="E363" s="1611"/>
      <c r="F363" s="1611"/>
      <c r="G363" s="1611"/>
    </row>
    <row r="364" spans="1:7" s="954" customFormat="1" ht="14.1">
      <c r="A364" s="955"/>
      <c r="B364" s="956" t="s">
        <v>2259</v>
      </c>
      <c r="C364" s="957">
        <v>0.9</v>
      </c>
      <c r="D364" s="957">
        <v>0.3</v>
      </c>
      <c r="E364" s="1230">
        <f>C364*D364</f>
        <v>0.27</v>
      </c>
      <c r="F364" s="958" t="s">
        <v>547</v>
      </c>
      <c r="G364" s="958"/>
    </row>
    <row r="365" spans="1:7" s="954" customFormat="1" ht="14.1">
      <c r="A365" s="955"/>
      <c r="B365" s="1229"/>
      <c r="C365" s="959"/>
      <c r="D365" s="958"/>
      <c r="E365" s="960"/>
      <c r="F365" s="958"/>
      <c r="G365" s="958"/>
    </row>
    <row r="366" spans="1:7" s="954" customFormat="1" ht="14.1">
      <c r="A366" s="955"/>
      <c r="B366" s="961" t="s">
        <v>2500</v>
      </c>
      <c r="C366" s="959"/>
      <c r="D366" s="958"/>
      <c r="E366" s="960"/>
      <c r="F366" s="958"/>
      <c r="G366" s="958"/>
    </row>
    <row r="367" spans="1:7" s="954" customFormat="1" ht="14.1">
      <c r="A367" s="955"/>
      <c r="B367" s="1229" t="s">
        <v>2261</v>
      </c>
      <c r="C367" s="960">
        <v>2</v>
      </c>
      <c r="D367" s="957">
        <f>D364</f>
        <v>0.3</v>
      </c>
      <c r="E367" s="957">
        <f>C367*D367</f>
        <v>0.6</v>
      </c>
      <c r="F367" s="962"/>
      <c r="G367" s="958"/>
    </row>
    <row r="368" spans="1:7" s="954" customFormat="1" ht="14.1">
      <c r="A368" s="955"/>
      <c r="B368" s="1229" t="s">
        <v>1475</v>
      </c>
      <c r="C368" s="960">
        <v>2</v>
      </c>
      <c r="D368" s="957">
        <f>C364</f>
        <v>0.9</v>
      </c>
      <c r="E368" s="957">
        <f>C368*D368</f>
        <v>1.8</v>
      </c>
      <c r="F368" s="962"/>
      <c r="G368" s="958"/>
    </row>
    <row r="369" spans="1:7" s="954" customFormat="1" ht="14.1">
      <c r="A369" s="955"/>
      <c r="B369" s="1229" t="s">
        <v>1510</v>
      </c>
      <c r="C369" s="960">
        <v>2</v>
      </c>
      <c r="D369" s="957">
        <v>0.23</v>
      </c>
      <c r="E369" s="957">
        <f>C369*D369</f>
        <v>0.46</v>
      </c>
      <c r="F369" s="962"/>
      <c r="G369" s="958"/>
    </row>
    <row r="370" spans="1:7" s="954" customFormat="1" ht="14.1">
      <c r="A370" s="955"/>
      <c r="B370" s="1229"/>
      <c r="C370" s="960"/>
      <c r="D370" s="957"/>
      <c r="E370" s="1230">
        <f>SUM(E367:E369)</f>
        <v>2.86</v>
      </c>
      <c r="F370" s="962"/>
      <c r="G370" s="958"/>
    </row>
    <row r="371" spans="1:7" s="954" customFormat="1" ht="14.1">
      <c r="A371" s="955"/>
      <c r="B371" s="1229" t="s">
        <v>2262</v>
      </c>
      <c r="C371" s="957">
        <v>2.6</v>
      </c>
      <c r="D371" s="957" t="s">
        <v>2263</v>
      </c>
      <c r="E371" s="957"/>
      <c r="F371" s="962"/>
      <c r="G371" s="958"/>
    </row>
    <row r="372" spans="1:7" s="954" customFormat="1" ht="14.1">
      <c r="A372" s="955"/>
      <c r="B372" s="963" t="s">
        <v>2264</v>
      </c>
      <c r="C372" s="957">
        <f>E370</f>
        <v>2.86</v>
      </c>
      <c r="D372" s="957">
        <f>C371</f>
        <v>2.6</v>
      </c>
      <c r="E372" s="957"/>
      <c r="F372" s="1230">
        <f>C372*D372</f>
        <v>7.4359999999999999</v>
      </c>
      <c r="G372" s="964" t="s">
        <v>462</v>
      </c>
    </row>
    <row r="373" spans="1:7" s="954" customFormat="1" ht="14.1">
      <c r="A373" s="955"/>
      <c r="B373" s="963"/>
      <c r="C373" s="957"/>
      <c r="D373" s="957"/>
      <c r="E373" s="957"/>
      <c r="F373" s="1230"/>
      <c r="G373" s="964"/>
    </row>
    <row r="374" spans="1:7" s="954" customFormat="1" ht="14.1">
      <c r="A374" s="955"/>
      <c r="B374" s="961" t="s">
        <v>2265</v>
      </c>
      <c r="C374" s="959"/>
      <c r="D374" s="958"/>
      <c r="E374" s="960"/>
      <c r="F374" s="958"/>
      <c r="G374" s="958"/>
    </row>
    <row r="375" spans="1:7" s="954" customFormat="1" ht="14.1">
      <c r="A375" s="955"/>
      <c r="B375" s="1229" t="s">
        <v>1477</v>
      </c>
      <c r="C375" s="960">
        <v>7</v>
      </c>
      <c r="D375" s="957">
        <f>D367</f>
        <v>0.3</v>
      </c>
      <c r="E375" s="957">
        <f>C375*D375</f>
        <v>2.1</v>
      </c>
      <c r="F375" s="962"/>
      <c r="G375" s="958"/>
    </row>
    <row r="376" spans="1:7" s="954" customFormat="1" ht="14.1">
      <c r="A376" s="955"/>
      <c r="B376" s="1229" t="s">
        <v>1475</v>
      </c>
      <c r="C376" s="960">
        <v>2</v>
      </c>
      <c r="D376" s="957">
        <f>D368</f>
        <v>0.9</v>
      </c>
      <c r="E376" s="957">
        <f>C376*D376</f>
        <v>1.8</v>
      </c>
      <c r="F376" s="962"/>
      <c r="G376" s="958"/>
    </row>
    <row r="377" spans="1:7" s="954" customFormat="1" ht="14.1">
      <c r="A377" s="955"/>
      <c r="B377" s="1229"/>
      <c r="C377" s="960"/>
      <c r="D377" s="957"/>
      <c r="E377" s="1230">
        <f>SUM(E375:E376)</f>
        <v>3.9000000000000004</v>
      </c>
      <c r="F377" s="962"/>
      <c r="G377" s="958"/>
    </row>
    <row r="378" spans="1:7" s="954" customFormat="1" ht="14.1">
      <c r="A378" s="955"/>
      <c r="B378" s="1229" t="s">
        <v>2262</v>
      </c>
      <c r="C378" s="957">
        <v>0.78</v>
      </c>
      <c r="D378" s="957" t="s">
        <v>2263</v>
      </c>
      <c r="E378" s="957"/>
      <c r="F378" s="962"/>
      <c r="G378" s="958"/>
    </row>
    <row r="379" spans="1:7" s="954" customFormat="1" ht="14.1">
      <c r="A379" s="955"/>
      <c r="B379" s="963" t="s">
        <v>2264</v>
      </c>
      <c r="C379" s="957">
        <f>E377</f>
        <v>3.9000000000000004</v>
      </c>
      <c r="D379" s="957">
        <f>C378</f>
        <v>0.78</v>
      </c>
      <c r="E379" s="957"/>
      <c r="F379" s="1230">
        <f>C379*D379</f>
        <v>3.0420000000000003</v>
      </c>
      <c r="G379" s="964" t="s">
        <v>462</v>
      </c>
    </row>
    <row r="380" spans="1:7" s="954" customFormat="1" ht="14.1">
      <c r="A380" s="955"/>
      <c r="B380" s="963"/>
      <c r="C380" s="957"/>
      <c r="D380" s="957"/>
      <c r="E380" s="957"/>
      <c r="F380" s="1230"/>
      <c r="G380" s="964"/>
    </row>
    <row r="381" spans="1:7" s="954" customFormat="1" ht="14.1">
      <c r="A381" s="955"/>
      <c r="B381" s="961" t="s">
        <v>2266</v>
      </c>
      <c r="C381" s="960"/>
      <c r="D381" s="957"/>
      <c r="E381" s="957"/>
      <c r="F381" s="1230"/>
      <c r="G381" s="964"/>
    </row>
    <row r="382" spans="1:7" s="954" customFormat="1" ht="14.1">
      <c r="A382" s="955"/>
      <c r="B382" s="1229" t="s">
        <v>2267</v>
      </c>
      <c r="C382" s="960">
        <v>0.6</v>
      </c>
      <c r="D382" s="965">
        <f>'[8]C-data (K)'!$F$86</f>
        <v>129</v>
      </c>
      <c r="E382" s="957">
        <f>C382*D382</f>
        <v>77.399999999999991</v>
      </c>
      <c r="F382" s="962"/>
      <c r="G382" s="958"/>
    </row>
    <row r="383" spans="1:7" s="954" customFormat="1" ht="14.1">
      <c r="A383" s="955"/>
      <c r="B383" s="1229" t="s">
        <v>771</v>
      </c>
      <c r="C383" s="960">
        <v>0.21</v>
      </c>
      <c r="D383" s="965">
        <f>'[8]C-data (K)'!$F$19</f>
        <v>684</v>
      </c>
      <c r="E383" s="957">
        <f>C383*D383</f>
        <v>143.63999999999999</v>
      </c>
      <c r="F383" s="962"/>
      <c r="G383" s="958"/>
    </row>
    <row r="384" spans="1:7" s="954" customFormat="1" ht="14.1">
      <c r="A384" s="955"/>
      <c r="B384" s="1229" t="s">
        <v>772</v>
      </c>
      <c r="C384" s="960">
        <v>0.49</v>
      </c>
      <c r="D384" s="965">
        <f>'[8]C-data (K)'!$F$20</f>
        <v>564</v>
      </c>
      <c r="E384" s="957">
        <f>C384*D384</f>
        <v>276.36</v>
      </c>
      <c r="F384" s="962"/>
      <c r="G384" s="958"/>
    </row>
    <row r="385" spans="1:7" s="954" customFormat="1" ht="14.1">
      <c r="A385" s="955"/>
      <c r="B385" s="963"/>
      <c r="C385" s="960"/>
      <c r="D385" s="957"/>
      <c r="E385" s="1230">
        <f>SUM(E382:E384)</f>
        <v>497.4</v>
      </c>
      <c r="F385" s="966" t="s">
        <v>2268</v>
      </c>
      <c r="G385" s="964"/>
    </row>
    <row r="386" spans="1:7" s="954" customFormat="1" ht="14.1">
      <c r="A386" s="955"/>
      <c r="B386" s="963"/>
      <c r="C386" s="960"/>
      <c r="D386" s="957"/>
      <c r="E386" s="1230"/>
      <c r="F386" s="964"/>
      <c r="G386" s="964"/>
    </row>
    <row r="387" spans="1:7" s="954" customFormat="1" ht="28.2">
      <c r="A387" s="953" t="s">
        <v>2269</v>
      </c>
      <c r="B387" s="953" t="s">
        <v>2270</v>
      </c>
      <c r="C387" s="953" t="s">
        <v>2271</v>
      </c>
      <c r="D387" s="967"/>
      <c r="E387" s="953" t="s">
        <v>92</v>
      </c>
      <c r="F387" s="967"/>
      <c r="G387" s="967" t="s">
        <v>151</v>
      </c>
    </row>
    <row r="388" spans="1:7" s="954" customFormat="1">
      <c r="A388" s="955">
        <v>1</v>
      </c>
      <c r="B388" s="1229" t="str">
        <f>B366</f>
        <v>Outer frame "L' angle 35x35x5mm</v>
      </c>
      <c r="C388" s="957">
        <f>F372</f>
        <v>7.4359999999999999</v>
      </c>
      <c r="D388" s="968" t="s">
        <v>2272</v>
      </c>
      <c r="E388" s="957"/>
      <c r="F388" s="968"/>
      <c r="G388" s="957"/>
    </row>
    <row r="389" spans="1:7" s="954" customFormat="1">
      <c r="A389" s="955">
        <v>2</v>
      </c>
      <c r="B389" s="1229" t="str">
        <f>B374</f>
        <v>10mm square rods safety bars</v>
      </c>
      <c r="C389" s="957">
        <f>F379</f>
        <v>3.0420000000000003</v>
      </c>
      <c r="D389" s="968" t="s">
        <v>462</v>
      </c>
      <c r="E389" s="957"/>
      <c r="F389" s="968"/>
      <c r="G389" s="957"/>
    </row>
    <row r="390" spans="1:7" s="954" customFormat="1" ht="14.1">
      <c r="A390" s="969"/>
      <c r="B390" s="970"/>
      <c r="C390" s="1230">
        <f>SUM(C388:C389)</f>
        <v>10.478</v>
      </c>
      <c r="D390" s="968" t="s">
        <v>462</v>
      </c>
      <c r="E390" s="957">
        <f>[8]LEAD!$P$30/1000</f>
        <v>49</v>
      </c>
      <c r="F390" s="968" t="s">
        <v>462</v>
      </c>
      <c r="G390" s="957">
        <f>ROUND(C390*E390,2)</f>
        <v>513.41999999999996</v>
      </c>
    </row>
    <row r="391" spans="1:7" s="954" customFormat="1">
      <c r="A391" s="955">
        <v>3</v>
      </c>
      <c r="B391" s="971" t="s">
        <v>2273</v>
      </c>
      <c r="C391" s="957">
        <f>E364</f>
        <v>0.27</v>
      </c>
      <c r="D391" s="968" t="s">
        <v>461</v>
      </c>
      <c r="E391" s="957">
        <f>E385</f>
        <v>497.4</v>
      </c>
      <c r="F391" s="968" t="s">
        <v>2274</v>
      </c>
      <c r="G391" s="957">
        <f>ROUND(C391*E391/10,2)</f>
        <v>13.43</v>
      </c>
    </row>
    <row r="392" spans="1:7" s="954" customFormat="1" ht="14.1">
      <c r="A392" s="955">
        <v>4</v>
      </c>
      <c r="B392" s="972" t="s">
        <v>2497</v>
      </c>
      <c r="C392" s="957">
        <f>C390</f>
        <v>10.478</v>
      </c>
      <c r="D392" s="968" t="s">
        <v>462</v>
      </c>
      <c r="E392" s="957">
        <f>30+4</f>
        <v>34</v>
      </c>
      <c r="F392" s="968" t="s">
        <v>462</v>
      </c>
      <c r="G392" s="957">
        <f>ROUND(C392*E392,2)</f>
        <v>356.25</v>
      </c>
    </row>
    <row r="393" spans="1:7" s="954" customFormat="1">
      <c r="A393" s="955">
        <v>5</v>
      </c>
      <c r="B393" s="971" t="s">
        <v>2275</v>
      </c>
      <c r="C393" s="957">
        <f>'[8]C-data (K)'!$E$5</f>
        <v>0.2</v>
      </c>
      <c r="D393" s="968"/>
      <c r="E393" s="957">
        <f>G392</f>
        <v>356.25</v>
      </c>
      <c r="F393" s="968"/>
      <c r="G393" s="957">
        <f>C393*E393</f>
        <v>71.25</v>
      </c>
    </row>
    <row r="394" spans="1:7" s="954" customFormat="1" ht="14.1">
      <c r="A394" s="955"/>
      <c r="B394" s="971"/>
      <c r="C394" s="960"/>
      <c r="D394" s="957"/>
      <c r="E394" s="960"/>
      <c r="F394" s="957"/>
      <c r="G394" s="1230">
        <f>SUM(G390:G393)</f>
        <v>954.34999999999991</v>
      </c>
    </row>
    <row r="395" spans="1:7" s="954" customFormat="1" ht="14.1">
      <c r="A395" s="955">
        <v>6</v>
      </c>
      <c r="B395" s="1277" t="str">
        <f>'[8]C-data (K)'!$C$174</f>
        <v>Add 5% over heads</v>
      </c>
      <c r="C395" s="974">
        <f>'[8]C-data (K)'!$D$3</f>
        <v>0</v>
      </c>
      <c r="D395" s="957"/>
      <c r="E395" s="960"/>
      <c r="F395" s="957"/>
      <c r="G395" s="957">
        <f>G394*C395</f>
        <v>0</v>
      </c>
    </row>
    <row r="396" spans="1:7" s="954" customFormat="1">
      <c r="A396" s="955"/>
      <c r="B396" s="971"/>
      <c r="C396" s="957"/>
      <c r="D396" s="957"/>
      <c r="E396" s="960"/>
      <c r="F396" s="957"/>
      <c r="G396" s="957">
        <f>SUM(G394:G395)</f>
        <v>954.34999999999991</v>
      </c>
    </row>
    <row r="397" spans="1:7" s="954" customFormat="1" ht="14.1">
      <c r="A397" s="955"/>
      <c r="B397" s="975" t="s">
        <v>1806</v>
      </c>
      <c r="C397" s="960"/>
      <c r="D397" s="957"/>
      <c r="E397" s="1610" t="s">
        <v>2276</v>
      </c>
      <c r="F397" s="1610"/>
      <c r="G397" s="1230">
        <f>ROUND(G396,0)</f>
        <v>954</v>
      </c>
    </row>
    <row r="398" spans="1:7" s="954" customFormat="1" ht="14.1">
      <c r="A398" s="955"/>
      <c r="B398" s="975"/>
      <c r="C398" s="960"/>
      <c r="D398" s="957"/>
      <c r="E398" s="1228"/>
      <c r="F398" s="1228"/>
      <c r="G398" s="1230"/>
    </row>
    <row r="399" spans="1:7" s="954" customFormat="1" ht="14.1">
      <c r="A399" s="953">
        <v>12</v>
      </c>
      <c r="B399" s="1611" t="s">
        <v>2277</v>
      </c>
      <c r="C399" s="1611"/>
      <c r="D399" s="1611"/>
      <c r="E399" s="1611"/>
      <c r="F399" s="1611"/>
      <c r="G399" s="1611"/>
    </row>
    <row r="400" spans="1:7" s="954" customFormat="1" ht="14.1">
      <c r="A400" s="955"/>
      <c r="B400" s="956" t="s">
        <v>2259</v>
      </c>
      <c r="C400" s="957">
        <v>1.5</v>
      </c>
      <c r="D400" s="957">
        <v>0.3</v>
      </c>
      <c r="E400" s="1230">
        <f>C400*D400</f>
        <v>0.44999999999999996</v>
      </c>
      <c r="F400" s="958" t="s">
        <v>547</v>
      </c>
      <c r="G400" s="958"/>
    </row>
    <row r="401" spans="1:7" s="954" customFormat="1" ht="14.1">
      <c r="A401" s="955"/>
      <c r="B401" s="1229"/>
      <c r="C401" s="959"/>
      <c r="D401" s="958"/>
      <c r="E401" s="960"/>
      <c r="F401" s="958"/>
      <c r="G401" s="958"/>
    </row>
    <row r="402" spans="1:7" s="954" customFormat="1" ht="14.1">
      <c r="A402" s="955"/>
      <c r="B402" s="961" t="s">
        <v>2260</v>
      </c>
      <c r="C402" s="959"/>
      <c r="D402" s="958"/>
      <c r="E402" s="960"/>
      <c r="F402" s="958"/>
      <c r="G402" s="958"/>
    </row>
    <row r="403" spans="1:7" s="954" customFormat="1" ht="14.1">
      <c r="A403" s="955"/>
      <c r="B403" s="1229" t="s">
        <v>2261</v>
      </c>
      <c r="C403" s="960">
        <v>2</v>
      </c>
      <c r="D403" s="957">
        <f>D400</f>
        <v>0.3</v>
      </c>
      <c r="E403" s="957">
        <f>C403*D403</f>
        <v>0.6</v>
      </c>
      <c r="F403" s="962"/>
      <c r="G403" s="958"/>
    </row>
    <row r="404" spans="1:7" s="954" customFormat="1" ht="14.1">
      <c r="A404" s="955"/>
      <c r="B404" s="1229" t="s">
        <v>1475</v>
      </c>
      <c r="C404" s="960">
        <v>2</v>
      </c>
      <c r="D404" s="957">
        <f>C400</f>
        <v>1.5</v>
      </c>
      <c r="E404" s="957">
        <f>C404*D404</f>
        <v>3</v>
      </c>
      <c r="F404" s="962"/>
      <c r="G404" s="958"/>
    </row>
    <row r="405" spans="1:7" s="954" customFormat="1" ht="14.1">
      <c r="A405" s="955"/>
      <c r="B405" s="1229" t="s">
        <v>1510</v>
      </c>
      <c r="C405" s="960">
        <v>2</v>
      </c>
      <c r="D405" s="957">
        <v>0.23</v>
      </c>
      <c r="E405" s="957">
        <f>C405*D405</f>
        <v>0.46</v>
      </c>
      <c r="F405" s="962"/>
      <c r="G405" s="958"/>
    </row>
    <row r="406" spans="1:7" s="954" customFormat="1" ht="14.1">
      <c r="A406" s="955"/>
      <c r="B406" s="1229"/>
      <c r="C406" s="960"/>
      <c r="D406" s="957"/>
      <c r="E406" s="1230">
        <f>SUM(E403:E405)</f>
        <v>4.0600000000000005</v>
      </c>
      <c r="F406" s="962"/>
      <c r="G406" s="958"/>
    </row>
    <row r="407" spans="1:7" s="954" customFormat="1" ht="14.1">
      <c r="A407" s="955"/>
      <c r="B407" s="1229" t="s">
        <v>2262</v>
      </c>
      <c r="C407" s="957">
        <v>1.8</v>
      </c>
      <c r="D407" s="957" t="s">
        <v>2263</v>
      </c>
      <c r="E407" s="957"/>
      <c r="F407" s="962"/>
      <c r="G407" s="958"/>
    </row>
    <row r="408" spans="1:7" s="954" customFormat="1" ht="14.1">
      <c r="A408" s="955"/>
      <c r="B408" s="963" t="s">
        <v>2264</v>
      </c>
      <c r="C408" s="957">
        <f>E406</f>
        <v>4.0600000000000005</v>
      </c>
      <c r="D408" s="957">
        <f>C407</f>
        <v>1.8</v>
      </c>
      <c r="E408" s="957"/>
      <c r="F408" s="1230">
        <f>C408*D408</f>
        <v>7.3080000000000007</v>
      </c>
      <c r="G408" s="964" t="s">
        <v>462</v>
      </c>
    </row>
    <row r="409" spans="1:7" s="954" customFormat="1" ht="14.1">
      <c r="A409" s="955"/>
      <c r="B409" s="963"/>
      <c r="C409" s="957"/>
      <c r="D409" s="957"/>
      <c r="E409" s="957"/>
      <c r="F409" s="1230"/>
      <c r="G409" s="964"/>
    </row>
    <row r="410" spans="1:7" s="954" customFormat="1" ht="14.1">
      <c r="A410" s="955"/>
      <c r="B410" s="961" t="s">
        <v>2265</v>
      </c>
      <c r="C410" s="959"/>
      <c r="D410" s="958"/>
      <c r="E410" s="960"/>
      <c r="F410" s="958"/>
      <c r="G410" s="958"/>
    </row>
    <row r="411" spans="1:7" s="954" customFormat="1" ht="14.1">
      <c r="A411" s="955"/>
      <c r="B411" s="1229" t="s">
        <v>1477</v>
      </c>
      <c r="C411" s="960">
        <v>13</v>
      </c>
      <c r="D411" s="957">
        <f>D403</f>
        <v>0.3</v>
      </c>
      <c r="E411" s="957">
        <f>C411*D411</f>
        <v>3.9</v>
      </c>
      <c r="F411" s="962"/>
      <c r="G411" s="958"/>
    </row>
    <row r="412" spans="1:7" s="954" customFormat="1" ht="14.1">
      <c r="A412" s="955"/>
      <c r="B412" s="1229" t="s">
        <v>1475</v>
      </c>
      <c r="C412" s="960">
        <v>2</v>
      </c>
      <c r="D412" s="957">
        <f>D404</f>
        <v>1.5</v>
      </c>
      <c r="E412" s="957">
        <f>C412*D412</f>
        <v>3</v>
      </c>
      <c r="F412" s="962"/>
      <c r="G412" s="958"/>
    </row>
    <row r="413" spans="1:7" s="954" customFormat="1" ht="14.1">
      <c r="A413" s="955"/>
      <c r="B413" s="1229"/>
      <c r="C413" s="960"/>
      <c r="D413" s="957"/>
      <c r="E413" s="1230">
        <f>SUM(E411:E412)</f>
        <v>6.9</v>
      </c>
      <c r="F413" s="962"/>
      <c r="G413" s="958"/>
    </row>
    <row r="414" spans="1:7" s="954" customFormat="1" ht="14.1">
      <c r="A414" s="955"/>
      <c r="B414" s="1229" t="s">
        <v>2262</v>
      </c>
      <c r="C414" s="957">
        <v>0.78</v>
      </c>
      <c r="D414" s="957" t="s">
        <v>2263</v>
      </c>
      <c r="E414" s="957"/>
      <c r="F414" s="962"/>
      <c r="G414" s="958"/>
    </row>
    <row r="415" spans="1:7" s="954" customFormat="1" ht="14.1">
      <c r="A415" s="955"/>
      <c r="B415" s="963" t="s">
        <v>2264</v>
      </c>
      <c r="C415" s="957">
        <f>E413</f>
        <v>6.9</v>
      </c>
      <c r="D415" s="957">
        <f>C414</f>
        <v>0.78</v>
      </c>
      <c r="E415" s="957"/>
      <c r="F415" s="1230">
        <f>C415*D415</f>
        <v>5.3820000000000006</v>
      </c>
      <c r="G415" s="964" t="s">
        <v>462</v>
      </c>
    </row>
    <row r="416" spans="1:7" s="954" customFormat="1" ht="14.1">
      <c r="A416" s="955"/>
      <c r="B416" s="963"/>
      <c r="C416" s="957"/>
      <c r="D416" s="957"/>
      <c r="E416" s="957"/>
      <c r="F416" s="1230"/>
      <c r="G416" s="964"/>
    </row>
    <row r="417" spans="1:7" s="954" customFormat="1" ht="14.1">
      <c r="A417" s="955"/>
      <c r="B417" s="961" t="s">
        <v>2266</v>
      </c>
      <c r="C417" s="960"/>
      <c r="D417" s="957"/>
      <c r="E417" s="957"/>
      <c r="F417" s="1230"/>
      <c r="G417" s="964"/>
    </row>
    <row r="418" spans="1:7" s="954" customFormat="1" ht="14.1">
      <c r="A418" s="955"/>
      <c r="B418" s="1229" t="s">
        <v>2267</v>
      </c>
      <c r="C418" s="960">
        <v>0.6</v>
      </c>
      <c r="D418" s="965">
        <f>'[8]C-data (K)'!$F$86</f>
        <v>129</v>
      </c>
      <c r="E418" s="957">
        <f>C418*D418</f>
        <v>77.399999999999991</v>
      </c>
      <c r="F418" s="962"/>
      <c r="G418" s="958"/>
    </row>
    <row r="419" spans="1:7" s="954" customFormat="1" ht="14.1">
      <c r="A419" s="955"/>
      <c r="B419" s="1229" t="s">
        <v>771</v>
      </c>
      <c r="C419" s="960">
        <v>0.21</v>
      </c>
      <c r="D419" s="965">
        <f>'[8]C-data (K)'!$F$19</f>
        <v>684</v>
      </c>
      <c r="E419" s="957">
        <f>C419*D419</f>
        <v>143.63999999999999</v>
      </c>
      <c r="F419" s="962"/>
      <c r="G419" s="958"/>
    </row>
    <row r="420" spans="1:7" s="954" customFormat="1" ht="14.1">
      <c r="A420" s="955"/>
      <c r="B420" s="1229" t="s">
        <v>772</v>
      </c>
      <c r="C420" s="960">
        <v>0.49</v>
      </c>
      <c r="D420" s="965">
        <f>'[8]C-data (K)'!$F$20</f>
        <v>564</v>
      </c>
      <c r="E420" s="957">
        <f>C420*D420</f>
        <v>276.36</v>
      </c>
      <c r="F420" s="962"/>
      <c r="G420" s="958"/>
    </row>
    <row r="421" spans="1:7" s="954" customFormat="1" ht="14.1">
      <c r="A421" s="955"/>
      <c r="B421" s="963"/>
      <c r="C421" s="960"/>
      <c r="D421" s="957"/>
      <c r="E421" s="1230">
        <f>SUM(E418:E420)</f>
        <v>497.4</v>
      </c>
      <c r="F421" s="966" t="s">
        <v>2268</v>
      </c>
      <c r="G421" s="964"/>
    </row>
    <row r="422" spans="1:7" s="954" customFormat="1" ht="14.1">
      <c r="A422" s="955"/>
      <c r="B422" s="963"/>
      <c r="C422" s="960"/>
      <c r="D422" s="957"/>
      <c r="E422" s="1230"/>
      <c r="F422" s="964"/>
      <c r="G422" s="964"/>
    </row>
    <row r="423" spans="1:7" s="954" customFormat="1" ht="28.2">
      <c r="A423" s="953" t="s">
        <v>2269</v>
      </c>
      <c r="B423" s="953" t="s">
        <v>2270</v>
      </c>
      <c r="C423" s="953" t="s">
        <v>2271</v>
      </c>
      <c r="D423" s="967"/>
      <c r="E423" s="953" t="s">
        <v>92</v>
      </c>
      <c r="F423" s="967"/>
      <c r="G423" s="967" t="s">
        <v>151</v>
      </c>
    </row>
    <row r="424" spans="1:7" s="954" customFormat="1">
      <c r="A424" s="955">
        <v>1</v>
      </c>
      <c r="B424" s="1229" t="str">
        <f>B402</f>
        <v>Outer frame "L' angle 25x25x5mm</v>
      </c>
      <c r="C424" s="957">
        <f>F408</f>
        <v>7.3080000000000007</v>
      </c>
      <c r="D424" s="968" t="s">
        <v>2272</v>
      </c>
      <c r="E424" s="957"/>
      <c r="F424" s="968"/>
      <c r="G424" s="957"/>
    </row>
    <row r="425" spans="1:7" s="954" customFormat="1">
      <c r="A425" s="955">
        <v>2</v>
      </c>
      <c r="B425" s="1229" t="str">
        <f>B410</f>
        <v>10mm square rods safety bars</v>
      </c>
      <c r="C425" s="957">
        <f>F415</f>
        <v>5.3820000000000006</v>
      </c>
      <c r="D425" s="968" t="s">
        <v>462</v>
      </c>
      <c r="E425" s="957"/>
      <c r="F425" s="968"/>
      <c r="G425" s="957"/>
    </row>
    <row r="426" spans="1:7" s="954" customFormat="1" ht="14.1">
      <c r="A426" s="969"/>
      <c r="B426" s="970"/>
      <c r="C426" s="1230">
        <f>SUM(C424:C425)</f>
        <v>12.690000000000001</v>
      </c>
      <c r="D426" s="968" t="s">
        <v>462</v>
      </c>
      <c r="E426" s="957">
        <f>[8]LEAD!$P$30/1000</f>
        <v>49</v>
      </c>
      <c r="F426" s="968" t="s">
        <v>462</v>
      </c>
      <c r="G426" s="957">
        <f>ROUND(C426*E426,2)</f>
        <v>621.80999999999995</v>
      </c>
    </row>
    <row r="427" spans="1:7" s="954" customFormat="1">
      <c r="A427" s="955">
        <v>3</v>
      </c>
      <c r="B427" s="971" t="s">
        <v>2273</v>
      </c>
      <c r="C427" s="957">
        <f>E400</f>
        <v>0.44999999999999996</v>
      </c>
      <c r="D427" s="968" t="s">
        <v>461</v>
      </c>
      <c r="E427" s="957">
        <f>E421</f>
        <v>497.4</v>
      </c>
      <c r="F427" s="968" t="s">
        <v>2274</v>
      </c>
      <c r="G427" s="957">
        <f>ROUND(C427*E427/10,2)</f>
        <v>22.38</v>
      </c>
    </row>
    <row r="428" spans="1:7" s="954" customFormat="1" ht="14.1">
      <c r="A428" s="955">
        <v>4</v>
      </c>
      <c r="B428" s="972" t="s">
        <v>2497</v>
      </c>
      <c r="C428" s="957">
        <f>C426</f>
        <v>12.690000000000001</v>
      </c>
      <c r="D428" s="968" t="s">
        <v>462</v>
      </c>
      <c r="E428" s="957">
        <f>30+4</f>
        <v>34</v>
      </c>
      <c r="F428" s="968" t="s">
        <v>462</v>
      </c>
      <c r="G428" s="957">
        <f>ROUND(C428*E428,2)</f>
        <v>431.46</v>
      </c>
    </row>
    <row r="429" spans="1:7" s="954" customFormat="1">
      <c r="A429" s="955">
        <v>5</v>
      </c>
      <c r="B429" s="971" t="s">
        <v>2275</v>
      </c>
      <c r="C429" s="957">
        <f>'[8]C-data (K)'!$E$5</f>
        <v>0.2</v>
      </c>
      <c r="D429" s="968"/>
      <c r="E429" s="957">
        <f>G428</f>
        <v>431.46</v>
      </c>
      <c r="F429" s="968"/>
      <c r="G429" s="957">
        <f>C429*E429</f>
        <v>86.292000000000002</v>
      </c>
    </row>
    <row r="430" spans="1:7" s="954" customFormat="1" ht="14.1">
      <c r="A430" s="955"/>
      <c r="B430" s="971"/>
      <c r="C430" s="960"/>
      <c r="D430" s="957"/>
      <c r="E430" s="960"/>
      <c r="F430" s="957"/>
      <c r="G430" s="1230">
        <f>SUM(G426:G429)</f>
        <v>1161.9419999999998</v>
      </c>
    </row>
    <row r="431" spans="1:7" s="954" customFormat="1" ht="14.1">
      <c r="A431" s="955">
        <v>6</v>
      </c>
      <c r="B431" s="1277" t="str">
        <f>'[8]C-data (K)'!$C$174</f>
        <v>Add 5% over heads</v>
      </c>
      <c r="C431" s="974">
        <f>'[8]C-data (K)'!$D$3</f>
        <v>0</v>
      </c>
      <c r="D431" s="957"/>
      <c r="E431" s="960"/>
      <c r="F431" s="957"/>
      <c r="G431" s="957">
        <f>G430*C431</f>
        <v>0</v>
      </c>
    </row>
    <row r="432" spans="1:7" s="954" customFormat="1" ht="14.1">
      <c r="A432" s="955"/>
      <c r="B432" s="971"/>
      <c r="C432" s="957"/>
      <c r="D432" s="957"/>
      <c r="E432" s="960"/>
      <c r="F432" s="957"/>
      <c r="G432" s="1230">
        <f>SUM(G430:G431)</f>
        <v>1161.9419999999998</v>
      </c>
    </row>
    <row r="433" spans="1:7" s="954" customFormat="1" ht="14.1">
      <c r="A433" s="955"/>
      <c r="B433" s="975" t="s">
        <v>1806</v>
      </c>
      <c r="C433" s="960"/>
      <c r="D433" s="957"/>
      <c r="E433" s="1610" t="s">
        <v>2276</v>
      </c>
      <c r="F433" s="1610"/>
      <c r="G433" s="1230">
        <f>ROUND(G432,0)</f>
        <v>1162</v>
      </c>
    </row>
    <row r="434" spans="1:7" s="954" customFormat="1" ht="14.1">
      <c r="A434" s="955"/>
      <c r="B434" s="971"/>
      <c r="C434" s="960"/>
      <c r="D434" s="957"/>
      <c r="E434" s="960"/>
      <c r="F434" s="957"/>
      <c r="G434" s="1230"/>
    </row>
    <row r="435" spans="1:7" s="954" customFormat="1" ht="14.1">
      <c r="A435" s="953">
        <v>13</v>
      </c>
      <c r="B435" s="1611" t="s">
        <v>2509</v>
      </c>
      <c r="C435" s="1611"/>
      <c r="D435" s="1611"/>
      <c r="E435" s="1611"/>
      <c r="F435" s="1611"/>
      <c r="G435" s="1611"/>
    </row>
    <row r="436" spans="1:7" s="954" customFormat="1" ht="14.1">
      <c r="A436" s="955"/>
      <c r="B436" s="956" t="s">
        <v>2259</v>
      </c>
      <c r="C436" s="957">
        <v>1.5</v>
      </c>
      <c r="D436" s="957">
        <v>0.45</v>
      </c>
      <c r="E436" s="1230">
        <f>C436*D436</f>
        <v>0.67500000000000004</v>
      </c>
      <c r="F436" s="958" t="s">
        <v>547</v>
      </c>
      <c r="G436" s="958"/>
    </row>
    <row r="437" spans="1:7" s="954" customFormat="1" ht="14.1">
      <c r="A437" s="955"/>
      <c r="B437" s="1229"/>
      <c r="C437" s="959"/>
      <c r="D437" s="958"/>
      <c r="E437" s="960"/>
      <c r="F437" s="958"/>
      <c r="G437" s="958"/>
    </row>
    <row r="438" spans="1:7" s="954" customFormat="1" ht="14.1">
      <c r="A438" s="955"/>
      <c r="B438" s="961" t="s">
        <v>2260</v>
      </c>
      <c r="C438" s="959"/>
      <c r="D438" s="958"/>
      <c r="E438" s="960"/>
      <c r="F438" s="958"/>
      <c r="G438" s="958"/>
    </row>
    <row r="439" spans="1:7" s="954" customFormat="1" ht="14.1">
      <c r="A439" s="955"/>
      <c r="B439" s="1229" t="s">
        <v>2261</v>
      </c>
      <c r="C439" s="960">
        <v>2</v>
      </c>
      <c r="D439" s="957">
        <f>D436</f>
        <v>0.45</v>
      </c>
      <c r="E439" s="957">
        <f>C439*D439</f>
        <v>0.9</v>
      </c>
      <c r="F439" s="962"/>
      <c r="G439" s="958"/>
    </row>
    <row r="440" spans="1:7" s="954" customFormat="1" ht="14.1">
      <c r="A440" s="955"/>
      <c r="B440" s="1229" t="s">
        <v>1475</v>
      </c>
      <c r="C440" s="960">
        <v>2</v>
      </c>
      <c r="D440" s="957">
        <f>C436</f>
        <v>1.5</v>
      </c>
      <c r="E440" s="957">
        <f>C440*D440</f>
        <v>3</v>
      </c>
      <c r="F440" s="962"/>
      <c r="G440" s="958"/>
    </row>
    <row r="441" spans="1:7" s="954" customFormat="1" ht="14.1">
      <c r="A441" s="955"/>
      <c r="B441" s="1229" t="s">
        <v>1510</v>
      </c>
      <c r="C441" s="960">
        <v>2</v>
      </c>
      <c r="D441" s="957">
        <v>0.23</v>
      </c>
      <c r="E441" s="957">
        <f>C441*D441</f>
        <v>0.46</v>
      </c>
      <c r="F441" s="962"/>
      <c r="G441" s="958"/>
    </row>
    <row r="442" spans="1:7" s="954" customFormat="1" ht="14.1">
      <c r="A442" s="955"/>
      <c r="B442" s="1229"/>
      <c r="C442" s="960"/>
      <c r="D442" s="957"/>
      <c r="E442" s="1230">
        <f>SUM(E439:E441)</f>
        <v>4.3600000000000003</v>
      </c>
      <c r="F442" s="962"/>
      <c r="G442" s="958"/>
    </row>
    <row r="443" spans="1:7" s="954" customFormat="1" ht="14.1">
      <c r="A443" s="955"/>
      <c r="B443" s="1229" t="s">
        <v>2262</v>
      </c>
      <c r="C443" s="957">
        <v>1.8</v>
      </c>
      <c r="D443" s="957" t="s">
        <v>2263</v>
      </c>
      <c r="E443" s="957"/>
      <c r="F443" s="962"/>
      <c r="G443" s="958"/>
    </row>
    <row r="444" spans="1:7" s="954" customFormat="1" ht="14.1">
      <c r="A444" s="955"/>
      <c r="B444" s="963" t="s">
        <v>2264</v>
      </c>
      <c r="C444" s="957">
        <f>E442</f>
        <v>4.3600000000000003</v>
      </c>
      <c r="D444" s="957">
        <f>C443</f>
        <v>1.8</v>
      </c>
      <c r="E444" s="957"/>
      <c r="F444" s="1230">
        <f>C444*D444</f>
        <v>7.8480000000000008</v>
      </c>
      <c r="G444" s="964" t="s">
        <v>462</v>
      </c>
    </row>
    <row r="445" spans="1:7" s="954" customFormat="1" ht="14.1">
      <c r="A445" s="955"/>
      <c r="B445" s="963"/>
      <c r="C445" s="957"/>
      <c r="D445" s="957"/>
      <c r="E445" s="957"/>
      <c r="F445" s="1230"/>
      <c r="G445" s="964"/>
    </row>
    <row r="446" spans="1:7" s="954" customFormat="1" ht="14.1">
      <c r="A446" s="955"/>
      <c r="B446" s="961" t="s">
        <v>2265</v>
      </c>
      <c r="C446" s="959"/>
      <c r="D446" s="958"/>
      <c r="E446" s="960"/>
      <c r="F446" s="958"/>
      <c r="G446" s="958"/>
    </row>
    <row r="447" spans="1:7" s="954" customFormat="1" ht="14.1">
      <c r="A447" s="955"/>
      <c r="B447" s="1229" t="s">
        <v>1477</v>
      </c>
      <c r="C447" s="960">
        <v>13</v>
      </c>
      <c r="D447" s="957">
        <f>D439</f>
        <v>0.45</v>
      </c>
      <c r="E447" s="957">
        <f>C447*D447</f>
        <v>5.8500000000000005</v>
      </c>
      <c r="F447" s="962"/>
      <c r="G447" s="958"/>
    </row>
    <row r="448" spans="1:7" s="954" customFormat="1" ht="14.1">
      <c r="A448" s="955"/>
      <c r="B448" s="1229" t="s">
        <v>1475</v>
      </c>
      <c r="C448" s="960">
        <v>3</v>
      </c>
      <c r="D448" s="957">
        <f>D440</f>
        <v>1.5</v>
      </c>
      <c r="E448" s="957">
        <f>C448*D448</f>
        <v>4.5</v>
      </c>
      <c r="F448" s="962"/>
      <c r="G448" s="958"/>
    </row>
    <row r="449" spans="1:7" s="954" customFormat="1" ht="14.1">
      <c r="A449" s="955"/>
      <c r="B449" s="1229"/>
      <c r="C449" s="960"/>
      <c r="D449" s="957"/>
      <c r="E449" s="1230">
        <f>SUM(E447:E448)</f>
        <v>10.350000000000001</v>
      </c>
      <c r="F449" s="962"/>
      <c r="G449" s="958"/>
    </row>
    <row r="450" spans="1:7" s="954" customFormat="1" ht="14.1">
      <c r="A450" s="955"/>
      <c r="B450" s="1229" t="s">
        <v>2262</v>
      </c>
      <c r="C450" s="957">
        <v>0.78</v>
      </c>
      <c r="D450" s="957" t="s">
        <v>2263</v>
      </c>
      <c r="E450" s="957"/>
      <c r="F450" s="962"/>
      <c r="G450" s="958"/>
    </row>
    <row r="451" spans="1:7" s="954" customFormat="1" ht="14.1">
      <c r="A451" s="955"/>
      <c r="B451" s="963" t="s">
        <v>2264</v>
      </c>
      <c r="C451" s="957">
        <f>E449</f>
        <v>10.350000000000001</v>
      </c>
      <c r="D451" s="957">
        <f>C450</f>
        <v>0.78</v>
      </c>
      <c r="E451" s="957"/>
      <c r="F451" s="1230">
        <f>C451*D451</f>
        <v>8.0730000000000022</v>
      </c>
      <c r="G451" s="964" t="s">
        <v>462</v>
      </c>
    </row>
    <row r="452" spans="1:7" s="954" customFormat="1" ht="14.1">
      <c r="A452" s="955"/>
      <c r="B452" s="963"/>
      <c r="C452" s="957"/>
      <c r="D452" s="957"/>
      <c r="E452" s="957"/>
      <c r="F452" s="1230"/>
      <c r="G452" s="964"/>
    </row>
    <row r="453" spans="1:7" s="954" customFormat="1" ht="14.1">
      <c r="A453" s="955"/>
      <c r="B453" s="961" t="s">
        <v>2266</v>
      </c>
      <c r="C453" s="960"/>
      <c r="D453" s="957"/>
      <c r="E453" s="957"/>
      <c r="F453" s="1230"/>
      <c r="G453" s="964"/>
    </row>
    <row r="454" spans="1:7" s="954" customFormat="1" ht="14.1">
      <c r="A454" s="955"/>
      <c r="B454" s="1229" t="s">
        <v>2267</v>
      </c>
      <c r="C454" s="960">
        <v>0.6</v>
      </c>
      <c r="D454" s="965">
        <f>'[8]C-data (K)'!$F$86</f>
        <v>129</v>
      </c>
      <c r="E454" s="957">
        <f>C454*D454</f>
        <v>77.399999999999991</v>
      </c>
      <c r="F454" s="962"/>
      <c r="G454" s="958"/>
    </row>
    <row r="455" spans="1:7" s="954" customFormat="1" ht="14.1">
      <c r="A455" s="955"/>
      <c r="B455" s="1229" t="s">
        <v>771</v>
      </c>
      <c r="C455" s="960">
        <v>0.21</v>
      </c>
      <c r="D455" s="965">
        <f>'[8]C-data (K)'!$F$19</f>
        <v>684</v>
      </c>
      <c r="E455" s="957">
        <f>C455*D455</f>
        <v>143.63999999999999</v>
      </c>
      <c r="F455" s="962"/>
      <c r="G455" s="958"/>
    </row>
    <row r="456" spans="1:7" s="954" customFormat="1" ht="14.1">
      <c r="A456" s="955"/>
      <c r="B456" s="1229" t="s">
        <v>772</v>
      </c>
      <c r="C456" s="960">
        <v>0.49</v>
      </c>
      <c r="D456" s="965">
        <f>'[8]C-data (K)'!$F$20</f>
        <v>564</v>
      </c>
      <c r="E456" s="957">
        <f>C456*D456</f>
        <v>276.36</v>
      </c>
      <c r="F456" s="962"/>
      <c r="G456" s="958"/>
    </row>
    <row r="457" spans="1:7" s="954" customFormat="1" ht="14.1">
      <c r="A457" s="955"/>
      <c r="B457" s="963"/>
      <c r="C457" s="960"/>
      <c r="D457" s="957"/>
      <c r="E457" s="1230">
        <f>SUM(E454:E456)</f>
        <v>497.4</v>
      </c>
      <c r="F457" s="966" t="s">
        <v>2268</v>
      </c>
      <c r="G457" s="964"/>
    </row>
    <row r="458" spans="1:7" s="954" customFormat="1" ht="14.1">
      <c r="A458" s="955"/>
      <c r="B458" s="963"/>
      <c r="C458" s="960"/>
      <c r="D458" s="957"/>
      <c r="E458" s="1230"/>
      <c r="F458" s="964"/>
      <c r="G458" s="964"/>
    </row>
    <row r="459" spans="1:7" s="954" customFormat="1" ht="28.2">
      <c r="A459" s="953" t="s">
        <v>2269</v>
      </c>
      <c r="B459" s="953" t="s">
        <v>2270</v>
      </c>
      <c r="C459" s="953" t="s">
        <v>2271</v>
      </c>
      <c r="D459" s="967"/>
      <c r="E459" s="953" t="s">
        <v>92</v>
      </c>
      <c r="F459" s="967"/>
      <c r="G459" s="967" t="s">
        <v>151</v>
      </c>
    </row>
    <row r="460" spans="1:7" s="954" customFormat="1">
      <c r="A460" s="955">
        <v>1</v>
      </c>
      <c r="B460" s="1229" t="str">
        <f>B438</f>
        <v>Outer frame "L' angle 25x25x5mm</v>
      </c>
      <c r="C460" s="957">
        <f>F444</f>
        <v>7.8480000000000008</v>
      </c>
      <c r="D460" s="968" t="s">
        <v>2272</v>
      </c>
      <c r="E460" s="957"/>
      <c r="F460" s="968"/>
      <c r="G460" s="957"/>
    </row>
    <row r="461" spans="1:7" s="954" customFormat="1">
      <c r="A461" s="955">
        <v>2</v>
      </c>
      <c r="B461" s="1229" t="str">
        <f>B446</f>
        <v>10mm square rods safety bars</v>
      </c>
      <c r="C461" s="957">
        <f>F451</f>
        <v>8.0730000000000022</v>
      </c>
      <c r="D461" s="968" t="s">
        <v>462</v>
      </c>
      <c r="E461" s="957"/>
      <c r="F461" s="968"/>
      <c r="G461" s="957"/>
    </row>
    <row r="462" spans="1:7" s="954" customFormat="1" ht="14.1">
      <c r="A462" s="969"/>
      <c r="B462" s="970"/>
      <c r="C462" s="1230">
        <f>SUM(C460:C461)</f>
        <v>15.921000000000003</v>
      </c>
      <c r="D462" s="968" t="s">
        <v>462</v>
      </c>
      <c r="E462" s="957">
        <f>[8]LEAD!$P$30/1000</f>
        <v>49</v>
      </c>
      <c r="F462" s="968" t="s">
        <v>462</v>
      </c>
      <c r="G462" s="957">
        <f>ROUND(C462*E462,2)</f>
        <v>780.13</v>
      </c>
    </row>
    <row r="463" spans="1:7" s="954" customFormat="1">
      <c r="A463" s="955">
        <v>3</v>
      </c>
      <c r="B463" s="971" t="s">
        <v>2273</v>
      </c>
      <c r="C463" s="957">
        <f>E436</f>
        <v>0.67500000000000004</v>
      </c>
      <c r="D463" s="968" t="s">
        <v>461</v>
      </c>
      <c r="E463" s="957">
        <f>E457</f>
        <v>497.4</v>
      </c>
      <c r="F463" s="968" t="s">
        <v>2274</v>
      </c>
      <c r="G463" s="957">
        <f>ROUND(C463*E463/10,2)</f>
        <v>33.57</v>
      </c>
    </row>
    <row r="464" spans="1:7" s="954" customFormat="1" ht="14.1">
      <c r="A464" s="955">
        <v>4</v>
      </c>
      <c r="B464" s="972" t="s">
        <v>2497</v>
      </c>
      <c r="C464" s="957">
        <f>C462</f>
        <v>15.921000000000003</v>
      </c>
      <c r="D464" s="968" t="s">
        <v>462</v>
      </c>
      <c r="E464" s="957">
        <f>30+4</f>
        <v>34</v>
      </c>
      <c r="F464" s="968" t="s">
        <v>462</v>
      </c>
      <c r="G464" s="957">
        <f>ROUND(C464*E464,2)</f>
        <v>541.30999999999995</v>
      </c>
    </row>
    <row r="465" spans="1:7" s="954" customFormat="1">
      <c r="A465" s="955">
        <v>5</v>
      </c>
      <c r="B465" s="971" t="s">
        <v>2275</v>
      </c>
      <c r="C465" s="957">
        <f>'[8]C-data (K)'!$E$5</f>
        <v>0.2</v>
      </c>
      <c r="D465" s="968"/>
      <c r="E465" s="957">
        <f>G464</f>
        <v>541.30999999999995</v>
      </c>
      <c r="F465" s="968"/>
      <c r="G465" s="957">
        <f>C465*E465</f>
        <v>108.262</v>
      </c>
    </row>
    <row r="466" spans="1:7" s="954" customFormat="1" ht="14.1">
      <c r="A466" s="955"/>
      <c r="B466" s="971"/>
      <c r="C466" s="960"/>
      <c r="D466" s="957"/>
      <c r="E466" s="960"/>
      <c r="F466" s="957"/>
      <c r="G466" s="1230">
        <f>SUM(G462:G465)</f>
        <v>1463.2719999999999</v>
      </c>
    </row>
    <row r="467" spans="1:7" s="954" customFormat="1" ht="14.1">
      <c r="A467" s="955">
        <v>6</v>
      </c>
      <c r="B467" s="1277" t="str">
        <f>'[8]C-data (K)'!$C$174</f>
        <v>Add 5% over heads</v>
      </c>
      <c r="C467" s="974">
        <f>'[8]C-data (K)'!$D$3</f>
        <v>0</v>
      </c>
      <c r="D467" s="957"/>
      <c r="E467" s="960"/>
      <c r="F467" s="957"/>
      <c r="G467" s="957">
        <f>G466*C467</f>
        <v>0</v>
      </c>
    </row>
    <row r="468" spans="1:7" s="954" customFormat="1">
      <c r="A468" s="955"/>
      <c r="B468" s="971"/>
      <c r="C468" s="957"/>
      <c r="D468" s="957"/>
      <c r="E468" s="960"/>
      <c r="F468" s="957"/>
      <c r="G468" s="957">
        <f>SUM(G466:G467)</f>
        <v>1463.2719999999999</v>
      </c>
    </row>
    <row r="469" spans="1:7" s="954" customFormat="1" ht="14.1">
      <c r="A469" s="955"/>
      <c r="B469" s="975" t="s">
        <v>1806</v>
      </c>
      <c r="C469" s="960"/>
      <c r="D469" s="957"/>
      <c r="E469" s="1610" t="s">
        <v>2276</v>
      </c>
      <c r="F469" s="1610"/>
      <c r="G469" s="1230">
        <f>ROUND(G468,0)</f>
        <v>1463</v>
      </c>
    </row>
    <row r="470" spans="1:7" s="954" customFormat="1" ht="14.1">
      <c r="A470" s="955" t="s">
        <v>455</v>
      </c>
      <c r="B470" s="971"/>
      <c r="C470" s="960"/>
      <c r="D470" s="957"/>
      <c r="E470" s="960"/>
      <c r="F470" s="957"/>
      <c r="G470" s="1230"/>
    </row>
    <row r="471" spans="1:7" s="954" customFormat="1" ht="14.1">
      <c r="A471" s="953">
        <v>2</v>
      </c>
      <c r="B471" s="1611" t="s">
        <v>2510</v>
      </c>
      <c r="C471" s="1611"/>
      <c r="D471" s="1611"/>
      <c r="E471" s="1611"/>
      <c r="F471" s="1611"/>
      <c r="G471" s="1611"/>
    </row>
    <row r="472" spans="1:7" s="954" customFormat="1" ht="14.1">
      <c r="A472" s="955"/>
      <c r="B472" s="956" t="s">
        <v>2259</v>
      </c>
      <c r="C472" s="957">
        <v>1.5</v>
      </c>
      <c r="D472" s="957">
        <v>0.3</v>
      </c>
      <c r="E472" s="1230">
        <f>C472*D472</f>
        <v>0.44999999999999996</v>
      </c>
      <c r="F472" s="958" t="s">
        <v>547</v>
      </c>
      <c r="G472" s="958"/>
    </row>
    <row r="473" spans="1:7" s="954" customFormat="1" ht="14.1">
      <c r="A473" s="955"/>
      <c r="B473" s="1229"/>
      <c r="C473" s="959"/>
      <c r="D473" s="958"/>
      <c r="E473" s="960"/>
      <c r="F473" s="958"/>
      <c r="G473" s="958"/>
    </row>
    <row r="474" spans="1:7" s="954" customFormat="1" ht="14.1">
      <c r="A474" s="955"/>
      <c r="B474" s="961" t="s">
        <v>2500</v>
      </c>
      <c r="C474" s="959"/>
      <c r="D474" s="958"/>
      <c r="E474" s="960"/>
      <c r="F474" s="958"/>
      <c r="G474" s="958"/>
    </row>
    <row r="475" spans="1:7" s="954" customFormat="1" ht="14.1">
      <c r="A475" s="955"/>
      <c r="B475" s="1229" t="s">
        <v>2261</v>
      </c>
      <c r="C475" s="960">
        <v>2</v>
      </c>
      <c r="D475" s="957">
        <f>D472</f>
        <v>0.3</v>
      </c>
      <c r="E475" s="957">
        <f>C475*D475</f>
        <v>0.6</v>
      </c>
      <c r="F475" s="962"/>
      <c r="G475" s="958"/>
    </row>
    <row r="476" spans="1:7" s="954" customFormat="1" ht="14.1">
      <c r="A476" s="955"/>
      <c r="B476" s="1229" t="s">
        <v>1475</v>
      </c>
      <c r="C476" s="960">
        <v>2</v>
      </c>
      <c r="D476" s="957">
        <f>C472</f>
        <v>1.5</v>
      </c>
      <c r="E476" s="957">
        <f>C476*D476</f>
        <v>3</v>
      </c>
      <c r="F476" s="962"/>
      <c r="G476" s="958"/>
    </row>
    <row r="477" spans="1:7" s="954" customFormat="1" ht="14.1">
      <c r="A477" s="955"/>
      <c r="B477" s="1229" t="s">
        <v>1510</v>
      </c>
      <c r="C477" s="960">
        <v>2</v>
      </c>
      <c r="D477" s="957">
        <v>0.23</v>
      </c>
      <c r="E477" s="957">
        <f>C477*D477</f>
        <v>0.46</v>
      </c>
      <c r="F477" s="962"/>
      <c r="G477" s="958"/>
    </row>
    <row r="478" spans="1:7" s="954" customFormat="1" ht="14.1">
      <c r="A478" s="955"/>
      <c r="B478" s="1229"/>
      <c r="C478" s="960"/>
      <c r="D478" s="957"/>
      <c r="E478" s="1230">
        <f>SUM(E475:E477)</f>
        <v>4.0600000000000005</v>
      </c>
      <c r="F478" s="962"/>
      <c r="G478" s="958"/>
    </row>
    <row r="479" spans="1:7" s="954" customFormat="1" ht="14.1">
      <c r="A479" s="955"/>
      <c r="B479" s="1229" t="s">
        <v>2262</v>
      </c>
      <c r="C479" s="957">
        <v>2.6</v>
      </c>
      <c r="D479" s="957" t="s">
        <v>2263</v>
      </c>
      <c r="E479" s="957"/>
      <c r="F479" s="962"/>
      <c r="G479" s="958"/>
    </row>
    <row r="480" spans="1:7" s="954" customFormat="1" ht="14.1">
      <c r="A480" s="955"/>
      <c r="B480" s="963" t="s">
        <v>2264</v>
      </c>
      <c r="C480" s="957">
        <f>E478</f>
        <v>4.0600000000000005</v>
      </c>
      <c r="D480" s="957">
        <f>C479</f>
        <v>2.6</v>
      </c>
      <c r="E480" s="957"/>
      <c r="F480" s="1230">
        <f>C480*D480</f>
        <v>10.556000000000001</v>
      </c>
      <c r="G480" s="964" t="s">
        <v>462</v>
      </c>
    </row>
    <row r="481" spans="1:7" s="954" customFormat="1" ht="14.1">
      <c r="A481" s="955"/>
      <c r="B481" s="963"/>
      <c r="C481" s="957"/>
      <c r="D481" s="957"/>
      <c r="E481" s="957"/>
      <c r="F481" s="1230"/>
      <c r="G481" s="964"/>
    </row>
    <row r="482" spans="1:7" s="954" customFormat="1" ht="14.1">
      <c r="A482" s="955"/>
      <c r="B482" s="961" t="s">
        <v>2265</v>
      </c>
      <c r="C482" s="959"/>
      <c r="D482" s="958"/>
      <c r="E482" s="960"/>
      <c r="F482" s="958"/>
      <c r="G482" s="958"/>
    </row>
    <row r="483" spans="1:7" s="954" customFormat="1" ht="14.1">
      <c r="A483" s="955"/>
      <c r="B483" s="1229" t="s">
        <v>1477</v>
      </c>
      <c r="C483" s="960">
        <v>13</v>
      </c>
      <c r="D483" s="957">
        <f>D475</f>
        <v>0.3</v>
      </c>
      <c r="E483" s="957">
        <f>C483*D483</f>
        <v>3.9</v>
      </c>
      <c r="F483" s="962"/>
      <c r="G483" s="958"/>
    </row>
    <row r="484" spans="1:7" s="954" customFormat="1" ht="14.1">
      <c r="A484" s="955"/>
      <c r="B484" s="1229" t="s">
        <v>1475</v>
      </c>
      <c r="C484" s="960">
        <v>2</v>
      </c>
      <c r="D484" s="957">
        <f>D476</f>
        <v>1.5</v>
      </c>
      <c r="E484" s="957">
        <f>C484*D484</f>
        <v>3</v>
      </c>
      <c r="F484" s="962"/>
      <c r="G484" s="958"/>
    </row>
    <row r="485" spans="1:7" s="954" customFormat="1" ht="14.1">
      <c r="A485" s="955"/>
      <c r="B485" s="1229"/>
      <c r="C485" s="960"/>
      <c r="D485" s="957"/>
      <c r="E485" s="1230">
        <f>SUM(E483:E484)</f>
        <v>6.9</v>
      </c>
      <c r="F485" s="962"/>
      <c r="G485" s="958"/>
    </row>
    <row r="486" spans="1:7" s="954" customFormat="1" ht="14.1">
      <c r="A486" s="955"/>
      <c r="B486" s="1229" t="s">
        <v>2262</v>
      </c>
      <c r="C486" s="957">
        <v>0.78</v>
      </c>
      <c r="D486" s="957" t="s">
        <v>2263</v>
      </c>
      <c r="E486" s="957"/>
      <c r="F486" s="962"/>
      <c r="G486" s="958"/>
    </row>
    <row r="487" spans="1:7" s="954" customFormat="1" ht="14.1">
      <c r="A487" s="955"/>
      <c r="B487" s="963" t="s">
        <v>2264</v>
      </c>
      <c r="C487" s="957">
        <f>E485</f>
        <v>6.9</v>
      </c>
      <c r="D487" s="957">
        <f>C486</f>
        <v>0.78</v>
      </c>
      <c r="E487" s="957"/>
      <c r="F487" s="1230">
        <f>C487*D487</f>
        <v>5.3820000000000006</v>
      </c>
      <c r="G487" s="964" t="s">
        <v>462</v>
      </c>
    </row>
    <row r="488" spans="1:7" s="954" customFormat="1" ht="14.1">
      <c r="A488" s="955"/>
      <c r="B488" s="963"/>
      <c r="C488" s="957"/>
      <c r="D488" s="957"/>
      <c r="E488" s="957"/>
      <c r="F488" s="1230"/>
      <c r="G488" s="964"/>
    </row>
    <row r="489" spans="1:7" s="954" customFormat="1" ht="14.1">
      <c r="A489" s="955"/>
      <c r="B489" s="961" t="s">
        <v>2266</v>
      </c>
      <c r="C489" s="960"/>
      <c r="D489" s="957"/>
      <c r="E489" s="957"/>
      <c r="F489" s="1230"/>
      <c r="G489" s="964"/>
    </row>
    <row r="490" spans="1:7" s="954" customFormat="1" ht="14.1">
      <c r="A490" s="955"/>
      <c r="B490" s="1229" t="s">
        <v>2267</v>
      </c>
      <c r="C490" s="960">
        <v>0.6</v>
      </c>
      <c r="D490" s="965">
        <f>'[8]C-data (K)'!$F$86</f>
        <v>129</v>
      </c>
      <c r="E490" s="957">
        <f>C490*D490</f>
        <v>77.399999999999991</v>
      </c>
      <c r="F490" s="962"/>
      <c r="G490" s="958"/>
    </row>
    <row r="491" spans="1:7" s="954" customFormat="1" ht="14.1">
      <c r="A491" s="955"/>
      <c r="B491" s="1229" t="s">
        <v>771</v>
      </c>
      <c r="C491" s="960">
        <v>0.21</v>
      </c>
      <c r="D491" s="965">
        <f>'[8]C-data (K)'!$F$19</f>
        <v>684</v>
      </c>
      <c r="E491" s="957">
        <f>C491*D491</f>
        <v>143.63999999999999</v>
      </c>
      <c r="F491" s="962"/>
      <c r="G491" s="958"/>
    </row>
    <row r="492" spans="1:7" s="954" customFormat="1" ht="14.1">
      <c r="A492" s="955"/>
      <c r="B492" s="1229" t="s">
        <v>772</v>
      </c>
      <c r="C492" s="960">
        <v>0.49</v>
      </c>
      <c r="D492" s="965">
        <f>'[8]C-data (K)'!$F$20</f>
        <v>564</v>
      </c>
      <c r="E492" s="957">
        <f>C492*D492</f>
        <v>276.36</v>
      </c>
      <c r="F492" s="962"/>
      <c r="G492" s="958"/>
    </row>
    <row r="493" spans="1:7" s="954" customFormat="1" ht="14.1">
      <c r="A493" s="955"/>
      <c r="B493" s="963"/>
      <c r="C493" s="960"/>
      <c r="D493" s="957"/>
      <c r="E493" s="1230">
        <f>SUM(E490:E492)</f>
        <v>497.4</v>
      </c>
      <c r="F493" s="966" t="s">
        <v>2268</v>
      </c>
      <c r="G493" s="964"/>
    </row>
    <row r="494" spans="1:7" s="954" customFormat="1" ht="14.1">
      <c r="A494" s="955"/>
      <c r="B494" s="963"/>
      <c r="C494" s="960"/>
      <c r="D494" s="957"/>
      <c r="E494" s="1230"/>
      <c r="F494" s="964"/>
      <c r="G494" s="964"/>
    </row>
    <row r="495" spans="1:7" s="954" customFormat="1" ht="28.2">
      <c r="A495" s="953" t="s">
        <v>2269</v>
      </c>
      <c r="B495" s="953" t="s">
        <v>2270</v>
      </c>
      <c r="C495" s="953" t="s">
        <v>2271</v>
      </c>
      <c r="D495" s="967"/>
      <c r="E495" s="953" t="s">
        <v>92</v>
      </c>
      <c r="F495" s="967"/>
      <c r="G495" s="967" t="s">
        <v>151</v>
      </c>
    </row>
    <row r="496" spans="1:7" s="954" customFormat="1">
      <c r="A496" s="955">
        <v>1</v>
      </c>
      <c r="B496" s="1229" t="str">
        <f>B474</f>
        <v>Outer frame "L' angle 35x35x5mm</v>
      </c>
      <c r="C496" s="957">
        <f>F480</f>
        <v>10.556000000000001</v>
      </c>
      <c r="D496" s="968" t="s">
        <v>2272</v>
      </c>
      <c r="E496" s="957"/>
      <c r="F496" s="968"/>
      <c r="G496" s="957"/>
    </row>
    <row r="497" spans="1:7" s="954" customFormat="1">
      <c r="A497" s="955">
        <v>2</v>
      </c>
      <c r="B497" s="1229" t="str">
        <f>B482</f>
        <v>10mm square rods safety bars</v>
      </c>
      <c r="C497" s="957">
        <f>F487</f>
        <v>5.3820000000000006</v>
      </c>
      <c r="D497" s="968" t="s">
        <v>462</v>
      </c>
      <c r="E497" s="957"/>
      <c r="F497" s="968"/>
      <c r="G497" s="957"/>
    </row>
    <row r="498" spans="1:7" s="954" customFormat="1" ht="14.1">
      <c r="A498" s="969"/>
      <c r="B498" s="970"/>
      <c r="C498" s="1230">
        <f>SUM(C496:C497)</f>
        <v>15.938000000000002</v>
      </c>
      <c r="D498" s="968" t="s">
        <v>462</v>
      </c>
      <c r="E498" s="957">
        <f>[8]LEAD!$P$30/1000</f>
        <v>49</v>
      </c>
      <c r="F498" s="968" t="s">
        <v>462</v>
      </c>
      <c r="G498" s="957">
        <f>ROUND(C498*E498,2)</f>
        <v>780.96</v>
      </c>
    </row>
    <row r="499" spans="1:7" s="954" customFormat="1">
      <c r="A499" s="955">
        <v>3</v>
      </c>
      <c r="B499" s="971" t="s">
        <v>2273</v>
      </c>
      <c r="C499" s="957">
        <f>E472</f>
        <v>0.44999999999999996</v>
      </c>
      <c r="D499" s="968" t="s">
        <v>461</v>
      </c>
      <c r="E499" s="957">
        <f>E493</f>
        <v>497.4</v>
      </c>
      <c r="F499" s="968" t="s">
        <v>2274</v>
      </c>
      <c r="G499" s="957">
        <f>ROUND(C499*E499/10,2)</f>
        <v>22.38</v>
      </c>
    </row>
    <row r="500" spans="1:7" s="954" customFormat="1" ht="14.1">
      <c r="A500" s="955">
        <v>4</v>
      </c>
      <c r="B500" s="972" t="s">
        <v>2497</v>
      </c>
      <c r="C500" s="957">
        <f>C498</f>
        <v>15.938000000000002</v>
      </c>
      <c r="D500" s="968" t="s">
        <v>462</v>
      </c>
      <c r="E500" s="957">
        <f>30+4</f>
        <v>34</v>
      </c>
      <c r="F500" s="968" t="s">
        <v>462</v>
      </c>
      <c r="G500" s="957">
        <f>ROUND(C500*E500,2)</f>
        <v>541.89</v>
      </c>
    </row>
    <row r="501" spans="1:7" s="954" customFormat="1">
      <c r="A501" s="955">
        <v>5</v>
      </c>
      <c r="B501" s="971" t="s">
        <v>2275</v>
      </c>
      <c r="C501" s="957">
        <f>'[8]C-data (K)'!$E$5</f>
        <v>0.2</v>
      </c>
      <c r="D501" s="968"/>
      <c r="E501" s="957">
        <f>G500</f>
        <v>541.89</v>
      </c>
      <c r="F501" s="968"/>
      <c r="G501" s="957">
        <f>C501*E501</f>
        <v>108.378</v>
      </c>
    </row>
    <row r="502" spans="1:7" s="954" customFormat="1" ht="14.1">
      <c r="A502" s="955"/>
      <c r="B502" s="971"/>
      <c r="C502" s="960"/>
      <c r="D502" s="957"/>
      <c r="E502" s="960"/>
      <c r="F502" s="957"/>
      <c r="G502" s="1230">
        <f>SUM(G498:G501)</f>
        <v>1453.6079999999999</v>
      </c>
    </row>
    <row r="503" spans="1:7" s="954" customFormat="1" ht="14.1">
      <c r="A503" s="955">
        <v>6</v>
      </c>
      <c r="B503" s="1277" t="str">
        <f>'[8]C-data (K)'!$C$174</f>
        <v>Add 5% over heads</v>
      </c>
      <c r="C503" s="974">
        <f>'[8]C-data (K)'!$D$3</f>
        <v>0</v>
      </c>
      <c r="D503" s="957"/>
      <c r="E503" s="960"/>
      <c r="F503" s="957"/>
      <c r="G503" s="957">
        <f>G502*C503</f>
        <v>0</v>
      </c>
    </row>
    <row r="504" spans="1:7" s="954" customFormat="1">
      <c r="A504" s="955"/>
      <c r="B504" s="971"/>
      <c r="C504" s="957"/>
      <c r="D504" s="957"/>
      <c r="E504" s="960"/>
      <c r="F504" s="957"/>
      <c r="G504" s="957">
        <f>SUM(G502:G503)</f>
        <v>1453.6079999999999</v>
      </c>
    </row>
    <row r="505" spans="1:7" s="954" customFormat="1" ht="14.1">
      <c r="A505" s="955"/>
      <c r="B505" s="975" t="s">
        <v>1806</v>
      </c>
      <c r="C505" s="960"/>
      <c r="D505" s="957"/>
      <c r="E505" s="1610" t="s">
        <v>2276</v>
      </c>
      <c r="F505" s="1610"/>
      <c r="G505" s="1230">
        <f>ROUND(G504,0)</f>
        <v>1454</v>
      </c>
    </row>
    <row r="506" spans="1:7" s="954" customFormat="1" ht="14.1">
      <c r="A506" s="955"/>
      <c r="B506" s="975"/>
      <c r="C506" s="960"/>
      <c r="D506" s="957"/>
      <c r="E506" s="1228"/>
      <c r="F506" s="1228"/>
      <c r="G506" s="1230"/>
    </row>
    <row r="507" spans="1:7" s="954" customFormat="1" ht="14.1">
      <c r="A507" s="953">
        <v>15</v>
      </c>
      <c r="B507" s="1611" t="s">
        <v>2511</v>
      </c>
      <c r="C507" s="1611"/>
      <c r="D507" s="1611"/>
      <c r="E507" s="1611"/>
      <c r="F507" s="1611"/>
      <c r="G507" s="1611"/>
    </row>
    <row r="508" spans="1:7" s="954" customFormat="1" ht="14.1">
      <c r="A508" s="955"/>
      <c r="B508" s="956" t="s">
        <v>2259</v>
      </c>
      <c r="C508" s="957">
        <v>1.5</v>
      </c>
      <c r="D508" s="957">
        <v>0.45</v>
      </c>
      <c r="E508" s="1230">
        <f>C508*D508</f>
        <v>0.67500000000000004</v>
      </c>
      <c r="F508" s="958" t="s">
        <v>547</v>
      </c>
      <c r="G508" s="958"/>
    </row>
    <row r="509" spans="1:7" s="954" customFormat="1" ht="14.1">
      <c r="A509" s="955"/>
      <c r="B509" s="1229"/>
      <c r="C509" s="959"/>
      <c r="D509" s="958"/>
      <c r="E509" s="960"/>
      <c r="F509" s="958"/>
      <c r="G509" s="958"/>
    </row>
    <row r="510" spans="1:7" s="954" customFormat="1" ht="14.1">
      <c r="A510" s="955"/>
      <c r="B510" s="961" t="s">
        <v>2500</v>
      </c>
      <c r="C510" s="959"/>
      <c r="D510" s="958"/>
      <c r="E510" s="960"/>
      <c r="F510" s="958"/>
      <c r="G510" s="958"/>
    </row>
    <row r="511" spans="1:7" s="954" customFormat="1" ht="14.1">
      <c r="A511" s="955"/>
      <c r="B511" s="1229" t="s">
        <v>2261</v>
      </c>
      <c r="C511" s="960">
        <v>2</v>
      </c>
      <c r="D511" s="957">
        <f>D508</f>
        <v>0.45</v>
      </c>
      <c r="E511" s="957">
        <f>C511*D511</f>
        <v>0.9</v>
      </c>
      <c r="F511" s="962"/>
      <c r="G511" s="958"/>
    </row>
    <row r="512" spans="1:7" s="954" customFormat="1" ht="14.1">
      <c r="A512" s="955"/>
      <c r="B512" s="1229" t="s">
        <v>1475</v>
      </c>
      <c r="C512" s="960">
        <v>2</v>
      </c>
      <c r="D512" s="957">
        <f>C508</f>
        <v>1.5</v>
      </c>
      <c r="E512" s="957">
        <f>C512*D512</f>
        <v>3</v>
      </c>
      <c r="F512" s="962"/>
      <c r="G512" s="958"/>
    </row>
    <row r="513" spans="1:7" s="954" customFormat="1" ht="14.1">
      <c r="A513" s="955"/>
      <c r="B513" s="1229" t="s">
        <v>1510</v>
      </c>
      <c r="C513" s="960">
        <v>2</v>
      </c>
      <c r="D513" s="957">
        <v>0.23</v>
      </c>
      <c r="E513" s="957">
        <f>C513*D513</f>
        <v>0.46</v>
      </c>
      <c r="F513" s="962"/>
      <c r="G513" s="958"/>
    </row>
    <row r="514" spans="1:7" s="954" customFormat="1" ht="14.1">
      <c r="A514" s="955"/>
      <c r="B514" s="1229"/>
      <c r="C514" s="960"/>
      <c r="D514" s="957"/>
      <c r="E514" s="1230">
        <f>SUM(E511:E513)</f>
        <v>4.3600000000000003</v>
      </c>
      <c r="F514" s="962"/>
      <c r="G514" s="958"/>
    </row>
    <row r="515" spans="1:7" s="954" customFormat="1" ht="14.1">
      <c r="A515" s="955"/>
      <c r="B515" s="1229" t="s">
        <v>2262</v>
      </c>
      <c r="C515" s="957">
        <v>2.6</v>
      </c>
      <c r="D515" s="957" t="s">
        <v>2263</v>
      </c>
      <c r="E515" s="957"/>
      <c r="F515" s="962"/>
      <c r="G515" s="958"/>
    </row>
    <row r="516" spans="1:7" s="954" customFormat="1" ht="14.1">
      <c r="A516" s="955"/>
      <c r="B516" s="963" t="s">
        <v>2264</v>
      </c>
      <c r="C516" s="957">
        <f>E514</f>
        <v>4.3600000000000003</v>
      </c>
      <c r="D516" s="957">
        <f>C515</f>
        <v>2.6</v>
      </c>
      <c r="E516" s="957"/>
      <c r="F516" s="1230">
        <f>C516*D516</f>
        <v>11.336000000000002</v>
      </c>
      <c r="G516" s="964" t="s">
        <v>462</v>
      </c>
    </row>
    <row r="517" spans="1:7" s="954" customFormat="1" ht="14.1">
      <c r="A517" s="955"/>
      <c r="B517" s="963"/>
      <c r="C517" s="957"/>
      <c r="D517" s="957"/>
      <c r="E517" s="957"/>
      <c r="F517" s="1230"/>
      <c r="G517" s="964"/>
    </row>
    <row r="518" spans="1:7" s="954" customFormat="1" ht="14.1">
      <c r="A518" s="955"/>
      <c r="B518" s="961" t="s">
        <v>2265</v>
      </c>
      <c r="C518" s="959"/>
      <c r="D518" s="958"/>
      <c r="E518" s="960"/>
      <c r="F518" s="958"/>
      <c r="G518" s="958"/>
    </row>
    <row r="519" spans="1:7" s="954" customFormat="1" ht="14.1">
      <c r="A519" s="955"/>
      <c r="B519" s="1229" t="s">
        <v>1477</v>
      </c>
      <c r="C519" s="960">
        <v>13</v>
      </c>
      <c r="D519" s="957">
        <f>D511</f>
        <v>0.45</v>
      </c>
      <c r="E519" s="957">
        <f>C519*D519</f>
        <v>5.8500000000000005</v>
      </c>
      <c r="F519" s="962"/>
      <c r="G519" s="958"/>
    </row>
    <row r="520" spans="1:7" s="954" customFormat="1" ht="14.1">
      <c r="A520" s="955"/>
      <c r="B520" s="1229" t="s">
        <v>1475</v>
      </c>
      <c r="C520" s="960">
        <v>3</v>
      </c>
      <c r="D520" s="957">
        <f>D512</f>
        <v>1.5</v>
      </c>
      <c r="E520" s="957">
        <f>C520*D520</f>
        <v>4.5</v>
      </c>
      <c r="F520" s="962"/>
      <c r="G520" s="958"/>
    </row>
    <row r="521" spans="1:7" s="954" customFormat="1" ht="14.1">
      <c r="A521" s="955"/>
      <c r="B521" s="1229"/>
      <c r="C521" s="960"/>
      <c r="D521" s="957"/>
      <c r="E521" s="1230">
        <f>SUM(E519:E520)</f>
        <v>10.350000000000001</v>
      </c>
      <c r="F521" s="962"/>
      <c r="G521" s="958"/>
    </row>
    <row r="522" spans="1:7" s="954" customFormat="1" ht="14.1">
      <c r="A522" s="955"/>
      <c r="B522" s="1229" t="s">
        <v>2262</v>
      </c>
      <c r="C522" s="957">
        <v>0.78</v>
      </c>
      <c r="D522" s="957" t="s">
        <v>2263</v>
      </c>
      <c r="E522" s="957"/>
      <c r="F522" s="962"/>
      <c r="G522" s="958"/>
    </row>
    <row r="523" spans="1:7" s="954" customFormat="1" ht="14.1">
      <c r="A523" s="955"/>
      <c r="B523" s="963" t="s">
        <v>2264</v>
      </c>
      <c r="C523" s="957">
        <f>E521</f>
        <v>10.350000000000001</v>
      </c>
      <c r="D523" s="957">
        <f>C522</f>
        <v>0.78</v>
      </c>
      <c r="E523" s="957"/>
      <c r="F523" s="1230">
        <f>C523*D523</f>
        <v>8.0730000000000022</v>
      </c>
      <c r="G523" s="964" t="s">
        <v>462</v>
      </c>
    </row>
    <row r="524" spans="1:7" s="954" customFormat="1" ht="14.1">
      <c r="A524" s="955"/>
      <c r="B524" s="963"/>
      <c r="C524" s="957"/>
      <c r="D524" s="957"/>
      <c r="E524" s="957"/>
      <c r="F524" s="1230"/>
      <c r="G524" s="964"/>
    </row>
    <row r="525" spans="1:7" s="954" customFormat="1" ht="14.1">
      <c r="A525" s="955"/>
      <c r="B525" s="961" t="s">
        <v>2266</v>
      </c>
      <c r="C525" s="960"/>
      <c r="D525" s="957"/>
      <c r="E525" s="957"/>
      <c r="F525" s="1230"/>
      <c r="G525" s="964"/>
    </row>
    <row r="526" spans="1:7" s="954" customFormat="1" ht="14.1">
      <c r="A526" s="955"/>
      <c r="B526" s="1229" t="s">
        <v>2267</v>
      </c>
      <c r="C526" s="960">
        <v>0.6</v>
      </c>
      <c r="D526" s="965">
        <f>'[8]C-data (K)'!$F$86</f>
        <v>129</v>
      </c>
      <c r="E526" s="957">
        <f>C526*D526</f>
        <v>77.399999999999991</v>
      </c>
      <c r="F526" s="962"/>
      <c r="G526" s="958"/>
    </row>
    <row r="527" spans="1:7" s="954" customFormat="1" ht="14.1">
      <c r="A527" s="955"/>
      <c r="B527" s="1229" t="s">
        <v>771</v>
      </c>
      <c r="C527" s="960">
        <v>0.21</v>
      </c>
      <c r="D527" s="965">
        <f>'[8]C-data (K)'!$F$19</f>
        <v>684</v>
      </c>
      <c r="E527" s="957">
        <f>C527*D527</f>
        <v>143.63999999999999</v>
      </c>
      <c r="F527" s="962"/>
      <c r="G527" s="958"/>
    </row>
    <row r="528" spans="1:7" s="954" customFormat="1" ht="14.1">
      <c r="A528" s="955"/>
      <c r="B528" s="1229" t="s">
        <v>772</v>
      </c>
      <c r="C528" s="960">
        <v>0.49</v>
      </c>
      <c r="D528" s="965">
        <f>'[8]C-data (K)'!$F$20</f>
        <v>564</v>
      </c>
      <c r="E528" s="957">
        <f>C528*D528</f>
        <v>276.36</v>
      </c>
      <c r="F528" s="962"/>
      <c r="G528" s="958"/>
    </row>
    <row r="529" spans="1:7" s="954" customFormat="1" ht="14.1">
      <c r="A529" s="955"/>
      <c r="B529" s="963"/>
      <c r="C529" s="960"/>
      <c r="D529" s="957"/>
      <c r="E529" s="1230">
        <f>SUM(E526:E528)</f>
        <v>497.4</v>
      </c>
      <c r="F529" s="966" t="s">
        <v>2268</v>
      </c>
      <c r="G529" s="964"/>
    </row>
    <row r="530" spans="1:7" s="954" customFormat="1" ht="14.1">
      <c r="A530" s="955"/>
      <c r="B530" s="963"/>
      <c r="C530" s="960"/>
      <c r="D530" s="957"/>
      <c r="E530" s="1230"/>
      <c r="F530" s="964"/>
      <c r="G530" s="964"/>
    </row>
    <row r="531" spans="1:7" s="954" customFormat="1" ht="28.2">
      <c r="A531" s="953" t="s">
        <v>2269</v>
      </c>
      <c r="B531" s="953" t="s">
        <v>2270</v>
      </c>
      <c r="C531" s="953" t="s">
        <v>2271</v>
      </c>
      <c r="D531" s="967"/>
      <c r="E531" s="953" t="s">
        <v>92</v>
      </c>
      <c r="F531" s="967"/>
      <c r="G531" s="967" t="s">
        <v>151</v>
      </c>
    </row>
    <row r="532" spans="1:7" s="954" customFormat="1">
      <c r="A532" s="955">
        <v>1</v>
      </c>
      <c r="B532" s="1229" t="str">
        <f>B510</f>
        <v>Outer frame "L' angle 35x35x5mm</v>
      </c>
      <c r="C532" s="957">
        <f>F516</f>
        <v>11.336000000000002</v>
      </c>
      <c r="D532" s="968" t="s">
        <v>2272</v>
      </c>
      <c r="E532" s="957"/>
      <c r="F532" s="968"/>
      <c r="G532" s="957"/>
    </row>
    <row r="533" spans="1:7" s="954" customFormat="1">
      <c r="A533" s="955">
        <v>2</v>
      </c>
      <c r="B533" s="1229" t="str">
        <f>B518</f>
        <v>10mm square rods safety bars</v>
      </c>
      <c r="C533" s="957">
        <f>F523</f>
        <v>8.0730000000000022</v>
      </c>
      <c r="D533" s="968" t="s">
        <v>462</v>
      </c>
      <c r="E533" s="957"/>
      <c r="F533" s="968"/>
      <c r="G533" s="957"/>
    </row>
    <row r="534" spans="1:7" s="954" customFormat="1" ht="14.1">
      <c r="A534" s="969"/>
      <c r="B534" s="970"/>
      <c r="C534" s="1230">
        <f>SUM(C532:C533)</f>
        <v>19.409000000000006</v>
      </c>
      <c r="D534" s="968" t="s">
        <v>462</v>
      </c>
      <c r="E534" s="957">
        <f>[8]LEAD!$P$30/1000</f>
        <v>49</v>
      </c>
      <c r="F534" s="968" t="s">
        <v>462</v>
      </c>
      <c r="G534" s="957">
        <f>ROUND(C534*E534,2)</f>
        <v>951.04</v>
      </c>
    </row>
    <row r="535" spans="1:7" s="954" customFormat="1">
      <c r="A535" s="955">
        <v>3</v>
      </c>
      <c r="B535" s="971" t="s">
        <v>2273</v>
      </c>
      <c r="C535" s="957">
        <f>E508</f>
        <v>0.67500000000000004</v>
      </c>
      <c r="D535" s="968" t="s">
        <v>461</v>
      </c>
      <c r="E535" s="957">
        <f>E529</f>
        <v>497.4</v>
      </c>
      <c r="F535" s="968" t="s">
        <v>2274</v>
      </c>
      <c r="G535" s="957">
        <f>ROUND(C535*E535/10,2)</f>
        <v>33.57</v>
      </c>
    </row>
    <row r="536" spans="1:7" s="954" customFormat="1" ht="14.1">
      <c r="A536" s="955">
        <v>4</v>
      </c>
      <c r="B536" s="972" t="s">
        <v>2497</v>
      </c>
      <c r="C536" s="957">
        <f>C534</f>
        <v>19.409000000000006</v>
      </c>
      <c r="D536" s="968" t="s">
        <v>462</v>
      </c>
      <c r="E536" s="957">
        <f>30+4</f>
        <v>34</v>
      </c>
      <c r="F536" s="968" t="s">
        <v>462</v>
      </c>
      <c r="G536" s="957">
        <f>ROUND(C536*E536,2)</f>
        <v>659.91</v>
      </c>
    </row>
    <row r="537" spans="1:7" s="954" customFormat="1">
      <c r="A537" s="955">
        <v>5</v>
      </c>
      <c r="B537" s="971" t="s">
        <v>2275</v>
      </c>
      <c r="C537" s="957">
        <f>'[8]C-data (K)'!$E$5</f>
        <v>0.2</v>
      </c>
      <c r="D537" s="968"/>
      <c r="E537" s="957">
        <f>G536</f>
        <v>659.91</v>
      </c>
      <c r="F537" s="968"/>
      <c r="G537" s="957">
        <f>C537*E537</f>
        <v>131.982</v>
      </c>
    </row>
    <row r="538" spans="1:7" s="954" customFormat="1" ht="14.1">
      <c r="A538" s="955"/>
      <c r="B538" s="971"/>
      <c r="C538" s="960"/>
      <c r="D538" s="957"/>
      <c r="E538" s="960"/>
      <c r="F538" s="957"/>
      <c r="G538" s="1230">
        <f>SUM(G534:G537)</f>
        <v>1776.502</v>
      </c>
    </row>
    <row r="539" spans="1:7" s="954" customFormat="1" ht="14.1">
      <c r="A539" s="955">
        <v>6</v>
      </c>
      <c r="B539" s="1277" t="str">
        <f>'[8]C-data (K)'!$C$174</f>
        <v>Add 5% over heads</v>
      </c>
      <c r="C539" s="974">
        <f>'[8]C-data (K)'!$D$3</f>
        <v>0</v>
      </c>
      <c r="D539" s="957"/>
      <c r="E539" s="960"/>
      <c r="F539" s="957"/>
      <c r="G539" s="957">
        <f>G538*C539</f>
        <v>0</v>
      </c>
    </row>
    <row r="540" spans="1:7" s="954" customFormat="1">
      <c r="A540" s="955"/>
      <c r="B540" s="971"/>
      <c r="C540" s="957"/>
      <c r="D540" s="957"/>
      <c r="E540" s="960"/>
      <c r="F540" s="957"/>
      <c r="G540" s="957">
        <f>SUM(G538:G539)</f>
        <v>1776.502</v>
      </c>
    </row>
    <row r="541" spans="1:7" s="954" customFormat="1" ht="14.1">
      <c r="A541" s="955"/>
      <c r="B541" s="975" t="s">
        <v>1806</v>
      </c>
      <c r="C541" s="960"/>
      <c r="D541" s="957"/>
      <c r="E541" s="1610" t="s">
        <v>2276</v>
      </c>
      <c r="F541" s="1610"/>
      <c r="G541" s="1230">
        <f>ROUND(G540,0)</f>
        <v>1777</v>
      </c>
    </row>
    <row r="542" spans="1:7" s="954" customFormat="1" ht="14.1">
      <c r="A542" s="955"/>
      <c r="B542" s="975"/>
      <c r="C542" s="960"/>
      <c r="D542" s="957"/>
      <c r="E542" s="1228"/>
      <c r="F542" s="1228"/>
      <c r="G542" s="1230"/>
    </row>
    <row r="543" spans="1:7" s="954" customFormat="1" ht="14.1">
      <c r="A543" s="953">
        <v>16</v>
      </c>
      <c r="B543" s="1611" t="s">
        <v>2278</v>
      </c>
      <c r="C543" s="1611"/>
      <c r="D543" s="1611"/>
      <c r="E543" s="1611"/>
      <c r="F543" s="1611"/>
      <c r="G543" s="1611"/>
    </row>
    <row r="544" spans="1:7" s="954" customFormat="1" ht="14.1">
      <c r="A544" s="955"/>
      <c r="B544" s="956" t="s">
        <v>2279</v>
      </c>
      <c r="C544" s="957">
        <v>1.5</v>
      </c>
      <c r="D544" s="957">
        <v>1.2</v>
      </c>
      <c r="E544" s="1230">
        <f>C544*D544</f>
        <v>1.7999999999999998</v>
      </c>
      <c r="F544" s="958" t="s">
        <v>547</v>
      </c>
      <c r="G544" s="958"/>
    </row>
    <row r="545" spans="1:7" s="954" customFormat="1" ht="14.1">
      <c r="A545" s="955"/>
      <c r="B545" s="1229"/>
      <c r="C545" s="959"/>
      <c r="D545" s="958"/>
      <c r="E545" s="960"/>
      <c r="F545" s="958"/>
      <c r="G545" s="958"/>
    </row>
    <row r="546" spans="1:7" s="954" customFormat="1" ht="14.1">
      <c r="A546" s="955"/>
      <c r="B546" s="961" t="s">
        <v>2280</v>
      </c>
      <c r="C546" s="959"/>
      <c r="D546" s="958"/>
      <c r="E546" s="960"/>
      <c r="F546" s="958"/>
      <c r="G546" s="958"/>
    </row>
    <row r="547" spans="1:7" s="954" customFormat="1" ht="14.1">
      <c r="A547" s="955"/>
      <c r="B547" s="1229" t="s">
        <v>2261</v>
      </c>
      <c r="C547" s="960">
        <v>2</v>
      </c>
      <c r="D547" s="957">
        <f>D544</f>
        <v>1.2</v>
      </c>
      <c r="E547" s="957">
        <f>C547*D547</f>
        <v>2.4</v>
      </c>
      <c r="F547" s="962"/>
      <c r="G547" s="958"/>
    </row>
    <row r="548" spans="1:7" s="954" customFormat="1" ht="14.1">
      <c r="A548" s="955"/>
      <c r="B548" s="1229" t="s">
        <v>1475</v>
      </c>
      <c r="C548" s="960">
        <v>2</v>
      </c>
      <c r="D548" s="957">
        <f>C544</f>
        <v>1.5</v>
      </c>
      <c r="E548" s="957">
        <f>C548*D548</f>
        <v>3</v>
      </c>
      <c r="F548" s="962"/>
      <c r="G548" s="958"/>
    </row>
    <row r="549" spans="1:7" s="954" customFormat="1" ht="14.1">
      <c r="A549" s="955"/>
      <c r="B549" s="1229" t="s">
        <v>1510</v>
      </c>
      <c r="C549" s="960">
        <v>4</v>
      </c>
      <c r="D549" s="957">
        <v>0.23</v>
      </c>
      <c r="E549" s="957">
        <f>C549*D549</f>
        <v>0.92</v>
      </c>
      <c r="F549" s="962"/>
      <c r="G549" s="958"/>
    </row>
    <row r="550" spans="1:7" s="954" customFormat="1" ht="14.1">
      <c r="A550" s="955"/>
      <c r="B550" s="1229"/>
      <c r="C550" s="960"/>
      <c r="D550" s="957"/>
      <c r="E550" s="957">
        <f>SUM(E547:E549)</f>
        <v>6.32</v>
      </c>
      <c r="F550" s="962"/>
      <c r="G550" s="958"/>
    </row>
    <row r="551" spans="1:7" s="954" customFormat="1" ht="14.1">
      <c r="A551" s="955"/>
      <c r="B551" s="1229" t="s">
        <v>2262</v>
      </c>
      <c r="C551" s="957">
        <v>1.8</v>
      </c>
      <c r="D551" s="957" t="s">
        <v>2263</v>
      </c>
      <c r="E551" s="957"/>
      <c r="F551" s="962"/>
      <c r="G551" s="958"/>
    </row>
    <row r="552" spans="1:7" s="954" customFormat="1" ht="14.1">
      <c r="A552" s="955"/>
      <c r="B552" s="963" t="s">
        <v>2264</v>
      </c>
      <c r="C552" s="957">
        <f>E550</f>
        <v>6.32</v>
      </c>
      <c r="D552" s="957">
        <f>C551</f>
        <v>1.8</v>
      </c>
      <c r="E552" s="957"/>
      <c r="F552" s="1230">
        <f>C552*D552</f>
        <v>11.376000000000001</v>
      </c>
      <c r="G552" s="964" t="s">
        <v>462</v>
      </c>
    </row>
    <row r="553" spans="1:7" s="954" customFormat="1" ht="14.1">
      <c r="A553" s="955"/>
      <c r="B553" s="963"/>
      <c r="C553" s="957"/>
      <c r="D553" s="957"/>
      <c r="E553" s="957"/>
      <c r="F553" s="1230"/>
      <c r="G553" s="964"/>
    </row>
    <row r="554" spans="1:7" s="954" customFormat="1" ht="14.1">
      <c r="A554" s="955"/>
      <c r="B554" s="961" t="s">
        <v>2265</v>
      </c>
      <c r="C554" s="959"/>
      <c r="D554" s="958"/>
      <c r="E554" s="960"/>
      <c r="F554" s="958"/>
      <c r="G554" s="958"/>
    </row>
    <row r="555" spans="1:7" s="954" customFormat="1" ht="14.1">
      <c r="A555" s="955"/>
      <c r="B555" s="1229" t="s">
        <v>1477</v>
      </c>
      <c r="C555" s="960">
        <v>13</v>
      </c>
      <c r="D555" s="957">
        <f>D544</f>
        <v>1.2</v>
      </c>
      <c r="E555" s="957">
        <f>C555*D555</f>
        <v>15.6</v>
      </c>
      <c r="F555" s="962"/>
      <c r="G555" s="958"/>
    </row>
    <row r="556" spans="1:7" s="954" customFormat="1" ht="14.1">
      <c r="A556" s="955"/>
      <c r="B556" s="1229" t="s">
        <v>1475</v>
      </c>
      <c r="C556" s="960">
        <v>10</v>
      </c>
      <c r="D556" s="957">
        <f>C544</f>
        <v>1.5</v>
      </c>
      <c r="E556" s="957">
        <f>C556*D556</f>
        <v>15</v>
      </c>
      <c r="F556" s="962"/>
      <c r="G556" s="958"/>
    </row>
    <row r="557" spans="1:7" s="954" customFormat="1" ht="14.1">
      <c r="A557" s="955"/>
      <c r="B557" s="1229"/>
      <c r="C557" s="960"/>
      <c r="D557" s="957"/>
      <c r="E557" s="1230">
        <f>SUM(E555:E556)</f>
        <v>30.6</v>
      </c>
      <c r="F557" s="962"/>
      <c r="G557" s="958"/>
    </row>
    <row r="558" spans="1:7" s="954" customFormat="1" ht="14.1">
      <c r="A558" s="955"/>
      <c r="B558" s="1229" t="s">
        <v>2262</v>
      </c>
      <c r="C558" s="957">
        <v>0.78</v>
      </c>
      <c r="D558" s="957" t="s">
        <v>2263</v>
      </c>
      <c r="E558" s="957"/>
      <c r="F558" s="962"/>
      <c r="G558" s="958"/>
    </row>
    <row r="559" spans="1:7" s="954" customFormat="1" ht="14.1">
      <c r="A559" s="955"/>
      <c r="B559" s="963" t="s">
        <v>2264</v>
      </c>
      <c r="C559" s="957">
        <f>E557</f>
        <v>30.6</v>
      </c>
      <c r="D559" s="957">
        <f>C558</f>
        <v>0.78</v>
      </c>
      <c r="E559" s="957"/>
      <c r="F559" s="1230">
        <f>C559*D559</f>
        <v>23.868000000000002</v>
      </c>
      <c r="G559" s="964" t="s">
        <v>462</v>
      </c>
    </row>
    <row r="560" spans="1:7" s="954" customFormat="1" ht="14.1">
      <c r="A560" s="955"/>
      <c r="B560" s="963"/>
      <c r="C560" s="957"/>
      <c r="D560" s="957"/>
      <c r="E560" s="957"/>
      <c r="F560" s="1230"/>
      <c r="G560" s="964"/>
    </row>
    <row r="561" spans="1:7" s="954" customFormat="1" ht="14.1">
      <c r="A561" s="955"/>
      <c r="B561" s="961" t="s">
        <v>2266</v>
      </c>
      <c r="C561" s="960"/>
      <c r="D561" s="957"/>
      <c r="E561" s="957"/>
      <c r="F561" s="1230"/>
      <c r="G561" s="964"/>
    </row>
    <row r="562" spans="1:7" s="954" customFormat="1" ht="14.1">
      <c r="A562" s="955"/>
      <c r="B562" s="1229" t="s">
        <v>2267</v>
      </c>
      <c r="C562" s="960">
        <v>0.6</v>
      </c>
      <c r="D562" s="965">
        <f>'[8]C-data (K)'!$F$86</f>
        <v>129</v>
      </c>
      <c r="E562" s="957">
        <f>C562*D562</f>
        <v>77.399999999999991</v>
      </c>
      <c r="F562" s="962"/>
      <c r="G562" s="958"/>
    </row>
    <row r="563" spans="1:7" s="954" customFormat="1" ht="14.1">
      <c r="A563" s="955"/>
      <c r="B563" s="1229" t="s">
        <v>771</v>
      </c>
      <c r="C563" s="960">
        <v>0.21</v>
      </c>
      <c r="D563" s="965">
        <f>'[8]C-data (K)'!$F$19</f>
        <v>684</v>
      </c>
      <c r="E563" s="957">
        <f>C563*D563</f>
        <v>143.63999999999999</v>
      </c>
      <c r="F563" s="962"/>
      <c r="G563" s="958"/>
    </row>
    <row r="564" spans="1:7" s="954" customFormat="1" ht="14.1">
      <c r="A564" s="955"/>
      <c r="B564" s="1229" t="s">
        <v>772</v>
      </c>
      <c r="C564" s="960">
        <v>0.49</v>
      </c>
      <c r="D564" s="965">
        <f>'[8]C-data (K)'!$F$20</f>
        <v>564</v>
      </c>
      <c r="E564" s="957">
        <f>C564*D564</f>
        <v>276.36</v>
      </c>
      <c r="F564" s="962"/>
      <c r="G564" s="958"/>
    </row>
    <row r="565" spans="1:7" s="954" customFormat="1" ht="14.1">
      <c r="A565" s="955"/>
      <c r="B565" s="963"/>
      <c r="C565" s="960"/>
      <c r="D565" s="957"/>
      <c r="E565" s="1230">
        <f>SUM(E562:E564)</f>
        <v>497.4</v>
      </c>
      <c r="F565" s="966" t="s">
        <v>2268</v>
      </c>
      <c r="G565" s="964"/>
    </row>
    <row r="566" spans="1:7" s="954" customFormat="1" ht="14.1">
      <c r="A566" s="955"/>
      <c r="B566" s="963"/>
      <c r="C566" s="960"/>
      <c r="D566" s="957"/>
      <c r="E566" s="1230"/>
      <c r="F566" s="964"/>
      <c r="G566" s="964"/>
    </row>
    <row r="567" spans="1:7" s="954" customFormat="1" ht="28.2">
      <c r="A567" s="953" t="s">
        <v>2269</v>
      </c>
      <c r="B567" s="953" t="s">
        <v>2270</v>
      </c>
      <c r="C567" s="953" t="s">
        <v>2271</v>
      </c>
      <c r="D567" s="967"/>
      <c r="E567" s="953" t="s">
        <v>92</v>
      </c>
      <c r="F567" s="967"/>
      <c r="G567" s="967" t="s">
        <v>151</v>
      </c>
    </row>
    <row r="568" spans="1:7" s="954" customFormat="1">
      <c r="A568" s="955">
        <v>1</v>
      </c>
      <c r="B568" s="1229" t="str">
        <f>B546</f>
        <v>Outer frame L angle 25x25x5mm</v>
      </c>
      <c r="C568" s="957">
        <f>F552</f>
        <v>11.376000000000001</v>
      </c>
      <c r="D568" s="968" t="s">
        <v>2272</v>
      </c>
      <c r="E568" s="957"/>
      <c r="F568" s="968"/>
      <c r="G568" s="957"/>
    </row>
    <row r="569" spans="1:7" s="954" customFormat="1">
      <c r="A569" s="955">
        <v>2</v>
      </c>
      <c r="B569" s="1229" t="str">
        <f>B554</f>
        <v>10mm square rods safety bars</v>
      </c>
      <c r="C569" s="957">
        <f>F559</f>
        <v>23.868000000000002</v>
      </c>
      <c r="D569" s="968" t="s">
        <v>462</v>
      </c>
      <c r="E569" s="957"/>
      <c r="F569" s="968"/>
      <c r="G569" s="957"/>
    </row>
    <row r="570" spans="1:7" s="954" customFormat="1" ht="14.1">
      <c r="A570" s="969"/>
      <c r="B570" s="970"/>
      <c r="C570" s="1230">
        <f>SUM(C568:C569)</f>
        <v>35.244</v>
      </c>
      <c r="D570" s="964" t="s">
        <v>462</v>
      </c>
      <c r="E570" s="957">
        <f>[8]LEAD!$P$30/1000</f>
        <v>49</v>
      </c>
      <c r="F570" s="968" t="s">
        <v>462</v>
      </c>
      <c r="G570" s="957">
        <f>ROUND(C570*E570,2)</f>
        <v>1726.96</v>
      </c>
    </row>
    <row r="571" spans="1:7" s="954" customFormat="1">
      <c r="A571" s="955">
        <v>3</v>
      </c>
      <c r="B571" s="971" t="s">
        <v>2273</v>
      </c>
      <c r="C571" s="957">
        <f>E544</f>
        <v>1.7999999999999998</v>
      </c>
      <c r="D571" s="968" t="s">
        <v>461</v>
      </c>
      <c r="E571" s="957">
        <f>E565</f>
        <v>497.4</v>
      </c>
      <c r="F571" s="968" t="s">
        <v>2274</v>
      </c>
      <c r="G571" s="957">
        <f>ROUND(C571*E571/10,2)</f>
        <v>89.53</v>
      </c>
    </row>
    <row r="572" spans="1:7" s="954" customFormat="1" ht="14.1">
      <c r="A572" s="955">
        <v>4</v>
      </c>
      <c r="B572" s="972" t="s">
        <v>2497</v>
      </c>
      <c r="C572" s="957">
        <f>C570</f>
        <v>35.244</v>
      </c>
      <c r="D572" s="968" t="s">
        <v>462</v>
      </c>
      <c r="E572" s="957">
        <f>30+4</f>
        <v>34</v>
      </c>
      <c r="F572" s="968" t="s">
        <v>462</v>
      </c>
      <c r="G572" s="957">
        <f>ROUND(C572*E572,2)</f>
        <v>1198.3</v>
      </c>
    </row>
    <row r="573" spans="1:7" s="954" customFormat="1">
      <c r="A573" s="955">
        <v>5</v>
      </c>
      <c r="B573" s="971" t="s">
        <v>2275</v>
      </c>
      <c r="C573" s="957">
        <f>'[8]C-data (K)'!$E$5</f>
        <v>0.2</v>
      </c>
      <c r="D573" s="968"/>
      <c r="E573" s="957">
        <f>G572</f>
        <v>1198.3</v>
      </c>
      <c r="F573" s="968"/>
      <c r="G573" s="957">
        <f>C573*E573</f>
        <v>239.66</v>
      </c>
    </row>
    <row r="574" spans="1:7" s="954" customFormat="1" ht="14.1">
      <c r="A574" s="955"/>
      <c r="B574" s="971"/>
      <c r="C574" s="960"/>
      <c r="D574" s="957"/>
      <c r="E574" s="960"/>
      <c r="F574" s="957"/>
      <c r="G574" s="1230">
        <f>SUM(G570:G573)</f>
        <v>3254.45</v>
      </c>
    </row>
    <row r="575" spans="1:7" s="954" customFormat="1" ht="14.1">
      <c r="A575" s="955">
        <v>6</v>
      </c>
      <c r="B575" s="1277" t="str">
        <f>'[8]C-data (K)'!$C$174</f>
        <v>Add 5% over heads</v>
      </c>
      <c r="C575" s="974">
        <f>'[8]C-data (K)'!$D$3</f>
        <v>0</v>
      </c>
      <c r="D575" s="957"/>
      <c r="E575" s="960"/>
      <c r="F575" s="957"/>
      <c r="G575" s="957">
        <f>G574*C575</f>
        <v>0</v>
      </c>
    </row>
    <row r="576" spans="1:7" s="954" customFormat="1" ht="14.1">
      <c r="A576" s="955"/>
      <c r="B576" s="971"/>
      <c r="C576" s="957"/>
      <c r="D576" s="957"/>
      <c r="E576" s="960"/>
      <c r="F576" s="957"/>
      <c r="G576" s="1230">
        <f>SUM(G574:G575)</f>
        <v>3254.45</v>
      </c>
    </row>
    <row r="577" spans="1:7" s="954" customFormat="1" ht="14.1">
      <c r="A577" s="955"/>
      <c r="B577" s="975" t="s">
        <v>1806</v>
      </c>
      <c r="C577" s="960"/>
      <c r="D577" s="957"/>
      <c r="E577" s="1610" t="s">
        <v>2276</v>
      </c>
      <c r="F577" s="1610"/>
      <c r="G577" s="1230">
        <f>ROUND(G576,0)</f>
        <v>3254</v>
      </c>
    </row>
    <row r="578" spans="1:7">
      <c r="A578" s="951"/>
      <c r="B578" s="951"/>
      <c r="C578" s="952"/>
      <c r="D578" s="951"/>
      <c r="E578" s="951"/>
      <c r="F578" s="951"/>
      <c r="G578" s="951"/>
    </row>
    <row r="579" spans="1:7" s="954" customFormat="1" ht="14.1">
      <c r="A579" s="953">
        <v>3</v>
      </c>
      <c r="B579" s="1611" t="s">
        <v>2512</v>
      </c>
      <c r="C579" s="1611"/>
      <c r="D579" s="1611"/>
      <c r="E579" s="1611"/>
      <c r="F579" s="1611"/>
      <c r="G579" s="1611"/>
    </row>
    <row r="580" spans="1:7" s="954" customFormat="1" ht="14.1">
      <c r="A580" s="955"/>
      <c r="B580" s="956" t="s">
        <v>2279</v>
      </c>
      <c r="C580" s="957">
        <v>1.5</v>
      </c>
      <c r="D580" s="957">
        <v>1.2</v>
      </c>
      <c r="E580" s="1230">
        <f>C580*D580</f>
        <v>1.7999999999999998</v>
      </c>
      <c r="F580" s="958" t="s">
        <v>547</v>
      </c>
      <c r="G580" s="958"/>
    </row>
    <row r="581" spans="1:7" s="954" customFormat="1" ht="14.1">
      <c r="A581" s="955"/>
      <c r="B581" s="1229"/>
      <c r="C581" s="959"/>
      <c r="D581" s="958"/>
      <c r="E581" s="960"/>
      <c r="F581" s="958"/>
      <c r="G581" s="958"/>
    </row>
    <row r="582" spans="1:7" s="954" customFormat="1" ht="14.1">
      <c r="A582" s="955"/>
      <c r="B582" s="961" t="s">
        <v>2513</v>
      </c>
      <c r="C582" s="959"/>
      <c r="D582" s="958"/>
      <c r="E582" s="960"/>
      <c r="F582" s="958"/>
      <c r="G582" s="958"/>
    </row>
    <row r="583" spans="1:7" s="954" customFormat="1" ht="14.1">
      <c r="A583" s="955"/>
      <c r="B583" s="1229" t="s">
        <v>2261</v>
      </c>
      <c r="C583" s="960">
        <v>2</v>
      </c>
      <c r="D583" s="957">
        <f>D580</f>
        <v>1.2</v>
      </c>
      <c r="E583" s="957">
        <f>C583*D583</f>
        <v>2.4</v>
      </c>
      <c r="F583" s="962"/>
      <c r="G583" s="958"/>
    </row>
    <row r="584" spans="1:7" s="954" customFormat="1" ht="14.1">
      <c r="A584" s="955"/>
      <c r="B584" s="1229" t="s">
        <v>1475</v>
      </c>
      <c r="C584" s="960">
        <v>2</v>
      </c>
      <c r="D584" s="957">
        <f>C580</f>
        <v>1.5</v>
      </c>
      <c r="E584" s="957">
        <f>C584*D584</f>
        <v>3</v>
      </c>
      <c r="F584" s="962"/>
      <c r="G584" s="958"/>
    </row>
    <row r="585" spans="1:7" s="954" customFormat="1" ht="14.1">
      <c r="A585" s="955"/>
      <c r="B585" s="1229" t="s">
        <v>1510</v>
      </c>
      <c r="C585" s="960">
        <v>4</v>
      </c>
      <c r="D585" s="957">
        <v>0.23</v>
      </c>
      <c r="E585" s="957">
        <f>C585*D585</f>
        <v>0.92</v>
      </c>
      <c r="F585" s="962"/>
      <c r="G585" s="958"/>
    </row>
    <row r="586" spans="1:7" s="954" customFormat="1" ht="14.1">
      <c r="A586" s="955"/>
      <c r="B586" s="1229"/>
      <c r="C586" s="960"/>
      <c r="D586" s="957"/>
      <c r="E586" s="957">
        <f>SUM(E583:E585)</f>
        <v>6.32</v>
      </c>
      <c r="F586" s="962"/>
      <c r="G586" s="958"/>
    </row>
    <row r="587" spans="1:7" s="954" customFormat="1" ht="14.1">
      <c r="A587" s="955"/>
      <c r="B587" s="1229" t="s">
        <v>2262</v>
      </c>
      <c r="C587" s="957">
        <v>2.6</v>
      </c>
      <c r="D587" s="957" t="s">
        <v>2263</v>
      </c>
      <c r="E587" s="957"/>
      <c r="F587" s="962"/>
      <c r="G587" s="958"/>
    </row>
    <row r="588" spans="1:7" s="954" customFormat="1" ht="14.1">
      <c r="A588" s="955"/>
      <c r="B588" s="963" t="s">
        <v>2264</v>
      </c>
      <c r="C588" s="957">
        <f>E586</f>
        <v>6.32</v>
      </c>
      <c r="D588" s="957">
        <f>C587</f>
        <v>2.6</v>
      </c>
      <c r="E588" s="957"/>
      <c r="F588" s="1230">
        <f>C588*D588</f>
        <v>16.432000000000002</v>
      </c>
      <c r="G588" s="964" t="s">
        <v>462</v>
      </c>
    </row>
    <row r="589" spans="1:7" s="954" customFormat="1" ht="14.1">
      <c r="A589" s="955"/>
      <c r="B589" s="963"/>
      <c r="C589" s="957"/>
      <c r="D589" s="957"/>
      <c r="E589" s="957"/>
      <c r="F589" s="1230"/>
      <c r="G589" s="964"/>
    </row>
    <row r="590" spans="1:7" s="954" customFormat="1" ht="14.1">
      <c r="A590" s="955"/>
      <c r="B590" s="961" t="s">
        <v>2265</v>
      </c>
      <c r="C590" s="959"/>
      <c r="D590" s="958"/>
      <c r="E590" s="960"/>
      <c r="F590" s="958"/>
      <c r="G590" s="958"/>
    </row>
    <row r="591" spans="1:7" s="954" customFormat="1" ht="14.1">
      <c r="A591" s="955"/>
      <c r="B591" s="1229" t="s">
        <v>1477</v>
      </c>
      <c r="C591" s="960">
        <v>13</v>
      </c>
      <c r="D591" s="957">
        <f>D580</f>
        <v>1.2</v>
      </c>
      <c r="E591" s="957">
        <f>C591*D591</f>
        <v>15.6</v>
      </c>
      <c r="F591" s="962"/>
      <c r="G591" s="958"/>
    </row>
    <row r="592" spans="1:7" s="954" customFormat="1" ht="14.1">
      <c r="A592" s="955"/>
      <c r="B592" s="1229" t="s">
        <v>1475</v>
      </c>
      <c r="C592" s="960">
        <v>10</v>
      </c>
      <c r="D592" s="957">
        <f>C580</f>
        <v>1.5</v>
      </c>
      <c r="E592" s="957">
        <f>C592*D592</f>
        <v>15</v>
      </c>
      <c r="F592" s="962"/>
      <c r="G592" s="958"/>
    </row>
    <row r="593" spans="1:7" s="954" customFormat="1" ht="14.1">
      <c r="A593" s="955"/>
      <c r="B593" s="1229"/>
      <c r="C593" s="960"/>
      <c r="D593" s="957"/>
      <c r="E593" s="1230">
        <f>SUM(E591:E592)</f>
        <v>30.6</v>
      </c>
      <c r="F593" s="962"/>
      <c r="G593" s="958"/>
    </row>
    <row r="594" spans="1:7" s="954" customFormat="1" ht="14.1">
      <c r="A594" s="955"/>
      <c r="B594" s="1229" t="s">
        <v>2262</v>
      </c>
      <c r="C594" s="957">
        <v>0.78</v>
      </c>
      <c r="D594" s="957" t="s">
        <v>2263</v>
      </c>
      <c r="E594" s="957"/>
      <c r="F594" s="962"/>
      <c r="G594" s="958"/>
    </row>
    <row r="595" spans="1:7" s="954" customFormat="1" ht="14.1">
      <c r="A595" s="955"/>
      <c r="B595" s="963" t="s">
        <v>2264</v>
      </c>
      <c r="C595" s="957">
        <f>E593</f>
        <v>30.6</v>
      </c>
      <c r="D595" s="957">
        <f>C594</f>
        <v>0.78</v>
      </c>
      <c r="E595" s="957"/>
      <c r="F595" s="1230">
        <f>C595*D595</f>
        <v>23.868000000000002</v>
      </c>
      <c r="G595" s="964" t="s">
        <v>462</v>
      </c>
    </row>
    <row r="596" spans="1:7" s="954" customFormat="1" ht="14.1">
      <c r="A596" s="955"/>
      <c r="B596" s="963"/>
      <c r="C596" s="957"/>
      <c r="D596" s="957"/>
      <c r="E596" s="957"/>
      <c r="F596" s="1230"/>
      <c r="G596" s="964"/>
    </row>
    <row r="597" spans="1:7" s="954" customFormat="1" ht="14.1">
      <c r="A597" s="955"/>
      <c r="B597" s="961" t="s">
        <v>2266</v>
      </c>
      <c r="C597" s="960"/>
      <c r="D597" s="957"/>
      <c r="E597" s="957"/>
      <c r="F597" s="1230"/>
      <c r="G597" s="964"/>
    </row>
    <row r="598" spans="1:7" s="954" customFormat="1" ht="14.1">
      <c r="A598" s="955"/>
      <c r="B598" s="1229" t="s">
        <v>2267</v>
      </c>
      <c r="C598" s="960">
        <v>0.6</v>
      </c>
      <c r="D598" s="965">
        <f>'[8]C-data (K)'!$F$86</f>
        <v>129</v>
      </c>
      <c r="E598" s="957">
        <f>C598*D598</f>
        <v>77.399999999999991</v>
      </c>
      <c r="F598" s="962"/>
      <c r="G598" s="958"/>
    </row>
    <row r="599" spans="1:7" s="954" customFormat="1" ht="14.1">
      <c r="A599" s="955"/>
      <c r="B599" s="1229" t="s">
        <v>771</v>
      </c>
      <c r="C599" s="960">
        <v>0.21</v>
      </c>
      <c r="D599" s="965">
        <f>'[8]C-data (K)'!$F$19</f>
        <v>684</v>
      </c>
      <c r="E599" s="957">
        <f>C599*D599</f>
        <v>143.63999999999999</v>
      </c>
      <c r="F599" s="962"/>
      <c r="G599" s="958"/>
    </row>
    <row r="600" spans="1:7" s="954" customFormat="1" ht="14.1">
      <c r="A600" s="955"/>
      <c r="B600" s="1229" t="s">
        <v>772</v>
      </c>
      <c r="C600" s="960">
        <v>0.49</v>
      </c>
      <c r="D600" s="965">
        <f>'[8]C-data (K)'!$F$20</f>
        <v>564</v>
      </c>
      <c r="E600" s="957">
        <f>C600*D600</f>
        <v>276.36</v>
      </c>
      <c r="F600" s="962"/>
      <c r="G600" s="958"/>
    </row>
    <row r="601" spans="1:7" s="954" customFormat="1" ht="14.1">
      <c r="A601" s="955"/>
      <c r="B601" s="963"/>
      <c r="C601" s="960"/>
      <c r="D601" s="957"/>
      <c r="E601" s="1230">
        <f>SUM(E598:E600)</f>
        <v>497.4</v>
      </c>
      <c r="F601" s="966" t="s">
        <v>2268</v>
      </c>
      <c r="G601" s="964"/>
    </row>
    <row r="602" spans="1:7" s="954" customFormat="1" ht="14.1">
      <c r="A602" s="955"/>
      <c r="B602" s="963"/>
      <c r="C602" s="960"/>
      <c r="D602" s="957"/>
      <c r="E602" s="1230"/>
      <c r="F602" s="964"/>
      <c r="G602" s="964"/>
    </row>
    <row r="603" spans="1:7" s="954" customFormat="1" ht="28.2">
      <c r="A603" s="953" t="s">
        <v>2269</v>
      </c>
      <c r="B603" s="953" t="s">
        <v>2270</v>
      </c>
      <c r="C603" s="953" t="s">
        <v>2271</v>
      </c>
      <c r="D603" s="967"/>
      <c r="E603" s="953" t="s">
        <v>92</v>
      </c>
      <c r="F603" s="967"/>
      <c r="G603" s="967" t="s">
        <v>151</v>
      </c>
    </row>
    <row r="604" spans="1:7" s="954" customFormat="1">
      <c r="A604" s="955">
        <v>1</v>
      </c>
      <c r="B604" s="1229" t="str">
        <f>B582</f>
        <v>Outer frame L angle 35x35x5mm</v>
      </c>
      <c r="C604" s="957">
        <f>F588</f>
        <v>16.432000000000002</v>
      </c>
      <c r="D604" s="968" t="s">
        <v>2272</v>
      </c>
      <c r="E604" s="957"/>
      <c r="F604" s="968"/>
      <c r="G604" s="957"/>
    </row>
    <row r="605" spans="1:7" s="954" customFormat="1">
      <c r="A605" s="955">
        <v>2</v>
      </c>
      <c r="B605" s="1229" t="str">
        <f>B590</f>
        <v>10mm square rods safety bars</v>
      </c>
      <c r="C605" s="957">
        <f>F595</f>
        <v>23.868000000000002</v>
      </c>
      <c r="D605" s="968" t="s">
        <v>462</v>
      </c>
      <c r="E605" s="957"/>
      <c r="F605" s="968"/>
      <c r="G605" s="957"/>
    </row>
    <row r="606" spans="1:7" s="954" customFormat="1" ht="14.1">
      <c r="A606" s="969"/>
      <c r="B606" s="970"/>
      <c r="C606" s="1230">
        <f>SUM(C604:C605)</f>
        <v>40.300000000000004</v>
      </c>
      <c r="D606" s="964" t="s">
        <v>462</v>
      </c>
      <c r="E606" s="957">
        <f>[8]LEAD!$P$30/1000</f>
        <v>49</v>
      </c>
      <c r="F606" s="968" t="s">
        <v>462</v>
      </c>
      <c r="G606" s="957">
        <f>ROUND(C606*E606,2)</f>
        <v>1974.7</v>
      </c>
    </row>
    <row r="607" spans="1:7" s="954" customFormat="1" ht="14.1">
      <c r="A607" s="969">
        <v>3</v>
      </c>
      <c r="B607" s="971" t="s">
        <v>2273</v>
      </c>
      <c r="C607" s="957">
        <f>E580</f>
        <v>1.7999999999999998</v>
      </c>
      <c r="D607" s="968" t="s">
        <v>461</v>
      </c>
      <c r="E607" s="957">
        <f>E601</f>
        <v>497.4</v>
      </c>
      <c r="F607" s="968" t="s">
        <v>2274</v>
      </c>
      <c r="G607" s="957">
        <f>ROUND(C607*E607/10,2)</f>
        <v>89.53</v>
      </c>
    </row>
    <row r="608" spans="1:7" s="954" customFormat="1" ht="14.1">
      <c r="A608" s="955">
        <v>4</v>
      </c>
      <c r="B608" s="972" t="s">
        <v>2497</v>
      </c>
      <c r="C608" s="957">
        <f>C606</f>
        <v>40.300000000000004</v>
      </c>
      <c r="D608" s="968" t="s">
        <v>462</v>
      </c>
      <c r="E608" s="957">
        <f>30+4</f>
        <v>34</v>
      </c>
      <c r="F608" s="968" t="s">
        <v>462</v>
      </c>
      <c r="G608" s="957">
        <f>ROUND(C608*E608,2)</f>
        <v>1370.2</v>
      </c>
    </row>
    <row r="609" spans="1:9" s="954" customFormat="1" hidden="1">
      <c r="A609" s="955">
        <v>5</v>
      </c>
      <c r="B609" s="971" t="s">
        <v>2275</v>
      </c>
      <c r="C609" s="957">
        <f>'[8]C-data (K)'!$E$5</f>
        <v>0.2</v>
      </c>
      <c r="D609" s="968"/>
      <c r="E609" s="957">
        <f>G608</f>
        <v>1370.2</v>
      </c>
      <c r="F609" s="968"/>
      <c r="G609" s="957">
        <f>C609*E609</f>
        <v>274.04000000000002</v>
      </c>
    </row>
    <row r="610" spans="1:9" s="954" customFormat="1" ht="14.1" hidden="1">
      <c r="A610" s="955"/>
      <c r="B610" s="971"/>
      <c r="C610" s="960"/>
      <c r="D610" s="957"/>
      <c r="E610" s="960"/>
      <c r="F610" s="957"/>
      <c r="G610" s="1230">
        <f>SUM(G606:G609)</f>
        <v>3708.4700000000003</v>
      </c>
    </row>
    <row r="611" spans="1:9" s="954" customFormat="1" ht="14.1" hidden="1">
      <c r="A611" s="955">
        <v>6</v>
      </c>
      <c r="B611" s="1277" t="str">
        <f>'[8]C-data (K)'!$C$174</f>
        <v>Add 5% over heads</v>
      </c>
      <c r="C611" s="974">
        <f>'[8]C-data (K)'!$D$3</f>
        <v>0</v>
      </c>
      <c r="D611" s="957"/>
      <c r="E611" s="960"/>
      <c r="F611" s="957"/>
      <c r="G611" s="957">
        <f>G610*C611</f>
        <v>0</v>
      </c>
    </row>
    <row r="612" spans="1:9" s="954" customFormat="1" hidden="1">
      <c r="A612" s="955"/>
      <c r="B612" s="971"/>
      <c r="C612" s="957"/>
      <c r="D612" s="957"/>
      <c r="E612" s="960"/>
      <c r="F612" s="957"/>
      <c r="G612" s="957">
        <f>SUM(G610:G611)</f>
        <v>3708.4700000000003</v>
      </c>
    </row>
    <row r="613" spans="1:9" s="954" customFormat="1" ht="14.1" hidden="1">
      <c r="A613" s="955"/>
      <c r="B613" s="975" t="s">
        <v>1806</v>
      </c>
      <c r="C613" s="960"/>
      <c r="D613" s="957"/>
      <c r="E613" s="1610" t="s">
        <v>2276</v>
      </c>
      <c r="F613" s="1610"/>
      <c r="G613" s="1230">
        <f>ROUND(G612,0)</f>
        <v>3708</v>
      </c>
    </row>
    <row r="614" spans="1:9" ht="14.1" hidden="1">
      <c r="A614" s="951"/>
      <c r="B614" s="1278"/>
      <c r="C614" s="1279"/>
      <c r="D614" s="1280"/>
      <c r="E614" s="1281"/>
      <c r="F614" s="1281"/>
      <c r="G614" s="1282"/>
      <c r="H614" s="1283"/>
      <c r="I614" s="1283"/>
    </row>
    <row r="615" spans="1:9" s="954" customFormat="1" ht="68.25" hidden="1" customHeight="1">
      <c r="A615" s="953">
        <v>18</v>
      </c>
      <c r="B615" s="1611" t="s">
        <v>2514</v>
      </c>
      <c r="C615" s="1611"/>
      <c r="D615" s="1611"/>
      <c r="E615" s="1611"/>
      <c r="F615" s="1611"/>
      <c r="G615" s="1611"/>
    </row>
    <row r="616" spans="1:9" s="954" customFormat="1" ht="14.1" hidden="1">
      <c r="A616" s="955"/>
      <c r="B616" s="956" t="s">
        <v>2515</v>
      </c>
      <c r="C616" s="957">
        <v>1.2</v>
      </c>
      <c r="D616" s="957">
        <v>1.2</v>
      </c>
      <c r="E616" s="1230">
        <f>C616*D616</f>
        <v>1.44</v>
      </c>
      <c r="F616" s="958" t="s">
        <v>547</v>
      </c>
      <c r="G616" s="958"/>
    </row>
    <row r="617" spans="1:9" s="954" customFormat="1" ht="14.1" hidden="1">
      <c r="A617" s="955"/>
      <c r="B617" s="1229"/>
      <c r="C617" s="959"/>
      <c r="D617" s="958"/>
      <c r="E617" s="960"/>
      <c r="F617" s="958"/>
      <c r="G617" s="958"/>
    </row>
    <row r="618" spans="1:9" s="954" customFormat="1" ht="14.1" hidden="1">
      <c r="A618" s="955"/>
      <c r="B618" s="961" t="s">
        <v>2280</v>
      </c>
      <c r="C618" s="959"/>
      <c r="D618" s="958"/>
      <c r="E618" s="960"/>
      <c r="F618" s="958"/>
      <c r="G618" s="958"/>
    </row>
    <row r="619" spans="1:9" s="954" customFormat="1" ht="14.1" hidden="1">
      <c r="A619" s="955"/>
      <c r="B619" s="1229" t="s">
        <v>2261</v>
      </c>
      <c r="C619" s="960">
        <v>2</v>
      </c>
      <c r="D619" s="957">
        <f>D616</f>
        <v>1.2</v>
      </c>
      <c r="E619" s="957">
        <f>C619*D619</f>
        <v>2.4</v>
      </c>
      <c r="F619" s="962"/>
      <c r="G619" s="958"/>
    </row>
    <row r="620" spans="1:9" s="954" customFormat="1" ht="14.1" hidden="1">
      <c r="A620" s="955"/>
      <c r="B620" s="1229" t="s">
        <v>1475</v>
      </c>
      <c r="C620" s="960">
        <v>2</v>
      </c>
      <c r="D620" s="957">
        <f>C616</f>
        <v>1.2</v>
      </c>
      <c r="E620" s="957">
        <f>C620*D620</f>
        <v>2.4</v>
      </c>
      <c r="F620" s="962"/>
      <c r="G620" s="958"/>
    </row>
    <row r="621" spans="1:9" s="954" customFormat="1" ht="14.1" hidden="1">
      <c r="A621" s="955"/>
      <c r="B621" s="1229" t="s">
        <v>1510</v>
      </c>
      <c r="C621" s="960">
        <v>4</v>
      </c>
      <c r="D621" s="957">
        <v>0.23</v>
      </c>
      <c r="E621" s="957">
        <f>C621*D621</f>
        <v>0.92</v>
      </c>
      <c r="F621" s="962"/>
      <c r="G621" s="958"/>
    </row>
    <row r="622" spans="1:9" s="954" customFormat="1" ht="14.1" hidden="1">
      <c r="A622" s="955"/>
      <c r="B622" s="1229"/>
      <c r="C622" s="960"/>
      <c r="D622" s="957"/>
      <c r="E622" s="1230">
        <f>SUM(E619:E621)</f>
        <v>5.72</v>
      </c>
      <c r="F622" s="962"/>
      <c r="G622" s="958"/>
    </row>
    <row r="623" spans="1:9" s="954" customFormat="1" ht="14.1" hidden="1">
      <c r="A623" s="955"/>
      <c r="B623" s="1229" t="s">
        <v>2262</v>
      </c>
      <c r="C623" s="957">
        <v>1.8</v>
      </c>
      <c r="D623" s="957" t="s">
        <v>2263</v>
      </c>
      <c r="E623" s="957"/>
      <c r="F623" s="962"/>
      <c r="G623" s="958"/>
    </row>
    <row r="624" spans="1:9" s="954" customFormat="1" ht="14.1" hidden="1">
      <c r="A624" s="955"/>
      <c r="B624" s="963" t="s">
        <v>2264</v>
      </c>
      <c r="C624" s="957">
        <f>E622</f>
        <v>5.72</v>
      </c>
      <c r="D624" s="957">
        <f>C623</f>
        <v>1.8</v>
      </c>
      <c r="E624" s="957"/>
      <c r="F624" s="1230">
        <f>C624*D624</f>
        <v>10.295999999999999</v>
      </c>
      <c r="G624" s="964" t="s">
        <v>462</v>
      </c>
    </row>
    <row r="625" spans="1:7" s="954" customFormat="1" ht="14.1">
      <c r="A625" s="955"/>
      <c r="B625" s="961" t="s">
        <v>2265</v>
      </c>
      <c r="C625" s="959"/>
      <c r="D625" s="958"/>
      <c r="E625" s="960"/>
      <c r="F625" s="958"/>
      <c r="G625" s="958"/>
    </row>
    <row r="626" spans="1:7" s="954" customFormat="1" ht="14.1">
      <c r="A626" s="955"/>
      <c r="B626" s="1229" t="s">
        <v>1477</v>
      </c>
      <c r="C626" s="960">
        <v>10</v>
      </c>
      <c r="D626" s="957">
        <f>D619</f>
        <v>1.2</v>
      </c>
      <c r="E626" s="957">
        <f>C626*D626</f>
        <v>12</v>
      </c>
      <c r="F626" s="962"/>
      <c r="G626" s="958"/>
    </row>
    <row r="627" spans="1:7" s="954" customFormat="1" ht="14.1">
      <c r="A627" s="955"/>
      <c r="B627" s="1229" t="s">
        <v>1475</v>
      </c>
      <c r="C627" s="960">
        <v>10</v>
      </c>
      <c r="D627" s="957">
        <f>D620</f>
        <v>1.2</v>
      </c>
      <c r="E627" s="957">
        <f>C627*D627</f>
        <v>12</v>
      </c>
      <c r="F627" s="962"/>
      <c r="G627" s="958"/>
    </row>
    <row r="628" spans="1:7" s="954" customFormat="1" ht="14.1">
      <c r="A628" s="955"/>
      <c r="B628" s="1229"/>
      <c r="C628" s="960"/>
      <c r="D628" s="957"/>
      <c r="E628" s="1230">
        <f>SUM(E626:E627)</f>
        <v>24</v>
      </c>
      <c r="F628" s="962"/>
      <c r="G628" s="958"/>
    </row>
    <row r="629" spans="1:7" s="954" customFormat="1" ht="14.1">
      <c r="A629" s="955"/>
      <c r="B629" s="1229" t="s">
        <v>2262</v>
      </c>
      <c r="C629" s="957">
        <v>0.78</v>
      </c>
      <c r="D629" s="957" t="s">
        <v>2263</v>
      </c>
      <c r="E629" s="957"/>
      <c r="F629" s="962"/>
      <c r="G629" s="958"/>
    </row>
    <row r="630" spans="1:7" s="954" customFormat="1" ht="14.1">
      <c r="A630" s="955"/>
      <c r="B630" s="963" t="s">
        <v>2264</v>
      </c>
      <c r="C630" s="957">
        <f>E628</f>
        <v>24</v>
      </c>
      <c r="D630" s="957">
        <f>C629</f>
        <v>0.78</v>
      </c>
      <c r="E630" s="957"/>
      <c r="F630" s="1230">
        <f>C630*D630</f>
        <v>18.72</v>
      </c>
      <c r="G630" s="964" t="s">
        <v>462</v>
      </c>
    </row>
    <row r="631" spans="1:7" s="954" customFormat="1" ht="14.1">
      <c r="A631" s="955"/>
      <c r="B631" s="961" t="s">
        <v>2266</v>
      </c>
      <c r="C631" s="960"/>
      <c r="D631" s="957"/>
      <c r="E631" s="957"/>
      <c r="F631" s="1230"/>
      <c r="G631" s="964"/>
    </row>
    <row r="632" spans="1:7" s="954" customFormat="1" ht="14.1">
      <c r="A632" s="955"/>
      <c r="B632" s="1229" t="s">
        <v>2267</v>
      </c>
      <c r="C632" s="960">
        <v>0.6</v>
      </c>
      <c r="D632" s="965">
        <f>'[8]C-data (K)'!$F$86</f>
        <v>129</v>
      </c>
      <c r="E632" s="957">
        <f>C632*D632</f>
        <v>77.399999999999991</v>
      </c>
      <c r="F632" s="962"/>
      <c r="G632" s="958"/>
    </row>
    <row r="633" spans="1:7" s="954" customFormat="1" ht="14.1">
      <c r="A633" s="955"/>
      <c r="B633" s="1229" t="s">
        <v>771</v>
      </c>
      <c r="C633" s="960">
        <v>0.21</v>
      </c>
      <c r="D633" s="965">
        <f>'[8]C-data (K)'!$F$19</f>
        <v>684</v>
      </c>
      <c r="E633" s="957">
        <f>C633*D633</f>
        <v>143.63999999999999</v>
      </c>
      <c r="F633" s="962"/>
      <c r="G633" s="958"/>
    </row>
    <row r="634" spans="1:7" s="954" customFormat="1" ht="14.1">
      <c r="A634" s="955"/>
      <c r="B634" s="1229" t="s">
        <v>772</v>
      </c>
      <c r="C634" s="960">
        <v>0.49</v>
      </c>
      <c r="D634" s="965">
        <f>'[8]C-data (K)'!$F$20</f>
        <v>564</v>
      </c>
      <c r="E634" s="957">
        <f>C634*D634</f>
        <v>276.36</v>
      </c>
      <c r="F634" s="962"/>
      <c r="G634" s="958"/>
    </row>
    <row r="635" spans="1:7" s="954" customFormat="1" ht="14.1">
      <c r="A635" s="955"/>
      <c r="B635" s="963"/>
      <c r="C635" s="960"/>
      <c r="D635" s="957"/>
      <c r="E635" s="1230">
        <f>SUM(E632:E634)</f>
        <v>497.4</v>
      </c>
      <c r="F635" s="966" t="s">
        <v>2268</v>
      </c>
      <c r="G635" s="964"/>
    </row>
    <row r="636" spans="1:7" s="954" customFormat="1" ht="14.1">
      <c r="A636" s="955"/>
      <c r="B636" s="963"/>
      <c r="C636" s="960"/>
      <c r="D636" s="957"/>
      <c r="E636" s="1230"/>
      <c r="F636" s="964"/>
      <c r="G636" s="964"/>
    </row>
    <row r="637" spans="1:7" s="954" customFormat="1" ht="28.2">
      <c r="A637" s="953" t="s">
        <v>2269</v>
      </c>
      <c r="B637" s="953" t="s">
        <v>2270</v>
      </c>
      <c r="C637" s="953" t="s">
        <v>2271</v>
      </c>
      <c r="D637" s="967"/>
      <c r="E637" s="953" t="s">
        <v>92</v>
      </c>
      <c r="F637" s="967"/>
      <c r="G637" s="967" t="s">
        <v>151</v>
      </c>
    </row>
    <row r="638" spans="1:7" s="954" customFormat="1">
      <c r="A638" s="955">
        <v>1</v>
      </c>
      <c r="B638" s="1229" t="str">
        <f>B618</f>
        <v>Outer frame L angle 25x25x5mm</v>
      </c>
      <c r="C638" s="957">
        <f>F624</f>
        <v>10.295999999999999</v>
      </c>
      <c r="D638" s="968" t="s">
        <v>2272</v>
      </c>
      <c r="E638" s="957"/>
      <c r="F638" s="968"/>
      <c r="G638" s="957"/>
    </row>
    <row r="639" spans="1:7" s="954" customFormat="1">
      <c r="A639" s="955">
        <v>2</v>
      </c>
      <c r="B639" s="1229" t="str">
        <f>B625</f>
        <v>10mm square rods safety bars</v>
      </c>
      <c r="C639" s="957">
        <f>F630</f>
        <v>18.72</v>
      </c>
      <c r="D639" s="968" t="s">
        <v>462</v>
      </c>
      <c r="E639" s="957"/>
      <c r="F639" s="968"/>
      <c r="G639" s="957"/>
    </row>
    <row r="640" spans="1:7" s="954" customFormat="1" ht="14.1">
      <c r="A640" s="969"/>
      <c r="B640" s="970"/>
      <c r="C640" s="1230">
        <f>SUM(C638:C639)</f>
        <v>29.015999999999998</v>
      </c>
      <c r="D640" s="968" t="s">
        <v>462</v>
      </c>
      <c r="E640" s="957">
        <f>[8]LEAD!$P$30/1000</f>
        <v>49</v>
      </c>
      <c r="F640" s="968" t="s">
        <v>462</v>
      </c>
      <c r="G640" s="957">
        <f>ROUND(C640*E640,2)</f>
        <v>1421.78</v>
      </c>
    </row>
    <row r="641" spans="1:9" s="954" customFormat="1" hidden="1">
      <c r="A641" s="955">
        <v>3</v>
      </c>
      <c r="B641" s="971" t="s">
        <v>2273</v>
      </c>
      <c r="C641" s="957">
        <f>E616</f>
        <v>1.44</v>
      </c>
      <c r="D641" s="968" t="s">
        <v>461</v>
      </c>
      <c r="E641" s="957">
        <f>E635</f>
        <v>497.4</v>
      </c>
      <c r="F641" s="968" t="s">
        <v>2274</v>
      </c>
      <c r="G641" s="957">
        <f>ROUND(C641*E641/10,2)</f>
        <v>71.63</v>
      </c>
    </row>
    <row r="642" spans="1:9" s="954" customFormat="1" ht="14.1" hidden="1">
      <c r="A642" s="955">
        <v>4</v>
      </c>
      <c r="B642" s="972" t="s">
        <v>2497</v>
      </c>
      <c r="C642" s="957">
        <f>C640</f>
        <v>29.015999999999998</v>
      </c>
      <c r="D642" s="968" t="s">
        <v>462</v>
      </c>
      <c r="E642" s="957">
        <f>30+4</f>
        <v>34</v>
      </c>
      <c r="F642" s="968" t="s">
        <v>462</v>
      </c>
      <c r="G642" s="957">
        <f>ROUND(C642*E642,2)</f>
        <v>986.54</v>
      </c>
    </row>
    <row r="643" spans="1:9" s="954" customFormat="1" hidden="1">
      <c r="A643" s="955">
        <v>5</v>
      </c>
      <c r="B643" s="971" t="s">
        <v>2275</v>
      </c>
      <c r="C643" s="957">
        <f>'[8]C-data (K)'!$E$5</f>
        <v>0.2</v>
      </c>
      <c r="D643" s="968"/>
      <c r="E643" s="957">
        <f>G642</f>
        <v>986.54</v>
      </c>
      <c r="F643" s="968"/>
      <c r="G643" s="957">
        <f>ROUND(C643*E643,2)</f>
        <v>197.31</v>
      </c>
    </row>
    <row r="644" spans="1:9" s="954" customFormat="1" ht="14.1" hidden="1">
      <c r="A644" s="955"/>
      <c r="B644" s="971"/>
      <c r="C644" s="960"/>
      <c r="D644" s="957"/>
      <c r="E644" s="960"/>
      <c r="F644" s="957"/>
      <c r="G644" s="1230">
        <f>SUM(G640:G643)</f>
        <v>2677.2599999999998</v>
      </c>
    </row>
    <row r="645" spans="1:9" s="954" customFormat="1" ht="14.1" hidden="1">
      <c r="A645" s="955">
        <v>6</v>
      </c>
      <c r="B645" s="1277" t="str">
        <f>'[8]C-data (K)'!$C$174</f>
        <v>Add 5% over heads</v>
      </c>
      <c r="C645" s="974">
        <f>'[8]C-data (K)'!$D$3</f>
        <v>0</v>
      </c>
      <c r="D645" s="957"/>
      <c r="E645" s="960"/>
      <c r="F645" s="957"/>
      <c r="G645" s="957">
        <f>G644*C645</f>
        <v>0</v>
      </c>
    </row>
    <row r="646" spans="1:9" s="954" customFormat="1" ht="14.1" hidden="1">
      <c r="A646" s="955"/>
      <c r="B646" s="971"/>
      <c r="C646" s="957"/>
      <c r="D646" s="957"/>
      <c r="E646" s="960"/>
      <c r="F646" s="957"/>
      <c r="G646" s="1230">
        <f>SUM(G644:G645)</f>
        <v>2677.2599999999998</v>
      </c>
    </row>
    <row r="647" spans="1:9" s="954" customFormat="1" ht="14.1" hidden="1">
      <c r="A647" s="955"/>
      <c r="B647" s="975" t="s">
        <v>1806</v>
      </c>
      <c r="C647" s="960"/>
      <c r="D647" s="957"/>
      <c r="E647" s="1610" t="s">
        <v>2276</v>
      </c>
      <c r="F647" s="1610"/>
      <c r="G647" s="1230">
        <f>ROUND(G646,0)</f>
        <v>2677</v>
      </c>
    </row>
    <row r="648" spans="1:9" ht="14.1" hidden="1">
      <c r="A648" s="951"/>
      <c r="B648" s="1278"/>
      <c r="C648" s="1279"/>
      <c r="D648" s="1280"/>
      <c r="E648" s="1281"/>
      <c r="F648" s="1281"/>
      <c r="G648" s="1282"/>
      <c r="H648" s="1283"/>
      <c r="I648" s="1283"/>
    </row>
    <row r="649" spans="1:9" s="954" customFormat="1" ht="68.25" hidden="1" customHeight="1">
      <c r="A649" s="953">
        <v>19</v>
      </c>
      <c r="B649" s="1611" t="s">
        <v>2516</v>
      </c>
      <c r="C649" s="1611"/>
      <c r="D649" s="1611"/>
      <c r="E649" s="1611"/>
      <c r="F649" s="1611"/>
      <c r="G649" s="1611"/>
    </row>
    <row r="650" spans="1:9" s="954" customFormat="1" ht="14.1" hidden="1">
      <c r="A650" s="955"/>
      <c r="B650" s="956" t="s">
        <v>2515</v>
      </c>
      <c r="C650" s="957">
        <v>1.2</v>
      </c>
      <c r="D650" s="957">
        <v>1.2</v>
      </c>
      <c r="E650" s="1230">
        <f>C650*D650</f>
        <v>1.44</v>
      </c>
      <c r="F650" s="958" t="s">
        <v>547</v>
      </c>
      <c r="G650" s="958"/>
    </row>
    <row r="651" spans="1:9" s="954" customFormat="1" ht="14.1" hidden="1">
      <c r="A651" s="955"/>
      <c r="B651" s="1229"/>
      <c r="C651" s="959"/>
      <c r="D651" s="958"/>
      <c r="E651" s="960"/>
      <c r="F651" s="958"/>
      <c r="G651" s="958"/>
    </row>
    <row r="652" spans="1:9" s="954" customFormat="1" ht="14.1" hidden="1">
      <c r="A652" s="955"/>
      <c r="B652" s="961" t="s">
        <v>2513</v>
      </c>
      <c r="C652" s="959"/>
      <c r="D652" s="958"/>
      <c r="E652" s="960"/>
      <c r="F652" s="958"/>
      <c r="G652" s="958"/>
    </row>
    <row r="653" spans="1:9" s="954" customFormat="1" ht="14.1" hidden="1">
      <c r="A653" s="955"/>
      <c r="B653" s="1229" t="s">
        <v>2261</v>
      </c>
      <c r="C653" s="960">
        <v>2</v>
      </c>
      <c r="D653" s="957">
        <f>D650</f>
        <v>1.2</v>
      </c>
      <c r="E653" s="957">
        <f>C653*D653</f>
        <v>2.4</v>
      </c>
      <c r="F653" s="962"/>
      <c r="G653" s="958"/>
    </row>
    <row r="654" spans="1:9" s="954" customFormat="1" ht="14.1" hidden="1">
      <c r="A654" s="955"/>
      <c r="B654" s="1229" t="s">
        <v>1475</v>
      </c>
      <c r="C654" s="960">
        <v>2</v>
      </c>
      <c r="D654" s="957">
        <f>C650</f>
        <v>1.2</v>
      </c>
      <c r="E654" s="957">
        <f>C654*D654</f>
        <v>2.4</v>
      </c>
      <c r="F654" s="962"/>
      <c r="G654" s="958"/>
    </row>
    <row r="655" spans="1:9" s="954" customFormat="1" ht="14.1" hidden="1">
      <c r="A655" s="955"/>
      <c r="B655" s="1229" t="s">
        <v>1510</v>
      </c>
      <c r="C655" s="960">
        <v>4</v>
      </c>
      <c r="D655" s="957">
        <v>0.23</v>
      </c>
      <c r="E655" s="957">
        <f>C655*D655</f>
        <v>0.92</v>
      </c>
      <c r="F655" s="962"/>
      <c r="G655" s="958"/>
    </row>
    <row r="656" spans="1:9" s="954" customFormat="1" ht="14.1" hidden="1">
      <c r="A656" s="955"/>
      <c r="B656" s="1229"/>
      <c r="C656" s="960"/>
      <c r="D656" s="957"/>
      <c r="E656" s="1230">
        <f>SUM(E653:E655)</f>
        <v>5.72</v>
      </c>
      <c r="F656" s="962"/>
      <c r="G656" s="958"/>
    </row>
    <row r="657" spans="1:7" s="954" customFormat="1" ht="14.1">
      <c r="A657" s="955"/>
      <c r="B657" s="1229" t="s">
        <v>2262</v>
      </c>
      <c r="C657" s="957">
        <v>2.6</v>
      </c>
      <c r="D657" s="957" t="s">
        <v>2263</v>
      </c>
      <c r="E657" s="957"/>
      <c r="F657" s="962"/>
      <c r="G657" s="958"/>
    </row>
    <row r="658" spans="1:7" s="954" customFormat="1" ht="14.1">
      <c r="A658" s="955"/>
      <c r="B658" s="963" t="s">
        <v>2264</v>
      </c>
      <c r="C658" s="957">
        <f>E656</f>
        <v>5.72</v>
      </c>
      <c r="D658" s="957">
        <f>C657</f>
        <v>2.6</v>
      </c>
      <c r="E658" s="957"/>
      <c r="F658" s="1230">
        <f>C658*D658</f>
        <v>14.872</v>
      </c>
      <c r="G658" s="964" t="s">
        <v>462</v>
      </c>
    </row>
    <row r="659" spans="1:7" s="954" customFormat="1" ht="14.1">
      <c r="A659" s="955"/>
      <c r="B659" s="961" t="s">
        <v>2265</v>
      </c>
      <c r="C659" s="959"/>
      <c r="D659" s="958"/>
      <c r="E659" s="960"/>
      <c r="F659" s="958"/>
      <c r="G659" s="958"/>
    </row>
    <row r="660" spans="1:7" s="954" customFormat="1" ht="14.1">
      <c r="A660" s="955"/>
      <c r="B660" s="1229" t="s">
        <v>1477</v>
      </c>
      <c r="C660" s="960">
        <v>10</v>
      </c>
      <c r="D660" s="957">
        <f>D653</f>
        <v>1.2</v>
      </c>
      <c r="E660" s="957">
        <f>C660*D660</f>
        <v>12</v>
      </c>
      <c r="F660" s="962"/>
      <c r="G660" s="958"/>
    </row>
    <row r="661" spans="1:7" s="954" customFormat="1" ht="14.1">
      <c r="A661" s="955"/>
      <c r="B661" s="1229" t="s">
        <v>1475</v>
      </c>
      <c r="C661" s="960">
        <v>10</v>
      </c>
      <c r="D661" s="957">
        <f>D654</f>
        <v>1.2</v>
      </c>
      <c r="E661" s="957">
        <f>C661*D661</f>
        <v>12</v>
      </c>
      <c r="F661" s="962"/>
      <c r="G661" s="958"/>
    </row>
    <row r="662" spans="1:7" s="954" customFormat="1" ht="14.1">
      <c r="A662" s="955"/>
      <c r="B662" s="1229"/>
      <c r="C662" s="960"/>
      <c r="D662" s="957"/>
      <c r="E662" s="1230">
        <f>SUM(E660:E661)</f>
        <v>24</v>
      </c>
      <c r="F662" s="962"/>
      <c r="G662" s="958"/>
    </row>
    <row r="663" spans="1:7" s="954" customFormat="1" ht="14.1">
      <c r="A663" s="955"/>
      <c r="B663" s="1229" t="s">
        <v>2262</v>
      </c>
      <c r="C663" s="957">
        <v>0.78</v>
      </c>
      <c r="D663" s="957" t="s">
        <v>2263</v>
      </c>
      <c r="E663" s="957"/>
      <c r="F663" s="962"/>
      <c r="G663" s="958"/>
    </row>
    <row r="664" spans="1:7" s="954" customFormat="1" ht="14.1">
      <c r="A664" s="955"/>
      <c r="B664" s="963" t="s">
        <v>2264</v>
      </c>
      <c r="C664" s="957">
        <f>E662</f>
        <v>24</v>
      </c>
      <c r="D664" s="957">
        <f>C663</f>
        <v>0.78</v>
      </c>
      <c r="E664" s="957"/>
      <c r="F664" s="1230">
        <f>C664*D664</f>
        <v>18.72</v>
      </c>
      <c r="G664" s="964" t="s">
        <v>462</v>
      </c>
    </row>
    <row r="665" spans="1:7" s="954" customFormat="1" ht="14.1">
      <c r="A665" s="955"/>
      <c r="B665" s="961" t="s">
        <v>2266</v>
      </c>
      <c r="C665" s="960"/>
      <c r="D665" s="957"/>
      <c r="E665" s="957"/>
      <c r="F665" s="1230"/>
      <c r="G665" s="964"/>
    </row>
    <row r="666" spans="1:7" s="954" customFormat="1" ht="14.1">
      <c r="A666" s="955"/>
      <c r="B666" s="1229" t="s">
        <v>2267</v>
      </c>
      <c r="C666" s="960">
        <v>0.6</v>
      </c>
      <c r="D666" s="965">
        <f>'[8]C-data (K)'!$F$86</f>
        <v>129</v>
      </c>
      <c r="E666" s="957">
        <f>C666*D666</f>
        <v>77.399999999999991</v>
      </c>
      <c r="F666" s="962"/>
      <c r="G666" s="958"/>
    </row>
    <row r="667" spans="1:7" s="954" customFormat="1" ht="14.1">
      <c r="A667" s="955"/>
      <c r="B667" s="1229" t="s">
        <v>771</v>
      </c>
      <c r="C667" s="960">
        <v>0.21</v>
      </c>
      <c r="D667" s="965">
        <f>'[8]C-data (K)'!$F$19</f>
        <v>684</v>
      </c>
      <c r="E667" s="957">
        <f>C667*D667</f>
        <v>143.63999999999999</v>
      </c>
      <c r="F667" s="962"/>
      <c r="G667" s="958"/>
    </row>
    <row r="668" spans="1:7" s="954" customFormat="1" ht="14.1">
      <c r="A668" s="955"/>
      <c r="B668" s="1229" t="s">
        <v>772</v>
      </c>
      <c r="C668" s="960">
        <v>0.49</v>
      </c>
      <c r="D668" s="965">
        <f>'[8]C-data (K)'!$F$20</f>
        <v>564</v>
      </c>
      <c r="E668" s="957">
        <f>C668*D668</f>
        <v>276.36</v>
      </c>
      <c r="F668" s="962"/>
      <c r="G668" s="958"/>
    </row>
    <row r="669" spans="1:7" s="954" customFormat="1" ht="14.1">
      <c r="A669" s="955"/>
      <c r="B669" s="963"/>
      <c r="C669" s="960"/>
      <c r="D669" s="957"/>
      <c r="E669" s="1230">
        <f>SUM(E666:E668)</f>
        <v>497.4</v>
      </c>
      <c r="F669" s="966" t="s">
        <v>2268</v>
      </c>
      <c r="G669" s="964"/>
    </row>
    <row r="670" spans="1:7" s="954" customFormat="1" ht="14.1">
      <c r="A670" s="955"/>
      <c r="B670" s="963"/>
      <c r="C670" s="960"/>
      <c r="D670" s="957"/>
      <c r="E670" s="1230"/>
      <c r="F670" s="964"/>
      <c r="G670" s="964"/>
    </row>
    <row r="671" spans="1:7" s="954" customFormat="1" ht="28.2">
      <c r="A671" s="953" t="s">
        <v>2269</v>
      </c>
      <c r="B671" s="953" t="s">
        <v>2270</v>
      </c>
      <c r="C671" s="953" t="s">
        <v>2271</v>
      </c>
      <c r="D671" s="967"/>
      <c r="E671" s="953" t="s">
        <v>92</v>
      </c>
      <c r="F671" s="967"/>
      <c r="G671" s="967" t="s">
        <v>151</v>
      </c>
    </row>
    <row r="672" spans="1:7" s="954" customFormat="1">
      <c r="A672" s="955">
        <v>1</v>
      </c>
      <c r="B672" s="1229" t="str">
        <f>B652</f>
        <v>Outer frame L angle 35x35x5mm</v>
      </c>
      <c r="C672" s="957">
        <f>F658</f>
        <v>14.872</v>
      </c>
      <c r="D672" s="968" t="s">
        <v>2272</v>
      </c>
      <c r="E672" s="957"/>
      <c r="F672" s="968"/>
      <c r="G672" s="957"/>
    </row>
    <row r="673" spans="1:7" s="954" customFormat="1">
      <c r="A673" s="955">
        <v>2</v>
      </c>
      <c r="B673" s="1229" t="str">
        <f>B659</f>
        <v>10mm square rods safety bars</v>
      </c>
      <c r="C673" s="957">
        <f>F664</f>
        <v>18.72</v>
      </c>
      <c r="D673" s="968" t="s">
        <v>462</v>
      </c>
      <c r="E673" s="957"/>
      <c r="F673" s="968"/>
      <c r="G673" s="957"/>
    </row>
    <row r="674" spans="1:7" s="954" customFormat="1" ht="14.1">
      <c r="A674" s="969"/>
      <c r="B674" s="970"/>
      <c r="C674" s="1230">
        <f>SUM(C672:C673)</f>
        <v>33.591999999999999</v>
      </c>
      <c r="D674" s="968" t="s">
        <v>462</v>
      </c>
      <c r="E674" s="957">
        <f>[8]LEAD!$P$30/1000</f>
        <v>49</v>
      </c>
      <c r="F674" s="968" t="s">
        <v>462</v>
      </c>
      <c r="G674" s="957">
        <f>ROUND(C674*E674,2)</f>
        <v>1646.01</v>
      </c>
    </row>
    <row r="675" spans="1:7" s="954" customFormat="1">
      <c r="A675" s="955">
        <v>3</v>
      </c>
      <c r="B675" s="971" t="s">
        <v>2273</v>
      </c>
      <c r="C675" s="957">
        <f>E650</f>
        <v>1.44</v>
      </c>
      <c r="D675" s="968" t="s">
        <v>461</v>
      </c>
      <c r="E675" s="957">
        <f>E669</f>
        <v>497.4</v>
      </c>
      <c r="F675" s="968" t="s">
        <v>2274</v>
      </c>
      <c r="G675" s="957">
        <f>ROUND(C675*E675/10,2)</f>
        <v>71.63</v>
      </c>
    </row>
    <row r="676" spans="1:7" s="954" customFormat="1" ht="14.1">
      <c r="A676" s="955">
        <v>4</v>
      </c>
      <c r="B676" s="972" t="s">
        <v>2497</v>
      </c>
      <c r="C676" s="957">
        <f>C674</f>
        <v>33.591999999999999</v>
      </c>
      <c r="D676" s="968" t="s">
        <v>462</v>
      </c>
      <c r="E676" s="957">
        <f>30+4</f>
        <v>34</v>
      </c>
      <c r="F676" s="968" t="s">
        <v>462</v>
      </c>
      <c r="G676" s="957">
        <f>ROUND(C676*E676,2)</f>
        <v>1142.1300000000001</v>
      </c>
    </row>
    <row r="677" spans="1:7" s="954" customFormat="1">
      <c r="A677" s="955">
        <v>5</v>
      </c>
      <c r="B677" s="971" t="s">
        <v>2275</v>
      </c>
      <c r="C677" s="957">
        <f>'[8]C-data (K)'!$E$5</f>
        <v>0.2</v>
      </c>
      <c r="D677" s="968"/>
      <c r="E677" s="957">
        <f>G676</f>
        <v>1142.1300000000001</v>
      </c>
      <c r="F677" s="968"/>
      <c r="G677" s="957">
        <f>ROUND(C677*E677,2)</f>
        <v>228.43</v>
      </c>
    </row>
    <row r="678" spans="1:7" s="954" customFormat="1" ht="14.1">
      <c r="A678" s="955"/>
      <c r="B678" s="971"/>
      <c r="C678" s="960"/>
      <c r="D678" s="957"/>
      <c r="E678" s="960"/>
      <c r="F678" s="957"/>
      <c r="G678" s="1230">
        <f>SUM(G674:G677)</f>
        <v>3088.2</v>
      </c>
    </row>
    <row r="679" spans="1:7" s="954" customFormat="1" ht="14.1">
      <c r="A679" s="955">
        <v>6</v>
      </c>
      <c r="B679" s="1277" t="str">
        <f>'[8]C-data (K)'!$C$174</f>
        <v>Add 5% over heads</v>
      </c>
      <c r="C679" s="974">
        <f>'[8]C-data (K)'!$D$3</f>
        <v>0</v>
      </c>
      <c r="D679" s="957"/>
      <c r="E679" s="960"/>
      <c r="F679" s="957"/>
      <c r="G679" s="957">
        <f>G678*C679</f>
        <v>0</v>
      </c>
    </row>
    <row r="680" spans="1:7" s="954" customFormat="1" ht="14.1">
      <c r="A680" s="955"/>
      <c r="B680" s="971"/>
      <c r="C680" s="957"/>
      <c r="D680" s="957"/>
      <c r="E680" s="960"/>
      <c r="F680" s="957"/>
      <c r="G680" s="1230">
        <f>SUM(G678:G679)</f>
        <v>3088.2</v>
      </c>
    </row>
    <row r="681" spans="1:7" s="954" customFormat="1" ht="14.1">
      <c r="A681" s="955"/>
      <c r="B681" s="975" t="s">
        <v>1806</v>
      </c>
      <c r="C681" s="960"/>
      <c r="D681" s="957"/>
      <c r="E681" s="1610" t="s">
        <v>2276</v>
      </c>
      <c r="F681" s="1610"/>
      <c r="G681" s="1230">
        <f>ROUND(G680,0)</f>
        <v>3088</v>
      </c>
    </row>
    <row r="682" spans="1:7">
      <c r="A682" s="951"/>
      <c r="B682" s="951"/>
      <c r="C682" s="952"/>
      <c r="D682" s="951"/>
      <c r="E682" s="951"/>
      <c r="F682" s="951"/>
      <c r="G682" s="951"/>
    </row>
    <row r="683" spans="1:7" s="1284" customFormat="1" ht="14.4">
      <c r="A683" s="953">
        <v>20</v>
      </c>
      <c r="B683" s="1611" t="s">
        <v>2517</v>
      </c>
      <c r="C683" s="1611"/>
      <c r="D683" s="1611"/>
      <c r="E683" s="1611"/>
      <c r="F683" s="1611"/>
      <c r="G683" s="1611"/>
    </row>
    <row r="684" spans="1:7" s="1284" customFormat="1" ht="14.4">
      <c r="A684" s="955"/>
      <c r="B684" s="956" t="s">
        <v>2515</v>
      </c>
      <c r="C684" s="957">
        <v>1.3</v>
      </c>
      <c r="D684" s="957">
        <v>1.2</v>
      </c>
      <c r="E684" s="1230">
        <f>C684*D684</f>
        <v>1.56</v>
      </c>
      <c r="F684" s="958" t="s">
        <v>547</v>
      </c>
      <c r="G684" s="958"/>
    </row>
    <row r="685" spans="1:7" s="1284" customFormat="1" ht="14.4">
      <c r="A685" s="955"/>
      <c r="B685" s="1229"/>
      <c r="C685" s="959"/>
      <c r="D685" s="958"/>
      <c r="E685" s="960"/>
      <c r="F685" s="958"/>
      <c r="G685" s="958"/>
    </row>
    <row r="686" spans="1:7" s="1284" customFormat="1" ht="14.4">
      <c r="A686" s="955"/>
      <c r="B686" s="961" t="s">
        <v>2280</v>
      </c>
      <c r="C686" s="959"/>
      <c r="D686" s="958"/>
      <c r="E686" s="960"/>
      <c r="F686" s="958"/>
      <c r="G686" s="958"/>
    </row>
    <row r="687" spans="1:7" s="1284" customFormat="1" ht="14.4">
      <c r="A687" s="955"/>
      <c r="B687" s="1229" t="s">
        <v>2261</v>
      </c>
      <c r="C687" s="960">
        <v>2</v>
      </c>
      <c r="D687" s="957">
        <f>D684</f>
        <v>1.2</v>
      </c>
      <c r="E687" s="957">
        <f>C687*D687</f>
        <v>2.4</v>
      </c>
      <c r="F687" s="962"/>
      <c r="G687" s="958"/>
    </row>
    <row r="688" spans="1:7" s="1284" customFormat="1" ht="14.4">
      <c r="A688" s="955"/>
      <c r="B688" s="1229" t="s">
        <v>1475</v>
      </c>
      <c r="C688" s="960">
        <v>2</v>
      </c>
      <c r="D688" s="957">
        <f>C684</f>
        <v>1.3</v>
      </c>
      <c r="E688" s="957">
        <f>C688*D688</f>
        <v>2.6</v>
      </c>
      <c r="F688" s="962"/>
      <c r="G688" s="958"/>
    </row>
    <row r="689" spans="1:7" s="1284" customFormat="1" ht="14.4">
      <c r="A689" s="955"/>
      <c r="B689" s="1229" t="s">
        <v>1510</v>
      </c>
      <c r="C689" s="960">
        <v>4</v>
      </c>
      <c r="D689" s="957">
        <v>0.23</v>
      </c>
      <c r="E689" s="957">
        <f>C689*D689</f>
        <v>0.92</v>
      </c>
      <c r="F689" s="962"/>
      <c r="G689" s="958"/>
    </row>
    <row r="690" spans="1:7" s="1284" customFormat="1" ht="14.4">
      <c r="A690" s="955"/>
      <c r="B690" s="1229"/>
      <c r="C690" s="960"/>
      <c r="D690" s="957"/>
      <c r="E690" s="1230">
        <f>SUM(E687:E689)</f>
        <v>5.92</v>
      </c>
      <c r="F690" s="962"/>
      <c r="G690" s="958"/>
    </row>
    <row r="691" spans="1:7" s="1284" customFormat="1" ht="14.4">
      <c r="A691" s="955"/>
      <c r="B691" s="1229" t="s">
        <v>2262</v>
      </c>
      <c r="C691" s="957">
        <v>1.8</v>
      </c>
      <c r="D691" s="957" t="s">
        <v>2263</v>
      </c>
      <c r="E691" s="957"/>
      <c r="F691" s="962"/>
      <c r="G691" s="958"/>
    </row>
    <row r="692" spans="1:7" s="1284" customFormat="1" ht="14.4">
      <c r="A692" s="955"/>
      <c r="B692" s="963" t="s">
        <v>2264</v>
      </c>
      <c r="C692" s="957">
        <f>E690</f>
        <v>5.92</v>
      </c>
      <c r="D692" s="957">
        <f>C691</f>
        <v>1.8</v>
      </c>
      <c r="E692" s="957"/>
      <c r="F692" s="1230">
        <f>C692*D692</f>
        <v>10.656000000000001</v>
      </c>
      <c r="G692" s="964" t="s">
        <v>462</v>
      </c>
    </row>
    <row r="693" spans="1:7" s="1284" customFormat="1" ht="14.4">
      <c r="A693" s="955"/>
      <c r="B693" s="961" t="s">
        <v>2265</v>
      </c>
      <c r="C693" s="959"/>
      <c r="D693" s="958"/>
      <c r="E693" s="960"/>
      <c r="F693" s="958"/>
      <c r="G693" s="958"/>
    </row>
    <row r="694" spans="1:7" s="1284" customFormat="1" ht="14.4">
      <c r="A694" s="955"/>
      <c r="B694" s="1229" t="s">
        <v>1477</v>
      </c>
      <c r="C694" s="960">
        <v>11</v>
      </c>
      <c r="D694" s="957">
        <f>D687</f>
        <v>1.2</v>
      </c>
      <c r="E694" s="957">
        <f>C694*D694</f>
        <v>13.2</v>
      </c>
      <c r="F694" s="962"/>
      <c r="G694" s="958"/>
    </row>
    <row r="695" spans="1:7" s="1284" customFormat="1" ht="14.4">
      <c r="A695" s="955"/>
      <c r="B695" s="1229" t="s">
        <v>1475</v>
      </c>
      <c r="C695" s="960">
        <v>10</v>
      </c>
      <c r="D695" s="957">
        <f>D688</f>
        <v>1.3</v>
      </c>
      <c r="E695" s="957">
        <f>C695*D695</f>
        <v>13</v>
      </c>
      <c r="F695" s="962"/>
      <c r="G695" s="958"/>
    </row>
    <row r="696" spans="1:7" s="1284" customFormat="1" ht="14.4">
      <c r="A696" s="955"/>
      <c r="B696" s="1229"/>
      <c r="C696" s="960"/>
      <c r="D696" s="957"/>
      <c r="E696" s="1230">
        <f>SUM(E694:E695)</f>
        <v>26.2</v>
      </c>
      <c r="F696" s="962"/>
      <c r="G696" s="958"/>
    </row>
    <row r="697" spans="1:7" s="1284" customFormat="1" ht="14.4">
      <c r="A697" s="955"/>
      <c r="B697" s="1229" t="s">
        <v>2262</v>
      </c>
      <c r="C697" s="957">
        <v>0.78</v>
      </c>
      <c r="D697" s="957" t="s">
        <v>2263</v>
      </c>
      <c r="E697" s="957"/>
      <c r="F697" s="962"/>
      <c r="G697" s="958"/>
    </row>
    <row r="698" spans="1:7" s="1284" customFormat="1" ht="14.4">
      <c r="A698" s="955"/>
      <c r="B698" s="963" t="s">
        <v>2264</v>
      </c>
      <c r="C698" s="957">
        <f>E696</f>
        <v>26.2</v>
      </c>
      <c r="D698" s="957">
        <f>C697</f>
        <v>0.78</v>
      </c>
      <c r="E698" s="957"/>
      <c r="F698" s="1230">
        <f>C698*D698</f>
        <v>20.436</v>
      </c>
      <c r="G698" s="964" t="s">
        <v>462</v>
      </c>
    </row>
    <row r="699" spans="1:7" s="1284" customFormat="1" ht="14.4">
      <c r="A699" s="955"/>
      <c r="B699" s="961" t="s">
        <v>2266</v>
      </c>
      <c r="C699" s="960"/>
      <c r="D699" s="957"/>
      <c r="E699" s="957"/>
      <c r="F699" s="1230"/>
      <c r="G699" s="964"/>
    </row>
    <row r="700" spans="1:7" s="1284" customFormat="1" ht="14.4">
      <c r="A700" s="955"/>
      <c r="B700" s="1229" t="s">
        <v>2267</v>
      </c>
      <c r="C700" s="960">
        <v>0.6</v>
      </c>
      <c r="D700" s="965">
        <f>'[8]C-data (K)'!$F$86</f>
        <v>129</v>
      </c>
      <c r="E700" s="957">
        <f>C700*D700</f>
        <v>77.399999999999991</v>
      </c>
      <c r="F700" s="962"/>
      <c r="G700" s="958"/>
    </row>
    <row r="701" spans="1:7" s="1284" customFormat="1" ht="14.4">
      <c r="A701" s="955"/>
      <c r="B701" s="1229" t="s">
        <v>771</v>
      </c>
      <c r="C701" s="960">
        <v>0.21</v>
      </c>
      <c r="D701" s="965">
        <f>'[8]C-data (K)'!$F$19</f>
        <v>684</v>
      </c>
      <c r="E701" s="957">
        <f>C701*D701</f>
        <v>143.63999999999999</v>
      </c>
      <c r="F701" s="962"/>
      <c r="G701" s="958"/>
    </row>
    <row r="702" spans="1:7" s="1284" customFormat="1" ht="14.4">
      <c r="A702" s="955"/>
      <c r="B702" s="1229" t="s">
        <v>772</v>
      </c>
      <c r="C702" s="960">
        <v>0.49</v>
      </c>
      <c r="D702" s="965">
        <f>'[8]C-data (K)'!$F$20</f>
        <v>564</v>
      </c>
      <c r="E702" s="957">
        <f>C702*D702</f>
        <v>276.36</v>
      </c>
      <c r="F702" s="962"/>
      <c r="G702" s="958"/>
    </row>
    <row r="703" spans="1:7" s="1284" customFormat="1" ht="14.4">
      <c r="A703" s="955"/>
      <c r="B703" s="963"/>
      <c r="C703" s="960"/>
      <c r="D703" s="957"/>
      <c r="E703" s="1230">
        <f>SUM(E700:E702)</f>
        <v>497.4</v>
      </c>
      <c r="F703" s="964" t="s">
        <v>2268</v>
      </c>
      <c r="G703" s="964"/>
    </row>
    <row r="704" spans="1:7" s="1284" customFormat="1" ht="14.4">
      <c r="A704" s="955"/>
      <c r="B704" s="963"/>
      <c r="C704" s="960"/>
      <c r="D704" s="957"/>
      <c r="E704" s="1230"/>
      <c r="F704" s="964"/>
      <c r="G704" s="964"/>
    </row>
    <row r="705" spans="1:7" s="1284" customFormat="1" ht="28.2">
      <c r="A705" s="953" t="s">
        <v>2269</v>
      </c>
      <c r="B705" s="953" t="s">
        <v>2270</v>
      </c>
      <c r="C705" s="953" t="s">
        <v>2271</v>
      </c>
      <c r="D705" s="967"/>
      <c r="E705" s="953" t="s">
        <v>92</v>
      </c>
      <c r="F705" s="967"/>
      <c r="G705" s="967" t="s">
        <v>151</v>
      </c>
    </row>
    <row r="706" spans="1:7" s="1284" customFormat="1" ht="14.4">
      <c r="A706" s="955">
        <v>1</v>
      </c>
      <c r="B706" s="1229" t="str">
        <f>B686</f>
        <v>Outer frame L angle 25x25x5mm</v>
      </c>
      <c r="C706" s="957">
        <f>F692</f>
        <v>10.656000000000001</v>
      </c>
      <c r="D706" s="968" t="s">
        <v>2272</v>
      </c>
      <c r="E706" s="957"/>
      <c r="F706" s="968"/>
      <c r="G706" s="957"/>
    </row>
    <row r="707" spans="1:7" s="1284" customFormat="1" ht="14.4">
      <c r="A707" s="955">
        <v>2</v>
      </c>
      <c r="B707" s="1229" t="str">
        <f>B693</f>
        <v>10mm square rods safety bars</v>
      </c>
      <c r="C707" s="957">
        <f>F698</f>
        <v>20.436</v>
      </c>
      <c r="D707" s="968" t="s">
        <v>462</v>
      </c>
      <c r="E707" s="957"/>
      <c r="F707" s="968"/>
      <c r="G707" s="957"/>
    </row>
    <row r="708" spans="1:7" s="1284" customFormat="1" ht="14.4">
      <c r="A708" s="969"/>
      <c r="B708" s="970"/>
      <c r="C708" s="1230">
        <f>SUM(C706:C707)</f>
        <v>31.091999999999999</v>
      </c>
      <c r="D708" s="964" t="s">
        <v>462</v>
      </c>
      <c r="E708" s="957">
        <f>[8]LEAD!$P$30/1000</f>
        <v>49</v>
      </c>
      <c r="F708" s="968" t="s">
        <v>462</v>
      </c>
      <c r="G708" s="957">
        <f>ROUND(C708*E708,2)</f>
        <v>1523.51</v>
      </c>
    </row>
    <row r="709" spans="1:7" s="1284" customFormat="1" ht="14.4">
      <c r="A709" s="955">
        <v>3</v>
      </c>
      <c r="B709" s="971" t="s">
        <v>2273</v>
      </c>
      <c r="C709" s="957">
        <f>E684</f>
        <v>1.56</v>
      </c>
      <c r="D709" s="968" t="s">
        <v>461</v>
      </c>
      <c r="E709" s="957">
        <f>E703</f>
        <v>497.4</v>
      </c>
      <c r="F709" s="968" t="s">
        <v>2274</v>
      </c>
      <c r="G709" s="957">
        <f>ROUND(C709*E709/10,2)</f>
        <v>77.59</v>
      </c>
    </row>
    <row r="710" spans="1:7" s="1284" customFormat="1" ht="14.4">
      <c r="A710" s="955">
        <v>4</v>
      </c>
      <c r="B710" s="972" t="s">
        <v>2497</v>
      </c>
      <c r="C710" s="957">
        <f>C708</f>
        <v>31.091999999999999</v>
      </c>
      <c r="D710" s="968" t="s">
        <v>462</v>
      </c>
      <c r="E710" s="957">
        <f>30+4</f>
        <v>34</v>
      </c>
      <c r="F710" s="968" t="s">
        <v>462</v>
      </c>
      <c r="G710" s="957">
        <f>ROUND(C710*E710,2)</f>
        <v>1057.1300000000001</v>
      </c>
    </row>
    <row r="711" spans="1:7" s="954" customFormat="1">
      <c r="A711" s="955">
        <v>5</v>
      </c>
      <c r="B711" s="971" t="s">
        <v>2275</v>
      </c>
      <c r="C711" s="957">
        <f>'[8]C-data (K)'!$E$5</f>
        <v>0.2</v>
      </c>
      <c r="D711" s="968"/>
      <c r="E711" s="957">
        <f>G710</f>
        <v>1057.1300000000001</v>
      </c>
      <c r="F711" s="968"/>
      <c r="G711" s="957">
        <f>ROUND(C711*E711,2)</f>
        <v>211.43</v>
      </c>
    </row>
    <row r="712" spans="1:7" s="1284" customFormat="1" ht="14.4">
      <c r="A712" s="955"/>
      <c r="B712" s="971"/>
      <c r="C712" s="960"/>
      <c r="D712" s="957"/>
      <c r="E712" s="960"/>
      <c r="F712" s="957"/>
      <c r="G712" s="1230">
        <f>SUM(G708:G711)</f>
        <v>2869.66</v>
      </c>
    </row>
    <row r="713" spans="1:7" s="1284" customFormat="1" ht="14.4">
      <c r="A713" s="955">
        <v>6</v>
      </c>
      <c r="B713" s="1277" t="str">
        <f>'[8]C-data (K)'!$C$174</f>
        <v>Add 5% over heads</v>
      </c>
      <c r="C713" s="974">
        <f>'[8]C-data (K)'!$D$3</f>
        <v>0</v>
      </c>
      <c r="D713" s="957"/>
      <c r="E713" s="960"/>
      <c r="F713" s="957"/>
      <c r="G713" s="957">
        <f>G712*C713</f>
        <v>0</v>
      </c>
    </row>
    <row r="714" spans="1:7" s="1284" customFormat="1" ht="14.4">
      <c r="A714" s="955"/>
      <c r="B714" s="971"/>
      <c r="C714" s="957"/>
      <c r="D714" s="957"/>
      <c r="E714" s="960"/>
      <c r="F714" s="957"/>
      <c r="G714" s="1230">
        <f>SUM(G712:G713)</f>
        <v>2869.66</v>
      </c>
    </row>
    <row r="715" spans="1:7" s="1284" customFormat="1" ht="14.4">
      <c r="A715" s="955"/>
      <c r="B715" s="975" t="s">
        <v>1806</v>
      </c>
      <c r="C715" s="960"/>
      <c r="D715" s="957"/>
      <c r="E715" s="1610" t="s">
        <v>2276</v>
      </c>
      <c r="F715" s="1610"/>
      <c r="G715" s="1230">
        <f>ROUND(G714,0)</f>
        <v>2870</v>
      </c>
    </row>
    <row r="716" spans="1:7">
      <c r="A716" s="951"/>
      <c r="B716" s="951"/>
      <c r="C716" s="952"/>
      <c r="D716" s="951"/>
      <c r="E716" s="951"/>
      <c r="F716" s="951"/>
      <c r="G716" s="951"/>
    </row>
    <row r="717" spans="1:7" s="1284" customFormat="1" ht="14.4">
      <c r="A717" s="953">
        <v>21</v>
      </c>
      <c r="B717" s="1611" t="s">
        <v>2518</v>
      </c>
      <c r="C717" s="1611"/>
      <c r="D717" s="1611"/>
      <c r="E717" s="1611"/>
      <c r="F717" s="1611"/>
      <c r="G717" s="1611"/>
    </row>
    <row r="718" spans="1:7" s="1284" customFormat="1" ht="14.4">
      <c r="A718" s="955"/>
      <c r="B718" s="956" t="s">
        <v>2515</v>
      </c>
      <c r="C718" s="957">
        <v>1.3</v>
      </c>
      <c r="D718" s="957">
        <v>1.2</v>
      </c>
      <c r="E718" s="1230">
        <f>C718*D718</f>
        <v>1.56</v>
      </c>
      <c r="F718" s="958" t="s">
        <v>547</v>
      </c>
      <c r="G718" s="958"/>
    </row>
    <row r="719" spans="1:7" s="1284" customFormat="1" ht="14.4">
      <c r="A719" s="955"/>
      <c r="B719" s="1229"/>
      <c r="C719" s="959"/>
      <c r="D719" s="958"/>
      <c r="E719" s="960"/>
      <c r="F719" s="958"/>
      <c r="G719" s="958"/>
    </row>
    <row r="720" spans="1:7" s="1284" customFormat="1" ht="14.4">
      <c r="A720" s="955"/>
      <c r="B720" s="961" t="s">
        <v>2513</v>
      </c>
      <c r="C720" s="959"/>
      <c r="D720" s="958"/>
      <c r="E720" s="960"/>
      <c r="F720" s="958"/>
      <c r="G720" s="958"/>
    </row>
    <row r="721" spans="1:7" s="1284" customFormat="1" ht="14.4">
      <c r="A721" s="955"/>
      <c r="B721" s="1229" t="s">
        <v>2261</v>
      </c>
      <c r="C721" s="960">
        <v>2</v>
      </c>
      <c r="D721" s="957">
        <f>D718</f>
        <v>1.2</v>
      </c>
      <c r="E721" s="957">
        <f>C721*D721</f>
        <v>2.4</v>
      </c>
      <c r="F721" s="962"/>
      <c r="G721" s="958"/>
    </row>
    <row r="722" spans="1:7" s="1284" customFormat="1" ht="14.4">
      <c r="A722" s="955"/>
      <c r="B722" s="1229" t="s">
        <v>1475</v>
      </c>
      <c r="C722" s="960">
        <v>2</v>
      </c>
      <c r="D722" s="957">
        <f>C718</f>
        <v>1.3</v>
      </c>
      <c r="E722" s="957">
        <f>C722*D722</f>
        <v>2.6</v>
      </c>
      <c r="F722" s="962"/>
      <c r="G722" s="958"/>
    </row>
    <row r="723" spans="1:7" s="1284" customFormat="1" ht="14.4">
      <c r="A723" s="955"/>
      <c r="B723" s="1229" t="s">
        <v>1510</v>
      </c>
      <c r="C723" s="960">
        <v>4</v>
      </c>
      <c r="D723" s="957">
        <v>0.23</v>
      </c>
      <c r="E723" s="957">
        <f>C723*D723</f>
        <v>0.92</v>
      </c>
      <c r="F723" s="962"/>
      <c r="G723" s="958"/>
    </row>
    <row r="724" spans="1:7" s="1284" customFormat="1" ht="14.4">
      <c r="A724" s="955"/>
      <c r="B724" s="1229"/>
      <c r="C724" s="960"/>
      <c r="D724" s="957"/>
      <c r="E724" s="1230">
        <f>SUM(E721:E723)</f>
        <v>5.92</v>
      </c>
      <c r="F724" s="962"/>
      <c r="G724" s="958"/>
    </row>
    <row r="725" spans="1:7" s="1284" customFormat="1" ht="14.4">
      <c r="A725" s="955"/>
      <c r="B725" s="1229" t="s">
        <v>2262</v>
      </c>
      <c r="C725" s="957">
        <v>2.6</v>
      </c>
      <c r="D725" s="957" t="s">
        <v>2263</v>
      </c>
      <c r="E725" s="957"/>
      <c r="F725" s="962"/>
      <c r="G725" s="958"/>
    </row>
    <row r="726" spans="1:7" s="1284" customFormat="1" ht="14.4">
      <c r="A726" s="955"/>
      <c r="B726" s="963" t="s">
        <v>2264</v>
      </c>
      <c r="C726" s="957">
        <f>E724</f>
        <v>5.92</v>
      </c>
      <c r="D726" s="957">
        <f>C725</f>
        <v>2.6</v>
      </c>
      <c r="E726" s="957"/>
      <c r="F726" s="1230">
        <f>C726*D726</f>
        <v>15.391999999999999</v>
      </c>
      <c r="G726" s="964" t="s">
        <v>462</v>
      </c>
    </row>
    <row r="727" spans="1:7" s="1284" customFormat="1" ht="14.4">
      <c r="A727" s="955"/>
      <c r="B727" s="961" t="s">
        <v>2265</v>
      </c>
      <c r="C727" s="959"/>
      <c r="D727" s="958"/>
      <c r="E727" s="960"/>
      <c r="F727" s="958"/>
      <c r="G727" s="958"/>
    </row>
    <row r="728" spans="1:7" s="1284" customFormat="1" ht="14.4">
      <c r="A728" s="955"/>
      <c r="B728" s="1229" t="s">
        <v>1477</v>
      </c>
      <c r="C728" s="960">
        <v>11</v>
      </c>
      <c r="D728" s="957">
        <f>D721</f>
        <v>1.2</v>
      </c>
      <c r="E728" s="957">
        <f>C728*D728</f>
        <v>13.2</v>
      </c>
      <c r="F728" s="962"/>
      <c r="G728" s="958"/>
    </row>
    <row r="729" spans="1:7" s="1284" customFormat="1" ht="14.4">
      <c r="A729" s="955"/>
      <c r="B729" s="1229" t="s">
        <v>1475</v>
      </c>
      <c r="C729" s="960">
        <v>10</v>
      </c>
      <c r="D729" s="957">
        <f>D722</f>
        <v>1.3</v>
      </c>
      <c r="E729" s="957">
        <f>C729*D729</f>
        <v>13</v>
      </c>
      <c r="F729" s="962"/>
      <c r="G729" s="958"/>
    </row>
    <row r="730" spans="1:7" s="1284" customFormat="1" ht="14.4">
      <c r="A730" s="955"/>
      <c r="B730" s="1229"/>
      <c r="C730" s="960"/>
      <c r="D730" s="957"/>
      <c r="E730" s="1230">
        <f>SUM(E728:E729)</f>
        <v>26.2</v>
      </c>
      <c r="F730" s="962"/>
      <c r="G730" s="958"/>
    </row>
    <row r="731" spans="1:7" s="1284" customFormat="1" ht="14.4">
      <c r="A731" s="955"/>
      <c r="B731" s="1229" t="s">
        <v>2262</v>
      </c>
      <c r="C731" s="957">
        <v>0.78</v>
      </c>
      <c r="D731" s="957" t="s">
        <v>2263</v>
      </c>
      <c r="E731" s="957"/>
      <c r="F731" s="962"/>
      <c r="G731" s="958"/>
    </row>
    <row r="732" spans="1:7" s="1284" customFormat="1" ht="14.4">
      <c r="A732" s="955"/>
      <c r="B732" s="963" t="s">
        <v>2264</v>
      </c>
      <c r="C732" s="957">
        <f>E730</f>
        <v>26.2</v>
      </c>
      <c r="D732" s="957">
        <f>C731</f>
        <v>0.78</v>
      </c>
      <c r="E732" s="957"/>
      <c r="F732" s="1230">
        <f>C732*D732</f>
        <v>20.436</v>
      </c>
      <c r="G732" s="964" t="s">
        <v>462</v>
      </c>
    </row>
    <row r="733" spans="1:7" s="1284" customFormat="1" ht="14.4">
      <c r="A733" s="955"/>
      <c r="B733" s="961" t="s">
        <v>2266</v>
      </c>
      <c r="C733" s="960"/>
      <c r="D733" s="957"/>
      <c r="E733" s="957"/>
      <c r="F733" s="1230"/>
      <c r="G733" s="964"/>
    </row>
    <row r="734" spans="1:7" s="1284" customFormat="1" ht="14.4">
      <c r="A734" s="955"/>
      <c r="B734" s="1229" t="s">
        <v>2267</v>
      </c>
      <c r="C734" s="960">
        <v>0.6</v>
      </c>
      <c r="D734" s="965">
        <f>'[8]C-data (K)'!$F$86</f>
        <v>129</v>
      </c>
      <c r="E734" s="957">
        <f>C734*D734</f>
        <v>77.399999999999991</v>
      </c>
      <c r="F734" s="962"/>
      <c r="G734" s="958"/>
    </row>
    <row r="735" spans="1:7" s="1284" customFormat="1" ht="14.4">
      <c r="A735" s="955"/>
      <c r="B735" s="1229" t="s">
        <v>771</v>
      </c>
      <c r="C735" s="960">
        <v>0.21</v>
      </c>
      <c r="D735" s="965">
        <f>'[8]C-data (K)'!$F$19</f>
        <v>684</v>
      </c>
      <c r="E735" s="957">
        <f>C735*D735</f>
        <v>143.63999999999999</v>
      </c>
      <c r="F735" s="962"/>
      <c r="G735" s="958"/>
    </row>
    <row r="736" spans="1:7" s="1284" customFormat="1" ht="14.4">
      <c r="A736" s="955"/>
      <c r="B736" s="1229" t="s">
        <v>772</v>
      </c>
      <c r="C736" s="960">
        <v>0.49</v>
      </c>
      <c r="D736" s="965">
        <f>'[8]C-data (K)'!$F$20</f>
        <v>564</v>
      </c>
      <c r="E736" s="957">
        <f>C736*D736</f>
        <v>276.36</v>
      </c>
      <c r="F736" s="962"/>
      <c r="G736" s="958"/>
    </row>
    <row r="737" spans="1:7" s="1284" customFormat="1" ht="14.4">
      <c r="A737" s="955"/>
      <c r="B737" s="963"/>
      <c r="C737" s="960"/>
      <c r="D737" s="957"/>
      <c r="E737" s="1230">
        <f>SUM(E734:E736)</f>
        <v>497.4</v>
      </c>
      <c r="F737" s="964" t="s">
        <v>2268</v>
      </c>
      <c r="G737" s="964"/>
    </row>
    <row r="738" spans="1:7" s="1284" customFormat="1" ht="14.4">
      <c r="A738" s="955"/>
      <c r="B738" s="963"/>
      <c r="C738" s="960"/>
      <c r="D738" s="957"/>
      <c r="E738" s="1230"/>
      <c r="F738" s="964"/>
      <c r="G738" s="964"/>
    </row>
    <row r="739" spans="1:7" s="1284" customFormat="1" ht="28.2">
      <c r="A739" s="953" t="s">
        <v>2269</v>
      </c>
      <c r="B739" s="953" t="s">
        <v>2270</v>
      </c>
      <c r="C739" s="953" t="s">
        <v>2271</v>
      </c>
      <c r="D739" s="967"/>
      <c r="E739" s="953" t="s">
        <v>92</v>
      </c>
      <c r="F739" s="967"/>
      <c r="G739" s="967" t="s">
        <v>151</v>
      </c>
    </row>
    <row r="740" spans="1:7" s="1284" customFormat="1" ht="14.4">
      <c r="A740" s="955">
        <v>1</v>
      </c>
      <c r="B740" s="1229" t="str">
        <f>B720</f>
        <v>Outer frame L angle 35x35x5mm</v>
      </c>
      <c r="C740" s="957">
        <f>F726</f>
        <v>15.391999999999999</v>
      </c>
      <c r="D740" s="968" t="s">
        <v>2272</v>
      </c>
      <c r="E740" s="957"/>
      <c r="F740" s="968"/>
      <c r="G740" s="957"/>
    </row>
    <row r="741" spans="1:7" s="1284" customFormat="1" ht="14.4">
      <c r="A741" s="955">
        <v>2</v>
      </c>
      <c r="B741" s="1229" t="str">
        <f>B727</f>
        <v>10mm square rods safety bars</v>
      </c>
      <c r="C741" s="957">
        <f>F732</f>
        <v>20.436</v>
      </c>
      <c r="D741" s="968" t="s">
        <v>462</v>
      </c>
      <c r="E741" s="957"/>
      <c r="F741" s="968"/>
      <c r="G741" s="957"/>
    </row>
    <row r="742" spans="1:7" s="1284" customFormat="1" ht="14.4">
      <c r="A742" s="969"/>
      <c r="B742" s="970"/>
      <c r="C742" s="1230">
        <f>SUM(C740:C741)</f>
        <v>35.828000000000003</v>
      </c>
      <c r="D742" s="964" t="s">
        <v>462</v>
      </c>
      <c r="E742" s="957">
        <f>[8]LEAD!$P$30/1000</f>
        <v>49</v>
      </c>
      <c r="F742" s="968" t="s">
        <v>462</v>
      </c>
      <c r="G742" s="957">
        <f>ROUND(C742*E742,2)</f>
        <v>1755.57</v>
      </c>
    </row>
    <row r="743" spans="1:7" s="1284" customFormat="1" ht="14.4">
      <c r="A743" s="969">
        <v>3</v>
      </c>
      <c r="B743" s="971" t="s">
        <v>2273</v>
      </c>
      <c r="C743" s="957">
        <f>E718</f>
        <v>1.56</v>
      </c>
      <c r="D743" s="968" t="s">
        <v>461</v>
      </c>
      <c r="E743" s="957">
        <f>E737</f>
        <v>497.4</v>
      </c>
      <c r="F743" s="968" t="s">
        <v>2274</v>
      </c>
      <c r="G743" s="957">
        <f>ROUND(C743*E743/10,2)</f>
        <v>77.59</v>
      </c>
    </row>
    <row r="744" spans="1:7" s="1284" customFormat="1" ht="14.4">
      <c r="A744" s="955">
        <v>4</v>
      </c>
      <c r="B744" s="972" t="s">
        <v>2497</v>
      </c>
      <c r="C744" s="957">
        <f>C742</f>
        <v>35.828000000000003</v>
      </c>
      <c r="D744" s="968" t="s">
        <v>462</v>
      </c>
      <c r="E744" s="957">
        <f>30+4</f>
        <v>34</v>
      </c>
      <c r="F744" s="968" t="s">
        <v>462</v>
      </c>
      <c r="G744" s="957">
        <f>ROUND(C744*E744,2)</f>
        <v>1218.1500000000001</v>
      </c>
    </row>
    <row r="745" spans="1:7" s="954" customFormat="1">
      <c r="A745" s="955">
        <v>5</v>
      </c>
      <c r="B745" s="971" t="s">
        <v>2275</v>
      </c>
      <c r="C745" s="957">
        <f>'[8]C-data (K)'!$E$5</f>
        <v>0.2</v>
      </c>
      <c r="D745" s="968"/>
      <c r="E745" s="957">
        <f>G744</f>
        <v>1218.1500000000001</v>
      </c>
      <c r="F745" s="968"/>
      <c r="G745" s="957">
        <f>ROUND(C745*E745,2)</f>
        <v>243.63</v>
      </c>
    </row>
    <row r="746" spans="1:7" s="1284" customFormat="1" ht="14.4">
      <c r="A746" s="955"/>
      <c r="B746" s="971"/>
      <c r="C746" s="960"/>
      <c r="D746" s="957"/>
      <c r="E746" s="960"/>
      <c r="F746" s="957"/>
      <c r="G746" s="1230">
        <f>SUM(G742:G745)</f>
        <v>3294.94</v>
      </c>
    </row>
    <row r="747" spans="1:7" s="1284" customFormat="1" ht="14.4">
      <c r="A747" s="955">
        <v>6</v>
      </c>
      <c r="B747" s="1277" t="str">
        <f>'[8]C-data (K)'!$C$174</f>
        <v>Add 5% over heads</v>
      </c>
      <c r="C747" s="974">
        <f>'[8]C-data (K)'!$D$3</f>
        <v>0</v>
      </c>
      <c r="D747" s="957"/>
      <c r="E747" s="960"/>
      <c r="F747" s="957"/>
      <c r="G747" s="957">
        <f>G746*C747</f>
        <v>0</v>
      </c>
    </row>
    <row r="748" spans="1:7" s="1284" customFormat="1" ht="14.4">
      <c r="A748" s="955"/>
      <c r="B748" s="971"/>
      <c r="C748" s="957"/>
      <c r="D748" s="957"/>
      <c r="E748" s="960"/>
      <c r="F748" s="957"/>
      <c r="G748" s="1230">
        <f>SUM(G746:G747)</f>
        <v>3294.94</v>
      </c>
    </row>
    <row r="749" spans="1:7" s="1284" customFormat="1" ht="14.4">
      <c r="A749" s="955"/>
      <c r="B749" s="975" t="s">
        <v>1806</v>
      </c>
      <c r="C749" s="960"/>
      <c r="D749" s="957"/>
      <c r="E749" s="1610" t="s">
        <v>2276</v>
      </c>
      <c r="F749" s="1610"/>
      <c r="G749" s="1230">
        <f>ROUND(G748,0)</f>
        <v>3295</v>
      </c>
    </row>
    <row r="750" spans="1:7">
      <c r="A750" s="951"/>
      <c r="B750" s="951"/>
      <c r="C750" s="952"/>
      <c r="D750" s="951"/>
      <c r="E750" s="951"/>
      <c r="F750" s="951"/>
      <c r="G750" s="951"/>
    </row>
    <row r="751" spans="1:7" s="954" customFormat="1" ht="14.1">
      <c r="A751" s="953">
        <v>22</v>
      </c>
      <c r="B751" s="1611" t="s">
        <v>2519</v>
      </c>
      <c r="C751" s="1611"/>
      <c r="D751" s="1611"/>
      <c r="E751" s="1611"/>
      <c r="F751" s="1611"/>
      <c r="G751" s="1611"/>
    </row>
    <row r="752" spans="1:7" s="954" customFormat="1" ht="14.1">
      <c r="A752" s="955"/>
      <c r="B752" s="956" t="s">
        <v>2259</v>
      </c>
      <c r="C752" s="957">
        <v>3.3</v>
      </c>
      <c r="D752" s="957">
        <v>0.3</v>
      </c>
      <c r="E752" s="1230">
        <f>C752*D752</f>
        <v>0.98999999999999988</v>
      </c>
      <c r="F752" s="958" t="s">
        <v>547</v>
      </c>
      <c r="G752" s="958"/>
    </row>
    <row r="753" spans="1:7" s="954" customFormat="1" ht="14.1">
      <c r="A753" s="955"/>
      <c r="B753" s="1229"/>
      <c r="C753" s="959"/>
      <c r="D753" s="958"/>
      <c r="E753" s="960"/>
      <c r="F753" s="958"/>
      <c r="G753" s="958"/>
    </row>
    <row r="754" spans="1:7" s="954" customFormat="1" ht="14.1">
      <c r="A754" s="955"/>
      <c r="B754" s="961" t="s">
        <v>2260</v>
      </c>
      <c r="C754" s="959"/>
      <c r="D754" s="958"/>
      <c r="E754" s="960"/>
      <c r="F754" s="958"/>
      <c r="G754" s="958"/>
    </row>
    <row r="755" spans="1:7" s="954" customFormat="1" ht="14.1">
      <c r="A755" s="955"/>
      <c r="B755" s="1229" t="s">
        <v>2261</v>
      </c>
      <c r="C755" s="960">
        <v>2</v>
      </c>
      <c r="D755" s="957">
        <f>D752</f>
        <v>0.3</v>
      </c>
      <c r="E755" s="957">
        <f>C755*D755</f>
        <v>0.6</v>
      </c>
      <c r="F755" s="962"/>
      <c r="G755" s="958"/>
    </row>
    <row r="756" spans="1:7" s="954" customFormat="1" ht="14.1">
      <c r="A756" s="955"/>
      <c r="B756" s="1229" t="s">
        <v>1475</v>
      </c>
      <c r="C756" s="960">
        <v>2</v>
      </c>
      <c r="D756" s="957">
        <f>C752</f>
        <v>3.3</v>
      </c>
      <c r="E756" s="957">
        <f>C756*D756</f>
        <v>6.6</v>
      </c>
      <c r="F756" s="962"/>
      <c r="G756" s="958"/>
    </row>
    <row r="757" spans="1:7" s="954" customFormat="1" ht="14.1">
      <c r="A757" s="955"/>
      <c r="B757" s="1229" t="s">
        <v>1510</v>
      </c>
      <c r="C757" s="960">
        <v>2</v>
      </c>
      <c r="D757" s="957">
        <v>0.23</v>
      </c>
      <c r="E757" s="957">
        <f>C757*D757</f>
        <v>0.46</v>
      </c>
      <c r="F757" s="962"/>
      <c r="G757" s="958"/>
    </row>
    <row r="758" spans="1:7" s="954" customFormat="1" ht="14.1">
      <c r="A758" s="955"/>
      <c r="B758" s="1229"/>
      <c r="C758" s="960"/>
      <c r="D758" s="957"/>
      <c r="E758" s="1230">
        <f>SUM(E755:E757)</f>
        <v>7.6599999999999993</v>
      </c>
      <c r="F758" s="962"/>
      <c r="G758" s="958"/>
    </row>
    <row r="759" spans="1:7" s="954" customFormat="1" ht="14.1">
      <c r="A759" s="955"/>
      <c r="B759" s="1229" t="s">
        <v>2262</v>
      </c>
      <c r="C759" s="957">
        <v>1.8</v>
      </c>
      <c r="D759" s="957" t="s">
        <v>2263</v>
      </c>
      <c r="E759" s="957"/>
      <c r="F759" s="962"/>
      <c r="G759" s="958"/>
    </row>
    <row r="760" spans="1:7" s="954" customFormat="1" ht="14.1">
      <c r="A760" s="955"/>
      <c r="B760" s="963" t="s">
        <v>2264</v>
      </c>
      <c r="C760" s="957">
        <f>E758</f>
        <v>7.6599999999999993</v>
      </c>
      <c r="D760" s="957">
        <f>C759</f>
        <v>1.8</v>
      </c>
      <c r="E760" s="957"/>
      <c r="F760" s="1230">
        <f>C760*D760</f>
        <v>13.787999999999998</v>
      </c>
      <c r="G760" s="964" t="s">
        <v>462</v>
      </c>
    </row>
    <row r="761" spans="1:7" s="954" customFormat="1" ht="14.1">
      <c r="A761" s="955"/>
      <c r="B761" s="963"/>
      <c r="C761" s="957"/>
      <c r="D761" s="957"/>
      <c r="E761" s="957"/>
      <c r="F761" s="1230"/>
      <c r="G761" s="964"/>
    </row>
    <row r="762" spans="1:7" s="954" customFormat="1" ht="14.1">
      <c r="A762" s="955"/>
      <c r="B762" s="961" t="s">
        <v>2265</v>
      </c>
      <c r="C762" s="959"/>
      <c r="D762" s="958"/>
      <c r="E762" s="960"/>
      <c r="F762" s="958"/>
      <c r="G762" s="958"/>
    </row>
    <row r="763" spans="1:7" s="954" customFormat="1" ht="14.1">
      <c r="A763" s="955"/>
      <c r="B763" s="1229" t="s">
        <v>1477</v>
      </c>
      <c r="C763" s="960">
        <v>31</v>
      </c>
      <c r="D763" s="957">
        <f>D755</f>
        <v>0.3</v>
      </c>
      <c r="E763" s="957">
        <f>C763*D763</f>
        <v>9.2999999999999989</v>
      </c>
      <c r="F763" s="962"/>
      <c r="G763" s="958"/>
    </row>
    <row r="764" spans="1:7" s="954" customFormat="1" ht="14.1">
      <c r="A764" s="955"/>
      <c r="B764" s="1229" t="s">
        <v>1475</v>
      </c>
      <c r="C764" s="960">
        <v>2</v>
      </c>
      <c r="D764" s="957">
        <f>D756</f>
        <v>3.3</v>
      </c>
      <c r="E764" s="957">
        <f>C764*D764</f>
        <v>6.6</v>
      </c>
      <c r="F764" s="962"/>
      <c r="G764" s="958"/>
    </row>
    <row r="765" spans="1:7" s="954" customFormat="1" ht="14.1">
      <c r="A765" s="955"/>
      <c r="B765" s="1229"/>
      <c r="C765" s="960"/>
      <c r="D765" s="957"/>
      <c r="E765" s="1230">
        <f>SUM(E763:E764)</f>
        <v>15.899999999999999</v>
      </c>
      <c r="F765" s="962"/>
      <c r="G765" s="958"/>
    </row>
    <row r="766" spans="1:7" s="954" customFormat="1" ht="14.1">
      <c r="A766" s="955"/>
      <c r="B766" s="1229" t="s">
        <v>2262</v>
      </c>
      <c r="C766" s="957">
        <v>0.78</v>
      </c>
      <c r="D766" s="957" t="s">
        <v>2263</v>
      </c>
      <c r="E766" s="957"/>
      <c r="F766" s="962"/>
      <c r="G766" s="958"/>
    </row>
    <row r="767" spans="1:7" s="954" customFormat="1" ht="14.1">
      <c r="A767" s="955"/>
      <c r="B767" s="963" t="s">
        <v>2264</v>
      </c>
      <c r="C767" s="957">
        <f>E765</f>
        <v>15.899999999999999</v>
      </c>
      <c r="D767" s="957">
        <f>C766</f>
        <v>0.78</v>
      </c>
      <c r="E767" s="957"/>
      <c r="F767" s="1230">
        <f>C767*D767</f>
        <v>12.401999999999999</v>
      </c>
      <c r="G767" s="964" t="s">
        <v>462</v>
      </c>
    </row>
    <row r="768" spans="1:7" s="954" customFormat="1" ht="14.1">
      <c r="A768" s="955"/>
      <c r="B768" s="963"/>
      <c r="C768" s="957"/>
      <c r="D768" s="957"/>
      <c r="E768" s="957"/>
      <c r="F768" s="1230"/>
      <c r="G768" s="964"/>
    </row>
    <row r="769" spans="1:7" s="954" customFormat="1" ht="14.1">
      <c r="A769" s="955"/>
      <c r="B769" s="961" t="s">
        <v>2266</v>
      </c>
      <c r="C769" s="960"/>
      <c r="D769" s="957"/>
      <c r="E769" s="957"/>
      <c r="F769" s="1230"/>
      <c r="G769" s="964"/>
    </row>
    <row r="770" spans="1:7" s="954" customFormat="1" ht="14.1">
      <c r="A770" s="955"/>
      <c r="B770" s="1229" t="s">
        <v>2267</v>
      </c>
      <c r="C770" s="960">
        <v>0.6</v>
      </c>
      <c r="D770" s="965">
        <f>'[8]C-data (K)'!$F$86</f>
        <v>129</v>
      </c>
      <c r="E770" s="957">
        <f>C770*D770</f>
        <v>77.399999999999991</v>
      </c>
      <c r="F770" s="962"/>
      <c r="G770" s="958"/>
    </row>
    <row r="771" spans="1:7" s="954" customFormat="1" ht="14.1">
      <c r="A771" s="955"/>
      <c r="B771" s="1229" t="s">
        <v>771</v>
      </c>
      <c r="C771" s="960">
        <v>0.21</v>
      </c>
      <c r="D771" s="965">
        <f>'[8]C-data (K)'!$F$19</f>
        <v>684</v>
      </c>
      <c r="E771" s="957">
        <f>C771*D771</f>
        <v>143.63999999999999</v>
      </c>
      <c r="F771" s="962"/>
      <c r="G771" s="958"/>
    </row>
    <row r="772" spans="1:7" s="954" customFormat="1" ht="14.1">
      <c r="A772" s="955"/>
      <c r="B772" s="1229" t="s">
        <v>772</v>
      </c>
      <c r="C772" s="960">
        <v>0.49</v>
      </c>
      <c r="D772" s="965">
        <f>'[8]C-data (K)'!$F$20</f>
        <v>564</v>
      </c>
      <c r="E772" s="957">
        <f>C772*D772</f>
        <v>276.36</v>
      </c>
      <c r="F772" s="962"/>
      <c r="G772" s="958"/>
    </row>
    <row r="773" spans="1:7" s="954" customFormat="1" ht="14.1">
      <c r="A773" s="955"/>
      <c r="B773" s="963"/>
      <c r="C773" s="960"/>
      <c r="D773" s="957"/>
      <c r="E773" s="1230">
        <f>SUM(E770:E772)</f>
        <v>497.4</v>
      </c>
      <c r="F773" s="966" t="s">
        <v>2268</v>
      </c>
      <c r="G773" s="964"/>
    </row>
    <row r="774" spans="1:7" s="954" customFormat="1" ht="14.1">
      <c r="A774" s="955"/>
      <c r="B774" s="963"/>
      <c r="C774" s="960"/>
      <c r="D774" s="957"/>
      <c r="E774" s="1230"/>
      <c r="F774" s="964"/>
      <c r="G774" s="964"/>
    </row>
    <row r="775" spans="1:7" s="954" customFormat="1" ht="28.2">
      <c r="A775" s="953" t="s">
        <v>2269</v>
      </c>
      <c r="B775" s="953" t="s">
        <v>2270</v>
      </c>
      <c r="C775" s="953" t="s">
        <v>2271</v>
      </c>
      <c r="D775" s="967"/>
      <c r="E775" s="953" t="s">
        <v>92</v>
      </c>
      <c r="F775" s="967"/>
      <c r="G775" s="967" t="s">
        <v>151</v>
      </c>
    </row>
    <row r="776" spans="1:7" s="954" customFormat="1">
      <c r="A776" s="955">
        <v>1</v>
      </c>
      <c r="B776" s="1229" t="str">
        <f>B754</f>
        <v>Outer frame "L' angle 25x25x5mm</v>
      </c>
      <c r="C776" s="957">
        <f>F760</f>
        <v>13.787999999999998</v>
      </c>
      <c r="D776" s="968" t="s">
        <v>2272</v>
      </c>
      <c r="E776" s="957"/>
      <c r="F776" s="968"/>
      <c r="G776" s="957"/>
    </row>
    <row r="777" spans="1:7" s="954" customFormat="1">
      <c r="A777" s="955">
        <v>2</v>
      </c>
      <c r="B777" s="1229" t="str">
        <f>B762</f>
        <v>10mm square rods safety bars</v>
      </c>
      <c r="C777" s="957">
        <f>F767</f>
        <v>12.401999999999999</v>
      </c>
      <c r="D777" s="968" t="s">
        <v>462</v>
      </c>
      <c r="E777" s="957"/>
      <c r="F777" s="968"/>
      <c r="G777" s="957"/>
    </row>
    <row r="778" spans="1:7" s="954" customFormat="1" ht="14.1">
      <c r="A778" s="969"/>
      <c r="B778" s="970"/>
      <c r="C778" s="1230">
        <f>SUM(C776:C777)</f>
        <v>26.189999999999998</v>
      </c>
      <c r="D778" s="968" t="s">
        <v>462</v>
      </c>
      <c r="E778" s="957">
        <f>[8]LEAD!$P$30/1000</f>
        <v>49</v>
      </c>
      <c r="F778" s="968" t="s">
        <v>462</v>
      </c>
      <c r="G778" s="957">
        <f>ROUND(C778*E778,2)</f>
        <v>1283.31</v>
      </c>
    </row>
    <row r="779" spans="1:7" s="954" customFormat="1">
      <c r="A779" s="955">
        <v>3</v>
      </c>
      <c r="B779" s="971" t="s">
        <v>2273</v>
      </c>
      <c r="C779" s="957">
        <f>E752</f>
        <v>0.98999999999999988</v>
      </c>
      <c r="D779" s="968" t="s">
        <v>461</v>
      </c>
      <c r="E779" s="957">
        <f>E773</f>
        <v>497.4</v>
      </c>
      <c r="F779" s="968" t="s">
        <v>2274</v>
      </c>
      <c r="G779" s="957">
        <f>ROUND(C779*E779/10,2)</f>
        <v>49.24</v>
      </c>
    </row>
    <row r="780" spans="1:7" s="954" customFormat="1" ht="14.1">
      <c r="A780" s="955">
        <v>4</v>
      </c>
      <c r="B780" s="972" t="s">
        <v>2497</v>
      </c>
      <c r="C780" s="957">
        <f>C778</f>
        <v>26.189999999999998</v>
      </c>
      <c r="D780" s="968" t="s">
        <v>462</v>
      </c>
      <c r="E780" s="957">
        <f>30+4</f>
        <v>34</v>
      </c>
      <c r="F780" s="968" t="s">
        <v>462</v>
      </c>
      <c r="G780" s="957">
        <f>ROUND(C780*E780,2)</f>
        <v>890.46</v>
      </c>
    </row>
    <row r="781" spans="1:7" s="954" customFormat="1">
      <c r="A781" s="955">
        <v>5</v>
      </c>
      <c r="B781" s="971" t="s">
        <v>2275</v>
      </c>
      <c r="C781" s="957">
        <f>'[8]C-data (K)'!$E$5</f>
        <v>0.2</v>
      </c>
      <c r="D781" s="968"/>
      <c r="E781" s="957">
        <f>G780</f>
        <v>890.46</v>
      </c>
      <c r="F781" s="968"/>
      <c r="G781" s="957">
        <f>ROUND(C781*E781,2)</f>
        <v>178.09</v>
      </c>
    </row>
    <row r="782" spans="1:7" s="954" customFormat="1" ht="14.1">
      <c r="A782" s="955"/>
      <c r="B782" s="971"/>
      <c r="C782" s="960"/>
      <c r="D782" s="957"/>
      <c r="E782" s="960"/>
      <c r="F782" s="957"/>
      <c r="G782" s="1230">
        <f>SUM(G778:G781)</f>
        <v>2401.1000000000004</v>
      </c>
    </row>
    <row r="783" spans="1:7" s="954" customFormat="1" ht="14.1">
      <c r="A783" s="955">
        <v>6</v>
      </c>
      <c r="B783" s="1277" t="str">
        <f>'[8]C-data (K)'!$C$174</f>
        <v>Add 5% over heads</v>
      </c>
      <c r="C783" s="974">
        <f>'[8]C-data (K)'!$D$3</f>
        <v>0</v>
      </c>
      <c r="D783" s="957"/>
      <c r="E783" s="960"/>
      <c r="F783" s="957"/>
      <c r="G783" s="957">
        <f>G782*C783</f>
        <v>0</v>
      </c>
    </row>
    <row r="784" spans="1:7" s="954" customFormat="1" ht="14.1">
      <c r="A784" s="955"/>
      <c r="B784" s="971"/>
      <c r="C784" s="957"/>
      <c r="D784" s="957"/>
      <c r="E784" s="960"/>
      <c r="F784" s="957"/>
      <c r="G784" s="1230">
        <f>SUM(G782:G783)</f>
        <v>2401.1000000000004</v>
      </c>
    </row>
    <row r="785" spans="1:7" s="954" customFormat="1" ht="14.1">
      <c r="A785" s="955"/>
      <c r="B785" s="975" t="s">
        <v>1806</v>
      </c>
      <c r="C785" s="960"/>
      <c r="D785" s="957"/>
      <c r="E785" s="1610" t="s">
        <v>2276</v>
      </c>
      <c r="F785" s="1610"/>
      <c r="G785" s="1230">
        <f>ROUND(G784,0)</f>
        <v>2401</v>
      </c>
    </row>
    <row r="786" spans="1:7">
      <c r="A786" s="951"/>
      <c r="B786" s="951"/>
      <c r="C786" s="952"/>
      <c r="D786" s="951"/>
      <c r="E786" s="951"/>
      <c r="F786" s="951"/>
      <c r="G786" s="951"/>
    </row>
    <row r="787" spans="1:7" s="954" customFormat="1" ht="14.1">
      <c r="A787" s="953">
        <v>23</v>
      </c>
      <c r="B787" s="1611" t="s">
        <v>2520</v>
      </c>
      <c r="C787" s="1611"/>
      <c r="D787" s="1611"/>
      <c r="E787" s="1611"/>
      <c r="F787" s="1611"/>
      <c r="G787" s="1611"/>
    </row>
    <row r="788" spans="1:7" s="954" customFormat="1" ht="14.1">
      <c r="A788" s="955"/>
      <c r="B788" s="956" t="s">
        <v>2259</v>
      </c>
      <c r="C788" s="957">
        <v>3.3</v>
      </c>
      <c r="D788" s="957">
        <v>0.3</v>
      </c>
      <c r="E788" s="1230">
        <f>C788*D788</f>
        <v>0.98999999999999988</v>
      </c>
      <c r="F788" s="958" t="s">
        <v>547</v>
      </c>
      <c r="G788" s="958"/>
    </row>
    <row r="789" spans="1:7" s="954" customFormat="1" ht="14.1">
      <c r="A789" s="955"/>
      <c r="B789" s="1229"/>
      <c r="C789" s="959"/>
      <c r="D789" s="958"/>
      <c r="E789" s="960"/>
      <c r="F789" s="958"/>
      <c r="G789" s="958"/>
    </row>
    <row r="790" spans="1:7" s="954" customFormat="1" ht="14.1">
      <c r="A790" s="955"/>
      <c r="B790" s="961" t="s">
        <v>2500</v>
      </c>
      <c r="C790" s="959"/>
      <c r="D790" s="958"/>
      <c r="E790" s="960"/>
      <c r="F790" s="958"/>
      <c r="G790" s="958"/>
    </row>
    <row r="791" spans="1:7" s="954" customFormat="1" ht="14.1">
      <c r="A791" s="955"/>
      <c r="B791" s="1229" t="s">
        <v>2261</v>
      </c>
      <c r="C791" s="960">
        <v>2</v>
      </c>
      <c r="D791" s="957">
        <f>D788</f>
        <v>0.3</v>
      </c>
      <c r="E791" s="957">
        <f>C791*D791</f>
        <v>0.6</v>
      </c>
      <c r="F791" s="962"/>
      <c r="G791" s="958"/>
    </row>
    <row r="792" spans="1:7" s="954" customFormat="1" ht="14.1">
      <c r="A792" s="955"/>
      <c r="B792" s="1229" t="s">
        <v>1475</v>
      </c>
      <c r="C792" s="960">
        <v>2</v>
      </c>
      <c r="D792" s="957">
        <f>C788</f>
        <v>3.3</v>
      </c>
      <c r="E792" s="957">
        <f>C792*D792</f>
        <v>6.6</v>
      </c>
      <c r="F792" s="962"/>
      <c r="G792" s="958"/>
    </row>
    <row r="793" spans="1:7" s="954" customFormat="1" ht="14.1">
      <c r="A793" s="955"/>
      <c r="B793" s="1229" t="s">
        <v>1510</v>
      </c>
      <c r="C793" s="960">
        <v>2</v>
      </c>
      <c r="D793" s="957">
        <v>0.23</v>
      </c>
      <c r="E793" s="957">
        <f>C793*D793</f>
        <v>0.46</v>
      </c>
      <c r="F793" s="962"/>
      <c r="G793" s="958"/>
    </row>
    <row r="794" spans="1:7" s="954" customFormat="1" ht="14.1">
      <c r="A794" s="955"/>
      <c r="B794" s="1229"/>
      <c r="C794" s="960"/>
      <c r="D794" s="957"/>
      <c r="E794" s="1230">
        <f>SUM(E791:E793)</f>
        <v>7.6599999999999993</v>
      </c>
      <c r="F794" s="962"/>
      <c r="G794" s="958"/>
    </row>
    <row r="795" spans="1:7" s="954" customFormat="1" ht="14.1">
      <c r="A795" s="955"/>
      <c r="B795" s="1229" t="s">
        <v>2262</v>
      </c>
      <c r="C795" s="957">
        <v>2.6</v>
      </c>
      <c r="D795" s="957" t="s">
        <v>2263</v>
      </c>
      <c r="E795" s="957"/>
      <c r="F795" s="962"/>
      <c r="G795" s="958"/>
    </row>
    <row r="796" spans="1:7" s="954" customFormat="1" ht="14.1">
      <c r="A796" s="955"/>
      <c r="B796" s="963" t="s">
        <v>2264</v>
      </c>
      <c r="C796" s="957">
        <f>E794</f>
        <v>7.6599999999999993</v>
      </c>
      <c r="D796" s="957">
        <f>C795</f>
        <v>2.6</v>
      </c>
      <c r="E796" s="957"/>
      <c r="F796" s="1230">
        <f>C796*D796</f>
        <v>19.916</v>
      </c>
      <c r="G796" s="964" t="s">
        <v>462</v>
      </c>
    </row>
    <row r="797" spans="1:7" s="954" customFormat="1" ht="14.1">
      <c r="A797" s="955"/>
      <c r="B797" s="963"/>
      <c r="C797" s="957"/>
      <c r="D797" s="957"/>
      <c r="E797" s="957"/>
      <c r="F797" s="1230"/>
      <c r="G797" s="964"/>
    </row>
    <row r="798" spans="1:7" s="954" customFormat="1" ht="14.1">
      <c r="A798" s="955"/>
      <c r="B798" s="961" t="s">
        <v>2265</v>
      </c>
      <c r="C798" s="959"/>
      <c r="D798" s="958"/>
      <c r="E798" s="960"/>
      <c r="F798" s="958"/>
      <c r="G798" s="958"/>
    </row>
    <row r="799" spans="1:7" s="954" customFormat="1" ht="14.1">
      <c r="A799" s="955"/>
      <c r="B799" s="1229" t="s">
        <v>1477</v>
      </c>
      <c r="C799" s="960">
        <v>31</v>
      </c>
      <c r="D799" s="957">
        <f>D791</f>
        <v>0.3</v>
      </c>
      <c r="E799" s="957">
        <f>C799*D799</f>
        <v>9.2999999999999989</v>
      </c>
      <c r="F799" s="962"/>
      <c r="G799" s="958"/>
    </row>
    <row r="800" spans="1:7" s="954" customFormat="1" ht="14.1">
      <c r="A800" s="955"/>
      <c r="B800" s="1229" t="s">
        <v>1475</v>
      </c>
      <c r="C800" s="960">
        <v>2</v>
      </c>
      <c r="D800" s="957">
        <f>D792</f>
        <v>3.3</v>
      </c>
      <c r="E800" s="957">
        <f>C800*D800</f>
        <v>6.6</v>
      </c>
      <c r="F800" s="962"/>
      <c r="G800" s="958"/>
    </row>
    <row r="801" spans="1:7" s="954" customFormat="1" ht="14.1">
      <c r="A801" s="955"/>
      <c r="B801" s="1229"/>
      <c r="C801" s="960"/>
      <c r="D801" s="957"/>
      <c r="E801" s="1230">
        <f>SUM(E799:E800)</f>
        <v>15.899999999999999</v>
      </c>
      <c r="F801" s="962"/>
      <c r="G801" s="958"/>
    </row>
    <row r="802" spans="1:7" s="954" customFormat="1" ht="14.1">
      <c r="A802" s="955"/>
      <c r="B802" s="1229" t="s">
        <v>2262</v>
      </c>
      <c r="C802" s="957">
        <v>0.78</v>
      </c>
      <c r="D802" s="957" t="s">
        <v>2263</v>
      </c>
      <c r="E802" s="957"/>
      <c r="F802" s="962"/>
      <c r="G802" s="958"/>
    </row>
    <row r="803" spans="1:7" s="954" customFormat="1" ht="14.1">
      <c r="A803" s="955"/>
      <c r="B803" s="963" t="s">
        <v>2264</v>
      </c>
      <c r="C803" s="957">
        <f>E801</f>
        <v>15.899999999999999</v>
      </c>
      <c r="D803" s="957">
        <f>C802</f>
        <v>0.78</v>
      </c>
      <c r="E803" s="957"/>
      <c r="F803" s="1230">
        <f>C803*D803</f>
        <v>12.401999999999999</v>
      </c>
      <c r="G803" s="964" t="s">
        <v>462</v>
      </c>
    </row>
    <row r="804" spans="1:7" s="954" customFormat="1" ht="14.1">
      <c r="A804" s="955"/>
      <c r="B804" s="963"/>
      <c r="C804" s="957"/>
      <c r="D804" s="957"/>
      <c r="E804" s="957"/>
      <c r="F804" s="1230"/>
      <c r="G804" s="964"/>
    </row>
    <row r="805" spans="1:7" s="954" customFormat="1" ht="14.1">
      <c r="A805" s="955"/>
      <c r="B805" s="961" t="s">
        <v>2266</v>
      </c>
      <c r="C805" s="960"/>
      <c r="D805" s="957"/>
      <c r="E805" s="957"/>
      <c r="F805" s="1230"/>
      <c r="G805" s="964"/>
    </row>
    <row r="806" spans="1:7" s="954" customFormat="1" ht="14.1">
      <c r="A806" s="955"/>
      <c r="B806" s="1229" t="s">
        <v>2267</v>
      </c>
      <c r="C806" s="960">
        <v>0.6</v>
      </c>
      <c r="D806" s="965">
        <f>'[8]C-data (K)'!$F$86</f>
        <v>129</v>
      </c>
      <c r="E806" s="957">
        <f>C806*D806</f>
        <v>77.399999999999991</v>
      </c>
      <c r="F806" s="962"/>
      <c r="G806" s="958"/>
    </row>
    <row r="807" spans="1:7" s="954" customFormat="1" ht="14.1">
      <c r="A807" s="955"/>
      <c r="B807" s="1229" t="s">
        <v>771</v>
      </c>
      <c r="C807" s="960">
        <v>0.21</v>
      </c>
      <c r="D807" s="965">
        <f>'[8]C-data (K)'!$F$19</f>
        <v>684</v>
      </c>
      <c r="E807" s="957">
        <f>C807*D807</f>
        <v>143.63999999999999</v>
      </c>
      <c r="F807" s="962"/>
      <c r="G807" s="958"/>
    </row>
    <row r="808" spans="1:7" s="954" customFormat="1" ht="14.1">
      <c r="A808" s="955"/>
      <c r="B808" s="1229" t="s">
        <v>772</v>
      </c>
      <c r="C808" s="960">
        <v>0.49</v>
      </c>
      <c r="D808" s="965">
        <f>'[8]C-data (K)'!$F$20</f>
        <v>564</v>
      </c>
      <c r="E808" s="957">
        <f>C808*D808</f>
        <v>276.36</v>
      </c>
      <c r="F808" s="962"/>
      <c r="G808" s="958"/>
    </row>
    <row r="809" spans="1:7" s="954" customFormat="1" ht="14.1">
      <c r="A809" s="955"/>
      <c r="B809" s="963"/>
      <c r="C809" s="960"/>
      <c r="D809" s="957"/>
      <c r="E809" s="1230">
        <f>SUM(E806:E808)</f>
        <v>497.4</v>
      </c>
      <c r="F809" s="966" t="s">
        <v>2268</v>
      </c>
      <c r="G809" s="964"/>
    </row>
    <row r="810" spans="1:7" s="954" customFormat="1" ht="14.1">
      <c r="A810" s="955"/>
      <c r="B810" s="963"/>
      <c r="C810" s="960"/>
      <c r="D810" s="957"/>
      <c r="E810" s="1230"/>
      <c r="F810" s="964"/>
      <c r="G810" s="964"/>
    </row>
    <row r="811" spans="1:7" s="954" customFormat="1" ht="28.2">
      <c r="A811" s="953" t="s">
        <v>2269</v>
      </c>
      <c r="B811" s="953" t="s">
        <v>2270</v>
      </c>
      <c r="C811" s="953" t="s">
        <v>2271</v>
      </c>
      <c r="D811" s="967"/>
      <c r="E811" s="953" t="s">
        <v>92</v>
      </c>
      <c r="F811" s="967"/>
      <c r="G811" s="967" t="s">
        <v>151</v>
      </c>
    </row>
    <row r="812" spans="1:7" s="954" customFormat="1">
      <c r="A812" s="955">
        <v>1</v>
      </c>
      <c r="B812" s="1229" t="str">
        <f>B790</f>
        <v>Outer frame "L' angle 35x35x5mm</v>
      </c>
      <c r="C812" s="957">
        <f>F796</f>
        <v>19.916</v>
      </c>
      <c r="D812" s="968" t="s">
        <v>2272</v>
      </c>
      <c r="E812" s="957"/>
      <c r="F812" s="968"/>
      <c r="G812" s="957"/>
    </row>
    <row r="813" spans="1:7" s="954" customFormat="1">
      <c r="A813" s="955">
        <v>2</v>
      </c>
      <c r="B813" s="1229" t="str">
        <f>B798</f>
        <v>10mm square rods safety bars</v>
      </c>
      <c r="C813" s="957">
        <f>F803</f>
        <v>12.401999999999999</v>
      </c>
      <c r="D813" s="968" t="s">
        <v>462</v>
      </c>
      <c r="E813" s="957"/>
      <c r="F813" s="968"/>
      <c r="G813" s="957"/>
    </row>
    <row r="814" spans="1:7" s="954" customFormat="1" ht="14.1">
      <c r="A814" s="969"/>
      <c r="B814" s="970"/>
      <c r="C814" s="1230">
        <f>SUM(C812:C813)</f>
        <v>32.317999999999998</v>
      </c>
      <c r="D814" s="968" t="s">
        <v>462</v>
      </c>
      <c r="E814" s="957">
        <f>[8]LEAD!$P$30/1000</f>
        <v>49</v>
      </c>
      <c r="F814" s="968" t="s">
        <v>462</v>
      </c>
      <c r="G814" s="957">
        <f>ROUND(C814*E814,2)</f>
        <v>1583.58</v>
      </c>
    </row>
    <row r="815" spans="1:7" s="954" customFormat="1">
      <c r="A815" s="955">
        <v>3</v>
      </c>
      <c r="B815" s="971" t="s">
        <v>2273</v>
      </c>
      <c r="C815" s="957">
        <f>E788</f>
        <v>0.98999999999999988</v>
      </c>
      <c r="D815" s="968" t="s">
        <v>461</v>
      </c>
      <c r="E815" s="957">
        <f>E809</f>
        <v>497.4</v>
      </c>
      <c r="F815" s="968" t="s">
        <v>2274</v>
      </c>
      <c r="G815" s="957">
        <f>ROUND(C815*E815/10,2)</f>
        <v>49.24</v>
      </c>
    </row>
    <row r="816" spans="1:7" s="954" customFormat="1" ht="14.1">
      <c r="A816" s="955">
        <v>4</v>
      </c>
      <c r="B816" s="972" t="s">
        <v>2497</v>
      </c>
      <c r="C816" s="957">
        <f>C814</f>
        <v>32.317999999999998</v>
      </c>
      <c r="D816" s="968" t="s">
        <v>462</v>
      </c>
      <c r="E816" s="957">
        <f>30+4</f>
        <v>34</v>
      </c>
      <c r="F816" s="968" t="s">
        <v>462</v>
      </c>
      <c r="G816" s="957">
        <f>ROUND(C816*E816,2)</f>
        <v>1098.81</v>
      </c>
    </row>
    <row r="817" spans="1:7" s="954" customFormat="1">
      <c r="A817" s="955">
        <v>5</v>
      </c>
      <c r="B817" s="971" t="s">
        <v>2275</v>
      </c>
      <c r="C817" s="957">
        <f>'[8]C-data (K)'!$E$5</f>
        <v>0.2</v>
      </c>
      <c r="D817" s="968"/>
      <c r="E817" s="957">
        <f>G816</f>
        <v>1098.81</v>
      </c>
      <c r="F817" s="968"/>
      <c r="G817" s="957">
        <f>ROUND(C817*E817,2)</f>
        <v>219.76</v>
      </c>
    </row>
    <row r="818" spans="1:7" s="954" customFormat="1" ht="14.1">
      <c r="A818" s="955"/>
      <c r="B818" s="971"/>
      <c r="C818" s="960"/>
      <c r="D818" s="957"/>
      <c r="E818" s="960"/>
      <c r="F818" s="957"/>
      <c r="G818" s="1230">
        <f>SUM(G814:G817)</f>
        <v>2951.3900000000003</v>
      </c>
    </row>
    <row r="819" spans="1:7" s="954" customFormat="1" ht="14.1">
      <c r="A819" s="955">
        <v>6</v>
      </c>
      <c r="B819" s="1277" t="str">
        <f>'[8]C-data (K)'!$C$174</f>
        <v>Add 5% over heads</v>
      </c>
      <c r="C819" s="974">
        <f>'[8]C-data (K)'!$D$3</f>
        <v>0</v>
      </c>
      <c r="D819" s="957"/>
      <c r="E819" s="960"/>
      <c r="F819" s="957"/>
      <c r="G819" s="957">
        <f>G818*C819</f>
        <v>0</v>
      </c>
    </row>
    <row r="820" spans="1:7" s="954" customFormat="1">
      <c r="A820" s="955"/>
      <c r="B820" s="971"/>
      <c r="C820" s="957"/>
      <c r="D820" s="957"/>
      <c r="E820" s="960"/>
      <c r="F820" s="957"/>
      <c r="G820" s="957">
        <f>SUM(G818:G819)</f>
        <v>2951.3900000000003</v>
      </c>
    </row>
    <row r="821" spans="1:7" s="954" customFormat="1" ht="14.1">
      <c r="A821" s="955"/>
      <c r="B821" s="975" t="s">
        <v>1806</v>
      </c>
      <c r="C821" s="960"/>
      <c r="D821" s="957"/>
      <c r="E821" s="1610" t="s">
        <v>2276</v>
      </c>
      <c r="F821" s="1610"/>
      <c r="G821" s="1230">
        <f>ROUND(G820,0)</f>
        <v>2951</v>
      </c>
    </row>
    <row r="822" spans="1:7">
      <c r="A822" s="951"/>
      <c r="B822" s="951"/>
      <c r="C822" s="952"/>
      <c r="D822" s="951"/>
      <c r="E822" s="951"/>
      <c r="F822" s="951"/>
      <c r="G822" s="951"/>
    </row>
    <row r="823" spans="1:7" s="954" customFormat="1" ht="14.1">
      <c r="A823" s="953">
        <v>24</v>
      </c>
      <c r="B823" s="1611" t="s">
        <v>2521</v>
      </c>
      <c r="C823" s="1611"/>
      <c r="D823" s="1611"/>
      <c r="E823" s="1611"/>
      <c r="F823" s="1611"/>
      <c r="G823" s="1611"/>
    </row>
    <row r="824" spans="1:7" s="954" customFormat="1" ht="14.1">
      <c r="A824" s="955"/>
      <c r="B824" s="956" t="s">
        <v>2259</v>
      </c>
      <c r="C824" s="957">
        <v>3.3</v>
      </c>
      <c r="D824" s="957">
        <v>0.45</v>
      </c>
      <c r="E824" s="1230">
        <f>C824*D824</f>
        <v>1.4849999999999999</v>
      </c>
      <c r="F824" s="958" t="s">
        <v>547</v>
      </c>
      <c r="G824" s="958"/>
    </row>
    <row r="825" spans="1:7" s="954" customFormat="1" ht="14.1">
      <c r="A825" s="955"/>
      <c r="B825" s="1229"/>
      <c r="C825" s="959"/>
      <c r="D825" s="958"/>
      <c r="E825" s="960"/>
      <c r="F825" s="958"/>
      <c r="G825" s="958"/>
    </row>
    <row r="826" spans="1:7" s="954" customFormat="1" ht="14.1">
      <c r="A826" s="955"/>
      <c r="B826" s="961" t="s">
        <v>2260</v>
      </c>
      <c r="C826" s="959"/>
      <c r="D826" s="958"/>
      <c r="E826" s="960"/>
      <c r="F826" s="958"/>
      <c r="G826" s="958"/>
    </row>
    <row r="827" spans="1:7" s="954" customFormat="1" ht="14.1">
      <c r="A827" s="955"/>
      <c r="B827" s="1229" t="s">
        <v>2261</v>
      </c>
      <c r="C827" s="960">
        <v>2</v>
      </c>
      <c r="D827" s="957">
        <f>D824</f>
        <v>0.45</v>
      </c>
      <c r="E827" s="957">
        <f>C827*D827</f>
        <v>0.9</v>
      </c>
      <c r="F827" s="962"/>
      <c r="G827" s="958"/>
    </row>
    <row r="828" spans="1:7" s="954" customFormat="1" ht="14.1">
      <c r="A828" s="955"/>
      <c r="B828" s="1229" t="s">
        <v>1475</v>
      </c>
      <c r="C828" s="960">
        <v>2</v>
      </c>
      <c r="D828" s="957">
        <f>C824</f>
        <v>3.3</v>
      </c>
      <c r="E828" s="957">
        <f>C828*D828</f>
        <v>6.6</v>
      </c>
      <c r="F828" s="962"/>
      <c r="G828" s="958"/>
    </row>
    <row r="829" spans="1:7" s="954" customFormat="1" ht="14.1">
      <c r="A829" s="955"/>
      <c r="B829" s="1229" t="s">
        <v>1510</v>
      </c>
      <c r="C829" s="960">
        <v>2</v>
      </c>
      <c r="D829" s="957">
        <v>0.23</v>
      </c>
      <c r="E829" s="957">
        <f>C829*D829</f>
        <v>0.46</v>
      </c>
      <c r="F829" s="962"/>
      <c r="G829" s="958"/>
    </row>
    <row r="830" spans="1:7" s="954" customFormat="1" ht="14.1">
      <c r="A830" s="955"/>
      <c r="B830" s="1229"/>
      <c r="C830" s="960"/>
      <c r="D830" s="957"/>
      <c r="E830" s="1230">
        <f>SUM(E827:E829)</f>
        <v>7.96</v>
      </c>
      <c r="F830" s="962"/>
      <c r="G830" s="958"/>
    </row>
    <row r="831" spans="1:7" s="954" customFormat="1" ht="14.1">
      <c r="A831" s="955"/>
      <c r="B831" s="1229" t="s">
        <v>2262</v>
      </c>
      <c r="C831" s="957">
        <v>1.8</v>
      </c>
      <c r="D831" s="957" t="s">
        <v>2263</v>
      </c>
      <c r="E831" s="957"/>
      <c r="F831" s="962"/>
      <c r="G831" s="958"/>
    </row>
    <row r="832" spans="1:7" s="954" customFormat="1" ht="14.1">
      <c r="A832" s="955"/>
      <c r="B832" s="963" t="s">
        <v>2264</v>
      </c>
      <c r="C832" s="957">
        <f>E830</f>
        <v>7.96</v>
      </c>
      <c r="D832" s="957">
        <f>C831</f>
        <v>1.8</v>
      </c>
      <c r="E832" s="957"/>
      <c r="F832" s="1230">
        <f>C832*D832</f>
        <v>14.327999999999999</v>
      </c>
      <c r="G832" s="964" t="s">
        <v>462</v>
      </c>
    </row>
    <row r="833" spans="1:7" s="954" customFormat="1" ht="14.1">
      <c r="A833" s="955"/>
      <c r="B833" s="963"/>
      <c r="C833" s="957"/>
      <c r="D833" s="957"/>
      <c r="E833" s="957"/>
      <c r="F833" s="1230"/>
      <c r="G833" s="964"/>
    </row>
    <row r="834" spans="1:7" s="954" customFormat="1" ht="14.1">
      <c r="A834" s="955"/>
      <c r="B834" s="961" t="s">
        <v>2265</v>
      </c>
      <c r="C834" s="959"/>
      <c r="D834" s="958"/>
      <c r="E834" s="960"/>
      <c r="F834" s="958"/>
      <c r="G834" s="958"/>
    </row>
    <row r="835" spans="1:7" s="954" customFormat="1" ht="14.1">
      <c r="A835" s="955"/>
      <c r="B835" s="1229" t="s">
        <v>1477</v>
      </c>
      <c r="C835" s="960">
        <v>31</v>
      </c>
      <c r="D835" s="957">
        <f>D827</f>
        <v>0.45</v>
      </c>
      <c r="E835" s="957">
        <f>C835*D835</f>
        <v>13.950000000000001</v>
      </c>
      <c r="F835" s="962"/>
      <c r="G835" s="958"/>
    </row>
    <row r="836" spans="1:7" s="954" customFormat="1" ht="14.1">
      <c r="A836" s="955"/>
      <c r="B836" s="1229" t="s">
        <v>1475</v>
      </c>
      <c r="C836" s="960">
        <v>3</v>
      </c>
      <c r="D836" s="957">
        <f>D828</f>
        <v>3.3</v>
      </c>
      <c r="E836" s="957">
        <f>C836*D836</f>
        <v>9.8999999999999986</v>
      </c>
      <c r="F836" s="962"/>
      <c r="G836" s="958"/>
    </row>
    <row r="837" spans="1:7" s="954" customFormat="1" ht="14.1">
      <c r="A837" s="955"/>
      <c r="B837" s="1229"/>
      <c r="C837" s="960"/>
      <c r="D837" s="957"/>
      <c r="E837" s="1230">
        <f>SUM(E835:E836)</f>
        <v>23.85</v>
      </c>
      <c r="F837" s="962"/>
      <c r="G837" s="958"/>
    </row>
    <row r="838" spans="1:7" s="954" customFormat="1" ht="14.1">
      <c r="A838" s="955"/>
      <c r="B838" s="1229" t="s">
        <v>2262</v>
      </c>
      <c r="C838" s="957">
        <v>0.78</v>
      </c>
      <c r="D838" s="957" t="s">
        <v>2263</v>
      </c>
      <c r="E838" s="957"/>
      <c r="F838" s="962"/>
      <c r="G838" s="958"/>
    </row>
    <row r="839" spans="1:7" s="954" customFormat="1" ht="14.1">
      <c r="A839" s="955"/>
      <c r="B839" s="963" t="s">
        <v>2264</v>
      </c>
      <c r="C839" s="957">
        <f>E837</f>
        <v>23.85</v>
      </c>
      <c r="D839" s="957">
        <f>C838</f>
        <v>0.78</v>
      </c>
      <c r="E839" s="957"/>
      <c r="F839" s="1230">
        <f>C839*D839</f>
        <v>18.603000000000002</v>
      </c>
      <c r="G839" s="964" t="s">
        <v>462</v>
      </c>
    </row>
    <row r="840" spans="1:7" s="954" customFormat="1" ht="14.1">
      <c r="A840" s="955"/>
      <c r="B840" s="963"/>
      <c r="C840" s="957"/>
      <c r="D840" s="957"/>
      <c r="E840" s="957"/>
      <c r="F840" s="1230"/>
      <c r="G840" s="964"/>
    </row>
    <row r="841" spans="1:7" s="954" customFormat="1" ht="14.1">
      <c r="A841" s="955"/>
      <c r="B841" s="961" t="s">
        <v>2266</v>
      </c>
      <c r="C841" s="960"/>
      <c r="D841" s="957"/>
      <c r="E841" s="957"/>
      <c r="F841" s="1230"/>
      <c r="G841" s="964"/>
    </row>
    <row r="842" spans="1:7" s="954" customFormat="1" ht="14.1">
      <c r="A842" s="955"/>
      <c r="B842" s="1229" t="s">
        <v>2267</v>
      </c>
      <c r="C842" s="960">
        <v>0.6</v>
      </c>
      <c r="D842" s="965">
        <f>'[8]C-data (K)'!$F$86</f>
        <v>129</v>
      </c>
      <c r="E842" s="957">
        <f>C842*D842</f>
        <v>77.399999999999991</v>
      </c>
      <c r="F842" s="962"/>
      <c r="G842" s="958"/>
    </row>
    <row r="843" spans="1:7" s="954" customFormat="1" ht="14.1">
      <c r="A843" s="955"/>
      <c r="B843" s="1229" t="s">
        <v>771</v>
      </c>
      <c r="C843" s="960">
        <v>0.21</v>
      </c>
      <c r="D843" s="965">
        <f>'[8]C-data (K)'!$F$19</f>
        <v>684</v>
      </c>
      <c r="E843" s="957">
        <f>C843*D843</f>
        <v>143.63999999999999</v>
      </c>
      <c r="F843" s="962"/>
      <c r="G843" s="958"/>
    </row>
    <row r="844" spans="1:7" s="954" customFormat="1" ht="14.1">
      <c r="A844" s="955"/>
      <c r="B844" s="1229" t="s">
        <v>772</v>
      </c>
      <c r="C844" s="960">
        <v>0.49</v>
      </c>
      <c r="D844" s="965">
        <f>'[8]C-data (K)'!$F$20</f>
        <v>564</v>
      </c>
      <c r="E844" s="957">
        <f>C844*D844</f>
        <v>276.36</v>
      </c>
      <c r="F844" s="962"/>
      <c r="G844" s="958"/>
    </row>
    <row r="845" spans="1:7" s="954" customFormat="1" ht="14.1">
      <c r="A845" s="955"/>
      <c r="B845" s="963"/>
      <c r="C845" s="960"/>
      <c r="D845" s="957"/>
      <c r="E845" s="1230">
        <f>SUM(E842:E844)</f>
        <v>497.4</v>
      </c>
      <c r="F845" s="966" t="s">
        <v>2268</v>
      </c>
      <c r="G845" s="964"/>
    </row>
    <row r="846" spans="1:7" s="954" customFormat="1" ht="14.1">
      <c r="A846" s="955"/>
      <c r="B846" s="963"/>
      <c r="C846" s="960"/>
      <c r="D846" s="957"/>
      <c r="E846" s="1230"/>
      <c r="F846" s="964"/>
      <c r="G846" s="964"/>
    </row>
    <row r="847" spans="1:7" s="954" customFormat="1" ht="28.2">
      <c r="A847" s="953" t="s">
        <v>2269</v>
      </c>
      <c r="B847" s="953" t="s">
        <v>2270</v>
      </c>
      <c r="C847" s="953" t="s">
        <v>2271</v>
      </c>
      <c r="D847" s="967"/>
      <c r="E847" s="953" t="s">
        <v>92</v>
      </c>
      <c r="F847" s="967"/>
      <c r="G847" s="967" t="s">
        <v>151</v>
      </c>
    </row>
    <row r="848" spans="1:7" s="954" customFormat="1">
      <c r="A848" s="955">
        <v>1</v>
      </c>
      <c r="B848" s="1229" t="str">
        <f>B826</f>
        <v>Outer frame "L' angle 25x25x5mm</v>
      </c>
      <c r="C848" s="957">
        <f>F832</f>
        <v>14.327999999999999</v>
      </c>
      <c r="D848" s="968" t="s">
        <v>2272</v>
      </c>
      <c r="E848" s="957"/>
      <c r="F848" s="968"/>
      <c r="G848" s="957"/>
    </row>
    <row r="849" spans="1:7" s="954" customFormat="1">
      <c r="A849" s="955">
        <v>2</v>
      </c>
      <c r="B849" s="1229" t="str">
        <f>B834</f>
        <v>10mm square rods safety bars</v>
      </c>
      <c r="C849" s="957">
        <f>F839</f>
        <v>18.603000000000002</v>
      </c>
      <c r="D849" s="968" t="s">
        <v>462</v>
      </c>
      <c r="E849" s="957"/>
      <c r="F849" s="968"/>
      <c r="G849" s="957"/>
    </row>
    <row r="850" spans="1:7" s="954" customFormat="1" ht="14.1">
      <c r="A850" s="969"/>
      <c r="B850" s="970"/>
      <c r="C850" s="1230">
        <f>SUM(C848:C849)</f>
        <v>32.930999999999997</v>
      </c>
      <c r="D850" s="968" t="s">
        <v>462</v>
      </c>
      <c r="E850" s="957">
        <f>[8]LEAD!$P$30/1000</f>
        <v>49</v>
      </c>
      <c r="F850" s="968" t="s">
        <v>462</v>
      </c>
      <c r="G850" s="957">
        <f>ROUND(C850*E850,2)</f>
        <v>1613.62</v>
      </c>
    </row>
    <row r="851" spans="1:7" s="954" customFormat="1">
      <c r="A851" s="955">
        <v>3</v>
      </c>
      <c r="B851" s="971" t="s">
        <v>2273</v>
      </c>
      <c r="C851" s="957">
        <f>E824</f>
        <v>1.4849999999999999</v>
      </c>
      <c r="D851" s="968" t="s">
        <v>461</v>
      </c>
      <c r="E851" s="957">
        <f>E845</f>
        <v>497.4</v>
      </c>
      <c r="F851" s="968" t="s">
        <v>2274</v>
      </c>
      <c r="G851" s="957">
        <f>ROUND(C851*E851/10,2)</f>
        <v>73.86</v>
      </c>
    </row>
    <row r="852" spans="1:7" s="954" customFormat="1" ht="14.1">
      <c r="A852" s="955">
        <v>4</v>
      </c>
      <c r="B852" s="972" t="s">
        <v>2497</v>
      </c>
      <c r="C852" s="957">
        <f>C850</f>
        <v>32.930999999999997</v>
      </c>
      <c r="D852" s="968" t="s">
        <v>462</v>
      </c>
      <c r="E852" s="957">
        <f>30+4</f>
        <v>34</v>
      </c>
      <c r="F852" s="968" t="s">
        <v>462</v>
      </c>
      <c r="G852" s="957">
        <f>ROUND(C852*E852,2)</f>
        <v>1119.6500000000001</v>
      </c>
    </row>
    <row r="853" spans="1:7" s="954" customFormat="1">
      <c r="A853" s="955">
        <v>5</v>
      </c>
      <c r="B853" s="971" t="s">
        <v>2275</v>
      </c>
      <c r="C853" s="957">
        <f>'[8]C-data (K)'!$E$5</f>
        <v>0.2</v>
      </c>
      <c r="D853" s="968"/>
      <c r="E853" s="957">
        <f>G852</f>
        <v>1119.6500000000001</v>
      </c>
      <c r="F853" s="968"/>
      <c r="G853" s="957">
        <f>ROUND(C853*E853,2)</f>
        <v>223.93</v>
      </c>
    </row>
    <row r="854" spans="1:7" s="954" customFormat="1" ht="14.1">
      <c r="A854" s="955"/>
      <c r="B854" s="971"/>
      <c r="C854" s="960"/>
      <c r="D854" s="957"/>
      <c r="E854" s="960"/>
      <c r="F854" s="957"/>
      <c r="G854" s="1230">
        <f>SUM(G850:G853)</f>
        <v>3031.06</v>
      </c>
    </row>
    <row r="855" spans="1:7" s="954" customFormat="1" ht="14.1">
      <c r="A855" s="955">
        <v>6</v>
      </c>
      <c r="B855" s="1277" t="str">
        <f>'[8]C-data (K)'!$C$174</f>
        <v>Add 5% over heads</v>
      </c>
      <c r="C855" s="974">
        <f>'[8]C-data (K)'!$D$3</f>
        <v>0</v>
      </c>
      <c r="D855" s="957"/>
      <c r="E855" s="960"/>
      <c r="F855" s="957"/>
      <c r="G855" s="957">
        <f>G854*C855</f>
        <v>0</v>
      </c>
    </row>
    <row r="856" spans="1:7" s="954" customFormat="1">
      <c r="A856" s="955"/>
      <c r="B856" s="971"/>
      <c r="C856" s="957"/>
      <c r="D856" s="957"/>
      <c r="E856" s="960"/>
      <c r="F856" s="957"/>
      <c r="G856" s="957">
        <f>SUM(G854:G855)</f>
        <v>3031.06</v>
      </c>
    </row>
    <row r="857" spans="1:7" s="954" customFormat="1" ht="14.1">
      <c r="A857" s="955"/>
      <c r="B857" s="975" t="s">
        <v>1806</v>
      </c>
      <c r="C857" s="960"/>
      <c r="D857" s="957"/>
      <c r="E857" s="1610" t="s">
        <v>2276</v>
      </c>
      <c r="F857" s="1610"/>
      <c r="G857" s="1230">
        <f>ROUND(G856,0)</f>
        <v>3031</v>
      </c>
    </row>
    <row r="858" spans="1:7">
      <c r="A858" s="951"/>
      <c r="B858" s="951"/>
      <c r="C858" s="952"/>
      <c r="D858" s="951"/>
      <c r="E858" s="951"/>
      <c r="F858" s="951"/>
      <c r="G858" s="951"/>
    </row>
    <row r="859" spans="1:7" s="954" customFormat="1" ht="14.1">
      <c r="A859" s="953">
        <v>25</v>
      </c>
      <c r="B859" s="1611" t="s">
        <v>2522</v>
      </c>
      <c r="C859" s="1611"/>
      <c r="D859" s="1611"/>
      <c r="E859" s="1611"/>
      <c r="F859" s="1611"/>
      <c r="G859" s="1611"/>
    </row>
    <row r="860" spans="1:7" s="954" customFormat="1" ht="14.1">
      <c r="A860" s="955"/>
      <c r="B860" s="956" t="s">
        <v>2259</v>
      </c>
      <c r="C860" s="957">
        <v>3.3</v>
      </c>
      <c r="D860" s="957">
        <v>0.45</v>
      </c>
      <c r="E860" s="1230">
        <f>C860*D860</f>
        <v>1.4849999999999999</v>
      </c>
      <c r="F860" s="958" t="s">
        <v>547</v>
      </c>
      <c r="G860" s="958"/>
    </row>
    <row r="861" spans="1:7" s="954" customFormat="1" ht="14.1">
      <c r="A861" s="955"/>
      <c r="B861" s="1229"/>
      <c r="C861" s="959"/>
      <c r="D861" s="958"/>
      <c r="E861" s="960"/>
      <c r="F861" s="958"/>
      <c r="G861" s="958"/>
    </row>
    <row r="862" spans="1:7" s="954" customFormat="1" ht="14.1">
      <c r="A862" s="955"/>
      <c r="B862" s="961" t="s">
        <v>2500</v>
      </c>
      <c r="C862" s="959"/>
      <c r="D862" s="958"/>
      <c r="E862" s="960"/>
      <c r="F862" s="958"/>
      <c r="G862" s="958"/>
    </row>
    <row r="863" spans="1:7" s="954" customFormat="1" ht="14.1">
      <c r="A863" s="955"/>
      <c r="B863" s="1229" t="s">
        <v>2261</v>
      </c>
      <c r="C863" s="960">
        <v>2</v>
      </c>
      <c r="D863" s="957">
        <f>D860</f>
        <v>0.45</v>
      </c>
      <c r="E863" s="957">
        <f>C863*D863</f>
        <v>0.9</v>
      </c>
      <c r="F863" s="962"/>
      <c r="G863" s="958"/>
    </row>
    <row r="864" spans="1:7" s="954" customFormat="1" ht="14.1">
      <c r="A864" s="955"/>
      <c r="B864" s="1229" t="s">
        <v>1475</v>
      </c>
      <c r="C864" s="960">
        <v>2</v>
      </c>
      <c r="D864" s="957">
        <f>C860</f>
        <v>3.3</v>
      </c>
      <c r="E864" s="957">
        <f>C864*D864</f>
        <v>6.6</v>
      </c>
      <c r="F864" s="962"/>
      <c r="G864" s="958"/>
    </row>
    <row r="865" spans="1:7" s="954" customFormat="1" ht="14.1">
      <c r="A865" s="955"/>
      <c r="B865" s="1229" t="s">
        <v>1510</v>
      </c>
      <c r="C865" s="960">
        <v>2</v>
      </c>
      <c r="D865" s="957">
        <v>0.23</v>
      </c>
      <c r="E865" s="957">
        <f>C865*D865</f>
        <v>0.46</v>
      </c>
      <c r="F865" s="962"/>
      <c r="G865" s="958"/>
    </row>
    <row r="866" spans="1:7" s="954" customFormat="1" ht="14.1">
      <c r="A866" s="955"/>
      <c r="B866" s="1229"/>
      <c r="C866" s="960"/>
      <c r="D866" s="957"/>
      <c r="E866" s="1230">
        <f>SUM(E863:E865)</f>
        <v>7.96</v>
      </c>
      <c r="F866" s="962"/>
      <c r="G866" s="958"/>
    </row>
    <row r="867" spans="1:7" s="954" customFormat="1" ht="14.1">
      <c r="A867" s="955"/>
      <c r="B867" s="1229" t="s">
        <v>2262</v>
      </c>
      <c r="C867" s="957">
        <v>2.6</v>
      </c>
      <c r="D867" s="957" t="s">
        <v>2263</v>
      </c>
      <c r="E867" s="957"/>
      <c r="F867" s="962"/>
      <c r="G867" s="958"/>
    </row>
    <row r="868" spans="1:7" s="954" customFormat="1" ht="14.1">
      <c r="A868" s="955"/>
      <c r="B868" s="963" t="s">
        <v>2264</v>
      </c>
      <c r="C868" s="957">
        <f>E866</f>
        <v>7.96</v>
      </c>
      <c r="D868" s="957">
        <f>C867</f>
        <v>2.6</v>
      </c>
      <c r="E868" s="957"/>
      <c r="F868" s="1230">
        <f>C868*D868</f>
        <v>20.696000000000002</v>
      </c>
      <c r="G868" s="964" t="s">
        <v>462</v>
      </c>
    </row>
    <row r="869" spans="1:7" s="954" customFormat="1" ht="14.1">
      <c r="A869" s="955"/>
      <c r="B869" s="963"/>
      <c r="C869" s="957"/>
      <c r="D869" s="957"/>
      <c r="E869" s="957"/>
      <c r="F869" s="1230"/>
      <c r="G869" s="964"/>
    </row>
    <row r="870" spans="1:7" s="954" customFormat="1" ht="14.1">
      <c r="A870" s="955"/>
      <c r="B870" s="961" t="s">
        <v>2265</v>
      </c>
      <c r="C870" s="959"/>
      <c r="D870" s="958"/>
      <c r="E870" s="960"/>
      <c r="F870" s="958"/>
      <c r="G870" s="958"/>
    </row>
    <row r="871" spans="1:7" s="954" customFormat="1" ht="14.1">
      <c r="A871" s="955"/>
      <c r="B871" s="1229" t="s">
        <v>1477</v>
      </c>
      <c r="C871" s="960">
        <v>31</v>
      </c>
      <c r="D871" s="957">
        <f>D863</f>
        <v>0.45</v>
      </c>
      <c r="E871" s="957">
        <f>C871*D871</f>
        <v>13.950000000000001</v>
      </c>
      <c r="F871" s="962"/>
      <c r="G871" s="958"/>
    </row>
    <row r="872" spans="1:7" s="954" customFormat="1" ht="14.1">
      <c r="A872" s="955"/>
      <c r="B872" s="1229" t="s">
        <v>1475</v>
      </c>
      <c r="C872" s="960">
        <v>3</v>
      </c>
      <c r="D872" s="957">
        <f>D864</f>
        <v>3.3</v>
      </c>
      <c r="E872" s="957">
        <f>C872*D872</f>
        <v>9.8999999999999986</v>
      </c>
      <c r="F872" s="962"/>
      <c r="G872" s="958"/>
    </row>
    <row r="873" spans="1:7" s="954" customFormat="1" ht="14.1">
      <c r="A873" s="955"/>
      <c r="B873" s="1229"/>
      <c r="C873" s="960"/>
      <c r="D873" s="957"/>
      <c r="E873" s="1230">
        <f>SUM(E871:E872)</f>
        <v>23.85</v>
      </c>
      <c r="F873" s="962"/>
      <c r="G873" s="958"/>
    </row>
    <row r="874" spans="1:7" s="954" customFormat="1" ht="14.1">
      <c r="A874" s="955"/>
      <c r="B874" s="1229" t="s">
        <v>2262</v>
      </c>
      <c r="C874" s="957">
        <v>0.78</v>
      </c>
      <c r="D874" s="957" t="s">
        <v>2263</v>
      </c>
      <c r="E874" s="957"/>
      <c r="F874" s="962"/>
      <c r="G874" s="958"/>
    </row>
    <row r="875" spans="1:7" s="954" customFormat="1" ht="14.1">
      <c r="A875" s="955"/>
      <c r="B875" s="963" t="s">
        <v>2264</v>
      </c>
      <c r="C875" s="957">
        <f>E873</f>
        <v>23.85</v>
      </c>
      <c r="D875" s="957">
        <f>C874</f>
        <v>0.78</v>
      </c>
      <c r="E875" s="957"/>
      <c r="F875" s="1230">
        <f>C875*D875</f>
        <v>18.603000000000002</v>
      </c>
      <c r="G875" s="964" t="s">
        <v>462</v>
      </c>
    </row>
    <row r="876" spans="1:7" s="954" customFormat="1" ht="14.1">
      <c r="A876" s="955"/>
      <c r="B876" s="963"/>
      <c r="C876" s="957"/>
      <c r="D876" s="957"/>
      <c r="E876" s="957"/>
      <c r="F876" s="1230"/>
      <c r="G876" s="964"/>
    </row>
    <row r="877" spans="1:7" s="954" customFormat="1" ht="14.1">
      <c r="A877" s="955"/>
      <c r="B877" s="961" t="s">
        <v>2266</v>
      </c>
      <c r="C877" s="960"/>
      <c r="D877" s="957"/>
      <c r="E877" s="957"/>
      <c r="F877" s="1230"/>
      <c r="G877" s="964"/>
    </row>
    <row r="878" spans="1:7" s="954" customFormat="1" ht="14.1">
      <c r="A878" s="955"/>
      <c r="B878" s="1229" t="s">
        <v>2267</v>
      </c>
      <c r="C878" s="960">
        <v>0.6</v>
      </c>
      <c r="D878" s="965">
        <f>'[8]C-data (K)'!$F$86</f>
        <v>129</v>
      </c>
      <c r="E878" s="957">
        <f>C878*D878</f>
        <v>77.399999999999991</v>
      </c>
      <c r="F878" s="962"/>
      <c r="G878" s="958"/>
    </row>
    <row r="879" spans="1:7" s="954" customFormat="1" ht="14.1">
      <c r="A879" s="955"/>
      <c r="B879" s="1229" t="s">
        <v>771</v>
      </c>
      <c r="C879" s="960">
        <v>0.21</v>
      </c>
      <c r="D879" s="965">
        <f>'[8]C-data (K)'!$F$19</f>
        <v>684</v>
      </c>
      <c r="E879" s="957">
        <f>C879*D879</f>
        <v>143.63999999999999</v>
      </c>
      <c r="F879" s="962"/>
      <c r="G879" s="958"/>
    </row>
    <row r="880" spans="1:7" s="954" customFormat="1" ht="14.1">
      <c r="A880" s="955"/>
      <c r="B880" s="1229" t="s">
        <v>772</v>
      </c>
      <c r="C880" s="960">
        <v>0.49</v>
      </c>
      <c r="D880" s="965">
        <f>'[8]C-data (K)'!$F$20</f>
        <v>564</v>
      </c>
      <c r="E880" s="957">
        <f>C880*D880</f>
        <v>276.36</v>
      </c>
      <c r="F880" s="962"/>
      <c r="G880" s="958"/>
    </row>
    <row r="881" spans="1:7" s="954" customFormat="1" ht="14.1">
      <c r="A881" s="955"/>
      <c r="B881" s="963"/>
      <c r="C881" s="960"/>
      <c r="D881" s="957"/>
      <c r="E881" s="1230">
        <f>SUM(E878:E880)</f>
        <v>497.4</v>
      </c>
      <c r="F881" s="966" t="s">
        <v>2268</v>
      </c>
      <c r="G881" s="964"/>
    </row>
    <row r="882" spans="1:7" s="954" customFormat="1" ht="14.1">
      <c r="A882" s="955"/>
      <c r="B882" s="963"/>
      <c r="C882" s="960"/>
      <c r="D882" s="957"/>
      <c r="E882" s="1230"/>
      <c r="F882" s="964"/>
      <c r="G882" s="964"/>
    </row>
    <row r="883" spans="1:7" s="954" customFormat="1" ht="28.2">
      <c r="A883" s="953" t="s">
        <v>2269</v>
      </c>
      <c r="B883" s="953" t="s">
        <v>2270</v>
      </c>
      <c r="C883" s="953" t="s">
        <v>2271</v>
      </c>
      <c r="D883" s="967"/>
      <c r="E883" s="953" t="s">
        <v>92</v>
      </c>
      <c r="F883" s="967"/>
      <c r="G883" s="967" t="s">
        <v>151</v>
      </c>
    </row>
    <row r="884" spans="1:7" s="954" customFormat="1">
      <c r="A884" s="955">
        <v>1</v>
      </c>
      <c r="B884" s="1229" t="str">
        <f>B862</f>
        <v>Outer frame "L' angle 35x35x5mm</v>
      </c>
      <c r="C884" s="957">
        <f>F868</f>
        <v>20.696000000000002</v>
      </c>
      <c r="D884" s="968" t="s">
        <v>2272</v>
      </c>
      <c r="E884" s="957"/>
      <c r="F884" s="968"/>
      <c r="G884" s="957"/>
    </row>
    <row r="885" spans="1:7" s="954" customFormat="1">
      <c r="A885" s="955">
        <v>2</v>
      </c>
      <c r="B885" s="1229" t="str">
        <f>B870</f>
        <v>10mm square rods safety bars</v>
      </c>
      <c r="C885" s="957">
        <f>F875</f>
        <v>18.603000000000002</v>
      </c>
      <c r="D885" s="968" t="s">
        <v>462</v>
      </c>
      <c r="E885" s="957"/>
      <c r="F885" s="968"/>
      <c r="G885" s="957"/>
    </row>
    <row r="886" spans="1:7" s="954" customFormat="1" ht="14.1">
      <c r="A886" s="969"/>
      <c r="B886" s="970"/>
      <c r="C886" s="1230">
        <f>SUM(C884:C885)</f>
        <v>39.299000000000007</v>
      </c>
      <c r="D886" s="968" t="s">
        <v>462</v>
      </c>
      <c r="E886" s="957">
        <f>[8]LEAD!$P$30/1000</f>
        <v>49</v>
      </c>
      <c r="F886" s="968" t="s">
        <v>462</v>
      </c>
      <c r="G886" s="957">
        <f>ROUND(C886*E886,2)</f>
        <v>1925.65</v>
      </c>
    </row>
    <row r="887" spans="1:7" s="954" customFormat="1">
      <c r="A887" s="955">
        <v>3</v>
      </c>
      <c r="B887" s="971" t="s">
        <v>2273</v>
      </c>
      <c r="C887" s="957">
        <f>E860</f>
        <v>1.4849999999999999</v>
      </c>
      <c r="D887" s="968" t="s">
        <v>461</v>
      </c>
      <c r="E887" s="957">
        <f>E881</f>
        <v>497.4</v>
      </c>
      <c r="F887" s="968" t="s">
        <v>2274</v>
      </c>
      <c r="G887" s="957">
        <f>ROUND(C887*E887/10,2)</f>
        <v>73.86</v>
      </c>
    </row>
    <row r="888" spans="1:7" s="954" customFormat="1" ht="14.1">
      <c r="A888" s="955">
        <v>4</v>
      </c>
      <c r="B888" s="972" t="s">
        <v>2497</v>
      </c>
      <c r="C888" s="957">
        <f>C886</f>
        <v>39.299000000000007</v>
      </c>
      <c r="D888" s="968" t="s">
        <v>462</v>
      </c>
      <c r="E888" s="957">
        <f>30+4</f>
        <v>34</v>
      </c>
      <c r="F888" s="968" t="s">
        <v>462</v>
      </c>
      <c r="G888" s="957">
        <f>ROUND(C888*E888,2)</f>
        <v>1336.17</v>
      </c>
    </row>
    <row r="889" spans="1:7" s="954" customFormat="1">
      <c r="A889" s="955">
        <v>5</v>
      </c>
      <c r="B889" s="971" t="s">
        <v>2275</v>
      </c>
      <c r="C889" s="957">
        <f>'[8]C-data (K)'!$E$5</f>
        <v>0.2</v>
      </c>
      <c r="D889" s="968"/>
      <c r="E889" s="957">
        <f>G888</f>
        <v>1336.17</v>
      </c>
      <c r="F889" s="968"/>
      <c r="G889" s="957">
        <f>ROUND(C889*E889,2)</f>
        <v>267.23</v>
      </c>
    </row>
    <row r="890" spans="1:7" s="954" customFormat="1" ht="14.1">
      <c r="A890" s="955"/>
      <c r="B890" s="971"/>
      <c r="C890" s="960"/>
      <c r="D890" s="957"/>
      <c r="E890" s="960"/>
      <c r="F890" s="957"/>
      <c r="G890" s="1230">
        <f>SUM(G886:G889)</f>
        <v>3602.9100000000003</v>
      </c>
    </row>
    <row r="891" spans="1:7" s="954" customFormat="1" ht="14.1">
      <c r="A891" s="955">
        <v>6</v>
      </c>
      <c r="B891" s="1277" t="str">
        <f>'[8]C-data (K)'!$C$174</f>
        <v>Add 5% over heads</v>
      </c>
      <c r="C891" s="974">
        <f>'[8]C-data (K)'!$D$3</f>
        <v>0</v>
      </c>
      <c r="D891" s="957"/>
      <c r="E891" s="960"/>
      <c r="F891" s="957"/>
      <c r="G891" s="957">
        <f>G890*C891</f>
        <v>0</v>
      </c>
    </row>
    <row r="892" spans="1:7" s="954" customFormat="1">
      <c r="A892" s="955"/>
      <c r="B892" s="971"/>
      <c r="C892" s="957"/>
      <c r="D892" s="957"/>
      <c r="E892" s="960"/>
      <c r="F892" s="957"/>
      <c r="G892" s="957">
        <f>SUM(G890:G891)</f>
        <v>3602.9100000000003</v>
      </c>
    </row>
    <row r="893" spans="1:7" s="954" customFormat="1" ht="14.1">
      <c r="A893" s="955"/>
      <c r="B893" s="975" t="s">
        <v>1806</v>
      </c>
      <c r="C893" s="960"/>
      <c r="D893" s="957"/>
      <c r="E893" s="1610" t="s">
        <v>2276</v>
      </c>
      <c r="F893" s="1610"/>
      <c r="G893" s="1230">
        <f>ROUND(G892,0)</f>
        <v>3603</v>
      </c>
    </row>
    <row r="894" spans="1:7">
      <c r="A894" s="951"/>
      <c r="B894" s="951"/>
      <c r="C894" s="952"/>
      <c r="D894" s="951"/>
      <c r="E894" s="951"/>
      <c r="F894" s="951"/>
      <c r="G894" s="951"/>
    </row>
    <row r="895" spans="1:7" s="954" customFormat="1" ht="14.1">
      <c r="A895" s="953">
        <v>26</v>
      </c>
      <c r="B895" s="1611" t="s">
        <v>2523</v>
      </c>
      <c r="C895" s="1611"/>
      <c r="D895" s="1611"/>
      <c r="E895" s="1611"/>
      <c r="F895" s="1611"/>
      <c r="G895" s="1611"/>
    </row>
    <row r="896" spans="1:7" s="954" customFormat="1" ht="14.1">
      <c r="A896" s="955"/>
      <c r="B896" s="956" t="s">
        <v>2259</v>
      </c>
      <c r="C896" s="957">
        <v>2.5</v>
      </c>
      <c r="D896" s="957">
        <v>0.3</v>
      </c>
      <c r="E896" s="1230">
        <f>C896*D896</f>
        <v>0.75</v>
      </c>
      <c r="F896" s="958" t="s">
        <v>547</v>
      </c>
      <c r="G896" s="958"/>
    </row>
    <row r="897" spans="1:7" s="954" customFormat="1" ht="14.1">
      <c r="A897" s="955"/>
      <c r="B897" s="1229"/>
      <c r="C897" s="959"/>
      <c r="D897" s="958"/>
      <c r="E897" s="960"/>
      <c r="F897" s="958"/>
      <c r="G897" s="958"/>
    </row>
    <row r="898" spans="1:7" s="954" customFormat="1" ht="14.1">
      <c r="A898" s="955"/>
      <c r="B898" s="961" t="s">
        <v>2260</v>
      </c>
      <c r="C898" s="959"/>
      <c r="D898" s="958"/>
      <c r="E898" s="960"/>
      <c r="F898" s="958"/>
      <c r="G898" s="958"/>
    </row>
    <row r="899" spans="1:7" s="954" customFormat="1" ht="14.1">
      <c r="A899" s="955"/>
      <c r="B899" s="1229" t="s">
        <v>2261</v>
      </c>
      <c r="C899" s="960">
        <v>2</v>
      </c>
      <c r="D899" s="957">
        <f>D896</f>
        <v>0.3</v>
      </c>
      <c r="E899" s="957">
        <f>C899*D899</f>
        <v>0.6</v>
      </c>
      <c r="F899" s="962"/>
      <c r="G899" s="958"/>
    </row>
    <row r="900" spans="1:7" s="954" customFormat="1" ht="14.1">
      <c r="A900" s="955"/>
      <c r="B900" s="1229" t="s">
        <v>1475</v>
      </c>
      <c r="C900" s="960">
        <v>2</v>
      </c>
      <c r="D900" s="957">
        <f>C896</f>
        <v>2.5</v>
      </c>
      <c r="E900" s="957">
        <f>C900*D900</f>
        <v>5</v>
      </c>
      <c r="F900" s="962"/>
      <c r="G900" s="958"/>
    </row>
    <row r="901" spans="1:7" s="954" customFormat="1" ht="14.1">
      <c r="A901" s="955"/>
      <c r="B901" s="1229" t="s">
        <v>1510</v>
      </c>
      <c r="C901" s="960">
        <v>2</v>
      </c>
      <c r="D901" s="957">
        <v>0.23</v>
      </c>
      <c r="E901" s="957">
        <f>C901*D901</f>
        <v>0.46</v>
      </c>
      <c r="F901" s="962"/>
      <c r="G901" s="958"/>
    </row>
    <row r="902" spans="1:7" s="954" customFormat="1" ht="14.1">
      <c r="A902" s="955"/>
      <c r="B902" s="1229"/>
      <c r="C902" s="960"/>
      <c r="D902" s="957"/>
      <c r="E902" s="1230">
        <f>SUM(E899:E901)</f>
        <v>6.06</v>
      </c>
      <c r="F902" s="962"/>
      <c r="G902" s="958"/>
    </row>
    <row r="903" spans="1:7" s="954" customFormat="1" ht="14.1">
      <c r="A903" s="955"/>
      <c r="B903" s="1229" t="s">
        <v>2262</v>
      </c>
      <c r="C903" s="957">
        <v>1.8</v>
      </c>
      <c r="D903" s="957" t="s">
        <v>2263</v>
      </c>
      <c r="E903" s="957"/>
      <c r="F903" s="962"/>
      <c r="G903" s="958"/>
    </row>
    <row r="904" spans="1:7" s="954" customFormat="1" ht="14.1">
      <c r="A904" s="955"/>
      <c r="B904" s="963" t="s">
        <v>2264</v>
      </c>
      <c r="C904" s="957">
        <f>E902</f>
        <v>6.06</v>
      </c>
      <c r="D904" s="957">
        <f>C903</f>
        <v>1.8</v>
      </c>
      <c r="E904" s="957"/>
      <c r="F904" s="1230">
        <f>C904*D904</f>
        <v>10.907999999999999</v>
      </c>
      <c r="G904" s="964" t="s">
        <v>462</v>
      </c>
    </row>
    <row r="905" spans="1:7" s="954" customFormat="1" ht="14.1">
      <c r="A905" s="955"/>
      <c r="B905" s="963"/>
      <c r="C905" s="957"/>
      <c r="D905" s="957"/>
      <c r="E905" s="957"/>
      <c r="F905" s="1230"/>
      <c r="G905" s="964"/>
    </row>
    <row r="906" spans="1:7" s="954" customFormat="1" ht="14.1">
      <c r="A906" s="955"/>
      <c r="B906" s="961" t="s">
        <v>2265</v>
      </c>
      <c r="C906" s="959"/>
      <c r="D906" s="958"/>
      <c r="E906" s="960"/>
      <c r="F906" s="958"/>
      <c r="G906" s="958"/>
    </row>
    <row r="907" spans="1:7" s="954" customFormat="1" ht="14.1">
      <c r="A907" s="955"/>
      <c r="B907" s="1229" t="s">
        <v>1477</v>
      </c>
      <c r="C907" s="960">
        <v>23</v>
      </c>
      <c r="D907" s="957">
        <f>D899</f>
        <v>0.3</v>
      </c>
      <c r="E907" s="957">
        <f>C907*D907</f>
        <v>6.8999999999999995</v>
      </c>
      <c r="F907" s="962"/>
      <c r="G907" s="958"/>
    </row>
    <row r="908" spans="1:7" s="954" customFormat="1" ht="14.1">
      <c r="A908" s="955"/>
      <c r="B908" s="1229" t="s">
        <v>1475</v>
      </c>
      <c r="C908" s="960">
        <v>2</v>
      </c>
      <c r="D908" s="957">
        <f>D900</f>
        <v>2.5</v>
      </c>
      <c r="E908" s="957">
        <f>C908*D908</f>
        <v>5</v>
      </c>
      <c r="F908" s="962"/>
      <c r="G908" s="958"/>
    </row>
    <row r="909" spans="1:7" s="954" customFormat="1" ht="14.1">
      <c r="A909" s="955"/>
      <c r="B909" s="1229"/>
      <c r="C909" s="960"/>
      <c r="D909" s="957"/>
      <c r="E909" s="1230">
        <f>SUM(E907:E908)</f>
        <v>11.899999999999999</v>
      </c>
      <c r="F909" s="962"/>
      <c r="G909" s="958"/>
    </row>
    <row r="910" spans="1:7" s="954" customFormat="1" ht="14.1">
      <c r="A910" s="955"/>
      <c r="B910" s="1229" t="s">
        <v>2262</v>
      </c>
      <c r="C910" s="957">
        <v>0.78</v>
      </c>
      <c r="D910" s="957" t="s">
        <v>2263</v>
      </c>
      <c r="E910" s="957"/>
      <c r="F910" s="962"/>
      <c r="G910" s="958"/>
    </row>
    <row r="911" spans="1:7" s="954" customFormat="1" ht="14.1">
      <c r="A911" s="955"/>
      <c r="B911" s="963" t="s">
        <v>2264</v>
      </c>
      <c r="C911" s="957">
        <f>E909</f>
        <v>11.899999999999999</v>
      </c>
      <c r="D911" s="957">
        <f>C910</f>
        <v>0.78</v>
      </c>
      <c r="E911" s="957"/>
      <c r="F911" s="1230">
        <f>C911*D911</f>
        <v>9.282</v>
      </c>
      <c r="G911" s="964" t="s">
        <v>462</v>
      </c>
    </row>
    <row r="912" spans="1:7" s="954" customFormat="1" ht="14.1">
      <c r="A912" s="955"/>
      <c r="B912" s="963"/>
      <c r="C912" s="957"/>
      <c r="D912" s="957"/>
      <c r="E912" s="957"/>
      <c r="F912" s="1230"/>
      <c r="G912" s="964"/>
    </row>
    <row r="913" spans="1:7" s="954" customFormat="1" ht="14.1">
      <c r="A913" s="955"/>
      <c r="B913" s="961" t="s">
        <v>2266</v>
      </c>
      <c r="C913" s="960"/>
      <c r="D913" s="957"/>
      <c r="E913" s="957"/>
      <c r="F913" s="1230"/>
      <c r="G913" s="964"/>
    </row>
    <row r="914" spans="1:7" s="954" customFormat="1" ht="14.1">
      <c r="A914" s="955"/>
      <c r="B914" s="1229" t="s">
        <v>2267</v>
      </c>
      <c r="C914" s="960">
        <v>0.6</v>
      </c>
      <c r="D914" s="965">
        <f>'[8]C-data (K)'!$F$86</f>
        <v>129</v>
      </c>
      <c r="E914" s="957">
        <f>C914*D914</f>
        <v>77.399999999999991</v>
      </c>
      <c r="F914" s="962"/>
      <c r="G914" s="958"/>
    </row>
    <row r="915" spans="1:7" s="954" customFormat="1" ht="14.1">
      <c r="A915" s="955"/>
      <c r="B915" s="1229" t="s">
        <v>771</v>
      </c>
      <c r="C915" s="960">
        <v>0.21</v>
      </c>
      <c r="D915" s="965">
        <f>'[8]C-data (K)'!$F$19</f>
        <v>684</v>
      </c>
      <c r="E915" s="957">
        <f>C915*D915</f>
        <v>143.63999999999999</v>
      </c>
      <c r="F915" s="962"/>
      <c r="G915" s="958"/>
    </row>
    <row r="916" spans="1:7" s="954" customFormat="1" ht="14.1">
      <c r="A916" s="955"/>
      <c r="B916" s="1229" t="s">
        <v>772</v>
      </c>
      <c r="C916" s="960">
        <v>0.49</v>
      </c>
      <c r="D916" s="965">
        <f>'[8]C-data (K)'!$F$20</f>
        <v>564</v>
      </c>
      <c r="E916" s="957">
        <f>C916*D916</f>
        <v>276.36</v>
      </c>
      <c r="F916" s="962"/>
      <c r="G916" s="958"/>
    </row>
    <row r="917" spans="1:7" s="954" customFormat="1" ht="14.1">
      <c r="A917" s="955"/>
      <c r="B917" s="963"/>
      <c r="C917" s="960"/>
      <c r="D917" s="957"/>
      <c r="E917" s="1230">
        <f>SUM(E914:E916)</f>
        <v>497.4</v>
      </c>
      <c r="F917" s="966" t="s">
        <v>2268</v>
      </c>
      <c r="G917" s="964"/>
    </row>
    <row r="918" spans="1:7" s="954" customFormat="1" ht="14.1">
      <c r="A918" s="955"/>
      <c r="B918" s="963"/>
      <c r="C918" s="960"/>
      <c r="D918" s="957"/>
      <c r="E918" s="1230"/>
      <c r="F918" s="964"/>
      <c r="G918" s="964"/>
    </row>
    <row r="919" spans="1:7" s="954" customFormat="1" ht="28.2">
      <c r="A919" s="953" t="s">
        <v>2269</v>
      </c>
      <c r="B919" s="953" t="s">
        <v>2270</v>
      </c>
      <c r="C919" s="953" t="s">
        <v>2271</v>
      </c>
      <c r="D919" s="967"/>
      <c r="E919" s="953" t="s">
        <v>92</v>
      </c>
      <c r="F919" s="967"/>
      <c r="G919" s="967" t="s">
        <v>151</v>
      </c>
    </row>
    <row r="920" spans="1:7" s="954" customFormat="1">
      <c r="A920" s="955">
        <v>1</v>
      </c>
      <c r="B920" s="1229" t="str">
        <f>B898</f>
        <v>Outer frame "L' angle 25x25x5mm</v>
      </c>
      <c r="C920" s="957">
        <f>F904</f>
        <v>10.907999999999999</v>
      </c>
      <c r="D920" s="968" t="s">
        <v>2272</v>
      </c>
      <c r="E920" s="957"/>
      <c r="F920" s="968"/>
      <c r="G920" s="957"/>
    </row>
    <row r="921" spans="1:7" s="954" customFormat="1">
      <c r="A921" s="955">
        <v>2</v>
      </c>
      <c r="B921" s="1229" t="str">
        <f>B906</f>
        <v>10mm square rods safety bars</v>
      </c>
      <c r="C921" s="957">
        <f>F911</f>
        <v>9.282</v>
      </c>
      <c r="D921" s="968" t="s">
        <v>462</v>
      </c>
      <c r="E921" s="957"/>
      <c r="F921" s="968"/>
      <c r="G921" s="957"/>
    </row>
    <row r="922" spans="1:7" s="954" customFormat="1" ht="14.1">
      <c r="A922" s="969"/>
      <c r="B922" s="970"/>
      <c r="C922" s="1230">
        <f>SUM(C920:C921)</f>
        <v>20.189999999999998</v>
      </c>
      <c r="D922" s="968" t="s">
        <v>462</v>
      </c>
      <c r="E922" s="957">
        <f>[8]LEAD!$P$30/1000</f>
        <v>49</v>
      </c>
      <c r="F922" s="968" t="s">
        <v>462</v>
      </c>
      <c r="G922" s="957">
        <f>ROUND(C922*E922,2)</f>
        <v>989.31</v>
      </c>
    </row>
    <row r="923" spans="1:7" s="954" customFormat="1" ht="14.1">
      <c r="A923" s="969">
        <v>3</v>
      </c>
      <c r="B923" s="971" t="s">
        <v>2273</v>
      </c>
      <c r="C923" s="957">
        <f>E896</f>
        <v>0.75</v>
      </c>
      <c r="D923" s="968" t="s">
        <v>461</v>
      </c>
      <c r="E923" s="957">
        <f>E917</f>
        <v>497.4</v>
      </c>
      <c r="F923" s="968" t="s">
        <v>2274</v>
      </c>
      <c r="G923" s="957">
        <f>ROUND(C923*E923/10,2)</f>
        <v>37.31</v>
      </c>
    </row>
    <row r="924" spans="1:7" s="954" customFormat="1" ht="14.1">
      <c r="A924" s="955">
        <v>4</v>
      </c>
      <c r="B924" s="972" t="s">
        <v>2497</v>
      </c>
      <c r="C924" s="957">
        <f>C922</f>
        <v>20.189999999999998</v>
      </c>
      <c r="D924" s="968" t="s">
        <v>462</v>
      </c>
      <c r="E924" s="957">
        <f>30+4</f>
        <v>34</v>
      </c>
      <c r="F924" s="968" t="s">
        <v>462</v>
      </c>
      <c r="G924" s="957">
        <f>ROUND(C924*E924,2)</f>
        <v>686.46</v>
      </c>
    </row>
    <row r="925" spans="1:7" s="954" customFormat="1">
      <c r="A925" s="955">
        <v>5</v>
      </c>
      <c r="B925" s="971" t="s">
        <v>2275</v>
      </c>
      <c r="C925" s="957">
        <f>'[8]C-data (K)'!$E$5</f>
        <v>0.2</v>
      </c>
      <c r="D925" s="968"/>
      <c r="E925" s="957">
        <f>G924</f>
        <v>686.46</v>
      </c>
      <c r="F925" s="968"/>
      <c r="G925" s="957">
        <f>ROUND(C925*E925,2)</f>
        <v>137.29</v>
      </c>
    </row>
    <row r="926" spans="1:7" s="954" customFormat="1" ht="14.1">
      <c r="A926" s="955"/>
      <c r="B926" s="971"/>
      <c r="C926" s="960"/>
      <c r="D926" s="957"/>
      <c r="E926" s="960"/>
      <c r="F926" s="957"/>
      <c r="G926" s="1230">
        <f>SUM(G922:G925)</f>
        <v>1850.37</v>
      </c>
    </row>
    <row r="927" spans="1:7" s="954" customFormat="1" ht="14.1">
      <c r="A927" s="955">
        <v>6</v>
      </c>
      <c r="B927" s="1277" t="str">
        <f>'[8]C-data (K)'!$C$174</f>
        <v>Add 5% over heads</v>
      </c>
      <c r="C927" s="974">
        <f>'[8]C-data (K)'!$D$3</f>
        <v>0</v>
      </c>
      <c r="D927" s="957"/>
      <c r="E927" s="960"/>
      <c r="F927" s="957"/>
      <c r="G927" s="957">
        <f>G926*C927</f>
        <v>0</v>
      </c>
    </row>
    <row r="928" spans="1:7" s="954" customFormat="1">
      <c r="A928" s="955"/>
      <c r="B928" s="971"/>
      <c r="C928" s="957"/>
      <c r="D928" s="957"/>
      <c r="E928" s="960"/>
      <c r="F928" s="957"/>
      <c r="G928" s="957">
        <f>SUM(G926:G927)</f>
        <v>1850.37</v>
      </c>
    </row>
    <row r="929" spans="1:7" s="954" customFormat="1" ht="14.1">
      <c r="A929" s="955"/>
      <c r="B929" s="975" t="s">
        <v>1806</v>
      </c>
      <c r="C929" s="960"/>
      <c r="D929" s="957"/>
      <c r="E929" s="1610" t="s">
        <v>2276</v>
      </c>
      <c r="F929" s="1610"/>
      <c r="G929" s="1230">
        <f>ROUND(G928,0)</f>
        <v>1850</v>
      </c>
    </row>
    <row r="930" spans="1:7">
      <c r="A930" s="951"/>
      <c r="B930" s="951"/>
      <c r="C930" s="952"/>
      <c r="D930" s="951"/>
      <c r="E930" s="951"/>
      <c r="F930" s="951"/>
      <c r="G930" s="951"/>
    </row>
    <row r="931" spans="1:7" s="954" customFormat="1" ht="14.1">
      <c r="A931" s="953">
        <v>27</v>
      </c>
      <c r="B931" s="1611" t="s">
        <v>2524</v>
      </c>
      <c r="C931" s="1611"/>
      <c r="D931" s="1611"/>
      <c r="E931" s="1611"/>
      <c r="F931" s="1611"/>
      <c r="G931" s="1611"/>
    </row>
    <row r="932" spans="1:7" s="954" customFormat="1" ht="14.1">
      <c r="A932" s="955"/>
      <c r="B932" s="956" t="s">
        <v>2259</v>
      </c>
      <c r="C932" s="957">
        <v>2.5</v>
      </c>
      <c r="D932" s="957">
        <v>0.3</v>
      </c>
      <c r="E932" s="1230">
        <f>C932*D932</f>
        <v>0.75</v>
      </c>
      <c r="F932" s="958" t="s">
        <v>547</v>
      </c>
      <c r="G932" s="958"/>
    </row>
    <row r="933" spans="1:7" s="954" customFormat="1" ht="14.1">
      <c r="A933" s="955"/>
      <c r="B933" s="1229"/>
      <c r="C933" s="959"/>
      <c r="D933" s="958"/>
      <c r="E933" s="960"/>
      <c r="F933" s="958"/>
      <c r="G933" s="958"/>
    </row>
    <row r="934" spans="1:7" s="954" customFormat="1" ht="14.1">
      <c r="A934" s="955"/>
      <c r="B934" s="961" t="s">
        <v>2500</v>
      </c>
      <c r="C934" s="959"/>
      <c r="D934" s="958"/>
      <c r="E934" s="960"/>
      <c r="F934" s="958"/>
      <c r="G934" s="958"/>
    </row>
    <row r="935" spans="1:7" s="954" customFormat="1" ht="14.1">
      <c r="A935" s="955"/>
      <c r="B935" s="1229" t="s">
        <v>2261</v>
      </c>
      <c r="C935" s="960">
        <v>2</v>
      </c>
      <c r="D935" s="957">
        <f>D932</f>
        <v>0.3</v>
      </c>
      <c r="E935" s="957">
        <f>C935*D935</f>
        <v>0.6</v>
      </c>
      <c r="F935" s="962"/>
      <c r="G935" s="958"/>
    </row>
    <row r="936" spans="1:7" s="954" customFormat="1" ht="14.1">
      <c r="A936" s="955"/>
      <c r="B936" s="1229" t="s">
        <v>1475</v>
      </c>
      <c r="C936" s="960">
        <v>2</v>
      </c>
      <c r="D936" s="957">
        <f>C932</f>
        <v>2.5</v>
      </c>
      <c r="E936" s="957">
        <f>C936*D936</f>
        <v>5</v>
      </c>
      <c r="F936" s="962"/>
      <c r="G936" s="958"/>
    </row>
    <row r="937" spans="1:7" s="954" customFormat="1" ht="14.1">
      <c r="A937" s="955"/>
      <c r="B937" s="1229" t="s">
        <v>1510</v>
      </c>
      <c r="C937" s="960">
        <v>2</v>
      </c>
      <c r="D937" s="957">
        <v>0.23</v>
      </c>
      <c r="E937" s="957">
        <f>C937*D937</f>
        <v>0.46</v>
      </c>
      <c r="F937" s="962"/>
      <c r="G937" s="958"/>
    </row>
    <row r="938" spans="1:7" s="954" customFormat="1" ht="14.1">
      <c r="A938" s="955"/>
      <c r="B938" s="1229"/>
      <c r="C938" s="960"/>
      <c r="D938" s="957"/>
      <c r="E938" s="1230">
        <f>SUM(E935:E937)</f>
        <v>6.06</v>
      </c>
      <c r="F938" s="962"/>
      <c r="G938" s="958"/>
    </row>
    <row r="939" spans="1:7" s="954" customFormat="1" ht="14.1">
      <c r="A939" s="955"/>
      <c r="B939" s="1229" t="s">
        <v>2262</v>
      </c>
      <c r="C939" s="957">
        <v>2.6</v>
      </c>
      <c r="D939" s="957" t="s">
        <v>2263</v>
      </c>
      <c r="E939" s="957"/>
      <c r="F939" s="962"/>
      <c r="G939" s="958"/>
    </row>
    <row r="940" spans="1:7" s="954" customFormat="1" ht="14.1">
      <c r="A940" s="955"/>
      <c r="B940" s="963" t="s">
        <v>2264</v>
      </c>
      <c r="C940" s="957">
        <f>E938</f>
        <v>6.06</v>
      </c>
      <c r="D940" s="957">
        <f>C939</f>
        <v>2.6</v>
      </c>
      <c r="E940" s="957"/>
      <c r="F940" s="1230">
        <f>C940*D940</f>
        <v>15.756</v>
      </c>
      <c r="G940" s="964" t="s">
        <v>462</v>
      </c>
    </row>
    <row r="941" spans="1:7" s="954" customFormat="1" ht="14.1">
      <c r="A941" s="955"/>
      <c r="B941" s="963"/>
      <c r="C941" s="957"/>
      <c r="D941" s="957"/>
      <c r="E941" s="957"/>
      <c r="F941" s="1230"/>
      <c r="G941" s="964"/>
    </row>
    <row r="942" spans="1:7" s="954" customFormat="1" ht="14.1">
      <c r="A942" s="955"/>
      <c r="B942" s="961" t="s">
        <v>2265</v>
      </c>
      <c r="C942" s="959"/>
      <c r="D942" s="958"/>
      <c r="E942" s="960"/>
      <c r="F942" s="958"/>
      <c r="G942" s="958"/>
    </row>
    <row r="943" spans="1:7" s="954" customFormat="1" ht="14.1">
      <c r="A943" s="955"/>
      <c r="B943" s="1229" t="s">
        <v>1477</v>
      </c>
      <c r="C943" s="960">
        <v>23</v>
      </c>
      <c r="D943" s="957">
        <f>D935</f>
        <v>0.3</v>
      </c>
      <c r="E943" s="957">
        <f>C943*D943</f>
        <v>6.8999999999999995</v>
      </c>
      <c r="F943" s="962"/>
      <c r="G943" s="958"/>
    </row>
    <row r="944" spans="1:7" s="954" customFormat="1" ht="14.1">
      <c r="A944" s="955"/>
      <c r="B944" s="1229" t="s">
        <v>1475</v>
      </c>
      <c r="C944" s="960">
        <v>2</v>
      </c>
      <c r="D944" s="957">
        <f>D936</f>
        <v>2.5</v>
      </c>
      <c r="E944" s="957">
        <f>C944*D944</f>
        <v>5</v>
      </c>
      <c r="F944" s="962"/>
      <c r="G944" s="958"/>
    </row>
    <row r="945" spans="1:7" s="954" customFormat="1" ht="14.1">
      <c r="A945" s="955"/>
      <c r="B945" s="1229"/>
      <c r="C945" s="960"/>
      <c r="D945" s="957"/>
      <c r="E945" s="1230">
        <f>SUM(E943:E944)</f>
        <v>11.899999999999999</v>
      </c>
      <c r="F945" s="962"/>
      <c r="G945" s="958"/>
    </row>
    <row r="946" spans="1:7" s="954" customFormat="1" ht="14.1">
      <c r="A946" s="955"/>
      <c r="B946" s="1229" t="s">
        <v>2262</v>
      </c>
      <c r="C946" s="957">
        <v>0.78</v>
      </c>
      <c r="D946" s="957" t="s">
        <v>2263</v>
      </c>
      <c r="E946" s="957"/>
      <c r="F946" s="962"/>
      <c r="G946" s="958"/>
    </row>
    <row r="947" spans="1:7" s="954" customFormat="1" ht="14.1">
      <c r="A947" s="955"/>
      <c r="B947" s="963" t="s">
        <v>2264</v>
      </c>
      <c r="C947" s="957">
        <f>E945</f>
        <v>11.899999999999999</v>
      </c>
      <c r="D947" s="957">
        <f>C946</f>
        <v>0.78</v>
      </c>
      <c r="E947" s="957"/>
      <c r="F947" s="1230">
        <f>C947*D947</f>
        <v>9.282</v>
      </c>
      <c r="G947" s="964" t="s">
        <v>462</v>
      </c>
    </row>
    <row r="948" spans="1:7" s="954" customFormat="1" ht="14.1">
      <c r="A948" s="955"/>
      <c r="B948" s="963"/>
      <c r="C948" s="957"/>
      <c r="D948" s="957"/>
      <c r="E948" s="957"/>
      <c r="F948" s="1230"/>
      <c r="G948" s="964"/>
    </row>
    <row r="949" spans="1:7" s="954" customFormat="1" ht="14.1">
      <c r="A949" s="955"/>
      <c r="B949" s="961" t="s">
        <v>2266</v>
      </c>
      <c r="C949" s="960"/>
      <c r="D949" s="957"/>
      <c r="E949" s="957"/>
      <c r="F949" s="1230"/>
      <c r="G949" s="964"/>
    </row>
    <row r="950" spans="1:7" s="954" customFormat="1" ht="14.1">
      <c r="A950" s="955"/>
      <c r="B950" s="1229" t="s">
        <v>2267</v>
      </c>
      <c r="C950" s="960">
        <v>0.6</v>
      </c>
      <c r="D950" s="965">
        <f>'[8]C-data (K)'!$F$86</f>
        <v>129</v>
      </c>
      <c r="E950" s="957">
        <f>C950*D950</f>
        <v>77.399999999999991</v>
      </c>
      <c r="F950" s="962"/>
      <c r="G950" s="958"/>
    </row>
    <row r="951" spans="1:7" s="954" customFormat="1" ht="14.1">
      <c r="A951" s="955"/>
      <c r="B951" s="1229" t="s">
        <v>771</v>
      </c>
      <c r="C951" s="960">
        <v>0.21</v>
      </c>
      <c r="D951" s="965">
        <f>'[8]C-data (K)'!$F$19</f>
        <v>684</v>
      </c>
      <c r="E951" s="957">
        <f>C951*D951</f>
        <v>143.63999999999999</v>
      </c>
      <c r="F951" s="962"/>
      <c r="G951" s="958"/>
    </row>
    <row r="952" spans="1:7" s="954" customFormat="1" ht="14.1">
      <c r="A952" s="955"/>
      <c r="B952" s="1229" t="s">
        <v>772</v>
      </c>
      <c r="C952" s="960">
        <v>0.49</v>
      </c>
      <c r="D952" s="965">
        <f>'[8]C-data (K)'!$F$20</f>
        <v>564</v>
      </c>
      <c r="E952" s="957">
        <f>C952*D952</f>
        <v>276.36</v>
      </c>
      <c r="F952" s="962"/>
      <c r="G952" s="958"/>
    </row>
    <row r="953" spans="1:7" s="954" customFormat="1" ht="14.1">
      <c r="A953" s="955"/>
      <c r="B953" s="963"/>
      <c r="C953" s="960"/>
      <c r="D953" s="957"/>
      <c r="E953" s="1230">
        <f>SUM(E950:E952)</f>
        <v>497.4</v>
      </c>
      <c r="F953" s="966" t="s">
        <v>2268</v>
      </c>
      <c r="G953" s="964"/>
    </row>
    <row r="954" spans="1:7" s="954" customFormat="1" ht="14.1">
      <c r="A954" s="955"/>
      <c r="B954" s="963"/>
      <c r="C954" s="960"/>
      <c r="D954" s="957"/>
      <c r="E954" s="1230"/>
      <c r="F954" s="964"/>
      <c r="G954" s="964"/>
    </row>
    <row r="955" spans="1:7" s="954" customFormat="1" ht="28.2">
      <c r="A955" s="953" t="s">
        <v>2269</v>
      </c>
      <c r="B955" s="953" t="s">
        <v>2270</v>
      </c>
      <c r="C955" s="953" t="s">
        <v>2271</v>
      </c>
      <c r="D955" s="967"/>
      <c r="E955" s="953" t="s">
        <v>92</v>
      </c>
      <c r="F955" s="967"/>
      <c r="G955" s="967" t="s">
        <v>151</v>
      </c>
    </row>
    <row r="956" spans="1:7" s="954" customFormat="1">
      <c r="A956" s="955">
        <v>1</v>
      </c>
      <c r="B956" s="1229" t="str">
        <f>B934</f>
        <v>Outer frame "L' angle 35x35x5mm</v>
      </c>
      <c r="C956" s="957">
        <f>F940</f>
        <v>15.756</v>
      </c>
      <c r="D956" s="968" t="s">
        <v>2272</v>
      </c>
      <c r="E956" s="957"/>
      <c r="F956" s="968"/>
      <c r="G956" s="957"/>
    </row>
    <row r="957" spans="1:7" s="954" customFormat="1">
      <c r="A957" s="955">
        <v>2</v>
      </c>
      <c r="B957" s="1229" t="str">
        <f>B942</f>
        <v>10mm square rods safety bars</v>
      </c>
      <c r="C957" s="957">
        <f>F947</f>
        <v>9.282</v>
      </c>
      <c r="D957" s="968" t="s">
        <v>462</v>
      </c>
      <c r="E957" s="957"/>
      <c r="F957" s="968"/>
      <c r="G957" s="957"/>
    </row>
    <row r="958" spans="1:7" s="954" customFormat="1" ht="14.1">
      <c r="A958" s="969"/>
      <c r="B958" s="970"/>
      <c r="C958" s="1230">
        <f>SUM(C956:C957)</f>
        <v>25.038</v>
      </c>
      <c r="D958" s="968" t="s">
        <v>462</v>
      </c>
      <c r="E958" s="957">
        <f>[8]LEAD!$P$30/1000</f>
        <v>49</v>
      </c>
      <c r="F958" s="968" t="s">
        <v>462</v>
      </c>
      <c r="G958" s="957">
        <f>ROUND(C958*E958,2)</f>
        <v>1226.8599999999999</v>
      </c>
    </row>
    <row r="959" spans="1:7" s="954" customFormat="1" ht="14.1">
      <c r="A959" s="969">
        <v>3</v>
      </c>
      <c r="B959" s="971" t="s">
        <v>2273</v>
      </c>
      <c r="C959" s="957">
        <f>E932</f>
        <v>0.75</v>
      </c>
      <c r="D959" s="968" t="s">
        <v>461</v>
      </c>
      <c r="E959" s="957">
        <f>E953</f>
        <v>497.4</v>
      </c>
      <c r="F959" s="968" t="s">
        <v>2274</v>
      </c>
      <c r="G959" s="957">
        <f>ROUND(C959*E959/10,2)</f>
        <v>37.31</v>
      </c>
    </row>
    <row r="960" spans="1:7" s="954" customFormat="1" ht="14.1">
      <c r="A960" s="955">
        <v>4</v>
      </c>
      <c r="B960" s="972" t="s">
        <v>2497</v>
      </c>
      <c r="C960" s="957">
        <f>C958</f>
        <v>25.038</v>
      </c>
      <c r="D960" s="968" t="s">
        <v>462</v>
      </c>
      <c r="E960" s="957">
        <f>30+4</f>
        <v>34</v>
      </c>
      <c r="F960" s="968" t="s">
        <v>462</v>
      </c>
      <c r="G960" s="957">
        <f>ROUND(C960*E960,2)</f>
        <v>851.29</v>
      </c>
    </row>
    <row r="961" spans="1:7" s="954" customFormat="1">
      <c r="A961" s="955">
        <v>5</v>
      </c>
      <c r="B961" s="971" t="s">
        <v>2275</v>
      </c>
      <c r="C961" s="957">
        <f>'[8]C-data (K)'!$E$5</f>
        <v>0.2</v>
      </c>
      <c r="D961" s="968"/>
      <c r="E961" s="957">
        <f>G960</f>
        <v>851.29</v>
      </c>
      <c r="F961" s="968"/>
      <c r="G961" s="957">
        <f>ROUND(C961*E961,2)</f>
        <v>170.26</v>
      </c>
    </row>
    <row r="962" spans="1:7" s="954" customFormat="1" ht="14.1">
      <c r="A962" s="955"/>
      <c r="B962" s="971"/>
      <c r="C962" s="960"/>
      <c r="D962" s="957"/>
      <c r="E962" s="960"/>
      <c r="F962" s="957"/>
      <c r="G962" s="1230">
        <f>SUM(G958:G961)</f>
        <v>2285.7200000000003</v>
      </c>
    </row>
    <row r="963" spans="1:7" s="954" customFormat="1" ht="14.1">
      <c r="A963" s="955">
        <v>6</v>
      </c>
      <c r="B963" s="1277" t="str">
        <f>'[8]C-data (K)'!$C$174</f>
        <v>Add 5% over heads</v>
      </c>
      <c r="C963" s="974">
        <f>'[8]C-data (K)'!$D$3</f>
        <v>0</v>
      </c>
      <c r="D963" s="957"/>
      <c r="E963" s="960"/>
      <c r="F963" s="957"/>
      <c r="G963" s="957">
        <f>G962*C963</f>
        <v>0</v>
      </c>
    </row>
    <row r="964" spans="1:7" s="954" customFormat="1">
      <c r="A964" s="955"/>
      <c r="B964" s="971"/>
      <c r="C964" s="957"/>
      <c r="D964" s="957"/>
      <c r="E964" s="960"/>
      <c r="F964" s="957"/>
      <c r="G964" s="957">
        <f>SUM(G962:G963)</f>
        <v>2285.7200000000003</v>
      </c>
    </row>
    <row r="965" spans="1:7" s="954" customFormat="1" ht="14.1">
      <c r="A965" s="955"/>
      <c r="B965" s="975" t="s">
        <v>1806</v>
      </c>
      <c r="C965" s="960"/>
      <c r="D965" s="957"/>
      <c r="E965" s="1610" t="s">
        <v>2276</v>
      </c>
      <c r="F965" s="1610"/>
      <c r="G965" s="1230">
        <f>ROUND(G964,0)</f>
        <v>2286</v>
      </c>
    </row>
    <row r="966" spans="1:7">
      <c r="A966" s="951"/>
      <c r="B966" s="951"/>
      <c r="C966" s="952"/>
      <c r="D966" s="951"/>
      <c r="E966" s="951"/>
      <c r="F966" s="951"/>
      <c r="G966" s="951"/>
    </row>
    <row r="967" spans="1:7" s="954" customFormat="1" ht="14.1">
      <c r="A967" s="953">
        <v>28</v>
      </c>
      <c r="B967" s="1611" t="s">
        <v>2525</v>
      </c>
      <c r="C967" s="1611"/>
      <c r="D967" s="1611"/>
      <c r="E967" s="1611"/>
      <c r="F967" s="1611"/>
      <c r="G967" s="1611"/>
    </row>
    <row r="968" spans="1:7" s="954" customFormat="1" ht="14.1">
      <c r="A968" s="955"/>
      <c r="B968" s="956" t="s">
        <v>2259</v>
      </c>
      <c r="C968" s="957">
        <v>2.5</v>
      </c>
      <c r="D968" s="957">
        <v>0.45</v>
      </c>
      <c r="E968" s="1230">
        <f>C968*D968</f>
        <v>1.125</v>
      </c>
      <c r="F968" s="958" t="s">
        <v>547</v>
      </c>
      <c r="G968" s="958"/>
    </row>
    <row r="969" spans="1:7" s="954" customFormat="1" ht="14.1">
      <c r="A969" s="955"/>
      <c r="B969" s="1229"/>
      <c r="C969" s="959"/>
      <c r="D969" s="958"/>
      <c r="E969" s="960"/>
      <c r="F969" s="958"/>
      <c r="G969" s="958"/>
    </row>
    <row r="970" spans="1:7" s="954" customFormat="1" ht="14.1">
      <c r="A970" s="955"/>
      <c r="B970" s="961" t="s">
        <v>2260</v>
      </c>
      <c r="C970" s="959"/>
      <c r="D970" s="958"/>
      <c r="E970" s="960"/>
      <c r="F970" s="958"/>
      <c r="G970" s="958"/>
    </row>
    <row r="971" spans="1:7" s="954" customFormat="1" ht="14.1">
      <c r="A971" s="955"/>
      <c r="B971" s="1229" t="s">
        <v>2261</v>
      </c>
      <c r="C971" s="960">
        <v>2</v>
      </c>
      <c r="D971" s="957">
        <f>D968</f>
        <v>0.45</v>
      </c>
      <c r="E971" s="957">
        <f>C971*D971</f>
        <v>0.9</v>
      </c>
      <c r="F971" s="962"/>
      <c r="G971" s="958"/>
    </row>
    <row r="972" spans="1:7" s="954" customFormat="1" ht="14.1">
      <c r="A972" s="955"/>
      <c r="B972" s="1229" t="s">
        <v>1475</v>
      </c>
      <c r="C972" s="960">
        <v>2</v>
      </c>
      <c r="D972" s="957">
        <f>C968</f>
        <v>2.5</v>
      </c>
      <c r="E972" s="957">
        <f>C972*D972</f>
        <v>5</v>
      </c>
      <c r="F972" s="962"/>
      <c r="G972" s="958"/>
    </row>
    <row r="973" spans="1:7" s="954" customFormat="1" ht="14.1">
      <c r="A973" s="955"/>
      <c r="B973" s="1229" t="s">
        <v>1510</v>
      </c>
      <c r="C973" s="960">
        <v>2</v>
      </c>
      <c r="D973" s="957">
        <v>0.23</v>
      </c>
      <c r="E973" s="957">
        <f>C973*D973</f>
        <v>0.46</v>
      </c>
      <c r="F973" s="962"/>
      <c r="G973" s="958"/>
    </row>
    <row r="974" spans="1:7" s="954" customFormat="1" ht="14.1">
      <c r="A974" s="955"/>
      <c r="B974" s="1229"/>
      <c r="C974" s="960"/>
      <c r="D974" s="957"/>
      <c r="E974" s="1230">
        <f>SUM(E971:E973)</f>
        <v>6.36</v>
      </c>
      <c r="F974" s="962"/>
      <c r="G974" s="958"/>
    </row>
    <row r="975" spans="1:7" s="954" customFormat="1" ht="14.1">
      <c r="A975" s="955"/>
      <c r="B975" s="1229" t="s">
        <v>2262</v>
      </c>
      <c r="C975" s="957">
        <v>1.8</v>
      </c>
      <c r="D975" s="957" t="s">
        <v>2263</v>
      </c>
      <c r="E975" s="957"/>
      <c r="F975" s="962"/>
      <c r="G975" s="958"/>
    </row>
    <row r="976" spans="1:7" s="954" customFormat="1" ht="14.1">
      <c r="A976" s="955"/>
      <c r="B976" s="963" t="s">
        <v>2264</v>
      </c>
      <c r="C976" s="957">
        <f>E974</f>
        <v>6.36</v>
      </c>
      <c r="D976" s="957">
        <f>C975</f>
        <v>1.8</v>
      </c>
      <c r="E976" s="957"/>
      <c r="F976" s="1230">
        <f>C976*D976</f>
        <v>11.448</v>
      </c>
      <c r="G976" s="964" t="s">
        <v>462</v>
      </c>
    </row>
    <row r="977" spans="1:7" s="954" customFormat="1" ht="14.1">
      <c r="A977" s="955"/>
      <c r="B977" s="963"/>
      <c r="C977" s="957"/>
      <c r="D977" s="957"/>
      <c r="E977" s="957"/>
      <c r="F977" s="1230"/>
      <c r="G977" s="964"/>
    </row>
    <row r="978" spans="1:7" s="954" customFormat="1" ht="14.1">
      <c r="A978" s="955"/>
      <c r="B978" s="961" t="s">
        <v>2265</v>
      </c>
      <c r="C978" s="959"/>
      <c r="D978" s="958"/>
      <c r="E978" s="960"/>
      <c r="F978" s="958"/>
      <c r="G978" s="958"/>
    </row>
    <row r="979" spans="1:7" s="954" customFormat="1" ht="14.1">
      <c r="A979" s="955"/>
      <c r="B979" s="1229" t="s">
        <v>1477</v>
      </c>
      <c r="C979" s="960">
        <v>23</v>
      </c>
      <c r="D979" s="957">
        <f>D971</f>
        <v>0.45</v>
      </c>
      <c r="E979" s="957">
        <f>C979*D979</f>
        <v>10.35</v>
      </c>
      <c r="F979" s="962"/>
      <c r="G979" s="958"/>
    </row>
    <row r="980" spans="1:7" s="954" customFormat="1" ht="14.1">
      <c r="A980" s="955"/>
      <c r="B980" s="1229" t="s">
        <v>1475</v>
      </c>
      <c r="C980" s="960">
        <v>3</v>
      </c>
      <c r="D980" s="957">
        <f>D972</f>
        <v>2.5</v>
      </c>
      <c r="E980" s="957">
        <f>C980*D980</f>
        <v>7.5</v>
      </c>
      <c r="F980" s="962"/>
      <c r="G980" s="958"/>
    </row>
    <row r="981" spans="1:7" s="954" customFormat="1" ht="14.1">
      <c r="A981" s="955"/>
      <c r="B981" s="1229"/>
      <c r="C981" s="960"/>
      <c r="D981" s="957"/>
      <c r="E981" s="1230">
        <f>SUM(E979:E980)</f>
        <v>17.850000000000001</v>
      </c>
      <c r="F981" s="962"/>
      <c r="G981" s="958"/>
    </row>
    <row r="982" spans="1:7" s="954" customFormat="1" ht="14.1">
      <c r="A982" s="955"/>
      <c r="B982" s="1229" t="s">
        <v>2262</v>
      </c>
      <c r="C982" s="957">
        <v>0.78</v>
      </c>
      <c r="D982" s="957" t="s">
        <v>2263</v>
      </c>
      <c r="E982" s="957"/>
      <c r="F982" s="962"/>
      <c r="G982" s="958"/>
    </row>
    <row r="983" spans="1:7" s="954" customFormat="1" ht="14.1">
      <c r="A983" s="955"/>
      <c r="B983" s="963" t="s">
        <v>2264</v>
      </c>
      <c r="C983" s="957">
        <f>E981</f>
        <v>17.850000000000001</v>
      </c>
      <c r="D983" s="957">
        <f>C982</f>
        <v>0.78</v>
      </c>
      <c r="E983" s="957"/>
      <c r="F983" s="1230">
        <f>C983*D983</f>
        <v>13.923000000000002</v>
      </c>
      <c r="G983" s="964" t="s">
        <v>462</v>
      </c>
    </row>
    <row r="984" spans="1:7" s="954" customFormat="1" ht="14.1">
      <c r="A984" s="955"/>
      <c r="B984" s="963"/>
      <c r="C984" s="957"/>
      <c r="D984" s="957"/>
      <c r="E984" s="957"/>
      <c r="F984" s="1230"/>
      <c r="G984" s="964"/>
    </row>
    <row r="985" spans="1:7" s="954" customFormat="1" ht="14.1">
      <c r="A985" s="955"/>
      <c r="B985" s="961" t="s">
        <v>2266</v>
      </c>
      <c r="C985" s="960"/>
      <c r="D985" s="957"/>
      <c r="E985" s="957"/>
      <c r="F985" s="1230"/>
      <c r="G985" s="964"/>
    </row>
    <row r="986" spans="1:7" s="954" customFormat="1" ht="14.1">
      <c r="A986" s="955"/>
      <c r="B986" s="1229" t="s">
        <v>2267</v>
      </c>
      <c r="C986" s="960">
        <v>0.6</v>
      </c>
      <c r="D986" s="965">
        <f>'[8]C-data (K)'!$F$86</f>
        <v>129</v>
      </c>
      <c r="E986" s="957">
        <f>C986*D986</f>
        <v>77.399999999999991</v>
      </c>
      <c r="F986" s="962"/>
      <c r="G986" s="958"/>
    </row>
    <row r="987" spans="1:7" s="954" customFormat="1" ht="14.1">
      <c r="A987" s="955"/>
      <c r="B987" s="1229" t="s">
        <v>771</v>
      </c>
      <c r="C987" s="960">
        <v>0.21</v>
      </c>
      <c r="D987" s="965">
        <f>'[8]C-data (K)'!$F$19</f>
        <v>684</v>
      </c>
      <c r="E987" s="957">
        <f>C987*D987</f>
        <v>143.63999999999999</v>
      </c>
      <c r="F987" s="962"/>
      <c r="G987" s="958"/>
    </row>
    <row r="988" spans="1:7" s="954" customFormat="1" ht="14.1">
      <c r="A988" s="955"/>
      <c r="B988" s="1229" t="s">
        <v>772</v>
      </c>
      <c r="C988" s="960">
        <v>0.49</v>
      </c>
      <c r="D988" s="965">
        <f>'[8]C-data (K)'!$F$20</f>
        <v>564</v>
      </c>
      <c r="E988" s="957">
        <f>C988*D988</f>
        <v>276.36</v>
      </c>
      <c r="F988" s="962"/>
      <c r="G988" s="958"/>
    </row>
    <row r="989" spans="1:7" s="954" customFormat="1" ht="14.1">
      <c r="A989" s="955"/>
      <c r="B989" s="963"/>
      <c r="C989" s="960"/>
      <c r="D989" s="957"/>
      <c r="E989" s="1230">
        <f>SUM(E986:E988)</f>
        <v>497.4</v>
      </c>
      <c r="F989" s="966" t="s">
        <v>2268</v>
      </c>
      <c r="G989" s="964"/>
    </row>
    <row r="990" spans="1:7" s="954" customFormat="1" ht="14.1">
      <c r="A990" s="955"/>
      <c r="B990" s="963"/>
      <c r="C990" s="960"/>
      <c r="D990" s="957"/>
      <c r="E990" s="1230"/>
      <c r="F990" s="964"/>
      <c r="G990" s="964"/>
    </row>
    <row r="991" spans="1:7" s="954" customFormat="1" ht="28.2">
      <c r="A991" s="953" t="s">
        <v>2269</v>
      </c>
      <c r="B991" s="953" t="s">
        <v>2270</v>
      </c>
      <c r="C991" s="953" t="s">
        <v>2271</v>
      </c>
      <c r="D991" s="967"/>
      <c r="E991" s="953" t="s">
        <v>92</v>
      </c>
      <c r="F991" s="967"/>
      <c r="G991" s="967" t="s">
        <v>151</v>
      </c>
    </row>
    <row r="992" spans="1:7" s="954" customFormat="1">
      <c r="A992" s="955">
        <v>1</v>
      </c>
      <c r="B992" s="1229" t="str">
        <f>B970</f>
        <v>Outer frame "L' angle 25x25x5mm</v>
      </c>
      <c r="C992" s="957">
        <f>F976</f>
        <v>11.448</v>
      </c>
      <c r="D992" s="968" t="s">
        <v>2272</v>
      </c>
      <c r="E992" s="957"/>
      <c r="F992" s="968"/>
      <c r="G992" s="957"/>
    </row>
    <row r="993" spans="1:7" s="954" customFormat="1">
      <c r="A993" s="955">
        <v>2</v>
      </c>
      <c r="B993" s="1229" t="str">
        <f>B978</f>
        <v>10mm square rods safety bars</v>
      </c>
      <c r="C993" s="957">
        <f>F983</f>
        <v>13.923000000000002</v>
      </c>
      <c r="D993" s="968" t="s">
        <v>462</v>
      </c>
      <c r="E993" s="957"/>
      <c r="F993" s="968"/>
      <c r="G993" s="957"/>
    </row>
    <row r="994" spans="1:7" s="954" customFormat="1" ht="14.1">
      <c r="A994" s="969"/>
      <c r="B994" s="970"/>
      <c r="C994" s="1230">
        <f>SUM(C992:C993)</f>
        <v>25.371000000000002</v>
      </c>
      <c r="D994" s="968" t="s">
        <v>462</v>
      </c>
      <c r="E994" s="957">
        <f>[8]LEAD!$P$30/1000</f>
        <v>49</v>
      </c>
      <c r="F994" s="968" t="s">
        <v>462</v>
      </c>
      <c r="G994" s="957">
        <f>ROUND(C994*E994,2)</f>
        <v>1243.18</v>
      </c>
    </row>
    <row r="995" spans="1:7" s="954" customFormat="1">
      <c r="A995" s="955">
        <v>3</v>
      </c>
      <c r="B995" s="971" t="s">
        <v>2273</v>
      </c>
      <c r="C995" s="957">
        <f>E968</f>
        <v>1.125</v>
      </c>
      <c r="D995" s="968" t="s">
        <v>461</v>
      </c>
      <c r="E995" s="957">
        <f>E989</f>
        <v>497.4</v>
      </c>
      <c r="F995" s="968" t="s">
        <v>2274</v>
      </c>
      <c r="G995" s="957">
        <f>ROUND(C995*E995/10,2)</f>
        <v>55.96</v>
      </c>
    </row>
    <row r="996" spans="1:7" s="954" customFormat="1" ht="14.1">
      <c r="A996" s="955">
        <v>4</v>
      </c>
      <c r="B996" s="972" t="s">
        <v>2497</v>
      </c>
      <c r="C996" s="957">
        <f>C994</f>
        <v>25.371000000000002</v>
      </c>
      <c r="D996" s="968" t="s">
        <v>462</v>
      </c>
      <c r="E996" s="957">
        <f>30+4</f>
        <v>34</v>
      </c>
      <c r="F996" s="968" t="s">
        <v>462</v>
      </c>
      <c r="G996" s="957">
        <f>ROUND(C996*E996,2)</f>
        <v>862.61</v>
      </c>
    </row>
    <row r="997" spans="1:7" s="954" customFormat="1">
      <c r="A997" s="955">
        <v>5</v>
      </c>
      <c r="B997" s="971" t="s">
        <v>2275</v>
      </c>
      <c r="C997" s="957">
        <f>'[8]C-data (K)'!$E$5</f>
        <v>0.2</v>
      </c>
      <c r="D997" s="968"/>
      <c r="E997" s="957">
        <f>G996</f>
        <v>862.61</v>
      </c>
      <c r="F997" s="968"/>
      <c r="G997" s="957">
        <f>ROUND(C997*E997,2)</f>
        <v>172.52</v>
      </c>
    </row>
    <row r="998" spans="1:7" s="954" customFormat="1" ht="14.1">
      <c r="A998" s="955"/>
      <c r="B998" s="971"/>
      <c r="C998" s="960"/>
      <c r="D998" s="957"/>
      <c r="E998" s="960"/>
      <c r="F998" s="957"/>
      <c r="G998" s="1230">
        <f>SUM(G994:G997)</f>
        <v>2334.27</v>
      </c>
    </row>
    <row r="999" spans="1:7" s="954" customFormat="1" ht="14.1">
      <c r="A999" s="955">
        <v>6</v>
      </c>
      <c r="B999" s="1277" t="str">
        <f>'[8]C-data (K)'!$C$174</f>
        <v>Add 5% over heads</v>
      </c>
      <c r="C999" s="974">
        <f>'[8]C-data (K)'!$D$3</f>
        <v>0</v>
      </c>
      <c r="D999" s="957"/>
      <c r="E999" s="960"/>
      <c r="F999" s="957"/>
      <c r="G999" s="957">
        <f>G998*C999</f>
        <v>0</v>
      </c>
    </row>
    <row r="1000" spans="1:7" s="954" customFormat="1">
      <c r="A1000" s="955"/>
      <c r="B1000" s="971"/>
      <c r="C1000" s="957"/>
      <c r="D1000" s="957"/>
      <c r="E1000" s="960"/>
      <c r="F1000" s="957"/>
      <c r="G1000" s="957">
        <f>SUM(G998:G999)</f>
        <v>2334.27</v>
      </c>
    </row>
    <row r="1001" spans="1:7" s="954" customFormat="1" ht="14.1">
      <c r="A1001" s="955"/>
      <c r="B1001" s="975" t="s">
        <v>1806</v>
      </c>
      <c r="C1001" s="960"/>
      <c r="D1001" s="957"/>
      <c r="E1001" s="1610" t="s">
        <v>2276</v>
      </c>
      <c r="F1001" s="1610"/>
      <c r="G1001" s="1230">
        <f>ROUND(G1000,0)</f>
        <v>2334</v>
      </c>
    </row>
    <row r="1002" spans="1:7">
      <c r="A1002" s="951"/>
      <c r="B1002" s="951"/>
      <c r="C1002" s="952"/>
      <c r="D1002" s="951"/>
      <c r="E1002" s="951"/>
      <c r="F1002" s="951"/>
      <c r="G1002" s="951"/>
    </row>
    <row r="1003" spans="1:7" s="954" customFormat="1" ht="14.1">
      <c r="A1003" s="953">
        <v>29</v>
      </c>
      <c r="B1003" s="1611" t="s">
        <v>2526</v>
      </c>
      <c r="C1003" s="1611"/>
      <c r="D1003" s="1611"/>
      <c r="E1003" s="1611"/>
      <c r="F1003" s="1611"/>
      <c r="G1003" s="1611"/>
    </row>
    <row r="1004" spans="1:7" s="954" customFormat="1" ht="14.1">
      <c r="A1004" s="955"/>
      <c r="B1004" s="956" t="s">
        <v>2259</v>
      </c>
      <c r="C1004" s="957">
        <v>2.5</v>
      </c>
      <c r="D1004" s="957">
        <v>0.45</v>
      </c>
      <c r="E1004" s="1230">
        <f>C1004*D1004</f>
        <v>1.125</v>
      </c>
      <c r="F1004" s="958" t="s">
        <v>547</v>
      </c>
      <c r="G1004" s="958"/>
    </row>
    <row r="1005" spans="1:7" s="954" customFormat="1" ht="14.1">
      <c r="A1005" s="955"/>
      <c r="B1005" s="1229"/>
      <c r="C1005" s="959"/>
      <c r="D1005" s="958"/>
      <c r="E1005" s="960"/>
      <c r="F1005" s="958"/>
      <c r="G1005" s="958"/>
    </row>
    <row r="1006" spans="1:7" s="954" customFormat="1" ht="14.1">
      <c r="A1006" s="955"/>
      <c r="B1006" s="961" t="s">
        <v>2500</v>
      </c>
      <c r="C1006" s="959"/>
      <c r="D1006" s="958"/>
      <c r="E1006" s="960"/>
      <c r="F1006" s="958"/>
      <c r="G1006" s="958"/>
    </row>
    <row r="1007" spans="1:7" s="954" customFormat="1" ht="14.1">
      <c r="A1007" s="955"/>
      <c r="B1007" s="1229" t="s">
        <v>2261</v>
      </c>
      <c r="C1007" s="960">
        <v>2</v>
      </c>
      <c r="D1007" s="957">
        <f>D1004</f>
        <v>0.45</v>
      </c>
      <c r="E1007" s="957">
        <f>C1007*D1007</f>
        <v>0.9</v>
      </c>
      <c r="F1007" s="962"/>
      <c r="G1007" s="958"/>
    </row>
    <row r="1008" spans="1:7" s="954" customFormat="1" ht="14.1">
      <c r="A1008" s="955"/>
      <c r="B1008" s="1229" t="s">
        <v>1475</v>
      </c>
      <c r="C1008" s="960">
        <v>2</v>
      </c>
      <c r="D1008" s="957">
        <f>C1004</f>
        <v>2.5</v>
      </c>
      <c r="E1008" s="957">
        <f>C1008*D1008</f>
        <v>5</v>
      </c>
      <c r="F1008" s="962"/>
      <c r="G1008" s="958"/>
    </row>
    <row r="1009" spans="1:7" s="954" customFormat="1" ht="14.1">
      <c r="A1009" s="955"/>
      <c r="B1009" s="1229" t="s">
        <v>1510</v>
      </c>
      <c r="C1009" s="960">
        <v>2</v>
      </c>
      <c r="D1009" s="957">
        <v>0.23</v>
      </c>
      <c r="E1009" s="957">
        <f>C1009*D1009</f>
        <v>0.46</v>
      </c>
      <c r="F1009" s="962"/>
      <c r="G1009" s="958"/>
    </row>
    <row r="1010" spans="1:7" s="954" customFormat="1" ht="14.1">
      <c r="A1010" s="955"/>
      <c r="B1010" s="1229"/>
      <c r="C1010" s="960"/>
      <c r="D1010" s="957"/>
      <c r="E1010" s="1230">
        <f>SUM(E1007:E1009)</f>
        <v>6.36</v>
      </c>
      <c r="F1010" s="962"/>
      <c r="G1010" s="958"/>
    </row>
    <row r="1011" spans="1:7" s="954" customFormat="1" ht="14.1">
      <c r="A1011" s="955"/>
      <c r="B1011" s="1229" t="s">
        <v>2262</v>
      </c>
      <c r="C1011" s="957">
        <v>2.6</v>
      </c>
      <c r="D1011" s="957" t="s">
        <v>2263</v>
      </c>
      <c r="E1011" s="957"/>
      <c r="F1011" s="962"/>
      <c r="G1011" s="958"/>
    </row>
    <row r="1012" spans="1:7" s="954" customFormat="1" ht="14.1">
      <c r="A1012" s="955"/>
      <c r="B1012" s="963" t="s">
        <v>2264</v>
      </c>
      <c r="C1012" s="957">
        <f>E1010</f>
        <v>6.36</v>
      </c>
      <c r="D1012" s="957">
        <f>C1011</f>
        <v>2.6</v>
      </c>
      <c r="E1012" s="957"/>
      <c r="F1012" s="1230">
        <f>C1012*D1012</f>
        <v>16.536000000000001</v>
      </c>
      <c r="G1012" s="964" t="s">
        <v>462</v>
      </c>
    </row>
    <row r="1013" spans="1:7" s="954" customFormat="1" ht="14.1">
      <c r="A1013" s="955"/>
      <c r="B1013" s="963"/>
      <c r="C1013" s="957"/>
      <c r="D1013" s="957"/>
      <c r="E1013" s="957"/>
      <c r="F1013" s="1230"/>
      <c r="G1013" s="964"/>
    </row>
    <row r="1014" spans="1:7" s="954" customFormat="1" ht="14.1">
      <c r="A1014" s="955"/>
      <c r="B1014" s="961" t="s">
        <v>2265</v>
      </c>
      <c r="C1014" s="959"/>
      <c r="D1014" s="958"/>
      <c r="E1014" s="960"/>
      <c r="F1014" s="958"/>
      <c r="G1014" s="958"/>
    </row>
    <row r="1015" spans="1:7" s="954" customFormat="1" ht="14.1">
      <c r="A1015" s="955"/>
      <c r="B1015" s="1229" t="s">
        <v>1477</v>
      </c>
      <c r="C1015" s="960">
        <v>23</v>
      </c>
      <c r="D1015" s="957">
        <f>D1007</f>
        <v>0.45</v>
      </c>
      <c r="E1015" s="957">
        <f>C1015*D1015</f>
        <v>10.35</v>
      </c>
      <c r="F1015" s="962"/>
      <c r="G1015" s="958"/>
    </row>
    <row r="1016" spans="1:7" s="954" customFormat="1" ht="14.1">
      <c r="A1016" s="955"/>
      <c r="B1016" s="1229" t="s">
        <v>1475</v>
      </c>
      <c r="C1016" s="960">
        <v>3</v>
      </c>
      <c r="D1016" s="957">
        <f>D1008</f>
        <v>2.5</v>
      </c>
      <c r="E1016" s="957">
        <f>C1016*D1016</f>
        <v>7.5</v>
      </c>
      <c r="F1016" s="962"/>
      <c r="G1016" s="958"/>
    </row>
    <row r="1017" spans="1:7" s="954" customFormat="1" ht="14.1">
      <c r="A1017" s="955"/>
      <c r="B1017" s="1229"/>
      <c r="C1017" s="960"/>
      <c r="D1017" s="957"/>
      <c r="E1017" s="1230">
        <f>SUM(E1015:E1016)</f>
        <v>17.850000000000001</v>
      </c>
      <c r="F1017" s="962"/>
      <c r="G1017" s="958"/>
    </row>
    <row r="1018" spans="1:7" s="954" customFormat="1" ht="14.1">
      <c r="A1018" s="955"/>
      <c r="B1018" s="1229" t="s">
        <v>2262</v>
      </c>
      <c r="C1018" s="957">
        <v>0.78</v>
      </c>
      <c r="D1018" s="957" t="s">
        <v>2263</v>
      </c>
      <c r="E1018" s="957"/>
      <c r="F1018" s="962"/>
      <c r="G1018" s="958"/>
    </row>
    <row r="1019" spans="1:7" s="954" customFormat="1" ht="14.1">
      <c r="A1019" s="955"/>
      <c r="B1019" s="963" t="s">
        <v>2264</v>
      </c>
      <c r="C1019" s="957">
        <f>E1017</f>
        <v>17.850000000000001</v>
      </c>
      <c r="D1019" s="957">
        <f>C1018</f>
        <v>0.78</v>
      </c>
      <c r="E1019" s="957"/>
      <c r="F1019" s="1230">
        <f>C1019*D1019</f>
        <v>13.923000000000002</v>
      </c>
      <c r="G1019" s="964" t="s">
        <v>462</v>
      </c>
    </row>
    <row r="1020" spans="1:7" s="954" customFormat="1" ht="14.1">
      <c r="A1020" s="955"/>
      <c r="B1020" s="963"/>
      <c r="C1020" s="957"/>
      <c r="D1020" s="957"/>
      <c r="E1020" s="957"/>
      <c r="F1020" s="1230"/>
      <c r="G1020" s="964"/>
    </row>
    <row r="1021" spans="1:7" s="954" customFormat="1" ht="14.1">
      <c r="A1021" s="955"/>
      <c r="B1021" s="961" t="s">
        <v>2266</v>
      </c>
      <c r="C1021" s="960"/>
      <c r="D1021" s="957"/>
      <c r="E1021" s="957"/>
      <c r="F1021" s="1230"/>
      <c r="G1021" s="964"/>
    </row>
    <row r="1022" spans="1:7" s="954" customFormat="1" ht="14.1">
      <c r="A1022" s="955"/>
      <c r="B1022" s="1229" t="s">
        <v>2267</v>
      </c>
      <c r="C1022" s="960">
        <v>0.6</v>
      </c>
      <c r="D1022" s="965">
        <f>'[8]C-data (K)'!$F$86</f>
        <v>129</v>
      </c>
      <c r="E1022" s="957">
        <f>C1022*D1022</f>
        <v>77.399999999999991</v>
      </c>
      <c r="F1022" s="962"/>
      <c r="G1022" s="958"/>
    </row>
    <row r="1023" spans="1:7" s="954" customFormat="1" ht="14.1">
      <c r="A1023" s="955"/>
      <c r="B1023" s="1229" t="s">
        <v>771</v>
      </c>
      <c r="C1023" s="960">
        <v>0.21</v>
      </c>
      <c r="D1023" s="965">
        <f>'[8]C-data (K)'!$F$19</f>
        <v>684</v>
      </c>
      <c r="E1023" s="957">
        <f>C1023*D1023</f>
        <v>143.63999999999999</v>
      </c>
      <c r="F1023" s="962"/>
      <c r="G1023" s="958"/>
    </row>
    <row r="1024" spans="1:7" s="954" customFormat="1" ht="14.1">
      <c r="A1024" s="955"/>
      <c r="B1024" s="1229" t="s">
        <v>772</v>
      </c>
      <c r="C1024" s="960">
        <v>0.49</v>
      </c>
      <c r="D1024" s="965">
        <f>'[8]C-data (K)'!$F$20</f>
        <v>564</v>
      </c>
      <c r="E1024" s="957">
        <f>C1024*D1024</f>
        <v>276.36</v>
      </c>
      <c r="F1024" s="962"/>
      <c r="G1024" s="958"/>
    </row>
    <row r="1025" spans="1:7" s="954" customFormat="1" ht="14.1">
      <c r="A1025" s="955"/>
      <c r="B1025" s="963"/>
      <c r="C1025" s="960"/>
      <c r="D1025" s="957"/>
      <c r="E1025" s="1230">
        <f>SUM(E1022:E1024)</f>
        <v>497.4</v>
      </c>
      <c r="F1025" s="966" t="s">
        <v>2268</v>
      </c>
      <c r="G1025" s="964"/>
    </row>
    <row r="1026" spans="1:7" s="954" customFormat="1" ht="14.1">
      <c r="A1026" s="955"/>
      <c r="B1026" s="963"/>
      <c r="C1026" s="960"/>
      <c r="D1026" s="957"/>
      <c r="E1026" s="1230"/>
      <c r="F1026" s="964"/>
      <c r="G1026" s="964"/>
    </row>
    <row r="1027" spans="1:7" s="954" customFormat="1" ht="28.2">
      <c r="A1027" s="953" t="s">
        <v>2269</v>
      </c>
      <c r="B1027" s="953" t="s">
        <v>2270</v>
      </c>
      <c r="C1027" s="953" t="s">
        <v>2271</v>
      </c>
      <c r="D1027" s="967"/>
      <c r="E1027" s="953" t="s">
        <v>92</v>
      </c>
      <c r="F1027" s="967"/>
      <c r="G1027" s="967" t="s">
        <v>151</v>
      </c>
    </row>
    <row r="1028" spans="1:7" s="954" customFormat="1">
      <c r="A1028" s="955">
        <v>1</v>
      </c>
      <c r="B1028" s="1229" t="str">
        <f>B1006</f>
        <v>Outer frame "L' angle 35x35x5mm</v>
      </c>
      <c r="C1028" s="957">
        <f>F1012</f>
        <v>16.536000000000001</v>
      </c>
      <c r="D1028" s="968" t="s">
        <v>2272</v>
      </c>
      <c r="E1028" s="957"/>
      <c r="F1028" s="968"/>
      <c r="G1028" s="957"/>
    </row>
    <row r="1029" spans="1:7" s="954" customFormat="1">
      <c r="A1029" s="955">
        <v>2</v>
      </c>
      <c r="B1029" s="1229" t="str">
        <f>B1014</f>
        <v>10mm square rods safety bars</v>
      </c>
      <c r="C1029" s="957">
        <f>F1019</f>
        <v>13.923000000000002</v>
      </c>
      <c r="D1029" s="968" t="s">
        <v>462</v>
      </c>
      <c r="E1029" s="957"/>
      <c r="F1029" s="968"/>
      <c r="G1029" s="957"/>
    </row>
    <row r="1030" spans="1:7" s="954" customFormat="1" ht="14.1">
      <c r="A1030" s="969"/>
      <c r="B1030" s="970"/>
      <c r="C1030" s="1230">
        <f>SUM(C1028:C1029)</f>
        <v>30.459000000000003</v>
      </c>
      <c r="D1030" s="968" t="s">
        <v>462</v>
      </c>
      <c r="E1030" s="957">
        <f>[8]LEAD!$P$30/1000</f>
        <v>49</v>
      </c>
      <c r="F1030" s="968" t="s">
        <v>462</v>
      </c>
      <c r="G1030" s="957">
        <f>ROUND(C1030*E1030,2)</f>
        <v>1492.49</v>
      </c>
    </row>
    <row r="1031" spans="1:7" s="954" customFormat="1">
      <c r="A1031" s="955">
        <v>3</v>
      </c>
      <c r="B1031" s="971" t="s">
        <v>2273</v>
      </c>
      <c r="C1031" s="957">
        <f>E1004</f>
        <v>1.125</v>
      </c>
      <c r="D1031" s="968" t="s">
        <v>461</v>
      </c>
      <c r="E1031" s="957">
        <f>E1025</f>
        <v>497.4</v>
      </c>
      <c r="F1031" s="968" t="s">
        <v>2274</v>
      </c>
      <c r="G1031" s="957">
        <f>ROUND(C1031*E1031/10,2)</f>
        <v>55.96</v>
      </c>
    </row>
    <row r="1032" spans="1:7" s="954" customFormat="1" ht="14.1">
      <c r="A1032" s="955">
        <v>4</v>
      </c>
      <c r="B1032" s="972" t="s">
        <v>2497</v>
      </c>
      <c r="C1032" s="957">
        <f>C1030</f>
        <v>30.459000000000003</v>
      </c>
      <c r="D1032" s="968" t="s">
        <v>462</v>
      </c>
      <c r="E1032" s="957">
        <f>30+4</f>
        <v>34</v>
      </c>
      <c r="F1032" s="968" t="s">
        <v>462</v>
      </c>
      <c r="G1032" s="957">
        <f>ROUND(C1032*E1032,2)</f>
        <v>1035.6099999999999</v>
      </c>
    </row>
    <row r="1033" spans="1:7" s="954" customFormat="1">
      <c r="A1033" s="955">
        <v>5</v>
      </c>
      <c r="B1033" s="971" t="s">
        <v>2275</v>
      </c>
      <c r="C1033" s="957">
        <f>'[8]C-data (K)'!$E$5</f>
        <v>0.2</v>
      </c>
      <c r="D1033" s="968"/>
      <c r="E1033" s="957">
        <f>G1032</f>
        <v>1035.6099999999999</v>
      </c>
      <c r="F1033" s="968"/>
      <c r="G1033" s="957">
        <f>ROUND(C1033*E1033,2)</f>
        <v>207.12</v>
      </c>
    </row>
    <row r="1034" spans="1:7" s="954" customFormat="1" ht="14.1">
      <c r="A1034" s="955"/>
      <c r="B1034" s="971"/>
      <c r="C1034" s="960"/>
      <c r="D1034" s="957"/>
      <c r="E1034" s="960"/>
      <c r="F1034" s="957"/>
      <c r="G1034" s="1230">
        <f>SUM(G1030:G1033)</f>
        <v>2791.18</v>
      </c>
    </row>
    <row r="1035" spans="1:7" s="954" customFormat="1" ht="14.1">
      <c r="A1035" s="955">
        <v>6</v>
      </c>
      <c r="B1035" s="1277" t="str">
        <f>'[8]C-data (K)'!$C$174</f>
        <v>Add 5% over heads</v>
      </c>
      <c r="C1035" s="974">
        <f>'[8]C-data (K)'!$D$3</f>
        <v>0</v>
      </c>
      <c r="D1035" s="957"/>
      <c r="E1035" s="960"/>
      <c r="F1035" s="957"/>
      <c r="G1035" s="957">
        <f>G1034*C1035</f>
        <v>0</v>
      </c>
    </row>
    <row r="1036" spans="1:7" s="954" customFormat="1">
      <c r="A1036" s="955"/>
      <c r="B1036" s="971"/>
      <c r="C1036" s="957"/>
      <c r="D1036" s="957"/>
      <c r="E1036" s="960"/>
      <c r="F1036" s="957"/>
      <c r="G1036" s="957">
        <f>SUM(G1034:G1035)</f>
        <v>2791.18</v>
      </c>
    </row>
    <row r="1037" spans="1:7" s="954" customFormat="1" ht="14.1">
      <c r="A1037" s="955"/>
      <c r="B1037" s="975" t="s">
        <v>1806</v>
      </c>
      <c r="C1037" s="960"/>
      <c r="D1037" s="957"/>
      <c r="E1037" s="1610" t="s">
        <v>2276</v>
      </c>
      <c r="F1037" s="1610"/>
      <c r="G1037" s="1230">
        <f>ROUND(G1036,0)</f>
        <v>2791</v>
      </c>
    </row>
    <row r="1038" spans="1:7">
      <c r="A1038" s="951"/>
      <c r="B1038" s="951"/>
      <c r="C1038" s="952"/>
      <c r="D1038" s="951"/>
      <c r="E1038" s="951"/>
      <c r="F1038" s="951"/>
      <c r="G1038" s="951"/>
    </row>
    <row r="1039" spans="1:7" s="976" customFormat="1" ht="14.1">
      <c r="A1039" s="953">
        <v>30</v>
      </c>
      <c r="B1039" s="1611" t="s">
        <v>2281</v>
      </c>
      <c r="C1039" s="1611"/>
      <c r="D1039" s="1611"/>
      <c r="E1039" s="1611"/>
      <c r="F1039" s="1611"/>
      <c r="G1039" s="1611"/>
    </row>
    <row r="1040" spans="1:7" s="976" customFormat="1" ht="14.1">
      <c r="A1040" s="955"/>
      <c r="B1040" s="956" t="s">
        <v>2282</v>
      </c>
      <c r="C1040" s="957">
        <v>0.9</v>
      </c>
      <c r="D1040" s="957">
        <v>1.35</v>
      </c>
      <c r="E1040" s="1230">
        <f>C1040*D1040</f>
        <v>1.2150000000000001</v>
      </c>
      <c r="F1040" s="958" t="s">
        <v>547</v>
      </c>
      <c r="G1040" s="958"/>
    </row>
    <row r="1041" spans="1:7" s="976" customFormat="1" ht="14.1">
      <c r="A1041" s="955"/>
      <c r="B1041" s="1229"/>
      <c r="C1041" s="959"/>
      <c r="D1041" s="958"/>
      <c r="E1041" s="960"/>
      <c r="F1041" s="958"/>
      <c r="G1041" s="958"/>
    </row>
    <row r="1042" spans="1:7" s="976" customFormat="1" ht="14.1">
      <c r="A1042" s="955"/>
      <c r="B1042" s="961" t="s">
        <v>2260</v>
      </c>
      <c r="C1042" s="959"/>
      <c r="D1042" s="958"/>
      <c r="E1042" s="960"/>
      <c r="F1042" s="958"/>
      <c r="G1042" s="958"/>
    </row>
    <row r="1043" spans="1:7" s="976" customFormat="1" ht="14.1">
      <c r="A1043" s="955"/>
      <c r="B1043" s="1229" t="s">
        <v>2283</v>
      </c>
      <c r="C1043" s="960">
        <v>2</v>
      </c>
      <c r="D1043" s="957">
        <f>D1040</f>
        <v>1.35</v>
      </c>
      <c r="E1043" s="957">
        <f>C1043*D1043</f>
        <v>2.7</v>
      </c>
      <c r="F1043" s="962"/>
      <c r="G1043" s="958"/>
    </row>
    <row r="1044" spans="1:7" s="976" customFormat="1" ht="14.1">
      <c r="A1044" s="955"/>
      <c r="B1044" s="1229" t="s">
        <v>1475</v>
      </c>
      <c r="C1044" s="960">
        <v>2</v>
      </c>
      <c r="D1044" s="957">
        <f>C1040</f>
        <v>0.9</v>
      </c>
      <c r="E1044" s="957">
        <f>C1044*D1044</f>
        <v>1.8</v>
      </c>
      <c r="F1044" s="962"/>
      <c r="G1044" s="958"/>
    </row>
    <row r="1045" spans="1:7" s="976" customFormat="1" ht="14.1">
      <c r="A1045" s="955"/>
      <c r="B1045" s="1229" t="s">
        <v>1510</v>
      </c>
      <c r="C1045" s="960">
        <v>4</v>
      </c>
      <c r="D1045" s="957">
        <v>0.23</v>
      </c>
      <c r="E1045" s="957">
        <f>C1045*D1045</f>
        <v>0.92</v>
      </c>
      <c r="F1045" s="962"/>
      <c r="G1045" s="958"/>
    </row>
    <row r="1046" spans="1:7" s="976" customFormat="1" ht="14.1">
      <c r="A1046" s="955"/>
      <c r="B1046" s="1229"/>
      <c r="C1046" s="960"/>
      <c r="D1046" s="957"/>
      <c r="E1046" s="1230">
        <f>SUM(E1043:E1045)</f>
        <v>5.42</v>
      </c>
      <c r="F1046" s="962"/>
      <c r="G1046" s="958"/>
    </row>
    <row r="1047" spans="1:7" s="976" customFormat="1" ht="14.1">
      <c r="A1047" s="955"/>
      <c r="B1047" s="1229" t="s">
        <v>2262</v>
      </c>
      <c r="C1047" s="957">
        <v>1.8</v>
      </c>
      <c r="D1047" s="957" t="s">
        <v>2263</v>
      </c>
      <c r="E1047" s="957"/>
      <c r="F1047" s="962"/>
      <c r="G1047" s="958"/>
    </row>
    <row r="1048" spans="1:7" s="976" customFormat="1" ht="14.1">
      <c r="A1048" s="955"/>
      <c r="B1048" s="963" t="s">
        <v>2264</v>
      </c>
      <c r="C1048" s="957">
        <f>E1046</f>
        <v>5.42</v>
      </c>
      <c r="D1048" s="957">
        <f>C1047</f>
        <v>1.8</v>
      </c>
      <c r="E1048" s="957"/>
      <c r="F1048" s="1230">
        <f>C1048*D1048</f>
        <v>9.7560000000000002</v>
      </c>
      <c r="G1048" s="964" t="s">
        <v>462</v>
      </c>
    </row>
    <row r="1049" spans="1:7" s="976" customFormat="1" ht="14.1">
      <c r="A1049" s="955"/>
      <c r="B1049" s="963"/>
      <c r="C1049" s="957"/>
      <c r="D1049" s="957"/>
      <c r="E1049" s="957"/>
      <c r="F1049" s="1230"/>
      <c r="G1049" s="964"/>
    </row>
    <row r="1050" spans="1:7" s="976" customFormat="1" ht="14.1">
      <c r="A1050" s="955"/>
      <c r="B1050" s="961" t="s">
        <v>2265</v>
      </c>
      <c r="C1050" s="959"/>
      <c r="D1050" s="958"/>
      <c r="E1050" s="960"/>
      <c r="F1050" s="958"/>
      <c r="G1050" s="958"/>
    </row>
    <row r="1051" spans="1:7" s="976" customFormat="1" ht="14.1">
      <c r="A1051" s="955"/>
      <c r="B1051" s="1229" t="s">
        <v>1477</v>
      </c>
      <c r="C1051" s="960">
        <v>7</v>
      </c>
      <c r="D1051" s="957">
        <f>D1043</f>
        <v>1.35</v>
      </c>
      <c r="E1051" s="957">
        <f>C1051*D1051</f>
        <v>9.4500000000000011</v>
      </c>
      <c r="F1051" s="962"/>
      <c r="G1051" s="958"/>
    </row>
    <row r="1052" spans="1:7" s="976" customFormat="1" ht="14.1">
      <c r="A1052" s="955"/>
      <c r="B1052" s="1229" t="s">
        <v>1475</v>
      </c>
      <c r="C1052" s="960">
        <v>11</v>
      </c>
      <c r="D1052" s="957">
        <f>D1044</f>
        <v>0.9</v>
      </c>
      <c r="E1052" s="957">
        <f>C1052*D1052</f>
        <v>9.9</v>
      </c>
      <c r="F1052" s="962"/>
      <c r="G1052" s="958"/>
    </row>
    <row r="1053" spans="1:7" s="976" customFormat="1" ht="14.1">
      <c r="A1053" s="955"/>
      <c r="B1053" s="1229"/>
      <c r="C1053" s="960"/>
      <c r="D1053" s="957"/>
      <c r="E1053" s="977">
        <f>SUM(E1051:E1052)</f>
        <v>19.350000000000001</v>
      </c>
      <c r="F1053" s="962"/>
      <c r="G1053" s="958"/>
    </row>
    <row r="1054" spans="1:7" s="976" customFormat="1" ht="14.1">
      <c r="A1054" s="955"/>
      <c r="B1054" s="1229" t="s">
        <v>2262</v>
      </c>
      <c r="C1054" s="957">
        <v>0.78</v>
      </c>
      <c r="D1054" s="957" t="s">
        <v>2263</v>
      </c>
      <c r="E1054" s="957"/>
      <c r="F1054" s="962"/>
      <c r="G1054" s="958"/>
    </row>
    <row r="1055" spans="1:7" s="976" customFormat="1" ht="14.1">
      <c r="A1055" s="955"/>
      <c r="B1055" s="963" t="s">
        <v>2264</v>
      </c>
      <c r="C1055" s="957">
        <f>E1053</f>
        <v>19.350000000000001</v>
      </c>
      <c r="D1055" s="957">
        <f>C1054</f>
        <v>0.78</v>
      </c>
      <c r="E1055" s="957"/>
      <c r="F1055" s="1230">
        <f>C1055*D1055</f>
        <v>15.093000000000002</v>
      </c>
      <c r="G1055" s="964" t="s">
        <v>462</v>
      </c>
    </row>
    <row r="1056" spans="1:7" s="976" customFormat="1" ht="14.1">
      <c r="A1056" s="955"/>
      <c r="B1056" s="963"/>
      <c r="C1056" s="957"/>
      <c r="D1056" s="957"/>
      <c r="E1056" s="957"/>
      <c r="F1056" s="1230"/>
      <c r="G1056" s="964"/>
    </row>
    <row r="1057" spans="1:7" s="976" customFormat="1" ht="14.1">
      <c r="A1057" s="955"/>
      <c r="B1057" s="961" t="s">
        <v>2266</v>
      </c>
      <c r="C1057" s="960"/>
      <c r="D1057" s="957"/>
      <c r="E1057" s="957"/>
      <c r="F1057" s="1230"/>
      <c r="G1057" s="964"/>
    </row>
    <row r="1058" spans="1:7" s="976" customFormat="1" ht="14.1">
      <c r="A1058" s="955"/>
      <c r="B1058" s="1229" t="s">
        <v>2267</v>
      </c>
      <c r="C1058" s="960">
        <v>0.6</v>
      </c>
      <c r="D1058" s="965">
        <f>'[8]C-data (K)'!$F$86</f>
        <v>129</v>
      </c>
      <c r="E1058" s="957">
        <f>C1058*D1058</f>
        <v>77.399999999999991</v>
      </c>
      <c r="F1058" s="962"/>
      <c r="G1058" s="958"/>
    </row>
    <row r="1059" spans="1:7" s="976" customFormat="1" ht="14.1">
      <c r="A1059" s="955"/>
      <c r="B1059" s="1229" t="s">
        <v>771</v>
      </c>
      <c r="C1059" s="960">
        <v>0.21</v>
      </c>
      <c r="D1059" s="965">
        <f>'[8]C-data (K)'!$F$19</f>
        <v>684</v>
      </c>
      <c r="E1059" s="957">
        <f>C1059*D1059</f>
        <v>143.63999999999999</v>
      </c>
      <c r="F1059" s="962"/>
      <c r="G1059" s="958"/>
    </row>
    <row r="1060" spans="1:7" s="976" customFormat="1" ht="14.1">
      <c r="A1060" s="955"/>
      <c r="B1060" s="1229" t="s">
        <v>772</v>
      </c>
      <c r="C1060" s="960">
        <v>0.49</v>
      </c>
      <c r="D1060" s="965">
        <f>'[8]C-data (K)'!$F$20</f>
        <v>564</v>
      </c>
      <c r="E1060" s="957">
        <f>C1060*D1060</f>
        <v>276.36</v>
      </c>
      <c r="F1060" s="962"/>
      <c r="G1060" s="958"/>
    </row>
    <row r="1061" spans="1:7" s="976" customFormat="1" ht="14.1">
      <c r="A1061" s="955"/>
      <c r="B1061" s="963"/>
      <c r="C1061" s="960"/>
      <c r="D1061" s="957"/>
      <c r="E1061" s="1230">
        <f>SUM(E1058:E1060)</f>
        <v>497.4</v>
      </c>
      <c r="F1061" s="964" t="s">
        <v>2268</v>
      </c>
      <c r="G1061" s="964"/>
    </row>
    <row r="1062" spans="1:7" s="976" customFormat="1" ht="14.1">
      <c r="A1062" s="955"/>
      <c r="B1062" s="963"/>
      <c r="C1062" s="960"/>
      <c r="D1062" s="957"/>
      <c r="E1062" s="1230"/>
      <c r="F1062" s="964"/>
      <c r="G1062" s="964"/>
    </row>
    <row r="1063" spans="1:7" s="976" customFormat="1" ht="28.2">
      <c r="A1063" s="953" t="s">
        <v>2269</v>
      </c>
      <c r="B1063" s="953" t="s">
        <v>2270</v>
      </c>
      <c r="C1063" s="953" t="s">
        <v>2271</v>
      </c>
      <c r="D1063" s="967"/>
      <c r="E1063" s="953" t="s">
        <v>92</v>
      </c>
      <c r="F1063" s="967"/>
      <c r="G1063" s="967" t="s">
        <v>151</v>
      </c>
    </row>
    <row r="1064" spans="1:7" s="976" customFormat="1">
      <c r="A1064" s="955">
        <v>1</v>
      </c>
      <c r="B1064" s="1229" t="str">
        <f>B1042</f>
        <v>Outer frame "L' angle 25x25x5mm</v>
      </c>
      <c r="C1064" s="957">
        <f>F1048</f>
        <v>9.7560000000000002</v>
      </c>
      <c r="D1064" s="968" t="s">
        <v>2272</v>
      </c>
      <c r="E1064" s="957"/>
      <c r="F1064" s="968"/>
      <c r="G1064" s="957"/>
    </row>
    <row r="1065" spans="1:7" s="976" customFormat="1">
      <c r="A1065" s="955">
        <v>2</v>
      </c>
      <c r="B1065" s="1229" t="str">
        <f>B1050</f>
        <v>10mm square rods safety bars</v>
      </c>
      <c r="C1065" s="957">
        <f>F1055</f>
        <v>15.093000000000002</v>
      </c>
      <c r="D1065" s="968" t="s">
        <v>462</v>
      </c>
      <c r="E1065" s="957"/>
      <c r="F1065" s="968"/>
      <c r="G1065" s="957"/>
    </row>
    <row r="1066" spans="1:7" s="976" customFormat="1" ht="14.1">
      <c r="A1066" s="969"/>
      <c r="B1066" s="970"/>
      <c r="C1066" s="1230">
        <f>SUM(C1064:C1065)</f>
        <v>24.849000000000004</v>
      </c>
      <c r="D1066" s="968" t="s">
        <v>462</v>
      </c>
      <c r="E1066" s="957">
        <f>[8]LEAD!$P$30/1000</f>
        <v>49</v>
      </c>
      <c r="F1066" s="968" t="s">
        <v>462</v>
      </c>
      <c r="G1066" s="957">
        <f>ROUND(C1066*E1066,2)</f>
        <v>1217.5999999999999</v>
      </c>
    </row>
    <row r="1067" spans="1:7" s="976" customFormat="1">
      <c r="A1067" s="955">
        <v>3</v>
      </c>
      <c r="B1067" s="971" t="s">
        <v>2273</v>
      </c>
      <c r="C1067" s="957">
        <f>E1040</f>
        <v>1.2150000000000001</v>
      </c>
      <c r="D1067" s="968" t="s">
        <v>461</v>
      </c>
      <c r="E1067" s="957">
        <f>E1061</f>
        <v>497.4</v>
      </c>
      <c r="F1067" s="968" t="s">
        <v>2274</v>
      </c>
      <c r="G1067" s="957">
        <f>ROUND(C1067*E1067/10,2)</f>
        <v>60.43</v>
      </c>
    </row>
    <row r="1068" spans="1:7" s="976" customFormat="1" ht="14.1">
      <c r="A1068" s="955">
        <v>4</v>
      </c>
      <c r="B1068" s="971" t="s">
        <v>2284</v>
      </c>
      <c r="C1068" s="957">
        <f>C1066</f>
        <v>24.849000000000004</v>
      </c>
      <c r="D1068" s="968" t="s">
        <v>462</v>
      </c>
      <c r="E1068" s="957">
        <f>30+4</f>
        <v>34</v>
      </c>
      <c r="F1068" s="968" t="s">
        <v>462</v>
      </c>
      <c r="G1068" s="957">
        <f>ROUND(C1068*E1068,2)</f>
        <v>844.87</v>
      </c>
    </row>
    <row r="1069" spans="1:7" s="954" customFormat="1">
      <c r="A1069" s="955">
        <v>5</v>
      </c>
      <c r="B1069" s="971" t="s">
        <v>2275</v>
      </c>
      <c r="C1069" s="957">
        <f>'[8]C-data (K)'!$E$5</f>
        <v>0.2</v>
      </c>
      <c r="D1069" s="968"/>
      <c r="E1069" s="957">
        <f>G1068</f>
        <v>844.87</v>
      </c>
      <c r="F1069" s="968"/>
      <c r="G1069" s="957">
        <f>ROUND(C1069*E1069,2)</f>
        <v>168.97</v>
      </c>
    </row>
    <row r="1070" spans="1:7" s="976" customFormat="1" ht="14.1">
      <c r="A1070" s="955"/>
      <c r="B1070" s="971"/>
      <c r="C1070" s="960"/>
      <c r="D1070" s="957"/>
      <c r="E1070" s="960"/>
      <c r="F1070" s="957"/>
      <c r="G1070" s="1230">
        <f>SUM(G1066:G1069)</f>
        <v>2291.87</v>
      </c>
    </row>
    <row r="1071" spans="1:7" s="976" customFormat="1" ht="14.1">
      <c r="A1071" s="955">
        <v>6</v>
      </c>
      <c r="B1071" s="1277" t="str">
        <f>'[8]C-data (K)'!$C$174</f>
        <v>Add 5% over heads</v>
      </c>
      <c r="C1071" s="974">
        <f>'[8]C-data (K)'!$D$3</f>
        <v>0</v>
      </c>
      <c r="D1071" s="957"/>
      <c r="E1071" s="960"/>
      <c r="F1071" s="957"/>
      <c r="G1071" s="957">
        <f>G1070*C1071</f>
        <v>0</v>
      </c>
    </row>
    <row r="1072" spans="1:7" s="976" customFormat="1">
      <c r="A1072" s="955"/>
      <c r="B1072" s="971"/>
      <c r="C1072" s="957"/>
      <c r="D1072" s="957"/>
      <c r="E1072" s="960"/>
      <c r="F1072" s="957"/>
      <c r="G1072" s="957">
        <f>SUM(G1070:G1071)</f>
        <v>2291.87</v>
      </c>
    </row>
    <row r="1073" spans="1:7" s="976" customFormat="1" ht="14.1">
      <c r="A1073" s="955"/>
      <c r="B1073" s="975" t="s">
        <v>1806</v>
      </c>
      <c r="C1073" s="960"/>
      <c r="D1073" s="957"/>
      <c r="E1073" s="1612" t="s">
        <v>392</v>
      </c>
      <c r="F1073" s="1612"/>
      <c r="G1073" s="1230">
        <f>ROUND(G1072,0.5)</f>
        <v>2292</v>
      </c>
    </row>
    <row r="1074" spans="1:7">
      <c r="A1074" s="951"/>
      <c r="B1074" s="951"/>
      <c r="C1074" s="952"/>
      <c r="D1074" s="951"/>
      <c r="E1074" s="951"/>
      <c r="F1074" s="951"/>
      <c r="G1074" s="951"/>
    </row>
    <row r="1075" spans="1:7" s="976" customFormat="1" ht="14.1">
      <c r="A1075" s="953">
        <v>31</v>
      </c>
      <c r="B1075" s="1611" t="s">
        <v>2527</v>
      </c>
      <c r="C1075" s="1611"/>
      <c r="D1075" s="1611"/>
      <c r="E1075" s="1611"/>
      <c r="F1075" s="1611"/>
      <c r="G1075" s="1611"/>
    </row>
    <row r="1076" spans="1:7" s="976" customFormat="1" ht="14.1">
      <c r="A1076" s="955"/>
      <c r="B1076" s="956" t="s">
        <v>2282</v>
      </c>
      <c r="C1076" s="957">
        <v>0.9</v>
      </c>
      <c r="D1076" s="957">
        <v>1.35</v>
      </c>
      <c r="E1076" s="1230">
        <f>C1076*D1076</f>
        <v>1.2150000000000001</v>
      </c>
      <c r="F1076" s="958" t="s">
        <v>547</v>
      </c>
      <c r="G1076" s="958"/>
    </row>
    <row r="1077" spans="1:7" s="976" customFormat="1" ht="14.1">
      <c r="A1077" s="955"/>
      <c r="B1077" s="1229"/>
      <c r="C1077" s="959"/>
      <c r="D1077" s="958"/>
      <c r="E1077" s="960"/>
      <c r="F1077" s="958"/>
      <c r="G1077" s="958"/>
    </row>
    <row r="1078" spans="1:7" s="976" customFormat="1" ht="14.1">
      <c r="A1078" s="955"/>
      <c r="B1078" s="961" t="s">
        <v>2500</v>
      </c>
      <c r="C1078" s="959"/>
      <c r="D1078" s="958"/>
      <c r="E1078" s="960"/>
      <c r="F1078" s="958"/>
      <c r="G1078" s="958"/>
    </row>
    <row r="1079" spans="1:7" s="976" customFormat="1" ht="14.1">
      <c r="A1079" s="955"/>
      <c r="B1079" s="1229" t="s">
        <v>2283</v>
      </c>
      <c r="C1079" s="960">
        <v>2</v>
      </c>
      <c r="D1079" s="957">
        <f>D1076</f>
        <v>1.35</v>
      </c>
      <c r="E1079" s="957">
        <f>C1079*D1079</f>
        <v>2.7</v>
      </c>
      <c r="F1079" s="962"/>
      <c r="G1079" s="958"/>
    </row>
    <row r="1080" spans="1:7" s="976" customFormat="1" ht="14.1">
      <c r="A1080" s="955"/>
      <c r="B1080" s="1229" t="s">
        <v>1475</v>
      </c>
      <c r="C1080" s="960">
        <v>2</v>
      </c>
      <c r="D1080" s="957">
        <f>C1076</f>
        <v>0.9</v>
      </c>
      <c r="E1080" s="957">
        <f>C1080*D1080</f>
        <v>1.8</v>
      </c>
      <c r="F1080" s="962"/>
      <c r="G1080" s="958"/>
    </row>
    <row r="1081" spans="1:7" s="976" customFormat="1" ht="14.1">
      <c r="A1081" s="955"/>
      <c r="B1081" s="1229" t="s">
        <v>1510</v>
      </c>
      <c r="C1081" s="960">
        <v>4</v>
      </c>
      <c r="D1081" s="957">
        <v>0.23</v>
      </c>
      <c r="E1081" s="957">
        <f>C1081*D1081</f>
        <v>0.92</v>
      </c>
      <c r="F1081" s="962"/>
      <c r="G1081" s="958"/>
    </row>
    <row r="1082" spans="1:7" s="976" customFormat="1" ht="14.1">
      <c r="A1082" s="955"/>
      <c r="B1082" s="1229"/>
      <c r="C1082" s="960"/>
      <c r="D1082" s="957"/>
      <c r="E1082" s="1230">
        <f>SUM(E1079:E1081)</f>
        <v>5.42</v>
      </c>
      <c r="F1082" s="962"/>
      <c r="G1082" s="958"/>
    </row>
    <row r="1083" spans="1:7" s="976" customFormat="1" ht="14.1">
      <c r="A1083" s="955"/>
      <c r="B1083" s="1229" t="s">
        <v>2262</v>
      </c>
      <c r="C1083" s="957">
        <v>2.6</v>
      </c>
      <c r="D1083" s="957" t="s">
        <v>2263</v>
      </c>
      <c r="E1083" s="957"/>
      <c r="F1083" s="962"/>
      <c r="G1083" s="958"/>
    </row>
    <row r="1084" spans="1:7" s="976" customFormat="1" ht="14.1">
      <c r="A1084" s="955"/>
      <c r="B1084" s="963" t="s">
        <v>2264</v>
      </c>
      <c r="C1084" s="957">
        <f>E1082</f>
        <v>5.42</v>
      </c>
      <c r="D1084" s="957">
        <f>C1083</f>
        <v>2.6</v>
      </c>
      <c r="E1084" s="957"/>
      <c r="F1084" s="1230">
        <f>C1084*D1084</f>
        <v>14.092000000000001</v>
      </c>
      <c r="G1084" s="964" t="s">
        <v>462</v>
      </c>
    </row>
    <row r="1085" spans="1:7" s="976" customFormat="1" ht="14.1">
      <c r="A1085" s="955"/>
      <c r="B1085" s="963"/>
      <c r="C1085" s="957"/>
      <c r="D1085" s="957"/>
      <c r="E1085" s="957"/>
      <c r="F1085" s="1230"/>
      <c r="G1085" s="964"/>
    </row>
    <row r="1086" spans="1:7" s="976" customFormat="1" ht="14.1">
      <c r="A1086" s="955"/>
      <c r="B1086" s="961" t="s">
        <v>2265</v>
      </c>
      <c r="C1086" s="959"/>
      <c r="D1086" s="958"/>
      <c r="E1086" s="960"/>
      <c r="F1086" s="958"/>
      <c r="G1086" s="958"/>
    </row>
    <row r="1087" spans="1:7" s="976" customFormat="1" ht="14.1">
      <c r="A1087" s="955"/>
      <c r="B1087" s="1229" t="s">
        <v>1477</v>
      </c>
      <c r="C1087" s="960">
        <v>7</v>
      </c>
      <c r="D1087" s="957">
        <f>D1079</f>
        <v>1.35</v>
      </c>
      <c r="E1087" s="957">
        <f>C1087*D1087</f>
        <v>9.4500000000000011</v>
      </c>
      <c r="F1087" s="962"/>
      <c r="G1087" s="958"/>
    </row>
    <row r="1088" spans="1:7" s="976" customFormat="1" ht="14.1">
      <c r="A1088" s="955"/>
      <c r="B1088" s="1229" t="s">
        <v>1475</v>
      </c>
      <c r="C1088" s="960">
        <v>11</v>
      </c>
      <c r="D1088" s="957">
        <f>D1080</f>
        <v>0.9</v>
      </c>
      <c r="E1088" s="957">
        <f>C1088*D1088</f>
        <v>9.9</v>
      </c>
      <c r="F1088" s="962"/>
      <c r="G1088" s="958"/>
    </row>
    <row r="1089" spans="1:7" s="976" customFormat="1" ht="14.1">
      <c r="A1089" s="955"/>
      <c r="B1089" s="1229"/>
      <c r="C1089" s="960"/>
      <c r="D1089" s="957"/>
      <c r="E1089" s="977">
        <f>SUM(E1087:E1088)</f>
        <v>19.350000000000001</v>
      </c>
      <c r="F1089" s="962"/>
      <c r="G1089" s="958"/>
    </row>
    <row r="1090" spans="1:7" s="976" customFormat="1" ht="14.1">
      <c r="A1090" s="955"/>
      <c r="B1090" s="1229" t="s">
        <v>2262</v>
      </c>
      <c r="C1090" s="957">
        <v>0.78</v>
      </c>
      <c r="D1090" s="957" t="s">
        <v>2263</v>
      </c>
      <c r="E1090" s="957"/>
      <c r="F1090" s="962"/>
      <c r="G1090" s="958"/>
    </row>
    <row r="1091" spans="1:7" s="976" customFormat="1" ht="14.1">
      <c r="A1091" s="955"/>
      <c r="B1091" s="963" t="s">
        <v>2264</v>
      </c>
      <c r="C1091" s="957">
        <f>E1089</f>
        <v>19.350000000000001</v>
      </c>
      <c r="D1091" s="957">
        <f>C1090</f>
        <v>0.78</v>
      </c>
      <c r="E1091" s="957"/>
      <c r="F1091" s="1230">
        <f>C1091*D1091</f>
        <v>15.093000000000002</v>
      </c>
      <c r="G1091" s="964" t="s">
        <v>462</v>
      </c>
    </row>
    <row r="1092" spans="1:7" s="976" customFormat="1" ht="14.1">
      <c r="A1092" s="955"/>
      <c r="B1092" s="963"/>
      <c r="C1092" s="957"/>
      <c r="D1092" s="957"/>
      <c r="E1092" s="957"/>
      <c r="F1092" s="1230"/>
      <c r="G1092" s="964"/>
    </row>
    <row r="1093" spans="1:7" s="976" customFormat="1" ht="14.1">
      <c r="A1093" s="955"/>
      <c r="B1093" s="961" t="s">
        <v>2266</v>
      </c>
      <c r="C1093" s="960"/>
      <c r="D1093" s="957"/>
      <c r="E1093" s="957"/>
      <c r="F1093" s="1230"/>
      <c r="G1093" s="964"/>
    </row>
    <row r="1094" spans="1:7" s="976" customFormat="1" ht="14.1">
      <c r="A1094" s="955"/>
      <c r="B1094" s="1229" t="s">
        <v>2267</v>
      </c>
      <c r="C1094" s="960">
        <v>0.6</v>
      </c>
      <c r="D1094" s="965">
        <f>'[8]C-data (K)'!$F$86</f>
        <v>129</v>
      </c>
      <c r="E1094" s="957">
        <f>C1094*D1094</f>
        <v>77.399999999999991</v>
      </c>
      <c r="F1094" s="962"/>
      <c r="G1094" s="958"/>
    </row>
    <row r="1095" spans="1:7" s="976" customFormat="1" ht="14.1">
      <c r="A1095" s="955"/>
      <c r="B1095" s="1229" t="s">
        <v>771</v>
      </c>
      <c r="C1095" s="960">
        <v>0.21</v>
      </c>
      <c r="D1095" s="965">
        <f>'[8]C-data (K)'!$F$19</f>
        <v>684</v>
      </c>
      <c r="E1095" s="957">
        <f>C1095*D1095</f>
        <v>143.63999999999999</v>
      </c>
      <c r="F1095" s="962"/>
      <c r="G1095" s="958"/>
    </row>
    <row r="1096" spans="1:7" s="976" customFormat="1" ht="14.1">
      <c r="A1096" s="955"/>
      <c r="B1096" s="1229" t="s">
        <v>772</v>
      </c>
      <c r="C1096" s="960">
        <v>0.49</v>
      </c>
      <c r="D1096" s="965">
        <f>'[8]C-data (K)'!$F$20</f>
        <v>564</v>
      </c>
      <c r="E1096" s="957">
        <f>C1096*D1096</f>
        <v>276.36</v>
      </c>
      <c r="F1096" s="962"/>
      <c r="G1096" s="958"/>
    </row>
    <row r="1097" spans="1:7" s="976" customFormat="1" ht="14.1">
      <c r="A1097" s="955"/>
      <c r="B1097" s="963"/>
      <c r="C1097" s="960"/>
      <c r="D1097" s="957"/>
      <c r="E1097" s="1230">
        <f>SUM(E1094:E1096)</f>
        <v>497.4</v>
      </c>
      <c r="F1097" s="964" t="s">
        <v>2268</v>
      </c>
      <c r="G1097" s="964"/>
    </row>
    <row r="1098" spans="1:7" s="976" customFormat="1" ht="14.1">
      <c r="A1098" s="955"/>
      <c r="B1098" s="963"/>
      <c r="C1098" s="960"/>
      <c r="D1098" s="957"/>
      <c r="E1098" s="1230"/>
      <c r="F1098" s="964"/>
      <c r="G1098" s="964"/>
    </row>
    <row r="1099" spans="1:7" s="976" customFormat="1" ht="28.2">
      <c r="A1099" s="953" t="s">
        <v>2269</v>
      </c>
      <c r="B1099" s="953" t="s">
        <v>2270</v>
      </c>
      <c r="C1099" s="953" t="s">
        <v>2271</v>
      </c>
      <c r="D1099" s="967"/>
      <c r="E1099" s="953" t="s">
        <v>92</v>
      </c>
      <c r="F1099" s="967"/>
      <c r="G1099" s="967" t="s">
        <v>151</v>
      </c>
    </row>
    <row r="1100" spans="1:7" s="976" customFormat="1">
      <c r="A1100" s="955">
        <v>1</v>
      </c>
      <c r="B1100" s="1229" t="str">
        <f>B1078</f>
        <v>Outer frame "L' angle 35x35x5mm</v>
      </c>
      <c r="C1100" s="957">
        <f>F1084</f>
        <v>14.092000000000001</v>
      </c>
      <c r="D1100" s="968" t="s">
        <v>2272</v>
      </c>
      <c r="E1100" s="957"/>
      <c r="F1100" s="968"/>
      <c r="G1100" s="957"/>
    </row>
    <row r="1101" spans="1:7" s="976" customFormat="1">
      <c r="A1101" s="955">
        <v>2</v>
      </c>
      <c r="B1101" s="1229" t="str">
        <f>B1086</f>
        <v>10mm square rods safety bars</v>
      </c>
      <c r="C1101" s="957">
        <f>F1091</f>
        <v>15.093000000000002</v>
      </c>
      <c r="D1101" s="968" t="s">
        <v>462</v>
      </c>
      <c r="E1101" s="957"/>
      <c r="F1101" s="968"/>
      <c r="G1101" s="957"/>
    </row>
    <row r="1102" spans="1:7" s="976" customFormat="1" ht="14.1">
      <c r="A1102" s="969"/>
      <c r="B1102" s="970"/>
      <c r="C1102" s="1230">
        <f>SUM(C1100:C1101)</f>
        <v>29.185000000000002</v>
      </c>
      <c r="D1102" s="968" t="s">
        <v>462</v>
      </c>
      <c r="E1102" s="957">
        <f>[8]LEAD!$P$30/1000</f>
        <v>49</v>
      </c>
      <c r="F1102" s="968" t="s">
        <v>462</v>
      </c>
      <c r="G1102" s="957">
        <f>ROUND(C1102*E1102,2)</f>
        <v>1430.07</v>
      </c>
    </row>
    <row r="1103" spans="1:7" s="976" customFormat="1">
      <c r="A1103" s="955">
        <v>3</v>
      </c>
      <c r="B1103" s="971" t="s">
        <v>2273</v>
      </c>
      <c r="C1103" s="957">
        <f>E1076</f>
        <v>1.2150000000000001</v>
      </c>
      <c r="D1103" s="968" t="s">
        <v>461</v>
      </c>
      <c r="E1103" s="957">
        <f>E1097</f>
        <v>497.4</v>
      </c>
      <c r="F1103" s="968" t="s">
        <v>2274</v>
      </c>
      <c r="G1103" s="957">
        <f>ROUND(C1103*E1103/10,2)</f>
        <v>60.43</v>
      </c>
    </row>
    <row r="1104" spans="1:7" s="976" customFormat="1" ht="14.1">
      <c r="A1104" s="955">
        <v>4</v>
      </c>
      <c r="B1104" s="971" t="s">
        <v>2284</v>
      </c>
      <c r="C1104" s="957">
        <f>C1102</f>
        <v>29.185000000000002</v>
      </c>
      <c r="D1104" s="968" t="s">
        <v>462</v>
      </c>
      <c r="E1104" s="957">
        <f>30+4</f>
        <v>34</v>
      </c>
      <c r="F1104" s="968" t="s">
        <v>462</v>
      </c>
      <c r="G1104" s="957">
        <f>ROUND(C1104*E1104,2)</f>
        <v>992.29</v>
      </c>
    </row>
    <row r="1105" spans="1:7" s="954" customFormat="1">
      <c r="A1105" s="955">
        <v>5</v>
      </c>
      <c r="B1105" s="971" t="s">
        <v>2275</v>
      </c>
      <c r="C1105" s="957">
        <f>'[8]C-data (K)'!$E$5</f>
        <v>0.2</v>
      </c>
      <c r="D1105" s="968"/>
      <c r="E1105" s="957">
        <f>G1104</f>
        <v>992.29</v>
      </c>
      <c r="F1105" s="968"/>
      <c r="G1105" s="957">
        <f>ROUND(C1105*E1105,2)</f>
        <v>198.46</v>
      </c>
    </row>
    <row r="1106" spans="1:7" s="976" customFormat="1" ht="14.1">
      <c r="A1106" s="955"/>
      <c r="B1106" s="971"/>
      <c r="C1106" s="960"/>
      <c r="D1106" s="957"/>
      <c r="E1106" s="960"/>
      <c r="F1106" s="957"/>
      <c r="G1106" s="1230">
        <f>SUM(G1102:G1105)</f>
        <v>2681.25</v>
      </c>
    </row>
    <row r="1107" spans="1:7" s="976" customFormat="1" ht="14.1">
      <c r="A1107" s="955">
        <v>6</v>
      </c>
      <c r="B1107" s="1277" t="str">
        <f>'[8]C-data (K)'!$C$174</f>
        <v>Add 5% over heads</v>
      </c>
      <c r="C1107" s="974">
        <f>'[8]C-data (K)'!$D$3</f>
        <v>0</v>
      </c>
      <c r="D1107" s="957"/>
      <c r="E1107" s="960"/>
      <c r="F1107" s="957"/>
      <c r="G1107" s="957">
        <f>G1106*C1107</f>
        <v>0</v>
      </c>
    </row>
    <row r="1108" spans="1:7" s="976" customFormat="1">
      <c r="A1108" s="955"/>
      <c r="B1108" s="971"/>
      <c r="C1108" s="957"/>
      <c r="D1108" s="957"/>
      <c r="E1108" s="960"/>
      <c r="F1108" s="957"/>
      <c r="G1108" s="957">
        <f>SUM(G1106:G1107)</f>
        <v>2681.25</v>
      </c>
    </row>
    <row r="1109" spans="1:7" s="976" customFormat="1" ht="14.1">
      <c r="A1109" s="955"/>
      <c r="B1109" s="975" t="s">
        <v>1806</v>
      </c>
      <c r="C1109" s="960"/>
      <c r="D1109" s="957"/>
      <c r="E1109" s="1612" t="s">
        <v>392</v>
      </c>
      <c r="F1109" s="1612"/>
      <c r="G1109" s="1230">
        <f>ROUND(G1108,0.5)</f>
        <v>2681</v>
      </c>
    </row>
    <row r="1110" spans="1:7">
      <c r="A1110" s="951"/>
      <c r="B1110" s="951"/>
      <c r="C1110" s="952"/>
      <c r="D1110" s="951"/>
      <c r="E1110" s="951"/>
      <c r="F1110" s="951"/>
      <c r="G1110" s="951"/>
    </row>
    <row r="1111" spans="1:7" s="976" customFormat="1" ht="14.1">
      <c r="A1111" s="953">
        <v>1</v>
      </c>
      <c r="B1111" s="1611" t="s">
        <v>2436</v>
      </c>
      <c r="C1111" s="1611"/>
      <c r="D1111" s="1611"/>
      <c r="E1111" s="1611"/>
      <c r="F1111" s="1611"/>
      <c r="G1111" s="1611"/>
    </row>
    <row r="1112" spans="1:7" s="976" customFormat="1" ht="14.1">
      <c r="A1112" s="955"/>
      <c r="B1112" s="956" t="s">
        <v>2259</v>
      </c>
      <c r="C1112" s="957">
        <v>0.6</v>
      </c>
      <c r="D1112" s="957">
        <v>0.45</v>
      </c>
      <c r="E1112" s="1230">
        <f>C1112*D1112</f>
        <v>0.27</v>
      </c>
      <c r="F1112" s="958" t="s">
        <v>547</v>
      </c>
      <c r="G1112" s="958"/>
    </row>
    <row r="1113" spans="1:7" s="976" customFormat="1" ht="14.1">
      <c r="A1113" s="955"/>
      <c r="B1113" s="1229"/>
      <c r="C1113" s="959"/>
      <c r="D1113" s="958"/>
      <c r="E1113" s="960"/>
      <c r="F1113" s="958"/>
      <c r="G1113" s="958"/>
    </row>
    <row r="1114" spans="1:7" s="976" customFormat="1" ht="14.1">
      <c r="A1114" s="955"/>
      <c r="B1114" s="961" t="s">
        <v>2260</v>
      </c>
      <c r="C1114" s="959"/>
      <c r="D1114" s="958"/>
      <c r="E1114" s="960"/>
      <c r="F1114" s="958"/>
      <c r="G1114" s="958"/>
    </row>
    <row r="1115" spans="1:7" s="976" customFormat="1" ht="14.1">
      <c r="A1115" s="955"/>
      <c r="B1115" s="1229" t="s">
        <v>2283</v>
      </c>
      <c r="C1115" s="960">
        <v>2</v>
      </c>
      <c r="D1115" s="957">
        <f>D1112</f>
        <v>0.45</v>
      </c>
      <c r="E1115" s="957">
        <f>C1115*D1115</f>
        <v>0.9</v>
      </c>
      <c r="F1115" s="962"/>
      <c r="G1115" s="958"/>
    </row>
    <row r="1116" spans="1:7" s="976" customFormat="1" ht="14.1">
      <c r="A1116" s="955"/>
      <c r="B1116" s="1229" t="s">
        <v>1475</v>
      </c>
      <c r="C1116" s="960">
        <v>2</v>
      </c>
      <c r="D1116" s="957">
        <f>C1112</f>
        <v>0.6</v>
      </c>
      <c r="E1116" s="957">
        <f>C1116*D1116</f>
        <v>1.2</v>
      </c>
      <c r="F1116" s="962"/>
      <c r="G1116" s="958"/>
    </row>
    <row r="1117" spans="1:7" s="976" customFormat="1" ht="14.1">
      <c r="A1117" s="955"/>
      <c r="B1117" s="1229" t="s">
        <v>1510</v>
      </c>
      <c r="C1117" s="960">
        <v>2</v>
      </c>
      <c r="D1117" s="957">
        <v>0.23</v>
      </c>
      <c r="E1117" s="957">
        <f>C1117*D1117</f>
        <v>0.46</v>
      </c>
      <c r="F1117" s="962"/>
      <c r="G1117" s="958"/>
    </row>
    <row r="1118" spans="1:7" s="976" customFormat="1" ht="14.1">
      <c r="A1118" s="955"/>
      <c r="B1118" s="1229"/>
      <c r="C1118" s="960"/>
      <c r="D1118" s="957"/>
      <c r="E1118" s="1230">
        <f>SUM(E1115:E1117)</f>
        <v>2.56</v>
      </c>
      <c r="F1118" s="962"/>
      <c r="G1118" s="958"/>
    </row>
    <row r="1119" spans="1:7" s="976" customFormat="1" ht="14.1">
      <c r="A1119" s="955"/>
      <c r="B1119" s="1229" t="s">
        <v>2262</v>
      </c>
      <c r="C1119" s="957">
        <v>1.8</v>
      </c>
      <c r="D1119" s="957" t="s">
        <v>2263</v>
      </c>
      <c r="E1119" s="957"/>
      <c r="F1119" s="962"/>
      <c r="G1119" s="958"/>
    </row>
    <row r="1120" spans="1:7" s="976" customFormat="1" ht="14.1">
      <c r="A1120" s="955"/>
      <c r="B1120" s="963" t="s">
        <v>2264</v>
      </c>
      <c r="C1120" s="957">
        <f>E1118</f>
        <v>2.56</v>
      </c>
      <c r="D1120" s="957">
        <f>C1119</f>
        <v>1.8</v>
      </c>
      <c r="E1120" s="957"/>
      <c r="F1120" s="1230">
        <f>C1120*D1120</f>
        <v>4.6080000000000005</v>
      </c>
      <c r="G1120" s="964" t="s">
        <v>462</v>
      </c>
    </row>
    <row r="1121" spans="1:7" s="976" customFormat="1" ht="14.1">
      <c r="A1121" s="955"/>
      <c r="B1121" s="963"/>
      <c r="C1121" s="957"/>
      <c r="D1121" s="957"/>
      <c r="E1121" s="957"/>
      <c r="F1121" s="1230"/>
      <c r="G1121" s="964"/>
    </row>
    <row r="1122" spans="1:7" s="976" customFormat="1" ht="14.1">
      <c r="A1122" s="955"/>
      <c r="B1122" s="961" t="s">
        <v>2265</v>
      </c>
      <c r="C1122" s="959"/>
      <c r="D1122" s="958"/>
      <c r="E1122" s="960"/>
      <c r="F1122" s="958"/>
      <c r="G1122" s="958"/>
    </row>
    <row r="1123" spans="1:7" s="976" customFormat="1" ht="14.1">
      <c r="A1123" s="955"/>
      <c r="B1123" s="1229" t="s">
        <v>1477</v>
      </c>
      <c r="C1123" s="960">
        <v>4</v>
      </c>
      <c r="D1123" s="957">
        <f>D1115</f>
        <v>0.45</v>
      </c>
      <c r="E1123" s="957">
        <f>C1123*D1123</f>
        <v>1.8</v>
      </c>
      <c r="F1123" s="962"/>
      <c r="G1123" s="958"/>
    </row>
    <row r="1124" spans="1:7" s="976" customFormat="1" ht="14.1">
      <c r="A1124" s="955"/>
      <c r="B1124" s="1229" t="s">
        <v>1475</v>
      </c>
      <c r="C1124" s="960">
        <v>3</v>
      </c>
      <c r="D1124" s="957">
        <f>D1116</f>
        <v>0.6</v>
      </c>
      <c r="E1124" s="957">
        <f>C1124*D1124</f>
        <v>1.7999999999999998</v>
      </c>
      <c r="F1124" s="962"/>
      <c r="G1124" s="958"/>
    </row>
    <row r="1125" spans="1:7" s="976" customFormat="1" ht="14.1">
      <c r="A1125" s="955"/>
      <c r="B1125" s="1229"/>
      <c r="C1125" s="960"/>
      <c r="D1125" s="957"/>
      <c r="E1125" s="1230">
        <f>SUM(E1123:E1124)</f>
        <v>3.5999999999999996</v>
      </c>
      <c r="F1125" s="962"/>
      <c r="G1125" s="958"/>
    </row>
    <row r="1126" spans="1:7" s="976" customFormat="1" ht="14.1">
      <c r="A1126" s="955"/>
      <c r="B1126" s="1229" t="s">
        <v>2262</v>
      </c>
      <c r="C1126" s="957">
        <v>0.78</v>
      </c>
      <c r="D1126" s="957" t="s">
        <v>2263</v>
      </c>
      <c r="E1126" s="957"/>
      <c r="F1126" s="962"/>
      <c r="G1126" s="958"/>
    </row>
    <row r="1127" spans="1:7" s="976" customFormat="1" ht="14.1">
      <c r="A1127" s="955"/>
      <c r="B1127" s="963" t="s">
        <v>2264</v>
      </c>
      <c r="C1127" s="957">
        <f>E1125</f>
        <v>3.5999999999999996</v>
      </c>
      <c r="D1127" s="957">
        <f>C1126</f>
        <v>0.78</v>
      </c>
      <c r="E1127" s="957"/>
      <c r="F1127" s="1230">
        <f>C1127*D1127</f>
        <v>2.8079999999999998</v>
      </c>
      <c r="G1127" s="964" t="s">
        <v>462</v>
      </c>
    </row>
    <row r="1128" spans="1:7" s="976" customFormat="1" ht="14.1">
      <c r="A1128" s="955"/>
      <c r="B1128" s="963"/>
      <c r="C1128" s="957"/>
      <c r="D1128" s="957"/>
      <c r="E1128" s="957"/>
      <c r="F1128" s="1230"/>
      <c r="G1128" s="964"/>
    </row>
    <row r="1129" spans="1:7" s="976" customFormat="1" ht="14.1">
      <c r="A1129" s="955"/>
      <c r="B1129" s="961" t="s">
        <v>2266</v>
      </c>
      <c r="C1129" s="960"/>
      <c r="D1129" s="957"/>
      <c r="E1129" s="957"/>
      <c r="F1129" s="1230"/>
      <c r="G1129" s="964"/>
    </row>
    <row r="1130" spans="1:7" s="976" customFormat="1" ht="14.1">
      <c r="A1130" s="955"/>
      <c r="B1130" s="1229" t="s">
        <v>2267</v>
      </c>
      <c r="C1130" s="960">
        <v>0.6</v>
      </c>
      <c r="D1130" s="965">
        <f>'[8]C-data (K)'!$F$86</f>
        <v>129</v>
      </c>
      <c r="E1130" s="957">
        <f>C1130*D1130</f>
        <v>77.399999999999991</v>
      </c>
      <c r="F1130" s="962"/>
      <c r="G1130" s="958"/>
    </row>
    <row r="1131" spans="1:7" s="976" customFormat="1" ht="14.1">
      <c r="A1131" s="955"/>
      <c r="B1131" s="1229" t="s">
        <v>771</v>
      </c>
      <c r="C1131" s="960">
        <v>0.21</v>
      </c>
      <c r="D1131" s="965">
        <f>'[8]C-data (K)'!$F$19</f>
        <v>684</v>
      </c>
      <c r="E1131" s="957">
        <f>C1131*D1131</f>
        <v>143.63999999999999</v>
      </c>
      <c r="F1131" s="962"/>
      <c r="G1131" s="958"/>
    </row>
    <row r="1132" spans="1:7" s="976" customFormat="1" ht="14.1">
      <c r="A1132" s="955"/>
      <c r="B1132" s="1229" t="s">
        <v>772</v>
      </c>
      <c r="C1132" s="960">
        <v>0.49</v>
      </c>
      <c r="D1132" s="965">
        <f>'[8]C-data (K)'!$F$20</f>
        <v>564</v>
      </c>
      <c r="E1132" s="957">
        <f>C1132*D1132</f>
        <v>276.36</v>
      </c>
      <c r="F1132" s="962"/>
      <c r="G1132" s="958"/>
    </row>
    <row r="1133" spans="1:7" s="976" customFormat="1" ht="14.1">
      <c r="A1133" s="955"/>
      <c r="B1133" s="963"/>
      <c r="C1133" s="960"/>
      <c r="D1133" s="957"/>
      <c r="E1133" s="1230">
        <f>SUM(E1130:E1132)</f>
        <v>497.4</v>
      </c>
      <c r="F1133" s="964" t="s">
        <v>2268</v>
      </c>
      <c r="G1133" s="964"/>
    </row>
    <row r="1134" spans="1:7" s="976" customFormat="1" ht="14.1">
      <c r="A1134" s="955"/>
      <c r="B1134" s="963"/>
      <c r="C1134" s="960"/>
      <c r="D1134" s="957"/>
      <c r="E1134" s="1230"/>
      <c r="F1134" s="964"/>
      <c r="G1134" s="964"/>
    </row>
    <row r="1135" spans="1:7" s="976" customFormat="1" ht="28.2">
      <c r="A1135" s="953" t="s">
        <v>2269</v>
      </c>
      <c r="B1135" s="953" t="s">
        <v>2270</v>
      </c>
      <c r="C1135" s="953" t="s">
        <v>2271</v>
      </c>
      <c r="D1135" s="967"/>
      <c r="E1135" s="953" t="s">
        <v>92</v>
      </c>
      <c r="F1135" s="967"/>
      <c r="G1135" s="967" t="s">
        <v>151</v>
      </c>
    </row>
    <row r="1136" spans="1:7" s="976" customFormat="1">
      <c r="A1136" s="955">
        <v>1</v>
      </c>
      <c r="B1136" s="1229" t="str">
        <f>B1114</f>
        <v>Outer frame "L' angle 25x25x5mm</v>
      </c>
      <c r="C1136" s="957">
        <f>F1120</f>
        <v>4.6080000000000005</v>
      </c>
      <c r="D1136" s="968" t="s">
        <v>2272</v>
      </c>
      <c r="E1136" s="957"/>
      <c r="F1136" s="968"/>
      <c r="G1136" s="957"/>
    </row>
    <row r="1137" spans="1:7" s="976" customFormat="1">
      <c r="A1137" s="955">
        <v>2</v>
      </c>
      <c r="B1137" s="1229" t="str">
        <f>B1122</f>
        <v>10mm square rods safety bars</v>
      </c>
      <c r="C1137" s="957">
        <f>F1127</f>
        <v>2.8079999999999998</v>
      </c>
      <c r="D1137" s="968" t="s">
        <v>462</v>
      </c>
      <c r="E1137" s="957"/>
      <c r="F1137" s="968"/>
      <c r="G1137" s="957"/>
    </row>
    <row r="1138" spans="1:7" s="976" customFormat="1" ht="14.1">
      <c r="A1138" s="969"/>
      <c r="B1138" s="970"/>
      <c r="C1138" s="1230">
        <f>SUM(C1136:C1137)</f>
        <v>7.4160000000000004</v>
      </c>
      <c r="D1138" s="968" t="s">
        <v>462</v>
      </c>
      <c r="E1138" s="957">
        <f>[8]LEAD!$P$30/1000</f>
        <v>49</v>
      </c>
      <c r="F1138" s="968" t="s">
        <v>462</v>
      </c>
      <c r="G1138" s="957">
        <f>ROUND(C1138*E1138,2)</f>
        <v>363.38</v>
      </c>
    </row>
    <row r="1139" spans="1:7" s="976" customFormat="1" ht="14.1">
      <c r="A1139" s="955">
        <v>3</v>
      </c>
      <c r="B1139" s="970" t="s">
        <v>2273</v>
      </c>
      <c r="C1139" s="957">
        <f>E1112</f>
        <v>0.27</v>
      </c>
      <c r="D1139" s="968" t="s">
        <v>461</v>
      </c>
      <c r="E1139" s="957">
        <f>E1133</f>
        <v>497.4</v>
      </c>
      <c r="F1139" s="968" t="s">
        <v>2274</v>
      </c>
      <c r="G1139" s="957">
        <f>ROUND(C1139*E1139/10,2)</f>
        <v>13.43</v>
      </c>
    </row>
    <row r="1140" spans="1:7" s="976" customFormat="1" ht="14.1">
      <c r="A1140" s="955">
        <v>4</v>
      </c>
      <c r="B1140" s="971" t="s">
        <v>2284</v>
      </c>
      <c r="C1140" s="957">
        <f>C1138</f>
        <v>7.4160000000000004</v>
      </c>
      <c r="D1140" s="968" t="s">
        <v>462</v>
      </c>
      <c r="E1140" s="957">
        <f>30+4</f>
        <v>34</v>
      </c>
      <c r="F1140" s="968" t="s">
        <v>462</v>
      </c>
      <c r="G1140" s="957">
        <f>ROUND(C1140*E1140,2)</f>
        <v>252.14</v>
      </c>
    </row>
    <row r="1141" spans="1:7" s="954" customFormat="1">
      <c r="A1141" s="955">
        <v>5</v>
      </c>
      <c r="B1141" s="971" t="s">
        <v>2275</v>
      </c>
      <c r="C1141" s="957">
        <f>'[8]C-data (K)'!$E$5</f>
        <v>0.2</v>
      </c>
      <c r="D1141" s="968"/>
      <c r="E1141" s="957">
        <f>G1140</f>
        <v>252.14</v>
      </c>
      <c r="F1141" s="968"/>
      <c r="G1141" s="957">
        <f>ROUND(C1141*E1141,2)</f>
        <v>50.43</v>
      </c>
    </row>
    <row r="1142" spans="1:7" s="976" customFormat="1" ht="14.1">
      <c r="A1142" s="955"/>
      <c r="B1142" s="971"/>
      <c r="C1142" s="960"/>
      <c r="D1142" s="957"/>
      <c r="E1142" s="960"/>
      <c r="F1142" s="957"/>
      <c r="G1142" s="1230">
        <f>SUM(G1138:G1141)</f>
        <v>679.38</v>
      </c>
    </row>
    <row r="1143" spans="1:7" s="976" customFormat="1" ht="14.1">
      <c r="A1143" s="955">
        <v>6</v>
      </c>
      <c r="B1143" s="1277" t="str">
        <f>'[8]C-data (K)'!$C$174</f>
        <v>Add 5% over heads</v>
      </c>
      <c r="C1143" s="974">
        <f>'[8]C-data (K)'!$D$3</f>
        <v>0</v>
      </c>
      <c r="D1143" s="957"/>
      <c r="E1143" s="960"/>
      <c r="F1143" s="957"/>
      <c r="G1143" s="957">
        <f>G1142*C1143</f>
        <v>0</v>
      </c>
    </row>
    <row r="1144" spans="1:7" s="976" customFormat="1">
      <c r="A1144" s="955"/>
      <c r="B1144" s="971"/>
      <c r="C1144" s="957"/>
      <c r="D1144" s="957"/>
      <c r="E1144" s="960"/>
      <c r="F1144" s="957"/>
      <c r="G1144" s="957">
        <f>SUM(G1142:G1143)</f>
        <v>679.38</v>
      </c>
    </row>
    <row r="1145" spans="1:7" s="976" customFormat="1" ht="14.1">
      <c r="A1145" s="955"/>
      <c r="B1145" s="975" t="s">
        <v>1806</v>
      </c>
      <c r="C1145" s="960"/>
      <c r="D1145" s="957"/>
      <c r="E1145" s="1612" t="s">
        <v>392</v>
      </c>
      <c r="F1145" s="1612"/>
      <c r="G1145" s="1230">
        <f>CEILING(G1144,0.5)</f>
        <v>679.5</v>
      </c>
    </row>
    <row r="1146" spans="1:7">
      <c r="A1146" s="951"/>
      <c r="B1146" s="951"/>
      <c r="C1146" s="952"/>
      <c r="D1146" s="951"/>
      <c r="E1146" s="951"/>
      <c r="F1146" s="951"/>
      <c r="G1146" s="951"/>
    </row>
    <row r="1147" spans="1:7" s="976" customFormat="1" ht="103.5" customHeight="1">
      <c r="A1147" s="953">
        <v>2</v>
      </c>
      <c r="B1147" s="1611" t="s">
        <v>2528</v>
      </c>
      <c r="C1147" s="1611"/>
      <c r="D1147" s="1611"/>
      <c r="E1147" s="1611"/>
      <c r="F1147" s="1611"/>
      <c r="G1147" s="1611"/>
    </row>
    <row r="1148" spans="1:7" s="976" customFormat="1" ht="14.1">
      <c r="A1148" s="955"/>
      <c r="B1148" s="956" t="s">
        <v>2529</v>
      </c>
      <c r="C1148" s="957">
        <v>0.9</v>
      </c>
      <c r="D1148" s="957">
        <v>2.13</v>
      </c>
      <c r="E1148" s="1230">
        <f>C1148*D1148</f>
        <v>1.917</v>
      </c>
      <c r="F1148" s="958" t="s">
        <v>547</v>
      </c>
      <c r="G1148" s="958"/>
    </row>
    <row r="1149" spans="1:7" s="976" customFormat="1" ht="14.1">
      <c r="A1149" s="955"/>
      <c r="B1149" s="1229"/>
      <c r="C1149" s="959"/>
      <c r="D1149" s="958"/>
      <c r="E1149" s="960"/>
      <c r="F1149" s="958"/>
      <c r="G1149" s="958"/>
    </row>
    <row r="1150" spans="1:7" s="976" customFormat="1" ht="27.9">
      <c r="A1150" s="955"/>
      <c r="B1150" s="1229" t="s">
        <v>2530</v>
      </c>
      <c r="C1150" s="959"/>
      <c r="D1150" s="958"/>
      <c r="E1150" s="960"/>
      <c r="F1150" s="958"/>
      <c r="G1150" s="958"/>
    </row>
    <row r="1151" spans="1:7" s="976" customFormat="1" ht="14.1">
      <c r="A1151" s="955"/>
      <c r="B1151" s="1229" t="s">
        <v>1475</v>
      </c>
      <c r="C1151" s="960">
        <f>1*2</f>
        <v>2</v>
      </c>
      <c r="D1151" s="957">
        <f>C1148</f>
        <v>0.9</v>
      </c>
      <c r="E1151" s="957">
        <f>C1151*D1151</f>
        <v>1.8</v>
      </c>
      <c r="F1151" s="962"/>
      <c r="G1151" s="958"/>
    </row>
    <row r="1152" spans="1:7" s="976" customFormat="1" ht="14.1">
      <c r="A1152" s="955"/>
      <c r="B1152" s="1229" t="s">
        <v>2283</v>
      </c>
      <c r="C1152" s="960">
        <f>1*2</f>
        <v>2</v>
      </c>
      <c r="D1152" s="957">
        <f>D1148</f>
        <v>2.13</v>
      </c>
      <c r="E1152" s="957">
        <f>C1152*D1152</f>
        <v>4.26</v>
      </c>
      <c r="F1152" s="962"/>
      <c r="G1152" s="958"/>
    </row>
    <row r="1153" spans="1:7" s="976" customFormat="1" ht="14.1">
      <c r="A1153" s="955"/>
      <c r="B1153" s="1229" t="s">
        <v>1510</v>
      </c>
      <c r="C1153" s="960">
        <v>6</v>
      </c>
      <c r="D1153" s="957">
        <v>0.23</v>
      </c>
      <c r="E1153" s="957">
        <f>C1153*D1153</f>
        <v>1.3800000000000001</v>
      </c>
      <c r="F1153" s="962"/>
      <c r="G1153" s="958"/>
    </row>
    <row r="1154" spans="1:7" s="976" customFormat="1" ht="14.1">
      <c r="A1154" s="955"/>
      <c r="B1154" s="1229"/>
      <c r="C1154" s="960"/>
      <c r="D1154" s="957"/>
      <c r="E1154" s="1230">
        <f>SUM(E1151:E1153)</f>
        <v>7.4399999999999995</v>
      </c>
      <c r="F1154" s="962"/>
      <c r="G1154" s="958"/>
    </row>
    <row r="1155" spans="1:7" s="976" customFormat="1" ht="14.1">
      <c r="A1155" s="955"/>
      <c r="B1155" s="1229" t="s">
        <v>2262</v>
      </c>
      <c r="C1155" s="957">
        <v>2.6</v>
      </c>
      <c r="D1155" s="957" t="s">
        <v>2263</v>
      </c>
      <c r="E1155" s="957"/>
      <c r="F1155" s="962"/>
      <c r="G1155" s="958"/>
    </row>
    <row r="1156" spans="1:7" s="976" customFormat="1" ht="14.1">
      <c r="A1156" s="955"/>
      <c r="B1156" s="963" t="s">
        <v>2264</v>
      </c>
      <c r="C1156" s="957">
        <f>E1154</f>
        <v>7.4399999999999995</v>
      </c>
      <c r="D1156" s="957">
        <f>C1155</f>
        <v>2.6</v>
      </c>
      <c r="E1156" s="957"/>
      <c r="F1156" s="1230">
        <f>C1156*D1156</f>
        <v>19.343999999999998</v>
      </c>
      <c r="G1156" s="964" t="s">
        <v>462</v>
      </c>
    </row>
    <row r="1157" spans="1:7" s="976" customFormat="1" ht="14.1">
      <c r="A1157" s="955"/>
      <c r="B1157" s="963"/>
      <c r="C1157" s="957"/>
      <c r="D1157" s="957"/>
      <c r="E1157" s="957"/>
      <c r="F1157" s="1230"/>
      <c r="G1157" s="964"/>
    </row>
    <row r="1158" spans="1:7" s="976" customFormat="1" ht="27.9">
      <c r="A1158" s="955"/>
      <c r="B1158" s="1229" t="s">
        <v>2531</v>
      </c>
      <c r="C1158" s="959"/>
      <c r="D1158" s="958"/>
      <c r="E1158" s="960"/>
      <c r="F1158" s="958"/>
      <c r="G1158" s="958"/>
    </row>
    <row r="1159" spans="1:7" s="976" customFormat="1" ht="14.1">
      <c r="A1159" s="955"/>
      <c r="B1159" s="1229" t="s">
        <v>1475</v>
      </c>
      <c r="C1159" s="960">
        <f>2*3</f>
        <v>6</v>
      </c>
      <c r="D1159" s="957">
        <v>0.57999999999999996</v>
      </c>
      <c r="E1159" s="957">
        <f>C1159*D1159</f>
        <v>3.4799999999999995</v>
      </c>
      <c r="F1159" s="962"/>
      <c r="G1159" s="958"/>
    </row>
    <row r="1160" spans="1:7" s="976" customFormat="1" ht="14.1">
      <c r="A1160" s="955"/>
      <c r="B1160" s="1229" t="s">
        <v>2283</v>
      </c>
      <c r="C1160" s="960">
        <f>2*2</f>
        <v>4</v>
      </c>
      <c r="D1160" s="957">
        <v>2.0499999999999998</v>
      </c>
      <c r="E1160" s="957">
        <f>C1160*D1160</f>
        <v>8.1999999999999993</v>
      </c>
      <c r="F1160" s="962"/>
      <c r="G1160" s="958"/>
    </row>
    <row r="1161" spans="1:7" s="976" customFormat="1" ht="14.1">
      <c r="A1161" s="955"/>
      <c r="B1161" s="1229"/>
      <c r="C1161" s="960"/>
      <c r="D1161" s="957"/>
      <c r="E1161" s="1230">
        <f>SUM(E1159:E1160)</f>
        <v>11.68</v>
      </c>
      <c r="F1161" s="962"/>
      <c r="G1161" s="958"/>
    </row>
    <row r="1162" spans="1:7" s="976" customFormat="1" ht="14.1">
      <c r="A1162" s="955"/>
      <c r="B1162" s="1229" t="s">
        <v>2262</v>
      </c>
      <c r="C1162" s="957">
        <v>2.2000000000000002</v>
      </c>
      <c r="D1162" s="957" t="s">
        <v>2263</v>
      </c>
      <c r="E1162" s="957"/>
      <c r="F1162" s="962"/>
      <c r="G1162" s="958"/>
    </row>
    <row r="1163" spans="1:7" s="976" customFormat="1" ht="14.1">
      <c r="A1163" s="955"/>
      <c r="B1163" s="963" t="s">
        <v>2264</v>
      </c>
      <c r="C1163" s="957">
        <f>E1161</f>
        <v>11.68</v>
      </c>
      <c r="D1163" s="957">
        <f>C1162</f>
        <v>2.2000000000000002</v>
      </c>
      <c r="E1163" s="957"/>
      <c r="F1163" s="1230">
        <f>C1163*D1163</f>
        <v>25.696000000000002</v>
      </c>
      <c r="G1163" s="964" t="s">
        <v>462</v>
      </c>
    </row>
    <row r="1164" spans="1:7" s="976" customFormat="1" ht="14.1">
      <c r="A1164" s="955"/>
      <c r="B1164" s="963"/>
      <c r="C1164" s="957"/>
      <c r="D1164" s="957"/>
      <c r="E1164" s="957"/>
      <c r="F1164" s="1230"/>
      <c r="G1164" s="964"/>
    </row>
    <row r="1165" spans="1:7" s="976" customFormat="1" ht="14.1">
      <c r="A1165" s="955"/>
      <c r="B1165" s="961" t="s">
        <v>2265</v>
      </c>
      <c r="C1165" s="959"/>
      <c r="D1165" s="958"/>
      <c r="E1165" s="960"/>
      <c r="F1165" s="958"/>
      <c r="G1165" s="958"/>
    </row>
    <row r="1166" spans="1:7" s="976" customFormat="1" ht="14.1">
      <c r="A1166" s="955"/>
      <c r="B1166" s="1229" t="s">
        <v>1477</v>
      </c>
      <c r="C1166" s="960">
        <f>2*2*4</f>
        <v>16</v>
      </c>
      <c r="D1166" s="957">
        <v>1.03</v>
      </c>
      <c r="E1166" s="957">
        <f>C1166*D1166</f>
        <v>16.48</v>
      </c>
      <c r="F1166" s="962"/>
      <c r="G1166" s="958"/>
    </row>
    <row r="1167" spans="1:7" s="976" customFormat="1" ht="14.1">
      <c r="A1167" s="955"/>
      <c r="B1167" s="1229" t="s">
        <v>1475</v>
      </c>
      <c r="C1167" s="960">
        <f>2*2*9</f>
        <v>36</v>
      </c>
      <c r="D1167" s="957">
        <v>0.56999999999999995</v>
      </c>
      <c r="E1167" s="957">
        <f>C1167*D1167</f>
        <v>20.52</v>
      </c>
      <c r="F1167" s="962"/>
      <c r="G1167" s="958"/>
    </row>
    <row r="1168" spans="1:7" s="976" customFormat="1" ht="14.1">
      <c r="A1168" s="955"/>
      <c r="B1168" s="1229"/>
      <c r="C1168" s="960"/>
      <c r="D1168" s="957"/>
      <c r="E1168" s="1230">
        <f>SUM(E1166:E1167)</f>
        <v>37</v>
      </c>
      <c r="F1168" s="962"/>
      <c r="G1168" s="958"/>
    </row>
    <row r="1169" spans="1:7" s="976" customFormat="1" ht="14.1">
      <c r="A1169" s="955"/>
      <c r="B1169" s="1229" t="s">
        <v>2262</v>
      </c>
      <c r="C1169" s="957">
        <v>0.78</v>
      </c>
      <c r="D1169" s="957" t="s">
        <v>2263</v>
      </c>
      <c r="E1169" s="957"/>
      <c r="F1169" s="962"/>
      <c r="G1169" s="958"/>
    </row>
    <row r="1170" spans="1:7" s="976" customFormat="1" ht="14.1">
      <c r="A1170" s="955"/>
      <c r="B1170" s="963" t="s">
        <v>2264</v>
      </c>
      <c r="C1170" s="957">
        <f>E1168</f>
        <v>37</v>
      </c>
      <c r="D1170" s="957">
        <f>C1169</f>
        <v>0.78</v>
      </c>
      <c r="E1170" s="957"/>
      <c r="F1170" s="1230">
        <f>C1170*D1170</f>
        <v>28.86</v>
      </c>
      <c r="G1170" s="964" t="s">
        <v>462</v>
      </c>
    </row>
    <row r="1171" spans="1:7" s="976" customFormat="1" ht="14.1">
      <c r="A1171" s="955"/>
      <c r="B1171" s="963"/>
      <c r="C1171" s="957"/>
      <c r="D1171" s="957"/>
      <c r="E1171" s="957"/>
      <c r="F1171" s="1230"/>
      <c r="G1171" s="964"/>
    </row>
    <row r="1172" spans="1:7" s="976" customFormat="1" ht="14.1">
      <c r="A1172" s="955"/>
      <c r="B1172" s="961" t="s">
        <v>2266</v>
      </c>
      <c r="C1172" s="960"/>
      <c r="D1172" s="957"/>
      <c r="E1172" s="957"/>
      <c r="F1172" s="1230"/>
      <c r="G1172" s="964"/>
    </row>
    <row r="1173" spans="1:7" s="976" customFormat="1" ht="14.1">
      <c r="A1173" s="955"/>
      <c r="B1173" s="1229" t="s">
        <v>2267</v>
      </c>
      <c r="C1173" s="960">
        <v>0.6</v>
      </c>
      <c r="D1173" s="965">
        <f>'[8]C-data (K)'!$F$86</f>
        <v>129</v>
      </c>
      <c r="E1173" s="957">
        <f>C1173*D1173</f>
        <v>77.399999999999991</v>
      </c>
      <c r="F1173" s="962"/>
      <c r="G1173" s="958"/>
    </row>
    <row r="1174" spans="1:7" s="976" customFormat="1" ht="14.1">
      <c r="A1174" s="955"/>
      <c r="B1174" s="1229" t="s">
        <v>771</v>
      </c>
      <c r="C1174" s="960">
        <v>0.21</v>
      </c>
      <c r="D1174" s="965">
        <f>'[8]C-data (K)'!$F$19</f>
        <v>684</v>
      </c>
      <c r="E1174" s="957">
        <f>C1174*D1174</f>
        <v>143.63999999999999</v>
      </c>
      <c r="F1174" s="962"/>
      <c r="G1174" s="958"/>
    </row>
    <row r="1175" spans="1:7" s="976" customFormat="1" ht="14.1">
      <c r="A1175" s="955"/>
      <c r="B1175" s="1229" t="s">
        <v>772</v>
      </c>
      <c r="C1175" s="960">
        <v>0.49</v>
      </c>
      <c r="D1175" s="965">
        <f>'[8]C-data (K)'!$F$20</f>
        <v>564</v>
      </c>
      <c r="E1175" s="957">
        <f>C1175*D1175</f>
        <v>276.36</v>
      </c>
      <c r="F1175" s="962"/>
      <c r="G1175" s="958"/>
    </row>
    <row r="1176" spans="1:7" s="976" customFormat="1" ht="14.1">
      <c r="A1176" s="955"/>
      <c r="B1176" s="963"/>
      <c r="C1176" s="960"/>
      <c r="D1176" s="957"/>
      <c r="E1176" s="1230">
        <f>SUM(E1173:E1175)</f>
        <v>497.4</v>
      </c>
      <c r="F1176" s="964" t="s">
        <v>2268</v>
      </c>
      <c r="G1176" s="964"/>
    </row>
    <row r="1177" spans="1:7" s="976" customFormat="1" ht="14.1">
      <c r="A1177" s="955"/>
      <c r="B1177" s="963"/>
      <c r="C1177" s="960"/>
      <c r="D1177" s="957"/>
      <c r="E1177" s="1230"/>
      <c r="F1177" s="964"/>
      <c r="G1177" s="964"/>
    </row>
    <row r="1178" spans="1:7" s="976" customFormat="1" ht="28.2">
      <c r="A1178" s="953" t="s">
        <v>2269</v>
      </c>
      <c r="B1178" s="953" t="s">
        <v>2270</v>
      </c>
      <c r="C1178" s="953" t="s">
        <v>2271</v>
      </c>
      <c r="D1178" s="967"/>
      <c r="E1178" s="953" t="s">
        <v>92</v>
      </c>
      <c r="F1178" s="967"/>
      <c r="G1178" s="967" t="s">
        <v>151</v>
      </c>
    </row>
    <row r="1179" spans="1:7" s="976" customFormat="1" ht="14.1">
      <c r="A1179" s="955">
        <v>1</v>
      </c>
      <c r="B1179" s="1229" t="str">
        <f>B1150</f>
        <v>MS Grill door outer frame "L' angle 35x35x5mm</v>
      </c>
      <c r="C1179" s="957">
        <f>F1156</f>
        <v>19.343999999999998</v>
      </c>
      <c r="D1179" s="968" t="s">
        <v>2272</v>
      </c>
      <c r="E1179" s="957"/>
      <c r="F1179" s="964"/>
      <c r="G1179" s="1230"/>
    </row>
    <row r="1180" spans="1:7" s="976" customFormat="1" ht="27.6">
      <c r="A1180" s="955">
        <v>2</v>
      </c>
      <c r="B1180" s="1229" t="str">
        <f>B1158</f>
        <v>MS Grill door shutter frame "L' angle 30x30x5mm</v>
      </c>
      <c r="C1180" s="957">
        <f>F1163</f>
        <v>25.696000000000002</v>
      </c>
      <c r="D1180" s="968" t="s">
        <v>2272</v>
      </c>
      <c r="E1180" s="957"/>
      <c r="F1180" s="964"/>
      <c r="G1180" s="1230"/>
    </row>
    <row r="1181" spans="1:7" s="976" customFormat="1">
      <c r="A1181" s="955">
        <v>3</v>
      </c>
      <c r="B1181" s="1229" t="str">
        <f>B1165</f>
        <v>10mm square rods safety bars</v>
      </c>
      <c r="C1181" s="957">
        <f>F1170</f>
        <v>28.86</v>
      </c>
      <c r="D1181" s="968" t="s">
        <v>462</v>
      </c>
      <c r="E1181" s="957"/>
      <c r="F1181" s="968"/>
      <c r="G1181" s="957"/>
    </row>
    <row r="1182" spans="1:7" s="976" customFormat="1" ht="14.1">
      <c r="A1182" s="969"/>
      <c r="B1182" s="970"/>
      <c r="C1182" s="1230">
        <f>SUM(C1179:C1181)</f>
        <v>73.900000000000006</v>
      </c>
      <c r="D1182" s="968" t="s">
        <v>462</v>
      </c>
      <c r="E1182" s="957">
        <f>[8]LEAD!$P$30/1000</f>
        <v>49</v>
      </c>
      <c r="F1182" s="968" t="s">
        <v>462</v>
      </c>
      <c r="G1182" s="957">
        <f>ROUND(C1182*E1182,2)</f>
        <v>3621.1</v>
      </c>
    </row>
    <row r="1183" spans="1:7" s="976" customFormat="1" ht="14.1">
      <c r="A1183" s="955">
        <v>4</v>
      </c>
      <c r="B1183" s="970" t="s">
        <v>2273</v>
      </c>
      <c r="C1183" s="957">
        <f>E1148</f>
        <v>1.917</v>
      </c>
      <c r="D1183" s="968" t="s">
        <v>461</v>
      </c>
      <c r="E1183" s="957">
        <f>E1176</f>
        <v>497.4</v>
      </c>
      <c r="F1183" s="968" t="s">
        <v>2274</v>
      </c>
      <c r="G1183" s="957">
        <f>ROUND(C1183*E1183/10,2)</f>
        <v>95.35</v>
      </c>
    </row>
    <row r="1184" spans="1:7" s="976" customFormat="1" ht="14.1">
      <c r="A1184" s="955">
        <v>5</v>
      </c>
      <c r="B1184" s="971" t="s">
        <v>2284</v>
      </c>
      <c r="C1184" s="957">
        <f>C1182</f>
        <v>73.900000000000006</v>
      </c>
      <c r="D1184" s="968" t="s">
        <v>462</v>
      </c>
      <c r="E1184" s="957">
        <f>30+4</f>
        <v>34</v>
      </c>
      <c r="F1184" s="968" t="s">
        <v>462</v>
      </c>
      <c r="G1184" s="957">
        <f>ROUND(C1184*E1184,2)</f>
        <v>2512.6</v>
      </c>
    </row>
    <row r="1185" spans="1:7" s="954" customFormat="1">
      <c r="A1185" s="955">
        <v>6</v>
      </c>
      <c r="B1185" s="971" t="s">
        <v>2275</v>
      </c>
      <c r="C1185" s="957">
        <f>'[8]C-data (K)'!$E$5</f>
        <v>0.2</v>
      </c>
      <c r="D1185" s="968"/>
      <c r="E1185" s="957">
        <f>G1184</f>
        <v>2512.6</v>
      </c>
      <c r="F1185" s="968"/>
      <c r="G1185" s="957">
        <f>ROUND(C1185*E1185,2)</f>
        <v>502.52</v>
      </c>
    </row>
    <row r="1186" spans="1:7" s="976" customFormat="1" ht="14.1">
      <c r="A1186" s="955"/>
      <c r="B1186" s="971"/>
      <c r="C1186" s="960"/>
      <c r="D1186" s="957"/>
      <c r="E1186" s="960"/>
      <c r="F1186" s="957"/>
      <c r="G1186" s="1230">
        <f>SUM(G1182:G1185)</f>
        <v>6731.57</v>
      </c>
    </row>
    <row r="1187" spans="1:7" s="976" customFormat="1" ht="14.1">
      <c r="A1187" s="955"/>
      <c r="B1187" s="1277" t="str">
        <f>'[8]C-data (K)'!$C$174</f>
        <v>Add 5% over heads</v>
      </c>
      <c r="C1187" s="974">
        <f>'[8]C-data (K)'!$D$3</f>
        <v>0</v>
      </c>
      <c r="D1187" s="957"/>
      <c r="E1187" s="960"/>
      <c r="F1187" s="957"/>
      <c r="G1187" s="957">
        <f>G1186*C1187</f>
        <v>0</v>
      </c>
    </row>
    <row r="1188" spans="1:7" s="976" customFormat="1">
      <c r="A1188" s="955"/>
      <c r="B1188" s="971"/>
      <c r="C1188" s="957"/>
      <c r="D1188" s="957"/>
      <c r="E1188" s="960"/>
      <c r="F1188" s="957"/>
      <c r="G1188" s="957">
        <f>SUM(G1186:G1187)</f>
        <v>6731.57</v>
      </c>
    </row>
    <row r="1189" spans="1:7" s="976" customFormat="1" ht="14.1">
      <c r="A1189" s="955"/>
      <c r="B1189" s="975" t="s">
        <v>1806</v>
      </c>
      <c r="C1189" s="960"/>
      <c r="D1189" s="957"/>
      <c r="E1189" s="1612" t="s">
        <v>392</v>
      </c>
      <c r="F1189" s="1612"/>
      <c r="G1189" s="1230">
        <f>ROUND(G1188,0)</f>
        <v>6732</v>
      </c>
    </row>
    <row r="1190" spans="1:7">
      <c r="A1190" s="951"/>
      <c r="B1190" s="951"/>
      <c r="C1190" s="952"/>
      <c r="D1190" s="951"/>
      <c r="E1190" s="951"/>
      <c r="F1190" s="951"/>
      <c r="G1190" s="951"/>
    </row>
    <row r="1191" spans="1:7" s="954" customFormat="1" ht="14.1">
      <c r="A1191" s="953">
        <v>34</v>
      </c>
      <c r="B1191" s="1611" t="s">
        <v>2532</v>
      </c>
      <c r="C1191" s="1611"/>
      <c r="D1191" s="1611"/>
      <c r="E1191" s="1611"/>
      <c r="F1191" s="1611"/>
      <c r="G1191" s="1611"/>
    </row>
    <row r="1192" spans="1:7" s="954" customFormat="1" ht="14.1">
      <c r="A1192" s="955"/>
      <c r="B1192" s="956" t="s">
        <v>2259</v>
      </c>
      <c r="C1192" s="957">
        <v>1.8</v>
      </c>
      <c r="D1192" s="957">
        <v>0.3</v>
      </c>
      <c r="E1192" s="1230">
        <f>C1192*D1192</f>
        <v>0.54</v>
      </c>
      <c r="F1192" s="958" t="s">
        <v>547</v>
      </c>
      <c r="G1192" s="958"/>
    </row>
    <row r="1193" spans="1:7" s="954" customFormat="1" ht="14.1">
      <c r="A1193" s="955"/>
      <c r="B1193" s="1229"/>
      <c r="C1193" s="959"/>
      <c r="D1193" s="958"/>
      <c r="E1193" s="960"/>
      <c r="F1193" s="958"/>
      <c r="G1193" s="958"/>
    </row>
    <row r="1194" spans="1:7" s="954" customFormat="1" ht="14.1">
      <c r="A1194" s="955"/>
      <c r="B1194" s="961" t="s">
        <v>2260</v>
      </c>
      <c r="C1194" s="959"/>
      <c r="D1194" s="958"/>
      <c r="E1194" s="960"/>
      <c r="F1194" s="958"/>
      <c r="G1194" s="958"/>
    </row>
    <row r="1195" spans="1:7" s="954" customFormat="1" ht="14.1">
      <c r="A1195" s="955"/>
      <c r="B1195" s="1229" t="s">
        <v>2261</v>
      </c>
      <c r="C1195" s="960">
        <v>2</v>
      </c>
      <c r="D1195" s="957">
        <f>D1192</f>
        <v>0.3</v>
      </c>
      <c r="E1195" s="957">
        <f>C1195*D1195</f>
        <v>0.6</v>
      </c>
      <c r="F1195" s="962"/>
      <c r="G1195" s="958"/>
    </row>
    <row r="1196" spans="1:7" s="954" customFormat="1" ht="14.1">
      <c r="A1196" s="955"/>
      <c r="B1196" s="1229" t="s">
        <v>1475</v>
      </c>
      <c r="C1196" s="960">
        <v>2</v>
      </c>
      <c r="D1196" s="957">
        <f>C1192</f>
        <v>1.8</v>
      </c>
      <c r="E1196" s="957">
        <f>C1196*D1196</f>
        <v>3.6</v>
      </c>
      <c r="F1196" s="962"/>
      <c r="G1196" s="958"/>
    </row>
    <row r="1197" spans="1:7" s="954" customFormat="1" ht="14.1">
      <c r="A1197" s="955"/>
      <c r="B1197" s="1229" t="s">
        <v>1510</v>
      </c>
      <c r="C1197" s="960">
        <v>2</v>
      </c>
      <c r="D1197" s="957">
        <v>0.23</v>
      </c>
      <c r="E1197" s="957">
        <f>C1197*D1197</f>
        <v>0.46</v>
      </c>
      <c r="F1197" s="962"/>
      <c r="G1197" s="958"/>
    </row>
    <row r="1198" spans="1:7" s="954" customFormat="1" ht="14.1">
      <c r="A1198" s="955"/>
      <c r="B1198" s="1229"/>
      <c r="C1198" s="960"/>
      <c r="D1198" s="957"/>
      <c r="E1198" s="1230">
        <f>SUM(E1195:E1197)</f>
        <v>4.66</v>
      </c>
      <c r="F1198" s="962"/>
      <c r="G1198" s="958"/>
    </row>
    <row r="1199" spans="1:7" s="954" customFormat="1" ht="14.1">
      <c r="A1199" s="955"/>
      <c r="B1199" s="1229" t="s">
        <v>2262</v>
      </c>
      <c r="C1199" s="957">
        <v>1.8</v>
      </c>
      <c r="D1199" s="957" t="s">
        <v>2263</v>
      </c>
      <c r="E1199" s="957"/>
      <c r="F1199" s="962"/>
      <c r="G1199" s="958"/>
    </row>
    <row r="1200" spans="1:7" s="954" customFormat="1" ht="14.1">
      <c r="A1200" s="955"/>
      <c r="B1200" s="963" t="s">
        <v>2264</v>
      </c>
      <c r="C1200" s="957">
        <f>E1198</f>
        <v>4.66</v>
      </c>
      <c r="D1200" s="957">
        <f>C1199</f>
        <v>1.8</v>
      </c>
      <c r="E1200" s="957"/>
      <c r="F1200" s="1230">
        <f>C1200*D1200</f>
        <v>8.3879999999999999</v>
      </c>
      <c r="G1200" s="964" t="s">
        <v>462</v>
      </c>
    </row>
    <row r="1201" spans="1:7" s="954" customFormat="1" ht="14.1">
      <c r="A1201" s="955"/>
      <c r="B1201" s="963"/>
      <c r="C1201" s="957"/>
      <c r="D1201" s="957"/>
      <c r="E1201" s="957"/>
      <c r="F1201" s="1230"/>
      <c r="G1201" s="964"/>
    </row>
    <row r="1202" spans="1:7" s="954" customFormat="1" ht="14.1">
      <c r="A1202" s="955"/>
      <c r="B1202" s="961" t="s">
        <v>2265</v>
      </c>
      <c r="C1202" s="959"/>
      <c r="D1202" s="958"/>
      <c r="E1202" s="960"/>
      <c r="F1202" s="958"/>
      <c r="G1202" s="958"/>
    </row>
    <row r="1203" spans="1:7" s="954" customFormat="1" ht="14.1">
      <c r="A1203" s="955"/>
      <c r="B1203" s="1229" t="s">
        <v>1477</v>
      </c>
      <c r="C1203" s="960">
        <v>16</v>
      </c>
      <c r="D1203" s="957">
        <f>D1195</f>
        <v>0.3</v>
      </c>
      <c r="E1203" s="957">
        <f>C1203*D1203</f>
        <v>4.8</v>
      </c>
      <c r="F1203" s="962"/>
      <c r="G1203" s="958"/>
    </row>
    <row r="1204" spans="1:7" s="954" customFormat="1" ht="14.1">
      <c r="A1204" s="955"/>
      <c r="B1204" s="1229" t="s">
        <v>1475</v>
      </c>
      <c r="C1204" s="960">
        <v>2</v>
      </c>
      <c r="D1204" s="957">
        <f>D1196</f>
        <v>1.8</v>
      </c>
      <c r="E1204" s="957">
        <f>C1204*D1204</f>
        <v>3.6</v>
      </c>
      <c r="F1204" s="962"/>
      <c r="G1204" s="958"/>
    </row>
    <row r="1205" spans="1:7" s="954" customFormat="1" ht="14.1">
      <c r="A1205" s="955"/>
      <c r="B1205" s="1229"/>
      <c r="C1205" s="960"/>
      <c r="D1205" s="957"/>
      <c r="E1205" s="1230">
        <f>SUM(E1203:E1204)</f>
        <v>8.4</v>
      </c>
      <c r="F1205" s="962"/>
      <c r="G1205" s="958"/>
    </row>
    <row r="1206" spans="1:7" s="954" customFormat="1" ht="14.1">
      <c r="A1206" s="955"/>
      <c r="B1206" s="1229" t="s">
        <v>2262</v>
      </c>
      <c r="C1206" s="957">
        <v>0.78</v>
      </c>
      <c r="D1206" s="957" t="s">
        <v>2263</v>
      </c>
      <c r="E1206" s="957"/>
      <c r="F1206" s="962"/>
      <c r="G1206" s="958"/>
    </row>
    <row r="1207" spans="1:7" s="954" customFormat="1" ht="14.1">
      <c r="A1207" s="955"/>
      <c r="B1207" s="963" t="s">
        <v>2264</v>
      </c>
      <c r="C1207" s="957">
        <f>E1205</f>
        <v>8.4</v>
      </c>
      <c r="D1207" s="957">
        <f>C1206</f>
        <v>0.78</v>
      </c>
      <c r="E1207" s="957"/>
      <c r="F1207" s="1230">
        <f>C1207*D1207</f>
        <v>6.5520000000000005</v>
      </c>
      <c r="G1207" s="964" t="s">
        <v>462</v>
      </c>
    </row>
    <row r="1208" spans="1:7" s="954" customFormat="1" ht="14.1">
      <c r="A1208" s="955"/>
      <c r="B1208" s="963"/>
      <c r="C1208" s="957"/>
      <c r="D1208" s="957"/>
      <c r="E1208" s="957"/>
      <c r="F1208" s="1230"/>
      <c r="G1208" s="964"/>
    </row>
    <row r="1209" spans="1:7" s="954" customFormat="1" ht="14.1">
      <c r="A1209" s="955"/>
      <c r="B1209" s="961" t="s">
        <v>2266</v>
      </c>
      <c r="C1209" s="960"/>
      <c r="D1209" s="957"/>
      <c r="E1209" s="957"/>
      <c r="F1209" s="1230"/>
      <c r="G1209" s="964"/>
    </row>
    <row r="1210" spans="1:7" s="954" customFormat="1" ht="14.1">
      <c r="A1210" s="955"/>
      <c r="B1210" s="1229" t="s">
        <v>2267</v>
      </c>
      <c r="C1210" s="960">
        <v>0.6</v>
      </c>
      <c r="D1210" s="965">
        <f>'[8]C-data (K)'!$F$86</f>
        <v>129</v>
      </c>
      <c r="E1210" s="957">
        <f>C1210*D1210</f>
        <v>77.399999999999991</v>
      </c>
      <c r="F1210" s="962"/>
      <c r="G1210" s="958"/>
    </row>
    <row r="1211" spans="1:7" s="954" customFormat="1" ht="14.1">
      <c r="A1211" s="955"/>
      <c r="B1211" s="1229" t="s">
        <v>771</v>
      </c>
      <c r="C1211" s="960">
        <v>0.21</v>
      </c>
      <c r="D1211" s="965">
        <f>'[8]C-data (K)'!$F$19</f>
        <v>684</v>
      </c>
      <c r="E1211" s="957">
        <f>C1211*D1211</f>
        <v>143.63999999999999</v>
      </c>
      <c r="F1211" s="962"/>
      <c r="G1211" s="958"/>
    </row>
    <row r="1212" spans="1:7" s="954" customFormat="1" ht="14.1">
      <c r="A1212" s="955"/>
      <c r="B1212" s="1229" t="s">
        <v>772</v>
      </c>
      <c r="C1212" s="960">
        <v>0.49</v>
      </c>
      <c r="D1212" s="965">
        <f>'[8]C-data (K)'!$F$20</f>
        <v>564</v>
      </c>
      <c r="E1212" s="957">
        <f>C1212*D1212</f>
        <v>276.36</v>
      </c>
      <c r="F1212" s="962"/>
      <c r="G1212" s="958"/>
    </row>
    <row r="1213" spans="1:7" s="954" customFormat="1" ht="14.1">
      <c r="A1213" s="955"/>
      <c r="B1213" s="963"/>
      <c r="C1213" s="960"/>
      <c r="D1213" s="957"/>
      <c r="E1213" s="1230">
        <f>SUM(E1210:E1212)</f>
        <v>497.4</v>
      </c>
      <c r="F1213" s="966" t="s">
        <v>2268</v>
      </c>
      <c r="G1213" s="964"/>
    </row>
    <row r="1214" spans="1:7" s="954" customFormat="1" ht="14.1">
      <c r="A1214" s="955"/>
      <c r="B1214" s="963"/>
      <c r="C1214" s="960"/>
      <c r="D1214" s="957"/>
      <c r="E1214" s="1230"/>
      <c r="F1214" s="964"/>
      <c r="G1214" s="964"/>
    </row>
    <row r="1215" spans="1:7" s="954" customFormat="1" ht="28.2">
      <c r="A1215" s="953" t="s">
        <v>2269</v>
      </c>
      <c r="B1215" s="953" t="s">
        <v>2270</v>
      </c>
      <c r="C1215" s="953" t="s">
        <v>2271</v>
      </c>
      <c r="D1215" s="967"/>
      <c r="E1215" s="953" t="s">
        <v>92</v>
      </c>
      <c r="F1215" s="967"/>
      <c r="G1215" s="967" t="s">
        <v>151</v>
      </c>
    </row>
    <row r="1216" spans="1:7" s="954" customFormat="1">
      <c r="A1216" s="955">
        <v>1</v>
      </c>
      <c r="B1216" s="1229" t="str">
        <f>B1194</f>
        <v>Outer frame "L' angle 25x25x5mm</v>
      </c>
      <c r="C1216" s="957">
        <f>F1200</f>
        <v>8.3879999999999999</v>
      </c>
      <c r="D1216" s="968" t="s">
        <v>2272</v>
      </c>
      <c r="E1216" s="957"/>
      <c r="F1216" s="968"/>
      <c r="G1216" s="957"/>
    </row>
    <row r="1217" spans="1:7" s="954" customFormat="1">
      <c r="A1217" s="955">
        <v>2</v>
      </c>
      <c r="B1217" s="1229" t="str">
        <f>B1202</f>
        <v>10mm square rods safety bars</v>
      </c>
      <c r="C1217" s="957">
        <f>F1207</f>
        <v>6.5520000000000005</v>
      </c>
      <c r="D1217" s="968" t="s">
        <v>462</v>
      </c>
      <c r="E1217" s="957"/>
      <c r="F1217" s="968"/>
      <c r="G1217" s="957"/>
    </row>
    <row r="1218" spans="1:7" s="954" customFormat="1" ht="14.1">
      <c r="A1218" s="969"/>
      <c r="B1218" s="970"/>
      <c r="C1218" s="1230">
        <f>SUM(C1216:C1217)</f>
        <v>14.940000000000001</v>
      </c>
      <c r="D1218" s="968" t="s">
        <v>462</v>
      </c>
      <c r="E1218" s="957">
        <f>[8]LEAD!$P$30/1000</f>
        <v>49</v>
      </c>
      <c r="F1218" s="968" t="s">
        <v>462</v>
      </c>
      <c r="G1218" s="957">
        <f>ROUND(C1218*E1218,2)</f>
        <v>732.06</v>
      </c>
    </row>
    <row r="1219" spans="1:7" s="954" customFormat="1">
      <c r="A1219" s="955">
        <v>3</v>
      </c>
      <c r="B1219" s="971" t="s">
        <v>2273</v>
      </c>
      <c r="C1219" s="957">
        <f>E1192</f>
        <v>0.54</v>
      </c>
      <c r="D1219" s="968" t="s">
        <v>461</v>
      </c>
      <c r="E1219" s="957">
        <f>E1213</f>
        <v>497.4</v>
      </c>
      <c r="F1219" s="968" t="s">
        <v>2274</v>
      </c>
      <c r="G1219" s="957">
        <f>ROUND(C1219*E1219/10,2)</f>
        <v>26.86</v>
      </c>
    </row>
    <row r="1220" spans="1:7" s="954" customFormat="1" ht="14.1">
      <c r="A1220" s="955">
        <v>4</v>
      </c>
      <c r="B1220" s="972" t="s">
        <v>2497</v>
      </c>
      <c r="C1220" s="957">
        <f>C1218</f>
        <v>14.940000000000001</v>
      </c>
      <c r="D1220" s="968" t="s">
        <v>462</v>
      </c>
      <c r="E1220" s="957">
        <f>30+4</f>
        <v>34</v>
      </c>
      <c r="F1220" s="968" t="s">
        <v>462</v>
      </c>
      <c r="G1220" s="957">
        <f>ROUND(C1220*E1220,2)</f>
        <v>507.96</v>
      </c>
    </row>
    <row r="1221" spans="1:7" s="954" customFormat="1">
      <c r="A1221" s="955">
        <v>5</v>
      </c>
      <c r="B1221" s="971" t="s">
        <v>2275</v>
      </c>
      <c r="C1221" s="957">
        <f>'[8]C-data (K)'!$E$5</f>
        <v>0.2</v>
      </c>
      <c r="D1221" s="968"/>
      <c r="E1221" s="957">
        <f>G1220</f>
        <v>507.96</v>
      </c>
      <c r="F1221" s="968"/>
      <c r="G1221" s="957">
        <f>C1221*E1221</f>
        <v>101.592</v>
      </c>
    </row>
    <row r="1222" spans="1:7" s="954" customFormat="1" ht="14.1">
      <c r="A1222" s="955"/>
      <c r="B1222" s="971"/>
      <c r="C1222" s="960"/>
      <c r="D1222" s="957"/>
      <c r="E1222" s="960"/>
      <c r="F1222" s="957"/>
      <c r="G1222" s="1230">
        <f>SUM(G1218:G1221)</f>
        <v>1368.472</v>
      </c>
    </row>
    <row r="1223" spans="1:7" s="954" customFormat="1" ht="14.1">
      <c r="A1223" s="955">
        <v>6</v>
      </c>
      <c r="B1223" s="1277" t="str">
        <f>'[8]C-data (K)'!$C$174</f>
        <v>Add 5% over heads</v>
      </c>
      <c r="C1223" s="974">
        <f>'[8]C-data (K)'!$D$3</f>
        <v>0</v>
      </c>
      <c r="D1223" s="957"/>
      <c r="E1223" s="960"/>
      <c r="F1223" s="957"/>
      <c r="G1223" s="957">
        <f>G1222*C1223</f>
        <v>0</v>
      </c>
    </row>
    <row r="1224" spans="1:7" s="954" customFormat="1" ht="14.1">
      <c r="A1224" s="955"/>
      <c r="B1224" s="971"/>
      <c r="C1224" s="957"/>
      <c r="D1224" s="957"/>
      <c r="E1224" s="960"/>
      <c r="F1224" s="957"/>
      <c r="G1224" s="1230">
        <f>SUM(G1222:G1223)</f>
        <v>1368.472</v>
      </c>
    </row>
    <row r="1225" spans="1:7" s="954" customFormat="1" ht="14.1">
      <c r="A1225" s="955"/>
      <c r="B1225" s="975" t="s">
        <v>1806</v>
      </c>
      <c r="C1225" s="960"/>
      <c r="D1225" s="957"/>
      <c r="E1225" s="1610" t="s">
        <v>2276</v>
      </c>
      <c r="F1225" s="1610"/>
      <c r="G1225" s="1230">
        <f>ROUND(G1224,0)</f>
        <v>1368</v>
      </c>
    </row>
    <row r="1226" spans="1:7" s="954" customFormat="1" ht="14.1">
      <c r="A1226" s="955"/>
      <c r="B1226" s="971"/>
      <c r="C1226" s="960"/>
      <c r="D1226" s="957"/>
      <c r="E1226" s="960"/>
      <c r="F1226" s="957"/>
      <c r="G1226" s="1230"/>
    </row>
    <row r="1227" spans="1:7" s="954" customFormat="1" ht="14.1">
      <c r="A1227" s="953">
        <v>2</v>
      </c>
      <c r="B1227" s="1611" t="s">
        <v>2533</v>
      </c>
      <c r="C1227" s="1611"/>
      <c r="D1227" s="1611"/>
      <c r="E1227" s="1611"/>
      <c r="F1227" s="1611"/>
      <c r="G1227" s="1611"/>
    </row>
    <row r="1228" spans="1:7" s="954" customFormat="1" ht="14.1">
      <c r="A1228" s="955"/>
      <c r="B1228" s="956" t="s">
        <v>2259</v>
      </c>
      <c r="C1228" s="957">
        <v>1.8</v>
      </c>
      <c r="D1228" s="957">
        <v>0.45</v>
      </c>
      <c r="E1228" s="1230">
        <f>C1228*D1228</f>
        <v>0.81</v>
      </c>
      <c r="F1228" s="958" t="s">
        <v>547</v>
      </c>
      <c r="G1228" s="958"/>
    </row>
    <row r="1229" spans="1:7" s="954" customFormat="1" ht="14.1">
      <c r="A1229" s="955"/>
      <c r="B1229" s="1229"/>
      <c r="C1229" s="959"/>
      <c r="D1229" s="958"/>
      <c r="E1229" s="960"/>
      <c r="F1229" s="958"/>
      <c r="G1229" s="958"/>
    </row>
    <row r="1230" spans="1:7" s="954" customFormat="1" ht="14.1">
      <c r="A1230" s="955"/>
      <c r="B1230" s="961" t="s">
        <v>2260</v>
      </c>
      <c r="C1230" s="959"/>
      <c r="D1230" s="958"/>
      <c r="E1230" s="960"/>
      <c r="F1230" s="958"/>
      <c r="G1230" s="958"/>
    </row>
    <row r="1231" spans="1:7" s="954" customFormat="1" ht="14.1">
      <c r="A1231" s="955"/>
      <c r="B1231" s="1229" t="s">
        <v>2261</v>
      </c>
      <c r="C1231" s="960">
        <v>2</v>
      </c>
      <c r="D1231" s="957">
        <f>D1228</f>
        <v>0.45</v>
      </c>
      <c r="E1231" s="957">
        <f>C1231*D1231</f>
        <v>0.9</v>
      </c>
      <c r="F1231" s="962"/>
      <c r="G1231" s="958"/>
    </row>
    <row r="1232" spans="1:7" s="954" customFormat="1" ht="14.1">
      <c r="A1232" s="955"/>
      <c r="B1232" s="1229" t="s">
        <v>1475</v>
      </c>
      <c r="C1232" s="960">
        <v>2</v>
      </c>
      <c r="D1232" s="957">
        <f>C1228</f>
        <v>1.8</v>
      </c>
      <c r="E1232" s="957">
        <f>C1232*D1232</f>
        <v>3.6</v>
      </c>
      <c r="F1232" s="962"/>
      <c r="G1232" s="958"/>
    </row>
    <row r="1233" spans="1:7" s="954" customFormat="1" ht="14.1">
      <c r="A1233" s="955"/>
      <c r="B1233" s="1229" t="s">
        <v>1510</v>
      </c>
      <c r="C1233" s="960">
        <v>2</v>
      </c>
      <c r="D1233" s="957">
        <v>0.23</v>
      </c>
      <c r="E1233" s="957">
        <f>C1233*D1233</f>
        <v>0.46</v>
      </c>
      <c r="F1233" s="962"/>
      <c r="G1233" s="958"/>
    </row>
    <row r="1234" spans="1:7" s="954" customFormat="1" ht="14.1">
      <c r="A1234" s="955"/>
      <c r="B1234" s="1229"/>
      <c r="C1234" s="960"/>
      <c r="D1234" s="957"/>
      <c r="E1234" s="1230">
        <f>SUM(E1231:E1233)</f>
        <v>4.96</v>
      </c>
      <c r="F1234" s="962"/>
      <c r="G1234" s="958"/>
    </row>
    <row r="1235" spans="1:7" s="954" customFormat="1" ht="14.1">
      <c r="A1235" s="955"/>
      <c r="B1235" s="1229" t="s">
        <v>2262</v>
      </c>
      <c r="C1235" s="957">
        <v>1.8</v>
      </c>
      <c r="D1235" s="957" t="s">
        <v>2263</v>
      </c>
      <c r="E1235" s="957"/>
      <c r="F1235" s="962"/>
      <c r="G1235" s="958"/>
    </row>
    <row r="1236" spans="1:7" s="954" customFormat="1" ht="14.1">
      <c r="A1236" s="955"/>
      <c r="B1236" s="963" t="s">
        <v>2264</v>
      </c>
      <c r="C1236" s="957">
        <f>E1234</f>
        <v>4.96</v>
      </c>
      <c r="D1236" s="957">
        <f>C1235</f>
        <v>1.8</v>
      </c>
      <c r="E1236" s="957"/>
      <c r="F1236" s="1230">
        <f>C1236*D1236</f>
        <v>8.9280000000000008</v>
      </c>
      <c r="G1236" s="964" t="s">
        <v>462</v>
      </c>
    </row>
    <row r="1237" spans="1:7" s="954" customFormat="1" ht="14.1">
      <c r="A1237" s="955"/>
      <c r="B1237" s="963"/>
      <c r="C1237" s="957"/>
      <c r="D1237" s="957"/>
      <c r="E1237" s="957"/>
      <c r="F1237" s="1230"/>
      <c r="G1237" s="964"/>
    </row>
    <row r="1238" spans="1:7" s="954" customFormat="1" ht="14.1">
      <c r="A1238" s="955"/>
      <c r="B1238" s="961" t="s">
        <v>2265</v>
      </c>
      <c r="C1238" s="959"/>
      <c r="D1238" s="958"/>
      <c r="E1238" s="960"/>
      <c r="F1238" s="958"/>
      <c r="G1238" s="958"/>
    </row>
    <row r="1239" spans="1:7" s="954" customFormat="1" ht="14.1">
      <c r="A1239" s="955"/>
      <c r="B1239" s="1229" t="s">
        <v>1477</v>
      </c>
      <c r="C1239" s="960">
        <v>16</v>
      </c>
      <c r="D1239" s="957">
        <f>D1231</f>
        <v>0.45</v>
      </c>
      <c r="E1239" s="957">
        <f>C1239*D1239</f>
        <v>7.2</v>
      </c>
      <c r="F1239" s="962"/>
      <c r="G1239" s="958"/>
    </row>
    <row r="1240" spans="1:7" s="954" customFormat="1" ht="14.1">
      <c r="A1240" s="955"/>
      <c r="B1240" s="1229" t="s">
        <v>1475</v>
      </c>
      <c r="C1240" s="960">
        <v>3</v>
      </c>
      <c r="D1240" s="957">
        <f>D1232</f>
        <v>1.8</v>
      </c>
      <c r="E1240" s="957">
        <f>C1240*D1240</f>
        <v>5.4</v>
      </c>
      <c r="F1240" s="962"/>
      <c r="G1240" s="958"/>
    </row>
    <row r="1241" spans="1:7" s="954" customFormat="1" ht="14.1">
      <c r="A1241" s="955"/>
      <c r="B1241" s="1229"/>
      <c r="C1241" s="960"/>
      <c r="D1241" s="957"/>
      <c r="E1241" s="1230">
        <f>SUM(E1239:E1240)</f>
        <v>12.600000000000001</v>
      </c>
      <c r="F1241" s="962"/>
      <c r="G1241" s="958"/>
    </row>
    <row r="1242" spans="1:7" s="954" customFormat="1" ht="14.1">
      <c r="A1242" s="955"/>
      <c r="B1242" s="1229" t="s">
        <v>2262</v>
      </c>
      <c r="C1242" s="957">
        <v>0.78</v>
      </c>
      <c r="D1242" s="957" t="s">
        <v>2263</v>
      </c>
      <c r="E1242" s="957"/>
      <c r="F1242" s="962"/>
      <c r="G1242" s="958"/>
    </row>
    <row r="1243" spans="1:7" s="954" customFormat="1" ht="14.1">
      <c r="A1243" s="955"/>
      <c r="B1243" s="963" t="s">
        <v>2264</v>
      </c>
      <c r="C1243" s="957">
        <f>E1241</f>
        <v>12.600000000000001</v>
      </c>
      <c r="D1243" s="957">
        <f>C1242</f>
        <v>0.78</v>
      </c>
      <c r="E1243" s="957"/>
      <c r="F1243" s="1230">
        <f>C1243*D1243</f>
        <v>9.8280000000000012</v>
      </c>
      <c r="G1243" s="964" t="s">
        <v>462</v>
      </c>
    </row>
    <row r="1244" spans="1:7" s="954" customFormat="1" ht="14.1">
      <c r="A1244" s="955"/>
      <c r="B1244" s="963"/>
      <c r="C1244" s="957"/>
      <c r="D1244" s="957"/>
      <c r="E1244" s="957"/>
      <c r="F1244" s="1230"/>
      <c r="G1244" s="964"/>
    </row>
    <row r="1245" spans="1:7" s="954" customFormat="1" ht="14.1">
      <c r="A1245" s="955"/>
      <c r="B1245" s="961" t="s">
        <v>2266</v>
      </c>
      <c r="C1245" s="960"/>
      <c r="D1245" s="957"/>
      <c r="E1245" s="957"/>
      <c r="F1245" s="1230"/>
      <c r="G1245" s="964"/>
    </row>
    <row r="1246" spans="1:7" s="954" customFormat="1" ht="14.1">
      <c r="A1246" s="955"/>
      <c r="B1246" s="1229" t="s">
        <v>2267</v>
      </c>
      <c r="C1246" s="960">
        <v>0.6</v>
      </c>
      <c r="D1246" s="965">
        <f>'[8]C-data (K)'!$F$86</f>
        <v>129</v>
      </c>
      <c r="E1246" s="957">
        <f>C1246*D1246</f>
        <v>77.399999999999991</v>
      </c>
      <c r="F1246" s="962"/>
      <c r="G1246" s="958"/>
    </row>
    <row r="1247" spans="1:7" s="954" customFormat="1" ht="14.1">
      <c r="A1247" s="955"/>
      <c r="B1247" s="1229" t="s">
        <v>771</v>
      </c>
      <c r="C1247" s="960">
        <v>0.21</v>
      </c>
      <c r="D1247" s="965">
        <f>'[8]C-data (K)'!$F$19</f>
        <v>684</v>
      </c>
      <c r="E1247" s="957">
        <f>C1247*D1247</f>
        <v>143.63999999999999</v>
      </c>
      <c r="F1247" s="962"/>
      <c r="G1247" s="958"/>
    </row>
    <row r="1248" spans="1:7" s="954" customFormat="1" ht="14.1">
      <c r="A1248" s="955"/>
      <c r="B1248" s="1229" t="s">
        <v>772</v>
      </c>
      <c r="C1248" s="960">
        <v>0.49</v>
      </c>
      <c r="D1248" s="965">
        <f>'[8]C-data (K)'!$F$20</f>
        <v>564</v>
      </c>
      <c r="E1248" s="957">
        <f>C1248*D1248</f>
        <v>276.36</v>
      </c>
      <c r="F1248" s="962"/>
      <c r="G1248" s="958"/>
    </row>
    <row r="1249" spans="1:7" s="954" customFormat="1" ht="14.1">
      <c r="A1249" s="955"/>
      <c r="B1249" s="963"/>
      <c r="C1249" s="960"/>
      <c r="D1249" s="957"/>
      <c r="E1249" s="1230">
        <f>SUM(E1246:E1248)</f>
        <v>497.4</v>
      </c>
      <c r="F1249" s="966" t="s">
        <v>2268</v>
      </c>
      <c r="G1249" s="964"/>
    </row>
    <row r="1250" spans="1:7" s="954" customFormat="1" ht="14.1">
      <c r="A1250" s="955"/>
      <c r="B1250" s="963"/>
      <c r="C1250" s="960"/>
      <c r="D1250" s="957"/>
      <c r="E1250" s="1230"/>
      <c r="F1250" s="964"/>
      <c r="G1250" s="964"/>
    </row>
    <row r="1251" spans="1:7" s="954" customFormat="1" ht="28.2">
      <c r="A1251" s="953" t="s">
        <v>2269</v>
      </c>
      <c r="B1251" s="953" t="s">
        <v>2270</v>
      </c>
      <c r="C1251" s="953" t="s">
        <v>2271</v>
      </c>
      <c r="D1251" s="967"/>
      <c r="E1251" s="953" t="s">
        <v>92</v>
      </c>
      <c r="F1251" s="967"/>
      <c r="G1251" s="967" t="s">
        <v>151</v>
      </c>
    </row>
    <row r="1252" spans="1:7" s="954" customFormat="1">
      <c r="A1252" s="955">
        <v>1</v>
      </c>
      <c r="B1252" s="1229" t="str">
        <f>B1230</f>
        <v>Outer frame "L' angle 25x25x5mm</v>
      </c>
      <c r="C1252" s="957">
        <f>F1236</f>
        <v>8.9280000000000008</v>
      </c>
      <c r="D1252" s="968" t="s">
        <v>2272</v>
      </c>
      <c r="E1252" s="957"/>
      <c r="F1252" s="968"/>
      <c r="G1252" s="957"/>
    </row>
    <row r="1253" spans="1:7" s="954" customFormat="1">
      <c r="A1253" s="955">
        <v>2</v>
      </c>
      <c r="B1253" s="1229" t="str">
        <f>B1238</f>
        <v>10mm square rods safety bars</v>
      </c>
      <c r="C1253" s="957">
        <f>F1243</f>
        <v>9.8280000000000012</v>
      </c>
      <c r="D1253" s="968" t="s">
        <v>462</v>
      </c>
      <c r="E1253" s="957"/>
      <c r="F1253" s="968"/>
      <c r="G1253" s="957"/>
    </row>
    <row r="1254" spans="1:7" s="954" customFormat="1" ht="14.1">
      <c r="A1254" s="969"/>
      <c r="B1254" s="970"/>
      <c r="C1254" s="1230">
        <f>SUM(C1252:C1253)</f>
        <v>18.756</v>
      </c>
      <c r="D1254" s="968" t="s">
        <v>462</v>
      </c>
      <c r="E1254" s="957">
        <f>[8]LEAD!$P$30/1000</f>
        <v>49</v>
      </c>
      <c r="F1254" s="968" t="s">
        <v>462</v>
      </c>
      <c r="G1254" s="957">
        <f>ROUND(C1254*E1254,2)</f>
        <v>919.04</v>
      </c>
    </row>
    <row r="1255" spans="1:7" s="954" customFormat="1">
      <c r="A1255" s="955">
        <v>3</v>
      </c>
      <c r="B1255" s="971" t="s">
        <v>2273</v>
      </c>
      <c r="C1255" s="957">
        <f>E1228</f>
        <v>0.81</v>
      </c>
      <c r="D1255" s="968" t="s">
        <v>461</v>
      </c>
      <c r="E1255" s="957">
        <f>E1249</f>
        <v>497.4</v>
      </c>
      <c r="F1255" s="968" t="s">
        <v>2274</v>
      </c>
      <c r="G1255" s="957">
        <f>ROUND(C1255*E1255/10,2)</f>
        <v>40.29</v>
      </c>
    </row>
    <row r="1256" spans="1:7" s="954" customFormat="1" ht="14.1">
      <c r="A1256" s="955">
        <v>4</v>
      </c>
      <c r="B1256" s="972" t="s">
        <v>2497</v>
      </c>
      <c r="C1256" s="957">
        <f>C1254</f>
        <v>18.756</v>
      </c>
      <c r="D1256" s="968" t="s">
        <v>462</v>
      </c>
      <c r="E1256" s="957">
        <f>30+4</f>
        <v>34</v>
      </c>
      <c r="F1256" s="968" t="s">
        <v>462</v>
      </c>
      <c r="G1256" s="957">
        <f>ROUND(C1256*E1256,2)</f>
        <v>637.70000000000005</v>
      </c>
    </row>
    <row r="1257" spans="1:7" s="954" customFormat="1">
      <c r="A1257" s="955">
        <v>5</v>
      </c>
      <c r="B1257" s="971" t="s">
        <v>2275</v>
      </c>
      <c r="C1257" s="957">
        <f>'[8]C-data (K)'!$E$5</f>
        <v>0.2</v>
      </c>
      <c r="D1257" s="968"/>
      <c r="E1257" s="957">
        <f>G1256</f>
        <v>637.70000000000005</v>
      </c>
      <c r="F1257" s="968"/>
      <c r="G1257" s="957">
        <f>C1257*E1257</f>
        <v>127.54000000000002</v>
      </c>
    </row>
    <row r="1258" spans="1:7" s="954" customFormat="1" ht="14.1">
      <c r="A1258" s="955"/>
      <c r="B1258" s="971"/>
      <c r="C1258" s="960"/>
      <c r="D1258" s="957"/>
      <c r="E1258" s="960"/>
      <c r="F1258" s="957"/>
      <c r="G1258" s="1230">
        <f>SUM(G1254:G1257)</f>
        <v>1724.57</v>
      </c>
    </row>
    <row r="1259" spans="1:7" s="954" customFormat="1" ht="14.1">
      <c r="A1259" s="955">
        <v>6</v>
      </c>
      <c r="B1259" s="1277" t="str">
        <f>'[8]C-data (K)'!$C$174</f>
        <v>Add 5% over heads</v>
      </c>
      <c r="C1259" s="974">
        <f>'[8]C-data (K)'!$D$3</f>
        <v>0</v>
      </c>
      <c r="D1259" s="957"/>
      <c r="E1259" s="960"/>
      <c r="F1259" s="957"/>
      <c r="G1259" s="957">
        <f>G1258*C1259</f>
        <v>0</v>
      </c>
    </row>
    <row r="1260" spans="1:7" s="954" customFormat="1">
      <c r="A1260" s="955"/>
      <c r="B1260" s="971"/>
      <c r="C1260" s="957"/>
      <c r="D1260" s="957"/>
      <c r="E1260" s="960"/>
      <c r="F1260" s="957"/>
      <c r="G1260" s="957">
        <f>SUM(G1258:G1259)</f>
        <v>1724.57</v>
      </c>
    </row>
    <row r="1261" spans="1:7" s="954" customFormat="1" ht="14.1">
      <c r="A1261" s="955"/>
      <c r="B1261" s="975" t="s">
        <v>1806</v>
      </c>
      <c r="C1261" s="960"/>
      <c r="D1261" s="957"/>
      <c r="E1261" s="1610" t="s">
        <v>2276</v>
      </c>
      <c r="F1261" s="1610"/>
      <c r="G1261" s="1230">
        <f>ROUND(G1260,0)</f>
        <v>1725</v>
      </c>
    </row>
    <row r="1262" spans="1:7" s="976" customFormat="1" ht="108.75" customHeight="1">
      <c r="A1262" s="953">
        <v>2</v>
      </c>
      <c r="B1262" s="1611" t="s">
        <v>2572</v>
      </c>
      <c r="C1262" s="1611"/>
      <c r="D1262" s="1611"/>
      <c r="E1262" s="1611"/>
      <c r="F1262" s="1611"/>
      <c r="G1262" s="1611"/>
    </row>
    <row r="1263" spans="1:7" s="976" customFormat="1" ht="14.1">
      <c r="A1263" s="955"/>
      <c r="B1263" s="956" t="s">
        <v>2529</v>
      </c>
      <c r="C1263" s="957">
        <v>0.75</v>
      </c>
      <c r="D1263" s="957">
        <v>2.13</v>
      </c>
      <c r="E1263" s="1230">
        <f>C1263*D1263</f>
        <v>1.5974999999999999</v>
      </c>
      <c r="F1263" s="958" t="s">
        <v>547</v>
      </c>
      <c r="G1263" s="958"/>
    </row>
    <row r="1264" spans="1:7" s="976" customFormat="1" ht="14.1">
      <c r="A1264" s="955"/>
      <c r="B1264" s="1229"/>
      <c r="C1264" s="959"/>
      <c r="D1264" s="958"/>
      <c r="E1264" s="960"/>
      <c r="F1264" s="958"/>
      <c r="G1264" s="958"/>
    </row>
    <row r="1265" spans="1:7" s="976" customFormat="1" ht="27.9">
      <c r="A1265" s="955"/>
      <c r="B1265" s="1229" t="s">
        <v>2530</v>
      </c>
      <c r="C1265" s="959"/>
      <c r="D1265" s="958"/>
      <c r="E1265" s="960"/>
      <c r="F1265" s="958"/>
      <c r="G1265" s="958"/>
    </row>
    <row r="1266" spans="1:7" s="976" customFormat="1" ht="14.1">
      <c r="A1266" s="955"/>
      <c r="B1266" s="1229" t="s">
        <v>1475</v>
      </c>
      <c r="C1266" s="960">
        <f>1*2</f>
        <v>2</v>
      </c>
      <c r="D1266" s="957">
        <f>C1263</f>
        <v>0.75</v>
      </c>
      <c r="E1266" s="957">
        <f>C1266*D1266</f>
        <v>1.5</v>
      </c>
      <c r="F1266" s="962"/>
      <c r="G1266" s="958"/>
    </row>
    <row r="1267" spans="1:7" s="976" customFormat="1" ht="14.1">
      <c r="A1267" s="955"/>
      <c r="B1267" s="1229" t="s">
        <v>2283</v>
      </c>
      <c r="C1267" s="960">
        <f>1*2</f>
        <v>2</v>
      </c>
      <c r="D1267" s="957">
        <f>D1263</f>
        <v>2.13</v>
      </c>
      <c r="E1267" s="957">
        <f>C1267*D1267</f>
        <v>4.26</v>
      </c>
      <c r="F1267" s="962"/>
      <c r="G1267" s="958"/>
    </row>
    <row r="1268" spans="1:7" s="976" customFormat="1" ht="14.1">
      <c r="A1268" s="955"/>
      <c r="B1268" s="1229" t="s">
        <v>1510</v>
      </c>
      <c r="C1268" s="960">
        <v>6</v>
      </c>
      <c r="D1268" s="957">
        <v>0.23</v>
      </c>
      <c r="E1268" s="957">
        <f>C1268*D1268</f>
        <v>1.3800000000000001</v>
      </c>
      <c r="F1268" s="962"/>
      <c r="G1268" s="958"/>
    </row>
    <row r="1269" spans="1:7" s="976" customFormat="1" ht="14.1">
      <c r="A1269" s="955"/>
      <c r="B1269" s="1229"/>
      <c r="C1269" s="960"/>
      <c r="D1269" s="957"/>
      <c r="E1269" s="1230">
        <f>SUM(E1266:E1268)</f>
        <v>7.14</v>
      </c>
      <c r="F1269" s="962"/>
      <c r="G1269" s="958"/>
    </row>
    <row r="1270" spans="1:7" s="976" customFormat="1" ht="14.1">
      <c r="A1270" s="955"/>
      <c r="B1270" s="1229" t="s">
        <v>2262</v>
      </c>
      <c r="C1270" s="957">
        <v>2.6</v>
      </c>
      <c r="D1270" s="957" t="s">
        <v>2263</v>
      </c>
      <c r="E1270" s="957"/>
      <c r="F1270" s="962"/>
      <c r="G1270" s="958"/>
    </row>
    <row r="1271" spans="1:7" s="976" customFormat="1" ht="14.1">
      <c r="A1271" s="955"/>
      <c r="B1271" s="963" t="s">
        <v>2264</v>
      </c>
      <c r="C1271" s="957">
        <f>E1269</f>
        <v>7.14</v>
      </c>
      <c r="D1271" s="957">
        <f>C1270</f>
        <v>2.6</v>
      </c>
      <c r="E1271" s="957"/>
      <c r="F1271" s="1230">
        <f>C1271*D1271</f>
        <v>18.564</v>
      </c>
      <c r="G1271" s="964" t="s">
        <v>462</v>
      </c>
    </row>
    <row r="1272" spans="1:7" s="976" customFormat="1" ht="14.1">
      <c r="A1272" s="955"/>
      <c r="B1272" s="963"/>
      <c r="C1272" s="957"/>
      <c r="D1272" s="957"/>
      <c r="E1272" s="957"/>
      <c r="F1272" s="1230"/>
      <c r="G1272" s="964"/>
    </row>
    <row r="1273" spans="1:7" s="976" customFormat="1" ht="27.9">
      <c r="A1273" s="955"/>
      <c r="B1273" s="1229" t="s">
        <v>2531</v>
      </c>
      <c r="C1273" s="959"/>
      <c r="D1273" s="958"/>
      <c r="E1273" s="960"/>
      <c r="F1273" s="958"/>
      <c r="G1273" s="958"/>
    </row>
    <row r="1274" spans="1:7" s="976" customFormat="1" ht="14.1">
      <c r="A1274" s="955"/>
      <c r="B1274" s="1229" t="s">
        <v>1475</v>
      </c>
      <c r="C1274" s="960">
        <f>2*3</f>
        <v>6</v>
      </c>
      <c r="D1274" s="957">
        <v>0.57999999999999996</v>
      </c>
      <c r="E1274" s="957">
        <f>C1274*D1274</f>
        <v>3.4799999999999995</v>
      </c>
      <c r="F1274" s="962"/>
      <c r="G1274" s="958"/>
    </row>
    <row r="1275" spans="1:7" s="976" customFormat="1" ht="14.1">
      <c r="A1275" s="955"/>
      <c r="B1275" s="1229" t="s">
        <v>2283</v>
      </c>
      <c r="C1275" s="960">
        <f>2*2</f>
        <v>4</v>
      </c>
      <c r="D1275" s="957">
        <v>2.0499999999999998</v>
      </c>
      <c r="E1275" s="957">
        <f>C1275*D1275</f>
        <v>8.1999999999999993</v>
      </c>
      <c r="F1275" s="962"/>
      <c r="G1275" s="958"/>
    </row>
    <row r="1276" spans="1:7" s="976" customFormat="1" ht="14.1">
      <c r="A1276" s="955"/>
      <c r="B1276" s="1229"/>
      <c r="C1276" s="960"/>
      <c r="D1276" s="957"/>
      <c r="E1276" s="1230">
        <f>SUM(E1274:E1275)</f>
        <v>11.68</v>
      </c>
      <c r="F1276" s="962"/>
      <c r="G1276" s="958"/>
    </row>
    <row r="1277" spans="1:7" s="976" customFormat="1" ht="14.1">
      <c r="A1277" s="955"/>
      <c r="B1277" s="1229" t="s">
        <v>2262</v>
      </c>
      <c r="C1277" s="957">
        <v>2.2000000000000002</v>
      </c>
      <c r="D1277" s="957" t="s">
        <v>2263</v>
      </c>
      <c r="E1277" s="957"/>
      <c r="F1277" s="962"/>
      <c r="G1277" s="958"/>
    </row>
    <row r="1278" spans="1:7" s="976" customFormat="1" ht="14.1">
      <c r="A1278" s="955"/>
      <c r="B1278" s="963" t="s">
        <v>2264</v>
      </c>
      <c r="C1278" s="957">
        <f>E1276</f>
        <v>11.68</v>
      </c>
      <c r="D1278" s="957">
        <f>C1277</f>
        <v>2.2000000000000002</v>
      </c>
      <c r="E1278" s="957"/>
      <c r="F1278" s="1230">
        <f>C1278*D1278</f>
        <v>25.696000000000002</v>
      </c>
      <c r="G1278" s="964" t="s">
        <v>462</v>
      </c>
    </row>
    <row r="1279" spans="1:7" s="976" customFormat="1" ht="14.1">
      <c r="A1279" s="955"/>
      <c r="B1279" s="963"/>
      <c r="C1279" s="957"/>
      <c r="D1279" s="957"/>
      <c r="E1279" s="957"/>
      <c r="F1279" s="1230"/>
      <c r="G1279" s="964"/>
    </row>
    <row r="1280" spans="1:7" s="976" customFormat="1" ht="14.1">
      <c r="A1280" s="955"/>
      <c r="B1280" s="961" t="s">
        <v>2265</v>
      </c>
      <c r="C1280" s="959"/>
      <c r="D1280" s="958"/>
      <c r="E1280" s="960"/>
      <c r="F1280" s="958"/>
      <c r="G1280" s="958"/>
    </row>
    <row r="1281" spans="1:7" s="976" customFormat="1" ht="14.1">
      <c r="A1281" s="955"/>
      <c r="B1281" s="1229" t="s">
        <v>1477</v>
      </c>
      <c r="C1281" s="960">
        <f>2*2*4</f>
        <v>16</v>
      </c>
      <c r="D1281" s="957">
        <v>1.03</v>
      </c>
      <c r="E1281" s="957">
        <f>C1281*D1281</f>
        <v>16.48</v>
      </c>
      <c r="F1281" s="962"/>
      <c r="G1281" s="958"/>
    </row>
    <row r="1282" spans="1:7" s="976" customFormat="1" ht="14.1">
      <c r="A1282" s="955"/>
      <c r="B1282" s="1229" t="s">
        <v>1475</v>
      </c>
      <c r="C1282" s="960">
        <f>2*2*9</f>
        <v>36</v>
      </c>
      <c r="D1282" s="957">
        <v>0.56999999999999995</v>
      </c>
      <c r="E1282" s="957">
        <f>C1282*D1282</f>
        <v>20.52</v>
      </c>
      <c r="F1282" s="962"/>
      <c r="G1282" s="958"/>
    </row>
    <row r="1283" spans="1:7" s="976" customFormat="1" ht="14.1">
      <c r="A1283" s="955"/>
      <c r="B1283" s="1229"/>
      <c r="C1283" s="960"/>
      <c r="D1283" s="957"/>
      <c r="E1283" s="1230">
        <f>SUM(E1281:E1282)</f>
        <v>37</v>
      </c>
      <c r="F1283" s="962"/>
      <c r="G1283" s="958"/>
    </row>
    <row r="1284" spans="1:7" s="976" customFormat="1" ht="14.1">
      <c r="A1284" s="955"/>
      <c r="B1284" s="1229" t="s">
        <v>2262</v>
      </c>
      <c r="C1284" s="957">
        <v>0.78</v>
      </c>
      <c r="D1284" s="957" t="s">
        <v>2263</v>
      </c>
      <c r="E1284" s="957"/>
      <c r="F1284" s="962"/>
      <c r="G1284" s="958"/>
    </row>
    <row r="1285" spans="1:7" s="976" customFormat="1" ht="14.1">
      <c r="A1285" s="955"/>
      <c r="B1285" s="963" t="s">
        <v>2264</v>
      </c>
      <c r="C1285" s="957">
        <f>E1283</f>
        <v>37</v>
      </c>
      <c r="D1285" s="957">
        <f>C1284</f>
        <v>0.78</v>
      </c>
      <c r="E1285" s="957"/>
      <c r="F1285" s="1230">
        <f>C1285*D1285</f>
        <v>28.86</v>
      </c>
      <c r="G1285" s="964" t="s">
        <v>462</v>
      </c>
    </row>
    <row r="1286" spans="1:7" s="976" customFormat="1" ht="14.1">
      <c r="A1286" s="955"/>
      <c r="B1286" s="963"/>
      <c r="C1286" s="957"/>
      <c r="D1286" s="957"/>
      <c r="E1286" s="957"/>
      <c r="F1286" s="1230"/>
      <c r="G1286" s="964"/>
    </row>
    <row r="1287" spans="1:7" s="976" customFormat="1" ht="14.1">
      <c r="A1287" s="955"/>
      <c r="B1287" s="961" t="s">
        <v>2266</v>
      </c>
      <c r="C1287" s="960"/>
      <c r="D1287" s="957"/>
      <c r="E1287" s="957"/>
      <c r="F1287" s="1230"/>
      <c r="G1287" s="964"/>
    </row>
    <row r="1288" spans="1:7" s="976" customFormat="1" ht="14.1">
      <c r="A1288" s="955"/>
      <c r="B1288" s="1229" t="s">
        <v>2267</v>
      </c>
      <c r="C1288" s="960">
        <v>0.6</v>
      </c>
      <c r="D1288" s="965">
        <f>'[8]C-data (K)'!$F$86</f>
        <v>129</v>
      </c>
      <c r="E1288" s="957">
        <f>C1288*D1288</f>
        <v>77.399999999999991</v>
      </c>
      <c r="F1288" s="962"/>
      <c r="G1288" s="958"/>
    </row>
    <row r="1289" spans="1:7" s="976" customFormat="1" ht="14.1">
      <c r="A1289" s="955"/>
      <c r="B1289" s="1229" t="s">
        <v>771</v>
      </c>
      <c r="C1289" s="960">
        <v>0.21</v>
      </c>
      <c r="D1289" s="965">
        <f>'[8]C-data (K)'!$F$19</f>
        <v>684</v>
      </c>
      <c r="E1289" s="957">
        <f>C1289*D1289</f>
        <v>143.63999999999999</v>
      </c>
      <c r="F1289" s="962"/>
      <c r="G1289" s="958"/>
    </row>
    <row r="1290" spans="1:7" s="976" customFormat="1" ht="14.1">
      <c r="A1290" s="955"/>
      <c r="B1290" s="1229" t="s">
        <v>772</v>
      </c>
      <c r="C1290" s="960">
        <v>0.49</v>
      </c>
      <c r="D1290" s="965">
        <f>'[8]C-data (K)'!$F$20</f>
        <v>564</v>
      </c>
      <c r="E1290" s="957">
        <f>C1290*D1290</f>
        <v>276.36</v>
      </c>
      <c r="F1290" s="962"/>
      <c r="G1290" s="958"/>
    </row>
    <row r="1291" spans="1:7" s="976" customFormat="1" ht="14.1">
      <c r="A1291" s="955"/>
      <c r="B1291" s="963"/>
      <c r="C1291" s="960"/>
      <c r="D1291" s="957"/>
      <c r="E1291" s="1230">
        <f>SUM(E1288:E1290)</f>
        <v>497.4</v>
      </c>
      <c r="F1291" s="964" t="s">
        <v>2268</v>
      </c>
      <c r="G1291" s="964"/>
    </row>
    <row r="1292" spans="1:7" s="976" customFormat="1" ht="14.1">
      <c r="A1292" s="955"/>
      <c r="B1292" s="963"/>
      <c r="C1292" s="960"/>
      <c r="D1292" s="957"/>
      <c r="E1292" s="1230"/>
      <c r="F1292" s="964"/>
      <c r="G1292" s="964"/>
    </row>
    <row r="1293" spans="1:7" s="976" customFormat="1" ht="28.2">
      <c r="A1293" s="953" t="s">
        <v>2269</v>
      </c>
      <c r="B1293" s="953" t="s">
        <v>2270</v>
      </c>
      <c r="C1293" s="953" t="s">
        <v>2271</v>
      </c>
      <c r="D1293" s="967"/>
      <c r="E1293" s="953" t="s">
        <v>92</v>
      </c>
      <c r="F1293" s="967"/>
      <c r="G1293" s="967" t="s">
        <v>151</v>
      </c>
    </row>
    <row r="1294" spans="1:7" s="976" customFormat="1" ht="14.1">
      <c r="A1294" s="955">
        <v>1</v>
      </c>
      <c r="B1294" s="1229" t="str">
        <f>B1265</f>
        <v>MS Grill door outer frame "L' angle 35x35x5mm</v>
      </c>
      <c r="C1294" s="957">
        <f>F1271</f>
        <v>18.564</v>
      </c>
      <c r="D1294" s="968" t="s">
        <v>2272</v>
      </c>
      <c r="E1294" s="957"/>
      <c r="F1294" s="964"/>
      <c r="G1294" s="1230"/>
    </row>
    <row r="1295" spans="1:7" s="976" customFormat="1" ht="27.6">
      <c r="A1295" s="955">
        <v>2</v>
      </c>
      <c r="B1295" s="1229" t="str">
        <f>B1273</f>
        <v>MS Grill door shutter frame "L' angle 30x30x5mm</v>
      </c>
      <c r="C1295" s="957">
        <f>F1278</f>
        <v>25.696000000000002</v>
      </c>
      <c r="D1295" s="968" t="s">
        <v>2272</v>
      </c>
      <c r="E1295" s="957"/>
      <c r="F1295" s="964"/>
      <c r="G1295" s="1230"/>
    </row>
    <row r="1296" spans="1:7" s="976" customFormat="1">
      <c r="A1296" s="955">
        <v>3</v>
      </c>
      <c r="B1296" s="1229" t="str">
        <f>B1280</f>
        <v>10mm square rods safety bars</v>
      </c>
      <c r="C1296" s="957">
        <f>F1285</f>
        <v>28.86</v>
      </c>
      <c r="D1296" s="968" t="s">
        <v>462</v>
      </c>
      <c r="E1296" s="957"/>
      <c r="F1296" s="968"/>
      <c r="G1296" s="957"/>
    </row>
    <row r="1297" spans="1:7" s="976" customFormat="1" ht="14.1">
      <c r="A1297" s="969"/>
      <c r="B1297" s="970"/>
      <c r="C1297" s="1230">
        <f>SUM(C1294:C1296)</f>
        <v>73.12</v>
      </c>
      <c r="D1297" s="968" t="s">
        <v>462</v>
      </c>
      <c r="E1297" s="957">
        <f>[8]LEAD!$P$30/1000</f>
        <v>49</v>
      </c>
      <c r="F1297" s="968" t="s">
        <v>462</v>
      </c>
      <c r="G1297" s="957">
        <f>ROUND(C1297*E1297,2)</f>
        <v>3582.88</v>
      </c>
    </row>
    <row r="1298" spans="1:7" s="976" customFormat="1" ht="14.1">
      <c r="A1298" s="955">
        <v>4</v>
      </c>
      <c r="B1298" s="970" t="s">
        <v>2273</v>
      </c>
      <c r="C1298" s="957">
        <f>E1263</f>
        <v>1.5974999999999999</v>
      </c>
      <c r="D1298" s="968" t="s">
        <v>461</v>
      </c>
      <c r="E1298" s="957">
        <f>E1291</f>
        <v>497.4</v>
      </c>
      <c r="F1298" s="968" t="s">
        <v>2274</v>
      </c>
      <c r="G1298" s="957">
        <f>ROUND(C1298*E1298/10,2)</f>
        <v>79.459999999999994</v>
      </c>
    </row>
    <row r="1299" spans="1:7" s="976" customFormat="1" ht="14.1">
      <c r="A1299" s="955">
        <v>5</v>
      </c>
      <c r="B1299" s="971" t="s">
        <v>2284</v>
      </c>
      <c r="C1299" s="957">
        <f>C1297</f>
        <v>73.12</v>
      </c>
      <c r="D1299" s="968" t="s">
        <v>462</v>
      </c>
      <c r="E1299" s="957">
        <f>30+4</f>
        <v>34</v>
      </c>
      <c r="F1299" s="968" t="s">
        <v>462</v>
      </c>
      <c r="G1299" s="957">
        <f>ROUND(C1299*E1299,2)</f>
        <v>2486.08</v>
      </c>
    </row>
    <row r="1300" spans="1:7" s="954" customFormat="1">
      <c r="A1300" s="955">
        <v>6</v>
      </c>
      <c r="B1300" s="971" t="s">
        <v>2275</v>
      </c>
      <c r="C1300" s="957">
        <f>'[8]C-data (K)'!$E$5</f>
        <v>0.2</v>
      </c>
      <c r="D1300" s="968"/>
      <c r="E1300" s="957">
        <f>G1299</f>
        <v>2486.08</v>
      </c>
      <c r="F1300" s="968"/>
      <c r="G1300" s="957">
        <f>ROUND(C1300*E1300,2)</f>
        <v>497.22</v>
      </c>
    </row>
    <row r="1301" spans="1:7" s="976" customFormat="1" ht="14.1">
      <c r="A1301" s="955"/>
      <c r="B1301" s="971"/>
      <c r="C1301" s="960"/>
      <c r="D1301" s="957"/>
      <c r="E1301" s="960"/>
      <c r="F1301" s="957"/>
      <c r="G1301" s="1230">
        <f>SUM(G1297:G1300)</f>
        <v>6645.64</v>
      </c>
    </row>
    <row r="1302" spans="1:7" s="976" customFormat="1" ht="14.1">
      <c r="A1302" s="955"/>
      <c r="B1302" s="1277" t="str">
        <f>'[8]C-data (K)'!$C$174</f>
        <v>Add 5% over heads</v>
      </c>
      <c r="C1302" s="974">
        <f>'[8]C-data (K)'!$D$3</f>
        <v>0</v>
      </c>
      <c r="D1302" s="957"/>
      <c r="E1302" s="960"/>
      <c r="F1302" s="957"/>
      <c r="G1302" s="957">
        <f>G1301*C1302</f>
        <v>0</v>
      </c>
    </row>
    <row r="1303" spans="1:7" s="976" customFormat="1">
      <c r="A1303" s="955"/>
      <c r="B1303" s="971"/>
      <c r="C1303" s="957"/>
      <c r="D1303" s="957"/>
      <c r="E1303" s="960"/>
      <c r="F1303" s="957"/>
      <c r="G1303" s="957">
        <f>SUM(G1301:G1302)</f>
        <v>6645.64</v>
      </c>
    </row>
    <row r="1304" spans="1:7" s="976" customFormat="1" ht="14.1" hidden="1">
      <c r="A1304" s="955"/>
      <c r="B1304" s="975" t="s">
        <v>1806</v>
      </c>
      <c r="C1304" s="960"/>
      <c r="D1304" s="957"/>
      <c r="E1304" s="1612" t="s">
        <v>392</v>
      </c>
      <c r="F1304" s="1612"/>
      <c r="G1304" s="1230">
        <f>ROUND(G1303,0)</f>
        <v>6646</v>
      </c>
    </row>
    <row r="1305" spans="1:7" s="976" customFormat="1" ht="14.1" hidden="1">
      <c r="A1305" s="953"/>
      <c r="B1305" s="1611" t="s">
        <v>1475</v>
      </c>
      <c r="C1305" s="1611">
        <v>2</v>
      </c>
      <c r="D1305" s="1611">
        <f>C1301</f>
        <v>0</v>
      </c>
      <c r="E1305" s="1611">
        <f>C1305*D1305</f>
        <v>0</v>
      </c>
      <c r="F1305" s="1611"/>
      <c r="G1305" s="1611"/>
    </row>
    <row r="1306" spans="1:7" s="976" customFormat="1" ht="14.1" hidden="1">
      <c r="A1306" s="955"/>
      <c r="B1306" s="956" t="s">
        <v>1510</v>
      </c>
      <c r="C1306" s="957">
        <v>2</v>
      </c>
      <c r="D1306" s="957">
        <v>0.23</v>
      </c>
      <c r="E1306" s="1230">
        <f>C1306*D1306</f>
        <v>0.46</v>
      </c>
      <c r="F1306" s="958"/>
      <c r="G1306" s="958"/>
    </row>
    <row r="1307" spans="1:7" s="976" customFormat="1" ht="14.1" hidden="1">
      <c r="A1307" s="955"/>
      <c r="B1307" s="1229"/>
      <c r="C1307" s="959"/>
      <c r="D1307" s="958"/>
      <c r="E1307" s="960">
        <f>SUM(E1304:E1306)</f>
        <v>0.46</v>
      </c>
      <c r="F1307" s="958"/>
      <c r="G1307" s="958"/>
    </row>
    <row r="1308" spans="1:7" s="976" customFormat="1" ht="14.1" hidden="1">
      <c r="A1308" s="955"/>
      <c r="B1308" s="1229" t="s">
        <v>2262</v>
      </c>
      <c r="C1308" s="959">
        <v>2.6</v>
      </c>
      <c r="D1308" s="958" t="s">
        <v>2263</v>
      </c>
      <c r="E1308" s="960"/>
      <c r="F1308" s="958"/>
      <c r="G1308" s="958"/>
    </row>
    <row r="1309" spans="1:7" s="976" customFormat="1" ht="14.1" hidden="1">
      <c r="A1309" s="955"/>
      <c r="B1309" s="1229" t="s">
        <v>2264</v>
      </c>
      <c r="C1309" s="960">
        <f>E1307</f>
        <v>0.46</v>
      </c>
      <c r="D1309" s="957">
        <f>C1308</f>
        <v>2.6</v>
      </c>
      <c r="E1309" s="957"/>
      <c r="F1309" s="962">
        <f>C1309*D1309</f>
        <v>1.1960000000000002</v>
      </c>
      <c r="G1309" s="958" t="s">
        <v>462</v>
      </c>
    </row>
    <row r="1310" spans="1:7" s="976" customFormat="1" ht="14.1" hidden="1">
      <c r="A1310" s="955"/>
      <c r="B1310" s="1229"/>
      <c r="C1310" s="960"/>
      <c r="D1310" s="957"/>
      <c r="E1310" s="957"/>
      <c r="F1310" s="962"/>
      <c r="G1310" s="958"/>
    </row>
    <row r="1311" spans="1:7" s="976" customFormat="1" ht="14.1" hidden="1">
      <c r="A1311" s="955"/>
      <c r="B1311" s="1229" t="s">
        <v>2265</v>
      </c>
      <c r="C1311" s="960"/>
      <c r="D1311" s="957"/>
      <c r="E1311" s="957"/>
      <c r="F1311" s="962"/>
      <c r="G1311" s="958"/>
    </row>
    <row r="1312" spans="1:7" s="976" customFormat="1" ht="14.1" hidden="1">
      <c r="A1312" s="955"/>
      <c r="B1312" s="1229" t="s">
        <v>1477</v>
      </c>
      <c r="C1312" s="960">
        <v>16</v>
      </c>
      <c r="D1312" s="957">
        <f>D1304</f>
        <v>0</v>
      </c>
      <c r="E1312" s="1230">
        <f>C1312*D1312</f>
        <v>0</v>
      </c>
      <c r="F1312" s="962"/>
      <c r="G1312" s="958"/>
    </row>
    <row r="1313" spans="1:7" s="976" customFormat="1" ht="14.1" hidden="1">
      <c r="A1313" s="955"/>
      <c r="B1313" s="1229" t="s">
        <v>1475</v>
      </c>
      <c r="C1313" s="957">
        <v>3</v>
      </c>
      <c r="D1313" s="957">
        <f>D1305</f>
        <v>0</v>
      </c>
      <c r="E1313" s="957">
        <f>C1313*D1313</f>
        <v>0</v>
      </c>
      <c r="F1313" s="962"/>
      <c r="G1313" s="958"/>
    </row>
    <row r="1314" spans="1:7" s="976" customFormat="1" ht="14.1" hidden="1">
      <c r="A1314" s="955"/>
      <c r="B1314" s="963"/>
      <c r="C1314" s="957"/>
      <c r="D1314" s="957"/>
      <c r="E1314" s="957">
        <f>SUM(E1312:E1313)</f>
        <v>0</v>
      </c>
      <c r="F1314" s="1230"/>
      <c r="G1314" s="964"/>
    </row>
    <row r="1315" spans="1:7" s="976" customFormat="1" ht="14.1" hidden="1">
      <c r="A1315" s="955"/>
      <c r="B1315" s="963" t="s">
        <v>2262</v>
      </c>
      <c r="C1315" s="957">
        <v>0.78</v>
      </c>
      <c r="D1315" s="957" t="s">
        <v>2263</v>
      </c>
      <c r="E1315" s="957"/>
      <c r="F1315" s="1230"/>
      <c r="G1315" s="964"/>
    </row>
    <row r="1316" spans="1:7" s="976" customFormat="1" ht="14.1" hidden="1">
      <c r="A1316" s="955"/>
      <c r="B1316" s="1229" t="s">
        <v>2264</v>
      </c>
      <c r="C1316" s="959">
        <f>E1314</f>
        <v>0</v>
      </c>
      <c r="D1316" s="958">
        <f>C1315</f>
        <v>0.78</v>
      </c>
      <c r="E1316" s="960"/>
      <c r="F1316" s="958">
        <f>C1316*D1316</f>
        <v>0</v>
      </c>
      <c r="G1316" s="958" t="s">
        <v>462</v>
      </c>
    </row>
    <row r="1317" spans="1:7" s="976" customFormat="1" ht="14.1" hidden="1">
      <c r="A1317" s="955"/>
      <c r="B1317" s="1229"/>
      <c r="C1317" s="960"/>
      <c r="D1317" s="957"/>
      <c r="E1317" s="957"/>
      <c r="F1317" s="962"/>
      <c r="G1317" s="958"/>
    </row>
    <row r="1318" spans="1:7" s="976" customFormat="1" ht="14.1" hidden="1">
      <c r="A1318" s="955"/>
      <c r="B1318" s="1229" t="s">
        <v>2266</v>
      </c>
      <c r="C1318" s="960"/>
      <c r="D1318" s="957"/>
      <c r="E1318" s="957"/>
      <c r="F1318" s="962"/>
      <c r="G1318" s="958"/>
    </row>
    <row r="1319" spans="1:7" s="976" customFormat="1" ht="14.1" hidden="1">
      <c r="A1319" s="955"/>
      <c r="B1319" s="1229" t="s">
        <v>2267</v>
      </c>
      <c r="C1319" s="960">
        <v>0.6</v>
      </c>
      <c r="D1319" s="957">
        <f>'[8]C-data (K)'!$F$86</f>
        <v>129</v>
      </c>
      <c r="E1319" s="1230">
        <f>C1319*D1319</f>
        <v>77.399999999999991</v>
      </c>
      <c r="F1319" s="962"/>
      <c r="G1319" s="958"/>
    </row>
    <row r="1320" spans="1:7" s="976" customFormat="1" ht="14.1" hidden="1">
      <c r="A1320" s="955"/>
      <c r="B1320" s="1229" t="s">
        <v>771</v>
      </c>
      <c r="C1320" s="957">
        <v>0.21</v>
      </c>
      <c r="D1320" s="957">
        <f>'[8]C-data (K)'!$F$19</f>
        <v>684</v>
      </c>
      <c r="E1320" s="957">
        <f>C1320*D1320</f>
        <v>143.63999999999999</v>
      </c>
      <c r="F1320" s="962"/>
      <c r="G1320" s="958"/>
    </row>
    <row r="1321" spans="1:7" s="976" customFormat="1" ht="14.1" hidden="1">
      <c r="A1321" s="955"/>
      <c r="B1321" s="963" t="s">
        <v>772</v>
      </c>
      <c r="C1321" s="957">
        <v>0.49</v>
      </c>
      <c r="D1321" s="957">
        <f>'[8]C-data (K)'!$F$20</f>
        <v>564</v>
      </c>
      <c r="E1321" s="957">
        <f>C1321*D1321</f>
        <v>276.36</v>
      </c>
      <c r="F1321" s="1230"/>
      <c r="G1321" s="964"/>
    </row>
    <row r="1322" spans="1:7" s="976" customFormat="1" ht="14.1" hidden="1">
      <c r="A1322" s="955"/>
      <c r="B1322" s="963"/>
      <c r="C1322" s="957"/>
      <c r="D1322" s="957"/>
      <c r="E1322" s="957">
        <f>SUM(E1319:E1321)</f>
        <v>497.4</v>
      </c>
      <c r="F1322" s="1230" t="s">
        <v>2268</v>
      </c>
      <c r="G1322" s="964"/>
    </row>
    <row r="1323" spans="1:7" s="976" customFormat="1" ht="14.1" hidden="1">
      <c r="A1323" s="955"/>
      <c r="B1323" s="961"/>
      <c r="C1323" s="959"/>
      <c r="D1323" s="958"/>
      <c r="E1323" s="960"/>
      <c r="F1323" s="958"/>
      <c r="G1323" s="958"/>
    </row>
    <row r="1324" spans="1:7" s="976" customFormat="1" ht="27.6" hidden="1">
      <c r="A1324" s="955" t="s">
        <v>2269</v>
      </c>
      <c r="B1324" s="1229" t="s">
        <v>2270</v>
      </c>
      <c r="C1324" s="960" t="s">
        <v>2271</v>
      </c>
      <c r="D1324" s="957"/>
      <c r="E1324" s="957" t="s">
        <v>92</v>
      </c>
      <c r="F1324" s="962"/>
      <c r="G1324" s="958" t="s">
        <v>151</v>
      </c>
    </row>
    <row r="1325" spans="1:7" s="976" customFormat="1" ht="14.1" hidden="1">
      <c r="A1325" s="955">
        <v>1</v>
      </c>
      <c r="B1325" s="1229">
        <f>B1303</f>
        <v>0</v>
      </c>
      <c r="C1325" s="960">
        <f>F1309</f>
        <v>1.1960000000000002</v>
      </c>
      <c r="D1325" s="957" t="s">
        <v>2272</v>
      </c>
      <c r="E1325" s="957"/>
      <c r="F1325" s="962"/>
      <c r="G1325" s="958"/>
    </row>
    <row r="1326" spans="1:7" s="976" customFormat="1" ht="14.1" hidden="1">
      <c r="A1326" s="955">
        <v>2</v>
      </c>
      <c r="B1326" s="1229" t="str">
        <f>B1311</f>
        <v>10mm square rods safety bars</v>
      </c>
      <c r="C1326" s="960">
        <f>F1316</f>
        <v>0</v>
      </c>
      <c r="D1326" s="957" t="s">
        <v>462</v>
      </c>
      <c r="E1326" s="1230"/>
      <c r="F1326" s="962"/>
      <c r="G1326" s="958"/>
    </row>
    <row r="1327" spans="1:7" s="976" customFormat="1" ht="14.1" hidden="1">
      <c r="A1327" s="955"/>
      <c r="B1327" s="1229"/>
      <c r="C1327" s="957">
        <f>SUM(C1325:C1326)</f>
        <v>1.1960000000000002</v>
      </c>
      <c r="D1327" s="957" t="s">
        <v>462</v>
      </c>
      <c r="E1327" s="957">
        <f>[8]LEAD!$P$30/1000</f>
        <v>49</v>
      </c>
      <c r="F1327" s="962" t="s">
        <v>462</v>
      </c>
      <c r="G1327" s="958">
        <f>ROUND(C1327*E1327,2)</f>
        <v>58.6</v>
      </c>
    </row>
    <row r="1328" spans="1:7" s="976" customFormat="1" ht="14.1" hidden="1">
      <c r="A1328" s="955">
        <v>3</v>
      </c>
      <c r="B1328" s="963" t="s">
        <v>2273</v>
      </c>
      <c r="C1328" s="957">
        <f>E1301</f>
        <v>0</v>
      </c>
      <c r="D1328" s="957" t="s">
        <v>461</v>
      </c>
      <c r="E1328" s="957">
        <f>E1322</f>
        <v>497.4</v>
      </c>
      <c r="F1328" s="1230" t="s">
        <v>2274</v>
      </c>
      <c r="G1328" s="964">
        <f>ROUND(C1328*E1328/10,2)</f>
        <v>0</v>
      </c>
    </row>
    <row r="1329" spans="1:7" s="976" customFormat="1" ht="14.1" hidden="1">
      <c r="A1329" s="955">
        <v>4</v>
      </c>
      <c r="B1329" s="963" t="s">
        <v>2497</v>
      </c>
      <c r="C1329" s="957">
        <f>C1327</f>
        <v>1.1960000000000002</v>
      </c>
      <c r="D1329" s="957" t="s">
        <v>462</v>
      </c>
      <c r="E1329" s="957">
        <f>30+4</f>
        <v>34</v>
      </c>
      <c r="F1329" s="1230" t="s">
        <v>462</v>
      </c>
      <c r="G1329" s="964">
        <f>ROUND(C1329*E1329,2)</f>
        <v>40.659999999999997</v>
      </c>
    </row>
    <row r="1330" spans="1:7" s="976" customFormat="1" ht="14.1" hidden="1">
      <c r="A1330" s="955">
        <v>5</v>
      </c>
      <c r="B1330" s="961" t="s">
        <v>2275</v>
      </c>
      <c r="C1330" s="960">
        <f>'[8]C-data (K)'!$E$5</f>
        <v>0.2</v>
      </c>
      <c r="D1330" s="957"/>
      <c r="E1330" s="957">
        <f>G1329</f>
        <v>40.659999999999997</v>
      </c>
      <c r="F1330" s="1230"/>
      <c r="G1330" s="964">
        <f>C1330*E1330</f>
        <v>8.1319999999999997</v>
      </c>
    </row>
    <row r="1331" spans="1:7" s="976" customFormat="1" ht="14.1" hidden="1">
      <c r="A1331" s="955"/>
      <c r="B1331" s="1229"/>
      <c r="C1331" s="960"/>
      <c r="D1331" s="965"/>
      <c r="E1331" s="957"/>
      <c r="F1331" s="962"/>
      <c r="G1331" s="958">
        <f>SUM(G1327:G1330)</f>
        <v>107.392</v>
      </c>
    </row>
    <row r="1332" spans="1:7" s="976" customFormat="1" ht="14.1" hidden="1">
      <c r="A1332" s="955">
        <v>6</v>
      </c>
      <c r="B1332" s="1229" t="str">
        <f>'[8]C-data (K)'!$C$174</f>
        <v>Add 5% over heads</v>
      </c>
      <c r="C1332" s="960">
        <f>'[8]C-data (K)'!$D$3</f>
        <v>0</v>
      </c>
      <c r="D1332" s="965"/>
      <c r="E1332" s="957"/>
      <c r="F1332" s="962"/>
      <c r="G1332" s="958">
        <f>G1331*C1332</f>
        <v>0</v>
      </c>
    </row>
    <row r="1333" spans="1:7" s="976" customFormat="1" ht="14.1" hidden="1">
      <c r="A1333" s="955"/>
      <c r="B1333" s="1229"/>
      <c r="C1333" s="960"/>
      <c r="D1333" s="965"/>
      <c r="E1333" s="957"/>
      <c r="F1333" s="962"/>
      <c r="G1333" s="958">
        <f>SUM(G1331:G1332)</f>
        <v>107.392</v>
      </c>
    </row>
    <row r="1334" spans="1:7" s="976" customFormat="1" ht="14.1" hidden="1">
      <c r="A1334" s="955"/>
      <c r="B1334" s="963" t="s">
        <v>1806</v>
      </c>
      <c r="C1334" s="960"/>
      <c r="D1334" s="957"/>
      <c r="E1334" s="1230" t="s">
        <v>2276</v>
      </c>
      <c r="F1334" s="964"/>
      <c r="G1334" s="964">
        <f>ROUND(G1333,0)</f>
        <v>107</v>
      </c>
    </row>
    <row r="1335" spans="1:7" s="976" customFormat="1" ht="14.1" hidden="1">
      <c r="A1335" s="955"/>
      <c r="B1335" s="963"/>
      <c r="C1335" s="960"/>
      <c r="D1335" s="957"/>
      <c r="E1335" s="1230"/>
      <c r="F1335" s="964"/>
      <c r="G1335" s="964"/>
    </row>
    <row r="1336" spans="1:7" s="976" customFormat="1" ht="14.1" hidden="1">
      <c r="A1336" s="953"/>
      <c r="B1336" s="953"/>
      <c r="C1336" s="953"/>
      <c r="D1336" s="967"/>
      <c r="E1336" s="953"/>
      <c r="F1336" s="967"/>
      <c r="G1336" s="967"/>
    </row>
    <row r="1337" spans="1:7" s="976" customFormat="1" ht="124.2" hidden="1">
      <c r="A1337" s="955">
        <v>38</v>
      </c>
      <c r="B1337" s="1229" t="s">
        <v>2534</v>
      </c>
      <c r="C1337" s="957"/>
      <c r="D1337" s="968"/>
      <c r="E1337" s="957"/>
      <c r="F1337" s="964"/>
      <c r="G1337" s="1230"/>
    </row>
    <row r="1338" spans="1:7" s="976" customFormat="1" ht="14.1" hidden="1">
      <c r="A1338" s="955"/>
      <c r="B1338" s="1229" t="s">
        <v>2535</v>
      </c>
      <c r="C1338" s="957">
        <v>0.75</v>
      </c>
      <c r="D1338" s="968" t="s">
        <v>533</v>
      </c>
      <c r="E1338" s="957">
        <v>1.8</v>
      </c>
      <c r="F1338" s="964"/>
      <c r="G1338" s="1230"/>
    </row>
    <row r="1339" spans="1:7" s="976" customFormat="1" hidden="1">
      <c r="A1339" s="955"/>
      <c r="B1339" s="1229" t="s">
        <v>2536</v>
      </c>
      <c r="C1339" s="957">
        <f>C1338*E1338</f>
        <v>1.35</v>
      </c>
      <c r="D1339" s="968" t="s">
        <v>2537</v>
      </c>
      <c r="E1339" s="957"/>
      <c r="F1339" s="968"/>
      <c r="G1339" s="957"/>
    </row>
    <row r="1340" spans="1:7" s="976" customFormat="1" ht="14.1" hidden="1">
      <c r="A1340" s="969"/>
      <c r="B1340" s="970" t="s">
        <v>2538</v>
      </c>
      <c r="C1340" s="1230"/>
      <c r="D1340" s="968"/>
      <c r="E1340" s="957"/>
      <c r="F1340" s="968"/>
      <c r="G1340" s="957"/>
    </row>
    <row r="1341" spans="1:7" s="976" customFormat="1" ht="14.1" hidden="1">
      <c r="A1341" s="955"/>
      <c r="B1341" s="970" t="s">
        <v>2539</v>
      </c>
      <c r="C1341" s="957"/>
      <c r="D1341" s="968"/>
      <c r="E1341" s="957"/>
      <c r="F1341" s="968"/>
      <c r="G1341" s="957"/>
    </row>
    <row r="1342" spans="1:7" s="976" customFormat="1" hidden="1">
      <c r="A1342" s="955"/>
      <c r="B1342" s="971" t="s">
        <v>1477</v>
      </c>
      <c r="C1342" s="957">
        <v>2</v>
      </c>
      <c r="D1342" s="968">
        <f>E1338</f>
        <v>1.8</v>
      </c>
      <c r="E1342" s="957">
        <f>D1342*C1342</f>
        <v>3.6</v>
      </c>
      <c r="F1342" s="968"/>
      <c r="G1342" s="957"/>
    </row>
    <row r="1343" spans="1:7" s="954" customFormat="1" hidden="1">
      <c r="A1343" s="955"/>
      <c r="B1343" s="971" t="s">
        <v>1475</v>
      </c>
      <c r="C1343" s="957">
        <v>3</v>
      </c>
      <c r="D1343" s="968">
        <f>C1338</f>
        <v>0.75</v>
      </c>
      <c r="E1343" s="957">
        <f>D1343*C1343</f>
        <v>2.25</v>
      </c>
      <c r="F1343" s="968"/>
      <c r="G1343" s="957"/>
    </row>
    <row r="1344" spans="1:7" s="976" customFormat="1" ht="14.1" hidden="1">
      <c r="A1344" s="955"/>
      <c r="B1344" s="971"/>
      <c r="C1344" s="960"/>
      <c r="D1344" s="957"/>
      <c r="E1344" s="960">
        <f>SUM(E1342:E1343)</f>
        <v>5.85</v>
      </c>
      <c r="F1344" s="957" t="s">
        <v>468</v>
      </c>
      <c r="G1344" s="1230"/>
    </row>
    <row r="1345" spans="1:7" s="976" customFormat="1" ht="14.1" hidden="1">
      <c r="A1345" s="955"/>
      <c r="B1345" s="1277" t="s">
        <v>2262</v>
      </c>
      <c r="C1345" s="974">
        <v>1.8</v>
      </c>
      <c r="D1345" s="957" t="s">
        <v>2540</v>
      </c>
      <c r="E1345" s="960"/>
      <c r="F1345" s="957"/>
      <c r="G1345" s="957"/>
    </row>
    <row r="1346" spans="1:7" s="976" customFormat="1" hidden="1">
      <c r="A1346" s="955"/>
      <c r="B1346" s="971" t="s">
        <v>2264</v>
      </c>
      <c r="C1346" s="957">
        <f>E1344</f>
        <v>5.85</v>
      </c>
      <c r="D1346" s="957">
        <f>C1345</f>
        <v>1.8</v>
      </c>
      <c r="E1346" s="960">
        <f>C1346*D1346</f>
        <v>10.53</v>
      </c>
      <c r="F1346" s="957" t="s">
        <v>700</v>
      </c>
      <c r="G1346" s="957"/>
    </row>
    <row r="1347" spans="1:7" s="976" customFormat="1" ht="14.1" hidden="1">
      <c r="A1347" s="955"/>
      <c r="B1347" s="975"/>
      <c r="C1347" s="960"/>
      <c r="D1347" s="957"/>
      <c r="E1347" s="1612"/>
      <c r="F1347" s="1612"/>
      <c r="G1347" s="1230"/>
    </row>
    <row r="1348" spans="1:7" s="976" customFormat="1" ht="14.1" hidden="1">
      <c r="A1348" s="953"/>
      <c r="B1348" s="1611" t="s">
        <v>2541</v>
      </c>
      <c r="C1348" s="1611"/>
      <c r="D1348" s="1611"/>
      <c r="E1348" s="1611"/>
      <c r="F1348" s="1611"/>
      <c r="G1348" s="1611"/>
    </row>
    <row r="1349" spans="1:7" s="976" customFormat="1" ht="14.1" hidden="1">
      <c r="A1349" s="955"/>
      <c r="B1349" s="956" t="s">
        <v>2542</v>
      </c>
      <c r="C1349" s="957">
        <v>1</v>
      </c>
      <c r="D1349" s="957">
        <v>0.73</v>
      </c>
      <c r="E1349" s="1230">
        <v>1.8</v>
      </c>
      <c r="F1349" s="958">
        <f>C1349*D1349*E1349</f>
        <v>1.3140000000000001</v>
      </c>
      <c r="G1349" s="958" t="s">
        <v>461</v>
      </c>
    </row>
    <row r="1350" spans="1:7" s="976" customFormat="1" ht="28.2" hidden="1">
      <c r="A1350" s="955"/>
      <c r="B1350" s="1229" t="s">
        <v>2262</v>
      </c>
      <c r="C1350" s="959">
        <v>9.8000000000000007</v>
      </c>
      <c r="D1350" s="958" t="s">
        <v>2543</v>
      </c>
      <c r="E1350" s="960"/>
      <c r="F1350" s="958"/>
      <c r="G1350" s="958"/>
    </row>
    <row r="1351" spans="1:7" s="976" customFormat="1" ht="14.1" hidden="1">
      <c r="A1351" s="955"/>
      <c r="B1351" s="1229" t="s">
        <v>2264</v>
      </c>
      <c r="C1351" s="959">
        <f>F1349</f>
        <v>1.3140000000000001</v>
      </c>
      <c r="D1351" s="958">
        <f>C1350</f>
        <v>9.8000000000000007</v>
      </c>
      <c r="E1351" s="960">
        <f>C1351*D1351</f>
        <v>12.877200000000002</v>
      </c>
      <c r="F1351" s="958" t="s">
        <v>700</v>
      </c>
      <c r="G1351" s="958"/>
    </row>
    <row r="1352" spans="1:7" s="976" customFormat="1" ht="14.1" hidden="1">
      <c r="A1352" s="955"/>
      <c r="B1352" s="1229"/>
      <c r="C1352" s="960"/>
      <c r="D1352" s="957"/>
      <c r="E1352" s="957"/>
      <c r="F1352" s="962"/>
      <c r="G1352" s="958"/>
    </row>
    <row r="1353" spans="1:7" s="976" customFormat="1" ht="14.1" hidden="1">
      <c r="A1353" s="955"/>
      <c r="B1353" s="1229" t="s">
        <v>2544</v>
      </c>
      <c r="C1353" s="960"/>
      <c r="D1353" s="957"/>
      <c r="E1353" s="957"/>
      <c r="F1353" s="962"/>
      <c r="G1353" s="958"/>
    </row>
    <row r="1354" spans="1:7" s="976" customFormat="1" ht="14.1" hidden="1">
      <c r="A1354" s="955"/>
      <c r="B1354" s="1229" t="s">
        <v>2545</v>
      </c>
      <c r="C1354" s="960">
        <v>0.6</v>
      </c>
      <c r="D1354" s="957">
        <f>'[8]C-data (K)'!$F$86</f>
        <v>129</v>
      </c>
      <c r="E1354" s="957">
        <f>C1354*D1354</f>
        <v>77.399999999999991</v>
      </c>
      <c r="F1354" s="962"/>
      <c r="G1354" s="958"/>
    </row>
    <row r="1355" spans="1:7" s="976" customFormat="1" ht="14.1" hidden="1">
      <c r="A1355" s="955"/>
      <c r="B1355" s="1229" t="s">
        <v>771</v>
      </c>
      <c r="C1355" s="960">
        <v>0.21</v>
      </c>
      <c r="D1355" s="957">
        <f>'[8]C-data (K)'!$F$19</f>
        <v>684</v>
      </c>
      <c r="E1355" s="1230">
        <f>C1355*D1355</f>
        <v>143.63999999999999</v>
      </c>
      <c r="F1355" s="962"/>
      <c r="G1355" s="958"/>
    </row>
    <row r="1356" spans="1:7" s="976" customFormat="1" ht="14.1" hidden="1">
      <c r="A1356" s="955"/>
      <c r="B1356" s="1229" t="s">
        <v>772</v>
      </c>
      <c r="C1356" s="957">
        <v>0.49</v>
      </c>
      <c r="D1356" s="957">
        <f>'[8]C-data (K)'!$F$20</f>
        <v>564</v>
      </c>
      <c r="E1356" s="957">
        <f>C1356*D1356</f>
        <v>276.36</v>
      </c>
      <c r="F1356" s="962"/>
      <c r="G1356" s="958"/>
    </row>
    <row r="1357" spans="1:7" s="976" customFormat="1" ht="28.2" hidden="1">
      <c r="A1357" s="955"/>
      <c r="B1357" s="963" t="s">
        <v>2546</v>
      </c>
      <c r="C1357" s="957"/>
      <c r="D1357" s="957" t="s">
        <v>596</v>
      </c>
      <c r="E1357" s="957">
        <f>SUM(E1354:E1356)</f>
        <v>497.4</v>
      </c>
      <c r="F1357" s="1230" t="s">
        <v>2547</v>
      </c>
      <c r="G1357" s="964"/>
    </row>
    <row r="1358" spans="1:7" s="976" customFormat="1" ht="14.1" hidden="1">
      <c r="A1358" s="955"/>
      <c r="B1358" s="963"/>
      <c r="C1358" s="957"/>
      <c r="D1358" s="957"/>
      <c r="E1358" s="957"/>
      <c r="F1358" s="1230"/>
      <c r="G1358" s="964"/>
    </row>
    <row r="1359" spans="1:7" s="976" customFormat="1" ht="27.6" hidden="1">
      <c r="A1359" s="955"/>
      <c r="B1359" s="1229" t="s">
        <v>489</v>
      </c>
      <c r="C1359" s="959" t="s">
        <v>1467</v>
      </c>
      <c r="D1359" s="958"/>
      <c r="E1359" s="960" t="s">
        <v>119</v>
      </c>
      <c r="F1359" s="958"/>
      <c r="G1359" s="958" t="s">
        <v>2548</v>
      </c>
    </row>
    <row r="1360" spans="1:7" s="976" customFormat="1" ht="14.1" hidden="1">
      <c r="A1360" s="955">
        <v>1</v>
      </c>
      <c r="B1360" s="1229" t="str">
        <f>+B1341</f>
        <v>SHUTTER FRAME "L" Angle 25x25x5mm</v>
      </c>
      <c r="C1360" s="960">
        <f>+E1346</f>
        <v>10.53</v>
      </c>
      <c r="D1360" s="957"/>
      <c r="E1360" s="957"/>
      <c r="F1360" s="962"/>
      <c r="G1360" s="958"/>
    </row>
    <row r="1361" spans="1:7" s="976" customFormat="1" ht="14.1" hidden="1">
      <c r="A1361" s="955">
        <v>2</v>
      </c>
      <c r="B1361" s="1229" t="s">
        <v>2549</v>
      </c>
      <c r="C1361" s="960">
        <f>E1351</f>
        <v>12.877200000000002</v>
      </c>
      <c r="D1361" s="957"/>
      <c r="E1361" s="957"/>
      <c r="F1361" s="962"/>
      <c r="G1361" s="958"/>
    </row>
    <row r="1362" spans="1:7" s="976" customFormat="1" ht="14.1" hidden="1">
      <c r="A1362" s="955"/>
      <c r="B1362" s="1229"/>
      <c r="C1362" s="960">
        <f>SUM(C1360:C1361)</f>
        <v>23.407200000000003</v>
      </c>
      <c r="D1362" s="957" t="s">
        <v>364</v>
      </c>
      <c r="E1362" s="1230">
        <f>[8]LEAD!$P$30/1000</f>
        <v>49</v>
      </c>
      <c r="F1362" s="962" t="s">
        <v>2550</v>
      </c>
      <c r="G1362" s="958">
        <f>C1362*E1362</f>
        <v>1146.9528000000003</v>
      </c>
    </row>
    <row r="1363" spans="1:7" s="976" customFormat="1" ht="27.6" hidden="1">
      <c r="A1363" s="955">
        <v>3</v>
      </c>
      <c r="B1363" s="1229" t="str">
        <f>B1353</f>
        <v>DATA for Red Oxide Primer</v>
      </c>
      <c r="C1363" s="957">
        <f>C1339</f>
        <v>1.35</v>
      </c>
      <c r="D1363" s="957" t="s">
        <v>2537</v>
      </c>
      <c r="E1363" s="957">
        <f>E1357</f>
        <v>497.4</v>
      </c>
      <c r="F1363" s="962" t="s">
        <v>2551</v>
      </c>
      <c r="G1363" s="958">
        <f>C1363*E1363/10</f>
        <v>67.149000000000001</v>
      </c>
    </row>
    <row r="1364" spans="1:7" s="976" customFormat="1" ht="14.1" hidden="1">
      <c r="A1364" s="955"/>
      <c r="B1364" s="963" t="s">
        <v>2552</v>
      </c>
      <c r="C1364" s="957"/>
      <c r="D1364" s="957"/>
      <c r="E1364" s="957"/>
      <c r="F1364" s="1230"/>
      <c r="G1364" s="964"/>
    </row>
    <row r="1365" spans="1:7" s="976" customFormat="1" ht="14.1" hidden="1">
      <c r="A1365" s="955">
        <v>4</v>
      </c>
      <c r="B1365" s="963" t="s">
        <v>2553</v>
      </c>
      <c r="C1365" s="957">
        <v>2</v>
      </c>
      <c r="D1365" s="957" t="s">
        <v>327</v>
      </c>
      <c r="E1365" s="957">
        <v>50</v>
      </c>
      <c r="F1365" s="1230" t="s">
        <v>2554</v>
      </c>
      <c r="G1365" s="964">
        <f>C1365*E1365</f>
        <v>100</v>
      </c>
    </row>
    <row r="1366" spans="1:7" s="976" customFormat="1" ht="14.1" hidden="1">
      <c r="A1366" s="955">
        <v>5</v>
      </c>
      <c r="B1366" s="961" t="s">
        <v>2555</v>
      </c>
      <c r="C1366" s="959">
        <v>2</v>
      </c>
      <c r="D1366" s="958" t="s">
        <v>327</v>
      </c>
      <c r="E1366" s="960">
        <v>50</v>
      </c>
      <c r="F1366" s="958" t="s">
        <v>2554</v>
      </c>
      <c r="G1366" s="958">
        <f>C1366*E1366</f>
        <v>100</v>
      </c>
    </row>
    <row r="1367" spans="1:7" s="976" customFormat="1" ht="28.2" hidden="1">
      <c r="A1367" s="955">
        <v>6</v>
      </c>
      <c r="B1367" s="1229" t="s">
        <v>2556</v>
      </c>
      <c r="C1367" s="960">
        <f>C1362</f>
        <v>23.407200000000003</v>
      </c>
      <c r="D1367" s="957" t="s">
        <v>364</v>
      </c>
      <c r="E1367" s="957">
        <f>30+4</f>
        <v>34</v>
      </c>
      <c r="F1367" s="962" t="s">
        <v>2550</v>
      </c>
      <c r="G1367" s="958">
        <f>C1367*E1367</f>
        <v>795.84480000000008</v>
      </c>
    </row>
    <row r="1368" spans="1:7" s="976" customFormat="1" ht="14.1" hidden="1">
      <c r="A1368" s="955">
        <v>7</v>
      </c>
      <c r="B1368" s="1229" t="s">
        <v>2275</v>
      </c>
      <c r="C1368" s="960">
        <f>'[8]C-data (K)'!$E$5</f>
        <v>0.2</v>
      </c>
      <c r="D1368" s="957"/>
      <c r="E1368" s="957">
        <f>G1367</f>
        <v>795.84480000000008</v>
      </c>
      <c r="F1368" s="962"/>
      <c r="G1368" s="958">
        <f>C1368*E1368</f>
        <v>159.16896000000003</v>
      </c>
    </row>
    <row r="1369" spans="1:7" s="976" customFormat="1" ht="14.1" hidden="1">
      <c r="A1369" s="955"/>
      <c r="B1369" s="1229"/>
      <c r="C1369" s="960"/>
      <c r="D1369" s="957"/>
      <c r="E1369" s="1230"/>
      <c r="F1369" s="962"/>
      <c r="G1369" s="958">
        <f>SUM(G1362:G1368)</f>
        <v>2369.1155600000002</v>
      </c>
    </row>
    <row r="1370" spans="1:7" s="976" customFormat="1" ht="14.1" hidden="1">
      <c r="A1370" s="955">
        <v>8</v>
      </c>
      <c r="B1370" s="1229" t="str">
        <f>'[8]C-data (K)'!$C$174</f>
        <v>Add 5% over heads</v>
      </c>
      <c r="C1370" s="957">
        <f>'[8]C-data (K)'!$D$3</f>
        <v>0</v>
      </c>
      <c r="D1370" s="957"/>
      <c r="E1370" s="957"/>
      <c r="F1370" s="962"/>
      <c r="G1370" s="958">
        <f>G1369*C1370</f>
        <v>0</v>
      </c>
    </row>
    <row r="1371" spans="1:7" s="976" customFormat="1" ht="14.1" hidden="1">
      <c r="A1371" s="955"/>
      <c r="B1371" s="963"/>
      <c r="C1371" s="957"/>
      <c r="D1371" s="957"/>
      <c r="E1371" s="957"/>
      <c r="F1371" s="1230"/>
      <c r="G1371" s="964">
        <f>SUM(G1369:G1370)</f>
        <v>2369.1155600000002</v>
      </c>
    </row>
    <row r="1372" spans="1:7" s="976" customFormat="1" ht="14.1" hidden="1">
      <c r="A1372" s="955"/>
      <c r="B1372" s="963"/>
      <c r="C1372" s="957"/>
      <c r="D1372" s="957"/>
      <c r="E1372" s="957"/>
      <c r="F1372" s="1230" t="s">
        <v>81</v>
      </c>
      <c r="G1372" s="964">
        <f>ROUND(G1371,0)</f>
        <v>2369</v>
      </c>
    </row>
    <row r="1373" spans="1:7" s="976" customFormat="1" ht="14.1" hidden="1">
      <c r="A1373" s="955"/>
      <c r="B1373" s="961"/>
      <c r="C1373" s="960"/>
      <c r="D1373" s="957"/>
      <c r="E1373" s="957"/>
      <c r="F1373" s="1230"/>
      <c r="G1373" s="964"/>
    </row>
    <row r="1374" spans="1:7" s="976" customFormat="1" ht="110.4" hidden="1">
      <c r="A1374" s="955">
        <v>39</v>
      </c>
      <c r="B1374" s="1229" t="s">
        <v>2557</v>
      </c>
      <c r="C1374" s="960"/>
      <c r="D1374" s="965"/>
      <c r="E1374" s="957"/>
      <c r="F1374" s="962"/>
      <c r="G1374" s="958"/>
    </row>
    <row r="1375" spans="1:7" s="976" customFormat="1" ht="14.1" hidden="1">
      <c r="A1375" s="955"/>
      <c r="B1375" s="1229" t="s">
        <v>2558</v>
      </c>
      <c r="C1375" s="960">
        <v>1.9</v>
      </c>
      <c r="D1375" s="965">
        <v>2</v>
      </c>
      <c r="E1375" s="957">
        <f>C1375*D1375</f>
        <v>3.8</v>
      </c>
      <c r="F1375" s="962" t="s">
        <v>547</v>
      </c>
      <c r="G1375" s="958"/>
    </row>
    <row r="1376" spans="1:7" s="976" customFormat="1" ht="14.1" hidden="1">
      <c r="A1376" s="955"/>
      <c r="B1376" s="1229"/>
      <c r="C1376" s="960"/>
      <c r="D1376" s="965"/>
      <c r="E1376" s="957"/>
      <c r="F1376" s="962"/>
      <c r="G1376" s="958"/>
    </row>
    <row r="1377" spans="1:7" s="976" customFormat="1" ht="14.1" hidden="1">
      <c r="A1377" s="955"/>
      <c r="B1377" s="963" t="s">
        <v>2559</v>
      </c>
      <c r="C1377" s="960"/>
      <c r="D1377" s="957"/>
      <c r="E1377" s="1230"/>
      <c r="F1377" s="964"/>
      <c r="G1377" s="964"/>
    </row>
    <row r="1378" spans="1:7" s="976" customFormat="1" ht="14.1" hidden="1">
      <c r="A1378" s="955"/>
      <c r="B1378" s="963" t="s">
        <v>2283</v>
      </c>
      <c r="C1378" s="960">
        <v>2</v>
      </c>
      <c r="D1378" s="957">
        <f>D1375</f>
        <v>2</v>
      </c>
      <c r="E1378" s="1230">
        <f>C1378*D1378</f>
        <v>4</v>
      </c>
      <c r="F1378" s="964"/>
      <c r="G1378" s="964"/>
    </row>
    <row r="1379" spans="1:7" s="976" customFormat="1" ht="14.1" hidden="1">
      <c r="A1379" s="953"/>
      <c r="B1379" s="953" t="s">
        <v>1475</v>
      </c>
      <c r="C1379" s="953">
        <v>2</v>
      </c>
      <c r="D1379" s="967">
        <f>C1375</f>
        <v>1.9</v>
      </c>
      <c r="E1379" s="953">
        <f>C1379*D1379</f>
        <v>3.8</v>
      </c>
      <c r="F1379" s="967"/>
      <c r="G1379" s="967"/>
    </row>
    <row r="1380" spans="1:7" s="976" customFormat="1" ht="14.1" hidden="1">
      <c r="A1380" s="955"/>
      <c r="B1380" s="1229" t="s">
        <v>1510</v>
      </c>
      <c r="C1380" s="957">
        <v>4</v>
      </c>
      <c r="D1380" s="968">
        <v>0.23</v>
      </c>
      <c r="E1380" s="957">
        <f>C1380*D1380</f>
        <v>0.92</v>
      </c>
      <c r="F1380" s="964"/>
      <c r="G1380" s="1230"/>
    </row>
    <row r="1381" spans="1:7" s="976" customFormat="1" ht="14.1" hidden="1">
      <c r="A1381" s="955"/>
      <c r="B1381" s="1229"/>
      <c r="C1381" s="957"/>
      <c r="D1381" s="968"/>
      <c r="E1381" s="957">
        <f>SUM(E1378:E1380)</f>
        <v>8.7200000000000006</v>
      </c>
      <c r="F1381" s="964"/>
      <c r="G1381" s="1230"/>
    </row>
    <row r="1382" spans="1:7" s="976" customFormat="1" hidden="1">
      <c r="A1382" s="955"/>
      <c r="B1382" s="1229" t="s">
        <v>2262</v>
      </c>
      <c r="C1382" s="957">
        <v>1.8</v>
      </c>
      <c r="D1382" s="968" t="s">
        <v>2263</v>
      </c>
      <c r="E1382" s="957"/>
      <c r="F1382" s="968"/>
      <c r="G1382" s="957"/>
    </row>
    <row r="1383" spans="1:7" s="976" customFormat="1" ht="14.1" hidden="1">
      <c r="A1383" s="969"/>
      <c r="B1383" s="970" t="s">
        <v>2264</v>
      </c>
      <c r="C1383" s="1230">
        <f>E1381</f>
        <v>8.7200000000000006</v>
      </c>
      <c r="D1383" s="968">
        <f>C1382</f>
        <v>1.8</v>
      </c>
      <c r="E1383" s="957"/>
      <c r="F1383" s="968">
        <f>C1383*D1383</f>
        <v>15.696000000000002</v>
      </c>
      <c r="G1383" s="957" t="s">
        <v>462</v>
      </c>
    </row>
    <row r="1384" spans="1:7" s="976" customFormat="1" ht="14.1" hidden="1">
      <c r="A1384" s="955"/>
      <c r="B1384" s="970"/>
      <c r="C1384" s="957"/>
      <c r="D1384" s="968"/>
      <c r="E1384" s="957"/>
      <c r="F1384" s="968"/>
      <c r="G1384" s="957"/>
    </row>
    <row r="1385" spans="1:7" s="976" customFormat="1" hidden="1">
      <c r="A1385" s="955"/>
      <c r="B1385" s="971" t="s">
        <v>2265</v>
      </c>
      <c r="C1385" s="957"/>
      <c r="D1385" s="968"/>
      <c r="E1385" s="957"/>
      <c r="F1385" s="968"/>
      <c r="G1385" s="957"/>
    </row>
    <row r="1386" spans="1:7" s="954" customFormat="1" hidden="1">
      <c r="A1386" s="955"/>
      <c r="B1386" s="971" t="s">
        <v>1477</v>
      </c>
      <c r="C1386" s="957">
        <v>16</v>
      </c>
      <c r="D1386" s="968">
        <f>D1378</f>
        <v>2</v>
      </c>
      <c r="E1386" s="957">
        <f>C1386*D1386</f>
        <v>32</v>
      </c>
      <c r="F1386" s="968"/>
      <c r="G1386" s="957"/>
    </row>
    <row r="1387" spans="1:7" s="976" customFormat="1" ht="14.1" hidden="1">
      <c r="A1387" s="955"/>
      <c r="B1387" s="971" t="s">
        <v>1475</v>
      </c>
      <c r="C1387" s="960">
        <v>18</v>
      </c>
      <c r="D1387" s="957">
        <f>D1379</f>
        <v>1.9</v>
      </c>
      <c r="E1387" s="960">
        <f>C1387*D1387</f>
        <v>34.199999999999996</v>
      </c>
      <c r="F1387" s="957"/>
      <c r="G1387" s="1230"/>
    </row>
    <row r="1388" spans="1:7" s="976" customFormat="1" ht="14.1" hidden="1">
      <c r="A1388" s="955"/>
      <c r="B1388" s="1277"/>
      <c r="C1388" s="974"/>
      <c r="D1388" s="957"/>
      <c r="E1388" s="960">
        <f>SUM(E1386:E1387)</f>
        <v>66.199999999999989</v>
      </c>
      <c r="F1388" s="957"/>
      <c r="G1388" s="957"/>
    </row>
    <row r="1389" spans="1:7" s="976" customFormat="1" hidden="1">
      <c r="A1389" s="955"/>
      <c r="B1389" s="971" t="s">
        <v>2262</v>
      </c>
      <c r="C1389" s="957">
        <v>0.78</v>
      </c>
      <c r="D1389" s="957" t="s">
        <v>2263</v>
      </c>
      <c r="E1389" s="960"/>
      <c r="F1389" s="957"/>
      <c r="G1389" s="957"/>
    </row>
    <row r="1390" spans="1:7" s="976" customFormat="1" ht="14.1" hidden="1">
      <c r="A1390" s="955"/>
      <c r="B1390" s="975" t="s">
        <v>2264</v>
      </c>
      <c r="C1390" s="960">
        <f>E1388</f>
        <v>66.199999999999989</v>
      </c>
      <c r="D1390" s="957">
        <f>C1389</f>
        <v>0.78</v>
      </c>
      <c r="E1390" s="1612"/>
      <c r="F1390" s="1612">
        <f>C1390*D1390</f>
        <v>51.635999999999996</v>
      </c>
      <c r="G1390" s="1230" t="s">
        <v>462</v>
      </c>
    </row>
    <row r="1391" spans="1:7" s="976" customFormat="1" ht="14.1" hidden="1">
      <c r="A1391" s="953"/>
      <c r="B1391" s="1611"/>
      <c r="C1391" s="1611"/>
      <c r="D1391" s="1611"/>
      <c r="E1391" s="1611"/>
      <c r="F1391" s="1611"/>
      <c r="G1391" s="1611"/>
    </row>
    <row r="1392" spans="1:7" s="976" customFormat="1" ht="14.1" hidden="1">
      <c r="A1392" s="955"/>
      <c r="B1392" s="956" t="s">
        <v>2266</v>
      </c>
      <c r="C1392" s="957"/>
      <c r="D1392" s="957"/>
      <c r="E1392" s="1230"/>
      <c r="F1392" s="958"/>
      <c r="G1392" s="958"/>
    </row>
    <row r="1393" spans="1:7" s="976" customFormat="1" ht="14.1" hidden="1">
      <c r="A1393" s="955"/>
      <c r="B1393" s="1229" t="s">
        <v>2267</v>
      </c>
      <c r="C1393" s="959">
        <v>0.6</v>
      </c>
      <c r="D1393" s="958">
        <f>'[8]C-data (K)'!$F$86</f>
        <v>129</v>
      </c>
      <c r="E1393" s="960">
        <f>C1393*D1393</f>
        <v>77.399999999999991</v>
      </c>
      <c r="F1393" s="958"/>
      <c r="G1393" s="958"/>
    </row>
    <row r="1394" spans="1:7" s="976" customFormat="1" ht="14.1" hidden="1">
      <c r="A1394" s="955"/>
      <c r="B1394" s="1229" t="s">
        <v>771</v>
      </c>
      <c r="C1394" s="959">
        <v>0.21</v>
      </c>
      <c r="D1394" s="958">
        <f>'[8]C-data (K)'!$F$19</f>
        <v>684</v>
      </c>
      <c r="E1394" s="960">
        <f>C1394*D1394</f>
        <v>143.63999999999999</v>
      </c>
      <c r="F1394" s="958"/>
      <c r="G1394" s="958"/>
    </row>
    <row r="1395" spans="1:7" s="976" customFormat="1" ht="14.1" hidden="1">
      <c r="A1395" s="955"/>
      <c r="B1395" s="1229" t="s">
        <v>772</v>
      </c>
      <c r="C1395" s="960">
        <v>0.49</v>
      </c>
      <c r="D1395" s="957">
        <f>'[8]C-data (K)'!$F$20</f>
        <v>564</v>
      </c>
      <c r="E1395" s="957">
        <f>C1395*D1395</f>
        <v>276.36</v>
      </c>
      <c r="F1395" s="962"/>
      <c r="G1395" s="958"/>
    </row>
    <row r="1396" spans="1:7" s="976" customFormat="1" ht="14.1" hidden="1">
      <c r="A1396" s="955"/>
      <c r="B1396" s="1229"/>
      <c r="C1396" s="960"/>
      <c r="D1396" s="957"/>
      <c r="E1396" s="957">
        <f>SUM(E1393:E1395)</f>
        <v>497.4</v>
      </c>
      <c r="F1396" s="962" t="s">
        <v>2268</v>
      </c>
      <c r="G1396" s="958"/>
    </row>
    <row r="1397" spans="1:7" s="976" customFormat="1" ht="14.1" hidden="1">
      <c r="A1397" s="955"/>
      <c r="B1397" s="1229"/>
      <c r="C1397" s="960"/>
      <c r="D1397" s="957"/>
      <c r="E1397" s="957"/>
      <c r="F1397" s="962"/>
      <c r="G1397" s="958"/>
    </row>
    <row r="1398" spans="1:7" s="976" customFormat="1" ht="27.6" hidden="1">
      <c r="A1398" s="955" t="s">
        <v>2269</v>
      </c>
      <c r="B1398" s="1229" t="s">
        <v>2270</v>
      </c>
      <c r="C1398" s="960" t="s">
        <v>2271</v>
      </c>
      <c r="D1398" s="957"/>
      <c r="E1398" s="1230" t="s">
        <v>92</v>
      </c>
      <c r="F1398" s="962"/>
      <c r="G1398" s="958" t="s">
        <v>151</v>
      </c>
    </row>
    <row r="1399" spans="1:7" s="976" customFormat="1" ht="14.1" hidden="1">
      <c r="A1399" s="955">
        <v>1</v>
      </c>
      <c r="B1399" s="1229" t="str">
        <f>B1377</f>
        <v>MS Grill outer frame "L' angle 25x25x5mm</v>
      </c>
      <c r="C1399" s="957">
        <f>F1383</f>
        <v>15.696000000000002</v>
      </c>
      <c r="D1399" s="957" t="s">
        <v>2272</v>
      </c>
      <c r="E1399" s="957"/>
      <c r="F1399" s="962"/>
      <c r="G1399" s="958"/>
    </row>
    <row r="1400" spans="1:7" s="976" customFormat="1" ht="14.1" hidden="1">
      <c r="A1400" s="955">
        <v>2</v>
      </c>
      <c r="B1400" s="963" t="str">
        <f>B1385</f>
        <v>10mm square rods safety bars</v>
      </c>
      <c r="C1400" s="957">
        <f>F1390</f>
        <v>51.635999999999996</v>
      </c>
      <c r="D1400" s="957" t="s">
        <v>462</v>
      </c>
      <c r="E1400" s="957"/>
      <c r="F1400" s="1230"/>
      <c r="G1400" s="964"/>
    </row>
    <row r="1401" spans="1:7" s="976" customFormat="1" ht="14.1" hidden="1">
      <c r="A1401" s="955"/>
      <c r="B1401" s="963"/>
      <c r="C1401" s="957">
        <f>SUM(C1399:C1400)</f>
        <v>67.331999999999994</v>
      </c>
      <c r="D1401" s="957" t="s">
        <v>462</v>
      </c>
      <c r="E1401" s="957">
        <f>[8]LEAD!$P$30/1000</f>
        <v>49</v>
      </c>
      <c r="F1401" s="1230" t="s">
        <v>462</v>
      </c>
      <c r="G1401" s="964">
        <f>C1401*E1401</f>
        <v>3299.2679999999996</v>
      </c>
    </row>
    <row r="1402" spans="1:7" s="976" customFormat="1" ht="14.1" hidden="1">
      <c r="A1402" s="955">
        <v>3</v>
      </c>
      <c r="B1402" s="1229" t="s">
        <v>2273</v>
      </c>
      <c r="C1402" s="959">
        <f>E1375</f>
        <v>3.8</v>
      </c>
      <c r="D1402" s="958" t="s">
        <v>461</v>
      </c>
      <c r="E1402" s="960">
        <f>E1396</f>
        <v>497.4</v>
      </c>
      <c r="F1402" s="958" t="s">
        <v>2274</v>
      </c>
      <c r="G1402" s="958">
        <f>ROUND(C1402*E1402/10,2)</f>
        <v>189.01</v>
      </c>
    </row>
    <row r="1403" spans="1:7" s="976" customFormat="1" ht="28.2" hidden="1">
      <c r="A1403" s="955">
        <v>4</v>
      </c>
      <c r="B1403" s="1229" t="s">
        <v>2556</v>
      </c>
      <c r="C1403" s="960">
        <f>C1401</f>
        <v>67.331999999999994</v>
      </c>
      <c r="D1403" s="957" t="s">
        <v>462</v>
      </c>
      <c r="E1403" s="957">
        <f>30+4</f>
        <v>34</v>
      </c>
      <c r="F1403" s="962" t="s">
        <v>462</v>
      </c>
      <c r="G1403" s="958">
        <f>C1403*E1403</f>
        <v>2289.2879999999996</v>
      </c>
    </row>
    <row r="1404" spans="1:7" s="976" customFormat="1" ht="14.1" hidden="1">
      <c r="A1404" s="955"/>
      <c r="B1404" s="1229" t="s">
        <v>2275</v>
      </c>
      <c r="C1404" s="960">
        <f>'[8]C-data (K)'!$E$5</f>
        <v>0.2</v>
      </c>
      <c r="D1404" s="957"/>
      <c r="E1404" s="957">
        <f>G1403</f>
        <v>2289.2879999999996</v>
      </c>
      <c r="F1404" s="962"/>
      <c r="G1404" s="958">
        <f>ROUND(E1404*C1404,2)</f>
        <v>457.86</v>
      </c>
    </row>
    <row r="1405" spans="1:7" s="976" customFormat="1" ht="14.1" hidden="1">
      <c r="A1405" s="955"/>
      <c r="B1405" s="1229"/>
      <c r="C1405" s="960"/>
      <c r="D1405" s="957"/>
      <c r="E1405" s="1230"/>
      <c r="F1405" s="962"/>
      <c r="G1405" s="958">
        <f>SUM(G1401:G1404)</f>
        <v>6235.4259999999986</v>
      </c>
    </row>
    <row r="1406" spans="1:7" s="976" customFormat="1" ht="14.1" hidden="1">
      <c r="A1406" s="955"/>
      <c r="B1406" s="1229" t="str">
        <f>'[8]C-data (K)'!$C$174</f>
        <v>Add 5% over heads</v>
      </c>
      <c r="C1406" s="957">
        <f>'[8]C-data (K)'!$D$3</f>
        <v>0</v>
      </c>
      <c r="D1406" s="957"/>
      <c r="E1406" s="957"/>
      <c r="F1406" s="962"/>
      <c r="G1406" s="958">
        <f>G1405*C1406</f>
        <v>0</v>
      </c>
    </row>
    <row r="1407" spans="1:7" s="976" customFormat="1" ht="14.1" hidden="1">
      <c r="A1407" s="955"/>
      <c r="B1407" s="963"/>
      <c r="C1407" s="957"/>
      <c r="D1407" s="957"/>
      <c r="E1407" s="957"/>
      <c r="F1407" s="1230"/>
      <c r="G1407" s="964">
        <f>SUM(G1405:G1406)</f>
        <v>6235.4259999999986</v>
      </c>
    </row>
    <row r="1408" spans="1:7" s="976" customFormat="1" ht="14.1" hidden="1">
      <c r="A1408" s="955"/>
      <c r="B1408" s="963" t="s">
        <v>1806</v>
      </c>
      <c r="C1408" s="957"/>
      <c r="D1408" s="957"/>
      <c r="E1408" s="957" t="s">
        <v>392</v>
      </c>
      <c r="F1408" s="1230"/>
      <c r="G1408" s="964">
        <f>ROUND(G1407,0.5)</f>
        <v>6235</v>
      </c>
    </row>
    <row r="1409" spans="1:7" s="976" customFormat="1" ht="14.1" hidden="1">
      <c r="A1409" s="955"/>
      <c r="B1409" s="961"/>
      <c r="C1409" s="959"/>
      <c r="D1409" s="958"/>
      <c r="E1409" s="960"/>
      <c r="F1409" s="958"/>
      <c r="G1409" s="958"/>
    </row>
    <row r="1410" spans="1:7" s="976" customFormat="1" ht="180.6" hidden="1">
      <c r="A1410" s="955">
        <v>40</v>
      </c>
      <c r="B1410" s="1229" t="s">
        <v>2560</v>
      </c>
      <c r="C1410" s="960"/>
      <c r="D1410" s="957"/>
      <c r="E1410" s="957"/>
      <c r="F1410" s="962"/>
      <c r="G1410" s="958"/>
    </row>
    <row r="1411" spans="1:7" s="976" customFormat="1" ht="14.1" hidden="1">
      <c r="A1411" s="955"/>
      <c r="B1411" s="1229" t="s">
        <v>2535</v>
      </c>
      <c r="C1411" s="960">
        <v>0.75</v>
      </c>
      <c r="D1411" s="957" t="s">
        <v>533</v>
      </c>
      <c r="E1411" s="957">
        <v>1.85</v>
      </c>
      <c r="F1411" s="962"/>
      <c r="G1411" s="958"/>
    </row>
    <row r="1412" spans="1:7" s="976" customFormat="1" ht="14.1" hidden="1">
      <c r="A1412" s="955"/>
      <c r="B1412" s="1229" t="s">
        <v>2536</v>
      </c>
      <c r="C1412" s="960">
        <f>ROUND(C1411*E1411,2)</f>
        <v>1.39</v>
      </c>
      <c r="D1412" s="957" t="s">
        <v>2537</v>
      </c>
      <c r="E1412" s="1230"/>
      <c r="F1412" s="962"/>
      <c r="G1412" s="958"/>
    </row>
    <row r="1413" spans="1:7" s="976" customFormat="1" ht="14.1" hidden="1">
      <c r="A1413" s="955"/>
      <c r="B1413" s="1229" t="s">
        <v>2538</v>
      </c>
      <c r="C1413" s="957"/>
      <c r="D1413" s="957"/>
      <c r="E1413" s="957"/>
      <c r="F1413" s="962"/>
      <c r="G1413" s="958"/>
    </row>
    <row r="1414" spans="1:7" s="976" customFormat="1" ht="28.2" hidden="1">
      <c r="A1414" s="955">
        <v>1</v>
      </c>
      <c r="B1414" s="963" t="s">
        <v>2561</v>
      </c>
      <c r="C1414" s="957"/>
      <c r="D1414" s="957"/>
      <c r="E1414" s="957"/>
      <c r="F1414" s="1230"/>
      <c r="G1414" s="964"/>
    </row>
    <row r="1415" spans="1:7" s="976" customFormat="1" ht="14.1" hidden="1">
      <c r="A1415" s="955"/>
      <c r="B1415" s="963" t="s">
        <v>1477</v>
      </c>
      <c r="C1415" s="957">
        <v>2</v>
      </c>
      <c r="D1415" s="957">
        <f>E1411</f>
        <v>1.85</v>
      </c>
      <c r="E1415" s="957">
        <f>D1415*C1415</f>
        <v>3.7</v>
      </c>
      <c r="F1415" s="1230"/>
      <c r="G1415" s="964"/>
    </row>
    <row r="1416" spans="1:7" s="976" customFormat="1" ht="14.1" hidden="1">
      <c r="A1416" s="955"/>
      <c r="B1416" s="961" t="s">
        <v>1475</v>
      </c>
      <c r="C1416" s="960">
        <v>2</v>
      </c>
      <c r="D1416" s="957">
        <f>C1411</f>
        <v>0.75</v>
      </c>
      <c r="E1416" s="957">
        <f>D1416*C1416</f>
        <v>1.5</v>
      </c>
      <c r="F1416" s="1230"/>
      <c r="G1416" s="964"/>
    </row>
    <row r="1417" spans="1:7" s="976" customFormat="1" ht="14.1" hidden="1">
      <c r="A1417" s="955"/>
      <c r="B1417" s="1229" t="s">
        <v>2562</v>
      </c>
      <c r="C1417" s="960">
        <v>6</v>
      </c>
      <c r="D1417" s="965">
        <v>0.23</v>
      </c>
      <c r="E1417" s="957">
        <f>D1417*C1417</f>
        <v>1.3800000000000001</v>
      </c>
      <c r="F1417" s="962"/>
      <c r="G1417" s="958"/>
    </row>
    <row r="1418" spans="1:7" s="976" customFormat="1" ht="14.1" hidden="1">
      <c r="A1418" s="955"/>
      <c r="B1418" s="1229"/>
      <c r="C1418" s="960"/>
      <c r="D1418" s="965"/>
      <c r="E1418" s="957">
        <f>SUM(E1415:E1417)</f>
        <v>6.58</v>
      </c>
      <c r="F1418" s="962" t="s">
        <v>468</v>
      </c>
      <c r="G1418" s="958"/>
    </row>
    <row r="1419" spans="1:7" s="976" customFormat="1" ht="14.1" hidden="1">
      <c r="A1419" s="955"/>
      <c r="B1419" s="1229" t="s">
        <v>2262</v>
      </c>
      <c r="C1419" s="960">
        <v>2.6</v>
      </c>
      <c r="D1419" s="965" t="s">
        <v>2540</v>
      </c>
      <c r="E1419" s="957"/>
      <c r="F1419" s="962"/>
      <c r="G1419" s="958"/>
    </row>
    <row r="1420" spans="1:7" s="976" customFormat="1" ht="14.1" hidden="1">
      <c r="A1420" s="955"/>
      <c r="B1420" s="963" t="s">
        <v>2264</v>
      </c>
      <c r="C1420" s="960">
        <f>E1418</f>
        <v>6.58</v>
      </c>
      <c r="D1420" s="957">
        <f>C1419</f>
        <v>2.6</v>
      </c>
      <c r="E1420" s="1230">
        <f>C1420*D1420</f>
        <v>17.108000000000001</v>
      </c>
      <c r="F1420" s="964" t="s">
        <v>700</v>
      </c>
      <c r="G1420" s="964"/>
    </row>
    <row r="1421" spans="1:7" s="976" customFormat="1" ht="14.1" hidden="1">
      <c r="A1421" s="955"/>
      <c r="B1421" s="963"/>
      <c r="C1421" s="960"/>
      <c r="D1421" s="957"/>
      <c r="E1421" s="1230"/>
      <c r="F1421" s="964"/>
      <c r="G1421" s="964"/>
    </row>
    <row r="1422" spans="1:7" s="976" customFormat="1" ht="14.1" hidden="1">
      <c r="A1422" s="953">
        <v>2</v>
      </c>
      <c r="B1422" s="953" t="s">
        <v>2539</v>
      </c>
      <c r="C1422" s="953"/>
      <c r="D1422" s="967"/>
      <c r="E1422" s="953"/>
      <c r="F1422" s="967"/>
      <c r="G1422" s="967"/>
    </row>
    <row r="1423" spans="1:7" s="976" customFormat="1" ht="14.1" hidden="1">
      <c r="A1423" s="955"/>
      <c r="B1423" s="1229" t="s">
        <v>1477</v>
      </c>
      <c r="C1423" s="957">
        <v>2</v>
      </c>
      <c r="D1423" s="968">
        <v>1.8</v>
      </c>
      <c r="E1423" s="957">
        <f>D1423*C1423</f>
        <v>3.6</v>
      </c>
      <c r="F1423" s="964"/>
      <c r="G1423" s="1230"/>
    </row>
    <row r="1424" spans="1:7" s="976" customFormat="1" ht="14.1" hidden="1">
      <c r="A1424" s="955"/>
      <c r="B1424" s="1229" t="s">
        <v>1475</v>
      </c>
      <c r="C1424" s="957">
        <v>2</v>
      </c>
      <c r="D1424" s="968">
        <v>0.7</v>
      </c>
      <c r="E1424" s="957">
        <f>D1424*C1424</f>
        <v>1.4</v>
      </c>
      <c r="F1424" s="964"/>
      <c r="G1424" s="1230"/>
    </row>
    <row r="1425" spans="1:7" s="976" customFormat="1" hidden="1">
      <c r="A1425" s="955"/>
      <c r="B1425" s="1229" t="s">
        <v>2563</v>
      </c>
      <c r="C1425" s="957">
        <v>3</v>
      </c>
      <c r="D1425" s="968">
        <v>0.7</v>
      </c>
      <c r="E1425" s="957">
        <f>D1425*C1425</f>
        <v>2.0999999999999996</v>
      </c>
      <c r="F1425" s="968"/>
      <c r="G1425" s="957"/>
    </row>
    <row r="1426" spans="1:7" s="976" customFormat="1" ht="14.1" hidden="1">
      <c r="A1426" s="969"/>
      <c r="B1426" s="970"/>
      <c r="C1426" s="1230"/>
      <c r="D1426" s="968"/>
      <c r="E1426" s="957">
        <f>SUM(E1423:E1425)</f>
        <v>7.1</v>
      </c>
      <c r="F1426" s="968" t="s">
        <v>468</v>
      </c>
      <c r="G1426" s="957"/>
    </row>
    <row r="1427" spans="1:7" s="976" customFormat="1" ht="14.1" hidden="1">
      <c r="A1427" s="955"/>
      <c r="B1427" s="970" t="s">
        <v>2262</v>
      </c>
      <c r="C1427" s="957">
        <v>1.8</v>
      </c>
      <c r="D1427" s="968" t="s">
        <v>2540</v>
      </c>
      <c r="E1427" s="957"/>
      <c r="F1427" s="968"/>
      <c r="G1427" s="957"/>
    </row>
    <row r="1428" spans="1:7" s="976" customFormat="1" hidden="1">
      <c r="A1428" s="955"/>
      <c r="B1428" s="971" t="s">
        <v>2264</v>
      </c>
      <c r="C1428" s="957">
        <f>E1426</f>
        <v>7.1</v>
      </c>
      <c r="D1428" s="968">
        <f>C1427</f>
        <v>1.8</v>
      </c>
      <c r="E1428" s="957">
        <f>C1428*D1428</f>
        <v>12.78</v>
      </c>
      <c r="F1428" s="968" t="s">
        <v>700</v>
      </c>
      <c r="G1428" s="957"/>
    </row>
    <row r="1429" spans="1:7" s="954" customFormat="1" hidden="1">
      <c r="A1429" s="955"/>
      <c r="B1429" s="971"/>
      <c r="C1429" s="957"/>
      <c r="D1429" s="968"/>
      <c r="E1429" s="957"/>
      <c r="F1429" s="968"/>
      <c r="G1429" s="957"/>
    </row>
    <row r="1430" spans="1:7" s="976" customFormat="1" ht="14.1" hidden="1">
      <c r="A1430" s="955">
        <v>3</v>
      </c>
      <c r="B1430" s="971" t="s">
        <v>2564</v>
      </c>
      <c r="C1430" s="960"/>
      <c r="D1430" s="957"/>
      <c r="E1430" s="960"/>
      <c r="F1430" s="957"/>
      <c r="G1430" s="1230"/>
    </row>
    <row r="1431" spans="1:7" s="976" customFormat="1" ht="14.1" hidden="1">
      <c r="A1431" s="955"/>
      <c r="B1431" s="1277" t="s">
        <v>2542</v>
      </c>
      <c r="C1431" s="974">
        <v>1</v>
      </c>
      <c r="D1431" s="957">
        <v>0.7</v>
      </c>
      <c r="E1431" s="960">
        <v>1.8</v>
      </c>
      <c r="F1431" s="957">
        <f>C1431*D1431*E1431</f>
        <v>1.26</v>
      </c>
      <c r="G1431" s="957" t="s">
        <v>461</v>
      </c>
    </row>
    <row r="1432" spans="1:7" s="976" customFormat="1" ht="27.6" hidden="1">
      <c r="A1432" s="955"/>
      <c r="B1432" s="971" t="s">
        <v>2262</v>
      </c>
      <c r="C1432" s="957">
        <v>9.8000000000000007</v>
      </c>
      <c r="D1432" s="957" t="s">
        <v>2543</v>
      </c>
      <c r="E1432" s="960"/>
      <c r="F1432" s="957"/>
      <c r="G1432" s="957"/>
    </row>
    <row r="1433" spans="1:7" s="976" customFormat="1" ht="14.1" hidden="1">
      <c r="A1433" s="955"/>
      <c r="B1433" s="975" t="s">
        <v>2264</v>
      </c>
      <c r="C1433" s="960">
        <f>F1431</f>
        <v>1.26</v>
      </c>
      <c r="D1433" s="957">
        <f>C1432</f>
        <v>9.8000000000000007</v>
      </c>
      <c r="E1433" s="1612">
        <f>C1433*D1433</f>
        <v>12.348000000000001</v>
      </c>
      <c r="F1433" s="1612" t="s">
        <v>700</v>
      </c>
      <c r="G1433" s="1230"/>
    </row>
    <row r="1434" spans="1:7" s="976" customFormat="1" ht="14.1" hidden="1">
      <c r="A1434" s="953"/>
      <c r="B1434" s="1611"/>
      <c r="C1434" s="1611"/>
      <c r="D1434" s="1611"/>
      <c r="E1434" s="1611"/>
      <c r="F1434" s="1611"/>
      <c r="G1434" s="1611"/>
    </row>
    <row r="1435" spans="1:7" s="976" customFormat="1" ht="14.1" hidden="1">
      <c r="A1435" s="955">
        <v>4</v>
      </c>
      <c r="B1435" s="956" t="s">
        <v>2544</v>
      </c>
      <c r="C1435" s="957"/>
      <c r="D1435" s="957"/>
      <c r="E1435" s="1230"/>
      <c r="F1435" s="958"/>
      <c r="G1435" s="958"/>
    </row>
    <row r="1436" spans="1:7" s="976" customFormat="1" ht="14.1" hidden="1">
      <c r="A1436" s="955"/>
      <c r="B1436" s="1229" t="s">
        <v>2565</v>
      </c>
      <c r="C1436" s="959">
        <v>0.6</v>
      </c>
      <c r="D1436" s="958">
        <f>'[8]C-data (K)'!$F$86</f>
        <v>129</v>
      </c>
      <c r="E1436" s="960">
        <f>C1436*D1436</f>
        <v>77.399999999999991</v>
      </c>
      <c r="F1436" s="958"/>
      <c r="G1436" s="958"/>
    </row>
    <row r="1437" spans="1:7" s="976" customFormat="1" ht="14.1" hidden="1">
      <c r="A1437" s="955"/>
      <c r="B1437" s="1229" t="s">
        <v>771</v>
      </c>
      <c r="C1437" s="959">
        <v>0.21</v>
      </c>
      <c r="D1437" s="958">
        <f>'[8]C-data (K)'!$F$19</f>
        <v>684</v>
      </c>
      <c r="E1437" s="960">
        <f>C1437*D1437</f>
        <v>143.63999999999999</v>
      </c>
      <c r="F1437" s="958"/>
      <c r="G1437" s="958"/>
    </row>
    <row r="1438" spans="1:7" s="976" customFormat="1" ht="14.1" hidden="1">
      <c r="A1438" s="955"/>
      <c r="B1438" s="1229" t="s">
        <v>772</v>
      </c>
      <c r="C1438" s="960">
        <v>0.49</v>
      </c>
      <c r="D1438" s="957">
        <f>'[8]C-data (K)'!$F$20</f>
        <v>564</v>
      </c>
      <c r="E1438" s="957">
        <f>C1438*D1438</f>
        <v>276.36</v>
      </c>
      <c r="F1438" s="962"/>
      <c r="G1438" s="958"/>
    </row>
    <row r="1439" spans="1:7" s="976" customFormat="1" ht="27.6" hidden="1">
      <c r="A1439" s="955"/>
      <c r="B1439" s="1229" t="s">
        <v>2546</v>
      </c>
      <c r="C1439" s="960"/>
      <c r="D1439" s="957" t="s">
        <v>596</v>
      </c>
      <c r="E1439" s="957">
        <f>SUM(E1436:E1438)</f>
        <v>497.4</v>
      </c>
      <c r="F1439" s="962" t="s">
        <v>2547</v>
      </c>
      <c r="G1439" s="958"/>
    </row>
    <row r="1440" spans="1:7" s="976" customFormat="1" ht="14.1" hidden="1">
      <c r="A1440" s="955"/>
      <c r="B1440" s="1229"/>
      <c r="C1440" s="960"/>
      <c r="D1440" s="957"/>
      <c r="E1440" s="957"/>
      <c r="F1440" s="962"/>
      <c r="G1440" s="958"/>
    </row>
    <row r="1441" spans="1:7" s="976" customFormat="1" ht="27.6" hidden="1">
      <c r="A1441" s="955"/>
      <c r="B1441" s="1229" t="s">
        <v>489</v>
      </c>
      <c r="C1441" s="960" t="s">
        <v>1467</v>
      </c>
      <c r="D1441" s="957"/>
      <c r="E1441" s="1230" t="s">
        <v>119</v>
      </c>
      <c r="F1441" s="962"/>
      <c r="G1441" s="958" t="s">
        <v>2548</v>
      </c>
    </row>
    <row r="1442" spans="1:7" s="976" customFormat="1" ht="14.1" hidden="1">
      <c r="A1442" s="955">
        <v>1</v>
      </c>
      <c r="B1442" s="1229" t="str">
        <f>B1414</f>
        <v>DOOR OUTER FRAME "L" Angle 35x35x5mm</v>
      </c>
      <c r="C1442" s="957">
        <f>E1420</f>
        <v>17.108000000000001</v>
      </c>
      <c r="D1442" s="957" t="s">
        <v>364</v>
      </c>
      <c r="E1442" s="957"/>
      <c r="F1442" s="962"/>
      <c r="G1442" s="958"/>
    </row>
    <row r="1443" spans="1:7" s="976" customFormat="1" ht="14.1" hidden="1">
      <c r="A1443" s="955">
        <v>2</v>
      </c>
      <c r="B1443" s="963" t="str">
        <f>B1422</f>
        <v>SHUTTER FRAME "L" Angle 25x25x5mm</v>
      </c>
      <c r="C1443" s="957">
        <f>E1428</f>
        <v>12.78</v>
      </c>
      <c r="D1443" s="957" t="s">
        <v>364</v>
      </c>
      <c r="E1443" s="957"/>
      <c r="F1443" s="1230"/>
      <c r="G1443" s="964"/>
    </row>
    <row r="1444" spans="1:7" s="976" customFormat="1" ht="14.1" hidden="1">
      <c r="A1444" s="955">
        <v>3</v>
      </c>
      <c r="B1444" s="963" t="str">
        <f>B1430</f>
        <v>18 Gauge MS Sheet</v>
      </c>
      <c r="C1444" s="957">
        <f>E1433</f>
        <v>12.348000000000001</v>
      </c>
      <c r="D1444" s="957" t="s">
        <v>364</v>
      </c>
      <c r="E1444" s="957"/>
      <c r="F1444" s="1230"/>
      <c r="G1444" s="964"/>
    </row>
    <row r="1445" spans="1:7" s="976" customFormat="1" ht="14.1" hidden="1">
      <c r="A1445" s="955"/>
      <c r="B1445" s="1229"/>
      <c r="C1445" s="959">
        <f>SUM(C1442:C1444)</f>
        <v>42.235999999999997</v>
      </c>
      <c r="D1445" s="958" t="s">
        <v>364</v>
      </c>
      <c r="E1445" s="960">
        <f>[8]LEAD!$P$30/1000</f>
        <v>49</v>
      </c>
      <c r="F1445" s="958" t="s">
        <v>2550</v>
      </c>
      <c r="G1445" s="958">
        <f>C1445*E1445</f>
        <v>2069.5639999999999</v>
      </c>
    </row>
    <row r="1446" spans="1:7" s="976" customFormat="1" ht="27.6" hidden="1">
      <c r="A1446" s="955">
        <v>4</v>
      </c>
      <c r="B1446" s="1229" t="str">
        <f>B1435</f>
        <v>DATA for Red Oxide Primer</v>
      </c>
      <c r="C1446" s="960">
        <f>ROUNDDOWN(C1412,2)</f>
        <v>1.39</v>
      </c>
      <c r="D1446" s="957" t="s">
        <v>2537</v>
      </c>
      <c r="E1446" s="957">
        <f>E1439</f>
        <v>497.4</v>
      </c>
      <c r="F1446" s="962" t="s">
        <v>2551</v>
      </c>
      <c r="G1446" s="958">
        <f>C1446*E1446/10</f>
        <v>69.138599999999997</v>
      </c>
    </row>
    <row r="1447" spans="1:7" s="976" customFormat="1" ht="14.1" hidden="1">
      <c r="A1447" s="955"/>
      <c r="B1447" s="1229" t="s">
        <v>2552</v>
      </c>
      <c r="C1447" s="960"/>
      <c r="D1447" s="957"/>
      <c r="E1447" s="957"/>
      <c r="F1447" s="962"/>
      <c r="G1447" s="958"/>
    </row>
    <row r="1448" spans="1:7" s="976" customFormat="1" ht="27.9" hidden="1">
      <c r="A1448" s="955">
        <v>5</v>
      </c>
      <c r="B1448" s="1229" t="s">
        <v>2566</v>
      </c>
      <c r="C1448" s="960">
        <v>3</v>
      </c>
      <c r="D1448" s="957" t="s">
        <v>327</v>
      </c>
      <c r="E1448" s="1230">
        <v>21</v>
      </c>
      <c r="F1448" s="962" t="s">
        <v>2554</v>
      </c>
      <c r="G1448" s="958">
        <f>C1448*E1448</f>
        <v>63</v>
      </c>
    </row>
    <row r="1449" spans="1:7" s="976" customFormat="1" ht="27.9" hidden="1">
      <c r="A1449" s="955">
        <v>6</v>
      </c>
      <c r="B1449" s="1229" t="s">
        <v>2567</v>
      </c>
      <c r="C1449" s="957">
        <v>2</v>
      </c>
      <c r="D1449" s="957" t="s">
        <v>329</v>
      </c>
      <c r="E1449" s="957">
        <v>105</v>
      </c>
      <c r="F1449" s="962" t="s">
        <v>2554</v>
      </c>
      <c r="G1449" s="958">
        <f>C1449*E1449</f>
        <v>210</v>
      </c>
    </row>
    <row r="1450" spans="1:7" s="976" customFormat="1" ht="28.2" hidden="1">
      <c r="A1450" s="955">
        <v>7</v>
      </c>
      <c r="B1450" s="963" t="s">
        <v>2568</v>
      </c>
      <c r="C1450" s="957">
        <f>C1445</f>
        <v>42.235999999999997</v>
      </c>
      <c r="D1450" s="957" t="s">
        <v>364</v>
      </c>
      <c r="E1450" s="957">
        <f>30+4</f>
        <v>34</v>
      </c>
      <c r="F1450" s="1230" t="s">
        <v>364</v>
      </c>
      <c r="G1450" s="964">
        <f>C1450*E1450</f>
        <v>1436.0239999999999</v>
      </c>
    </row>
    <row r="1451" spans="1:7" s="976" customFormat="1" ht="14.1" hidden="1">
      <c r="A1451" s="955"/>
      <c r="B1451" s="963" t="s">
        <v>2275</v>
      </c>
      <c r="C1451" s="957">
        <f>'[8]C-data (K)'!$E$5</f>
        <v>0.2</v>
      </c>
      <c r="D1451" s="957"/>
      <c r="E1451" s="957">
        <f>G1450</f>
        <v>1436.0239999999999</v>
      </c>
      <c r="F1451" s="1230"/>
      <c r="G1451" s="964">
        <f>ROUND(E1451*C1451,2)</f>
        <v>287.2</v>
      </c>
    </row>
    <row r="1452" spans="1:7" s="976" customFormat="1" ht="14.1" hidden="1">
      <c r="A1452" s="955"/>
      <c r="B1452" s="961"/>
      <c r="C1452" s="959"/>
      <c r="D1452" s="958"/>
      <c r="E1452" s="960"/>
      <c r="F1452" s="958"/>
      <c r="G1452" s="958">
        <f>SUM(G1445:G1451)</f>
        <v>4134.9265999999998</v>
      </c>
    </row>
    <row r="1453" spans="1:7" s="976" customFormat="1" ht="14.1" hidden="1">
      <c r="A1453" s="955"/>
      <c r="B1453" s="1229" t="str">
        <f>'[8]C-data (K)'!$C$174</f>
        <v>Add 5% over heads</v>
      </c>
      <c r="C1453" s="960">
        <f>'[8]C-data (K)'!$D$3</f>
        <v>0</v>
      </c>
      <c r="D1453" s="957"/>
      <c r="E1453" s="957">
        <f>G1452</f>
        <v>4134.9265999999998</v>
      </c>
      <c r="F1453" s="962"/>
      <c r="G1453" s="958">
        <f>ROUND(C1453*E1453,2)</f>
        <v>0</v>
      </c>
    </row>
    <row r="1454" spans="1:7" s="976" customFormat="1" ht="14.1" hidden="1">
      <c r="A1454" s="955"/>
      <c r="B1454" s="1229"/>
      <c r="C1454" s="960"/>
      <c r="D1454" s="957"/>
      <c r="E1454" s="957"/>
      <c r="F1454" s="962" t="s">
        <v>466</v>
      </c>
      <c r="G1454" s="958">
        <f>SUM(G1452:G1453)</f>
        <v>4134.9265999999998</v>
      </c>
    </row>
    <row r="1455" spans="1:7" s="976" customFormat="1" ht="14.1" hidden="1">
      <c r="A1455" s="955"/>
      <c r="B1455" s="1229" t="s">
        <v>490</v>
      </c>
      <c r="C1455" s="960"/>
      <c r="D1455" s="957"/>
      <c r="E1455" s="1230"/>
      <c r="F1455" s="962" t="s">
        <v>81</v>
      </c>
      <c r="G1455" s="958">
        <f>ROUND(G1454,0)</f>
        <v>4135</v>
      </c>
    </row>
    <row r="1456" spans="1:7" s="976" customFormat="1" ht="14.1" hidden="1">
      <c r="A1456" s="955"/>
      <c r="B1456" s="1229"/>
      <c r="C1456" s="957"/>
      <c r="D1456" s="957"/>
      <c r="E1456" s="957"/>
      <c r="F1456" s="962"/>
      <c r="G1456" s="958"/>
    </row>
    <row r="1457" spans="1:7" s="976" customFormat="1" ht="112.8" hidden="1">
      <c r="A1457" s="955">
        <v>3</v>
      </c>
      <c r="B1457" s="963" t="s">
        <v>2569</v>
      </c>
      <c r="C1457" s="957"/>
      <c r="D1457" s="957"/>
      <c r="E1457" s="957"/>
      <c r="F1457" s="1230"/>
      <c r="G1457" s="964"/>
    </row>
    <row r="1458" spans="1:7" s="976" customFormat="1" ht="14.1" hidden="1">
      <c r="A1458" s="955"/>
      <c r="B1458" s="963" t="s">
        <v>2259</v>
      </c>
      <c r="C1458" s="957">
        <v>3.6</v>
      </c>
      <c r="D1458" s="957">
        <v>0.45</v>
      </c>
      <c r="E1458" s="957">
        <f>C1458*D1458</f>
        <v>1.62</v>
      </c>
      <c r="F1458" s="1230" t="s">
        <v>547</v>
      </c>
      <c r="G1458" s="964"/>
    </row>
    <row r="1459" spans="1:7" s="976" customFormat="1" ht="14.1" hidden="1">
      <c r="A1459" s="955"/>
      <c r="B1459" s="961"/>
      <c r="C1459" s="960"/>
      <c r="D1459" s="957"/>
      <c r="E1459" s="957"/>
      <c r="F1459" s="1230"/>
      <c r="G1459" s="964"/>
    </row>
    <row r="1460" spans="1:7" s="976" customFormat="1" ht="14.1" hidden="1">
      <c r="A1460" s="955"/>
      <c r="B1460" s="1229" t="s">
        <v>2500</v>
      </c>
      <c r="C1460" s="960"/>
      <c r="D1460" s="965"/>
      <c r="E1460" s="957"/>
      <c r="F1460" s="962"/>
      <c r="G1460" s="958"/>
    </row>
    <row r="1461" spans="1:7" s="976" customFormat="1" ht="14.1" hidden="1">
      <c r="A1461" s="955"/>
      <c r="B1461" s="1229" t="s">
        <v>2261</v>
      </c>
      <c r="C1461" s="960">
        <v>2</v>
      </c>
      <c r="D1461" s="965">
        <f>D1458</f>
        <v>0.45</v>
      </c>
      <c r="E1461" s="957">
        <f>C1461*D1461</f>
        <v>0.9</v>
      </c>
      <c r="F1461" s="962"/>
      <c r="G1461" s="958"/>
    </row>
    <row r="1462" spans="1:7" s="976" customFormat="1" ht="14.1" hidden="1">
      <c r="A1462" s="955"/>
      <c r="B1462" s="1229" t="s">
        <v>1475</v>
      </c>
      <c r="C1462" s="960">
        <v>2</v>
      </c>
      <c r="D1462" s="965">
        <f>C1458</f>
        <v>3.6</v>
      </c>
      <c r="E1462" s="957">
        <f>C1462*D1462</f>
        <v>7.2</v>
      </c>
      <c r="F1462" s="962"/>
      <c r="G1462" s="958"/>
    </row>
    <row r="1463" spans="1:7" s="976" customFormat="1" ht="14.1" hidden="1">
      <c r="A1463" s="955"/>
      <c r="B1463" s="963" t="s">
        <v>1510</v>
      </c>
      <c r="C1463" s="960">
        <v>2</v>
      </c>
      <c r="D1463" s="957">
        <v>0.23</v>
      </c>
      <c r="E1463" s="1230">
        <f>C1463*D1463</f>
        <v>0.46</v>
      </c>
      <c r="F1463" s="964"/>
      <c r="G1463" s="964"/>
    </row>
    <row r="1464" spans="1:7" s="976" customFormat="1" ht="14.1" hidden="1">
      <c r="A1464" s="955"/>
      <c r="B1464" s="963"/>
      <c r="C1464" s="960"/>
      <c r="D1464" s="957"/>
      <c r="E1464" s="1230">
        <f>SUM(E1461:E1463)</f>
        <v>8.56</v>
      </c>
      <c r="F1464" s="964"/>
      <c r="G1464" s="964"/>
    </row>
    <row r="1465" spans="1:7" s="976" customFormat="1" ht="14.1" hidden="1">
      <c r="A1465" s="953"/>
      <c r="B1465" s="953" t="s">
        <v>2262</v>
      </c>
      <c r="C1465" s="953">
        <v>2.6</v>
      </c>
      <c r="D1465" s="967" t="s">
        <v>2263</v>
      </c>
      <c r="E1465" s="953"/>
      <c r="F1465" s="967"/>
      <c r="G1465" s="967"/>
    </row>
    <row r="1466" spans="1:7" s="976" customFormat="1" ht="14.1" hidden="1">
      <c r="A1466" s="955"/>
      <c r="B1466" s="1229" t="s">
        <v>2264</v>
      </c>
      <c r="C1466" s="957">
        <f>E1464</f>
        <v>8.56</v>
      </c>
      <c r="D1466" s="968">
        <f>C1465</f>
        <v>2.6</v>
      </c>
      <c r="E1466" s="957"/>
      <c r="F1466" s="964">
        <f>C1466*D1466</f>
        <v>22.256000000000004</v>
      </c>
      <c r="G1466" s="1230" t="s">
        <v>462</v>
      </c>
    </row>
    <row r="1467" spans="1:7" s="976" customFormat="1" ht="14.1" hidden="1">
      <c r="A1467" s="955"/>
      <c r="B1467" s="1229"/>
      <c r="C1467" s="957"/>
      <c r="D1467" s="968"/>
      <c r="E1467" s="957"/>
      <c r="F1467" s="964"/>
      <c r="G1467" s="1230"/>
    </row>
    <row r="1468" spans="1:7" s="976" customFormat="1" hidden="1">
      <c r="A1468" s="955"/>
      <c r="B1468" s="1229" t="s">
        <v>2265</v>
      </c>
      <c r="C1468" s="957"/>
      <c r="D1468" s="968"/>
      <c r="E1468" s="957"/>
      <c r="F1468" s="968"/>
      <c r="G1468" s="957"/>
    </row>
    <row r="1469" spans="1:7" s="976" customFormat="1" ht="14.1" hidden="1">
      <c r="A1469" s="969"/>
      <c r="B1469" s="970" t="s">
        <v>1477</v>
      </c>
      <c r="C1469" s="1230">
        <v>34</v>
      </c>
      <c r="D1469" s="968">
        <f>D1461</f>
        <v>0.45</v>
      </c>
      <c r="E1469" s="957">
        <f>C1469*D1469</f>
        <v>15.3</v>
      </c>
      <c r="F1469" s="968"/>
      <c r="G1469" s="957"/>
    </row>
    <row r="1470" spans="1:7" s="976" customFormat="1" ht="14.1" hidden="1">
      <c r="A1470" s="955"/>
      <c r="B1470" s="970" t="s">
        <v>1475</v>
      </c>
      <c r="C1470" s="957">
        <v>3</v>
      </c>
      <c r="D1470" s="968">
        <f>D1462</f>
        <v>3.6</v>
      </c>
      <c r="E1470" s="957">
        <f>C1470*D1470</f>
        <v>10.8</v>
      </c>
      <c r="F1470" s="968"/>
      <c r="G1470" s="957"/>
    </row>
    <row r="1471" spans="1:7" s="976" customFormat="1" hidden="1">
      <c r="A1471" s="955"/>
      <c r="B1471" s="971"/>
      <c r="C1471" s="957"/>
      <c r="D1471" s="968"/>
      <c r="E1471" s="957">
        <f>SUM(E1469:E1470)</f>
        <v>26.1</v>
      </c>
      <c r="F1471" s="968"/>
      <c r="G1471" s="957"/>
    </row>
    <row r="1472" spans="1:7" s="954" customFormat="1" hidden="1">
      <c r="A1472" s="955"/>
      <c r="B1472" s="971" t="s">
        <v>2262</v>
      </c>
      <c r="C1472" s="957">
        <v>0.78</v>
      </c>
      <c r="D1472" s="968" t="s">
        <v>2263</v>
      </c>
      <c r="E1472" s="957"/>
      <c r="F1472" s="968"/>
      <c r="G1472" s="957"/>
    </row>
    <row r="1473" spans="1:7" s="976" customFormat="1" ht="14.1" hidden="1">
      <c r="A1473" s="955"/>
      <c r="B1473" s="971" t="s">
        <v>2264</v>
      </c>
      <c r="C1473" s="960">
        <f>E1471</f>
        <v>26.1</v>
      </c>
      <c r="D1473" s="957">
        <f>C1472</f>
        <v>0.78</v>
      </c>
      <c r="E1473" s="960"/>
      <c r="F1473" s="957">
        <f>C1473*D1473</f>
        <v>20.358000000000001</v>
      </c>
      <c r="G1473" s="1230" t="s">
        <v>462</v>
      </c>
    </row>
    <row r="1474" spans="1:7" s="976" customFormat="1" ht="14.1" hidden="1">
      <c r="A1474" s="955"/>
      <c r="B1474" s="1277"/>
      <c r="C1474" s="974"/>
      <c r="D1474" s="957"/>
      <c r="E1474" s="960"/>
      <c r="F1474" s="957"/>
      <c r="G1474" s="957"/>
    </row>
    <row r="1475" spans="1:7" s="976" customFormat="1" hidden="1">
      <c r="A1475" s="955"/>
      <c r="B1475" s="971" t="s">
        <v>2266</v>
      </c>
      <c r="C1475" s="957"/>
      <c r="D1475" s="957"/>
      <c r="E1475" s="960"/>
      <c r="F1475" s="957"/>
      <c r="G1475" s="957"/>
    </row>
    <row r="1476" spans="1:7" s="976" customFormat="1" ht="14.1" hidden="1">
      <c r="A1476" s="955"/>
      <c r="B1476" s="975" t="s">
        <v>2267</v>
      </c>
      <c r="C1476" s="960">
        <v>0.6</v>
      </c>
      <c r="D1476" s="957">
        <f>'[8]C-data (K)'!$F$86</f>
        <v>129</v>
      </c>
      <c r="E1476" s="1612">
        <f>C1476*D1476</f>
        <v>77.399999999999991</v>
      </c>
      <c r="F1476" s="1612"/>
      <c r="G1476" s="1230"/>
    </row>
    <row r="1477" spans="1:7" s="976" customFormat="1" ht="14.1" hidden="1">
      <c r="A1477" s="953"/>
      <c r="B1477" s="1611" t="s">
        <v>771</v>
      </c>
      <c r="C1477" s="1611">
        <v>0.21</v>
      </c>
      <c r="D1477" s="1611">
        <f>'[8]C-data (K)'!$F$19</f>
        <v>684</v>
      </c>
      <c r="E1477" s="1611">
        <f>C1477*D1477</f>
        <v>143.63999999999999</v>
      </c>
      <c r="F1477" s="1611"/>
      <c r="G1477" s="1611"/>
    </row>
    <row r="1478" spans="1:7" s="976" customFormat="1" ht="14.1" hidden="1">
      <c r="A1478" s="955"/>
      <c r="B1478" s="956" t="s">
        <v>772</v>
      </c>
      <c r="C1478" s="957">
        <v>0.49</v>
      </c>
      <c r="D1478" s="957">
        <f>'[8]C-data (K)'!$F$20</f>
        <v>564</v>
      </c>
      <c r="E1478" s="1230">
        <f>C1478*D1478</f>
        <v>276.36</v>
      </c>
      <c r="F1478" s="958"/>
      <c r="G1478" s="958"/>
    </row>
    <row r="1479" spans="1:7" s="976" customFormat="1" ht="14.1" hidden="1">
      <c r="A1479" s="955"/>
      <c r="B1479" s="1229"/>
      <c r="C1479" s="959"/>
      <c r="D1479" s="958"/>
      <c r="E1479" s="960">
        <f>SUM(E1476:E1478)</f>
        <v>497.4</v>
      </c>
      <c r="F1479" s="958" t="s">
        <v>2268</v>
      </c>
      <c r="G1479" s="958"/>
    </row>
    <row r="1480" spans="1:7" s="976" customFormat="1" ht="14.1" hidden="1">
      <c r="A1480" s="955"/>
      <c r="B1480" s="1229"/>
      <c r="C1480" s="959"/>
      <c r="D1480" s="958"/>
      <c r="E1480" s="960"/>
      <c r="F1480" s="958"/>
      <c r="G1480" s="958"/>
    </row>
    <row r="1481" spans="1:7" s="976" customFormat="1" ht="27.6" hidden="1">
      <c r="A1481" s="955" t="s">
        <v>2269</v>
      </c>
      <c r="B1481" s="1229" t="s">
        <v>2270</v>
      </c>
      <c r="C1481" s="960" t="s">
        <v>2271</v>
      </c>
      <c r="D1481" s="957"/>
      <c r="E1481" s="957" t="s">
        <v>92</v>
      </c>
      <c r="F1481" s="962"/>
      <c r="G1481" s="958" t="s">
        <v>151</v>
      </c>
    </row>
    <row r="1482" spans="1:7" s="976" customFormat="1" ht="14.1" hidden="1">
      <c r="A1482" s="955">
        <v>1</v>
      </c>
      <c r="B1482" s="1229" t="str">
        <f>B1460</f>
        <v>Outer frame "L' angle 35x35x5mm</v>
      </c>
      <c r="C1482" s="960">
        <f>F1466</f>
        <v>22.256000000000004</v>
      </c>
      <c r="D1482" s="957" t="s">
        <v>2272</v>
      </c>
      <c r="E1482" s="957"/>
      <c r="F1482" s="962"/>
      <c r="G1482" s="958"/>
    </row>
    <row r="1483" spans="1:7" s="976" customFormat="1" ht="14.1" hidden="1">
      <c r="A1483" s="955">
        <v>2</v>
      </c>
      <c r="B1483" s="1229" t="str">
        <f>B1468</f>
        <v>10mm square rods safety bars</v>
      </c>
      <c r="C1483" s="960">
        <f>F1473</f>
        <v>20.358000000000001</v>
      </c>
      <c r="D1483" s="957" t="s">
        <v>462</v>
      </c>
      <c r="E1483" s="957"/>
      <c r="F1483" s="962"/>
      <c r="G1483" s="958"/>
    </row>
    <row r="1484" spans="1:7" s="976" customFormat="1" ht="14.1" hidden="1">
      <c r="A1484" s="955"/>
      <c r="B1484" s="1229"/>
      <c r="C1484" s="960">
        <f>SUM(C1482:C1483)</f>
        <v>42.614000000000004</v>
      </c>
      <c r="D1484" s="957" t="s">
        <v>462</v>
      </c>
      <c r="E1484" s="1230">
        <f>[8]LEAD!$P$30/1000</f>
        <v>49</v>
      </c>
      <c r="F1484" s="962" t="s">
        <v>462</v>
      </c>
      <c r="G1484" s="958">
        <f>ROUND(C1484*E1484,2)</f>
        <v>2088.09</v>
      </c>
    </row>
    <row r="1485" spans="1:7" s="976" customFormat="1" ht="14.1" hidden="1">
      <c r="A1485" s="955">
        <v>3</v>
      </c>
      <c r="B1485" s="1229" t="s">
        <v>2273</v>
      </c>
      <c r="C1485" s="957">
        <f>E1458</f>
        <v>1.62</v>
      </c>
      <c r="D1485" s="957" t="s">
        <v>461</v>
      </c>
      <c r="E1485" s="957">
        <f>E1479</f>
        <v>497.4</v>
      </c>
      <c r="F1485" s="962" t="s">
        <v>2274</v>
      </c>
      <c r="G1485" s="958">
        <f>ROUND(C1485*E1485/10,2)</f>
        <v>80.58</v>
      </c>
    </row>
    <row r="1486" spans="1:7" s="976" customFormat="1" ht="14.1" hidden="1">
      <c r="A1486" s="955">
        <v>4</v>
      </c>
      <c r="B1486" s="963" t="s">
        <v>2497</v>
      </c>
      <c r="C1486" s="957">
        <f>C1484</f>
        <v>42.614000000000004</v>
      </c>
      <c r="D1486" s="957" t="s">
        <v>462</v>
      </c>
      <c r="E1486" s="957">
        <f>30+4</f>
        <v>34</v>
      </c>
      <c r="F1486" s="1230" t="s">
        <v>462</v>
      </c>
      <c r="G1486" s="964">
        <f>ROUND(C1486*E1486,2)</f>
        <v>1448.88</v>
      </c>
    </row>
    <row r="1487" spans="1:7" s="976" customFormat="1" ht="14.1" hidden="1">
      <c r="A1487" s="955">
        <v>5</v>
      </c>
      <c r="B1487" s="963" t="s">
        <v>2275</v>
      </c>
      <c r="C1487" s="957">
        <f>'[8]C-data (K)'!$E$5</f>
        <v>0.2</v>
      </c>
      <c r="D1487" s="957"/>
      <c r="E1487" s="957">
        <f>G1486</f>
        <v>1448.88</v>
      </c>
      <c r="F1487" s="1230"/>
      <c r="G1487" s="964">
        <f>ROUND(C1487*E1487,2)</f>
        <v>289.77999999999997</v>
      </c>
    </row>
    <row r="1488" spans="1:7" s="976" customFormat="1" ht="14.1" hidden="1">
      <c r="A1488" s="955"/>
      <c r="B1488" s="1229"/>
      <c r="C1488" s="959"/>
      <c r="D1488" s="958"/>
      <c r="E1488" s="960"/>
      <c r="F1488" s="958"/>
      <c r="G1488" s="958">
        <f>SUM(G1484:G1487)</f>
        <v>3907.33</v>
      </c>
    </row>
    <row r="1489" spans="1:7" s="976" customFormat="1" ht="14.1" hidden="1">
      <c r="A1489" s="955">
        <v>6</v>
      </c>
      <c r="B1489" s="1229" t="str">
        <f>'[8]C-data (K)'!$C$174</f>
        <v>Add 5% over heads</v>
      </c>
      <c r="C1489" s="960">
        <f>'[8]C-data (K)'!$D$3</f>
        <v>0</v>
      </c>
      <c r="D1489" s="957"/>
      <c r="E1489" s="957"/>
      <c r="F1489" s="962"/>
      <c r="G1489" s="958">
        <f>G1488*C1489</f>
        <v>0</v>
      </c>
    </row>
    <row r="1490" spans="1:7" s="976" customFormat="1" ht="14.1" hidden="1">
      <c r="A1490" s="955"/>
      <c r="B1490" s="1229"/>
      <c r="C1490" s="960"/>
      <c r="D1490" s="957"/>
      <c r="E1490" s="957"/>
      <c r="F1490" s="962"/>
      <c r="G1490" s="958">
        <f>SUM(G1488:G1489)</f>
        <v>3907.33</v>
      </c>
    </row>
    <row r="1491" spans="1:7" s="976" customFormat="1" ht="14.1" hidden="1">
      <c r="A1491" s="955"/>
      <c r="B1491" s="1229" t="s">
        <v>1806</v>
      </c>
      <c r="C1491" s="960"/>
      <c r="D1491" s="957"/>
      <c r="E1491" s="1230" t="s">
        <v>2276</v>
      </c>
      <c r="F1491" s="962"/>
      <c r="G1491" s="958">
        <f>ROUND(G1490,0)</f>
        <v>3907</v>
      </c>
    </row>
    <row r="1492" spans="1:7" s="976" customFormat="1" ht="14.1" hidden="1">
      <c r="A1492" s="955"/>
      <c r="B1492" s="1229"/>
      <c r="C1492" s="957"/>
      <c r="D1492" s="957"/>
      <c r="E1492" s="957"/>
      <c r="F1492" s="962"/>
      <c r="G1492" s="958"/>
    </row>
    <row r="1493" spans="1:7" s="976" customFormat="1" ht="126.9" hidden="1">
      <c r="A1493" s="955">
        <v>4</v>
      </c>
      <c r="B1493" s="963" t="s">
        <v>2570</v>
      </c>
      <c r="C1493" s="957"/>
      <c r="D1493" s="957"/>
      <c r="E1493" s="957"/>
      <c r="F1493" s="1230"/>
      <c r="G1493" s="964"/>
    </row>
    <row r="1494" spans="1:7" s="976" customFormat="1" ht="14.1" hidden="1">
      <c r="A1494" s="955"/>
      <c r="B1494" s="963" t="s">
        <v>2282</v>
      </c>
      <c r="C1494" s="957">
        <v>0.9</v>
      </c>
      <c r="D1494" s="957">
        <v>1.2</v>
      </c>
      <c r="E1494" s="957">
        <f>C1494*D1494</f>
        <v>1.08</v>
      </c>
      <c r="F1494" s="1230" t="s">
        <v>547</v>
      </c>
      <c r="G1494" s="964"/>
    </row>
    <row r="1495" spans="1:7" s="976" customFormat="1" ht="14.1" hidden="1">
      <c r="A1495" s="955"/>
      <c r="B1495" s="961"/>
      <c r="C1495" s="959"/>
      <c r="D1495" s="958"/>
      <c r="E1495" s="960"/>
      <c r="F1495" s="958"/>
      <c r="G1495" s="958"/>
    </row>
    <row r="1496" spans="1:7" s="976" customFormat="1" ht="14.1" hidden="1">
      <c r="A1496" s="955"/>
      <c r="B1496" s="1229" t="s">
        <v>2500</v>
      </c>
      <c r="C1496" s="960"/>
      <c r="D1496" s="957"/>
      <c r="E1496" s="957"/>
      <c r="F1496" s="962"/>
      <c r="G1496" s="958"/>
    </row>
    <row r="1497" spans="1:7" s="976" customFormat="1" ht="14.1" hidden="1">
      <c r="A1497" s="955"/>
      <c r="B1497" s="1229" t="s">
        <v>2283</v>
      </c>
      <c r="C1497" s="960">
        <v>2</v>
      </c>
      <c r="D1497" s="957">
        <f>D1494</f>
        <v>1.2</v>
      </c>
      <c r="E1497" s="957">
        <f>C1497*D1497</f>
        <v>2.4</v>
      </c>
      <c r="F1497" s="962"/>
      <c r="G1497" s="958"/>
    </row>
    <row r="1498" spans="1:7" s="976" customFormat="1" ht="14.1" hidden="1">
      <c r="A1498" s="955"/>
      <c r="B1498" s="1229" t="s">
        <v>1475</v>
      </c>
      <c r="C1498" s="960">
        <v>2</v>
      </c>
      <c r="D1498" s="957">
        <f>C1494</f>
        <v>0.9</v>
      </c>
      <c r="E1498" s="1230">
        <f>C1498*D1498</f>
        <v>1.8</v>
      </c>
      <c r="F1498" s="962"/>
      <c r="G1498" s="958"/>
    </row>
    <row r="1499" spans="1:7" s="976" customFormat="1" ht="14.1" hidden="1">
      <c r="A1499" s="955"/>
      <c r="B1499" s="1229" t="s">
        <v>1510</v>
      </c>
      <c r="C1499" s="957">
        <v>4</v>
      </c>
      <c r="D1499" s="957">
        <v>0.23</v>
      </c>
      <c r="E1499" s="957">
        <f>C1499*D1499</f>
        <v>0.92</v>
      </c>
      <c r="F1499" s="962"/>
      <c r="G1499" s="958"/>
    </row>
    <row r="1500" spans="1:7" s="976" customFormat="1" ht="14.1" hidden="1">
      <c r="A1500" s="955"/>
      <c r="B1500" s="963"/>
      <c r="C1500" s="957"/>
      <c r="D1500" s="957"/>
      <c r="E1500" s="957">
        <f>SUM(E1497:E1499)</f>
        <v>5.12</v>
      </c>
      <c r="F1500" s="1230"/>
      <c r="G1500" s="964"/>
    </row>
    <row r="1501" spans="1:7" s="976" customFormat="1" ht="14.1" hidden="1">
      <c r="A1501" s="955"/>
      <c r="B1501" s="963" t="s">
        <v>2262</v>
      </c>
      <c r="C1501" s="957">
        <v>2.6</v>
      </c>
      <c r="D1501" s="957" t="s">
        <v>2263</v>
      </c>
      <c r="E1501" s="957"/>
      <c r="F1501" s="1230"/>
      <c r="G1501" s="964"/>
    </row>
    <row r="1502" spans="1:7" s="976" customFormat="1" ht="14.1" hidden="1">
      <c r="A1502" s="955"/>
      <c r="B1502" s="961" t="s">
        <v>2264</v>
      </c>
      <c r="C1502" s="960">
        <f>E1500</f>
        <v>5.12</v>
      </c>
      <c r="D1502" s="957">
        <f>C1501</f>
        <v>2.6</v>
      </c>
      <c r="E1502" s="957"/>
      <c r="F1502" s="1230">
        <f>C1502*D1502</f>
        <v>13.312000000000001</v>
      </c>
      <c r="G1502" s="964" t="s">
        <v>462</v>
      </c>
    </row>
    <row r="1503" spans="1:7" s="976" customFormat="1" ht="14.1" hidden="1">
      <c r="A1503" s="955"/>
      <c r="B1503" s="1229"/>
      <c r="C1503" s="960"/>
      <c r="D1503" s="965"/>
      <c r="E1503" s="957"/>
      <c r="F1503" s="962"/>
      <c r="G1503" s="958"/>
    </row>
    <row r="1504" spans="1:7" s="976" customFormat="1" ht="14.1" hidden="1">
      <c r="A1504" s="955"/>
      <c r="B1504" s="1229" t="s">
        <v>2265</v>
      </c>
      <c r="C1504" s="960"/>
      <c r="D1504" s="965"/>
      <c r="E1504" s="957"/>
      <c r="F1504" s="962"/>
      <c r="G1504" s="958"/>
    </row>
    <row r="1505" spans="1:7" s="976" customFormat="1" ht="14.1" hidden="1">
      <c r="A1505" s="955"/>
      <c r="B1505" s="1229" t="s">
        <v>1477</v>
      </c>
      <c r="C1505" s="960">
        <v>7</v>
      </c>
      <c r="D1505" s="965">
        <f>D1497</f>
        <v>1.2</v>
      </c>
      <c r="E1505" s="957">
        <f>C1505*D1505</f>
        <v>8.4</v>
      </c>
      <c r="F1505" s="962"/>
      <c r="G1505" s="958"/>
    </row>
    <row r="1506" spans="1:7" s="976" customFormat="1" ht="14.1" hidden="1">
      <c r="A1506" s="955"/>
      <c r="B1506" s="963" t="s">
        <v>1475</v>
      </c>
      <c r="C1506" s="960">
        <v>10</v>
      </c>
      <c r="D1506" s="957">
        <f>D1498</f>
        <v>0.9</v>
      </c>
      <c r="E1506" s="1230">
        <f>C1506*D1506</f>
        <v>9</v>
      </c>
      <c r="F1506" s="964"/>
      <c r="G1506" s="964"/>
    </row>
    <row r="1507" spans="1:7" s="976" customFormat="1" ht="14.1" hidden="1">
      <c r="A1507" s="955"/>
      <c r="B1507" s="963"/>
      <c r="C1507" s="960"/>
      <c r="D1507" s="957"/>
      <c r="E1507" s="1230">
        <f>SUM(E1505:E1506)</f>
        <v>17.399999999999999</v>
      </c>
      <c r="F1507" s="964"/>
      <c r="G1507" s="964"/>
    </row>
    <row r="1508" spans="1:7" s="976" customFormat="1" ht="14.1" hidden="1">
      <c r="A1508" s="953"/>
      <c r="B1508" s="953" t="s">
        <v>2262</v>
      </c>
      <c r="C1508" s="953">
        <v>0.78</v>
      </c>
      <c r="D1508" s="967" t="s">
        <v>2263</v>
      </c>
      <c r="E1508" s="953"/>
      <c r="F1508" s="967"/>
      <c r="G1508" s="967"/>
    </row>
    <row r="1509" spans="1:7" s="976" customFormat="1" ht="14.1" hidden="1">
      <c r="A1509" s="955"/>
      <c r="B1509" s="1229" t="s">
        <v>2264</v>
      </c>
      <c r="C1509" s="957">
        <f>E1507</f>
        <v>17.399999999999999</v>
      </c>
      <c r="D1509" s="968">
        <f>C1508</f>
        <v>0.78</v>
      </c>
      <c r="E1509" s="957"/>
      <c r="F1509" s="964">
        <f>C1509*D1509</f>
        <v>13.571999999999999</v>
      </c>
      <c r="G1509" s="1230" t="s">
        <v>462</v>
      </c>
    </row>
    <row r="1510" spans="1:7" s="976" customFormat="1" ht="14.1" hidden="1">
      <c r="A1510" s="955"/>
      <c r="B1510" s="1229"/>
      <c r="C1510" s="957"/>
      <c r="D1510" s="968"/>
      <c r="E1510" s="957"/>
      <c r="F1510" s="964"/>
      <c r="G1510" s="1230"/>
    </row>
    <row r="1511" spans="1:7" s="976" customFormat="1" hidden="1">
      <c r="A1511" s="955"/>
      <c r="B1511" s="1229" t="s">
        <v>2266</v>
      </c>
      <c r="C1511" s="957"/>
      <c r="D1511" s="968"/>
      <c r="E1511" s="957"/>
      <c r="F1511" s="968"/>
      <c r="G1511" s="957"/>
    </row>
    <row r="1512" spans="1:7" s="976" customFormat="1" ht="14.1" hidden="1">
      <c r="A1512" s="969"/>
      <c r="B1512" s="970" t="s">
        <v>2267</v>
      </c>
      <c r="C1512" s="1230">
        <v>0.6</v>
      </c>
      <c r="D1512" s="968">
        <f>'[8]C-data (K)'!$F$86</f>
        <v>129</v>
      </c>
      <c r="E1512" s="957">
        <f>C1512*D1512</f>
        <v>77.399999999999991</v>
      </c>
      <c r="F1512" s="968"/>
      <c r="G1512" s="957"/>
    </row>
    <row r="1513" spans="1:7" s="976" customFormat="1" ht="14.1" hidden="1">
      <c r="A1513" s="955"/>
      <c r="B1513" s="970" t="s">
        <v>771</v>
      </c>
      <c r="C1513" s="957">
        <v>0.21</v>
      </c>
      <c r="D1513" s="968">
        <f>'[8]C-data (K)'!$F$19</f>
        <v>684</v>
      </c>
      <c r="E1513" s="957">
        <f>C1513*D1513</f>
        <v>143.63999999999999</v>
      </c>
      <c r="F1513" s="968"/>
      <c r="G1513" s="957"/>
    </row>
    <row r="1514" spans="1:7" s="976" customFormat="1" hidden="1">
      <c r="A1514" s="955"/>
      <c r="B1514" s="971" t="s">
        <v>772</v>
      </c>
      <c r="C1514" s="957">
        <v>0.49</v>
      </c>
      <c r="D1514" s="968">
        <f>'[8]C-data (K)'!$F$20</f>
        <v>564</v>
      </c>
      <c r="E1514" s="957">
        <f>C1514*D1514</f>
        <v>276.36</v>
      </c>
      <c r="F1514" s="968"/>
      <c r="G1514" s="957"/>
    </row>
    <row r="1515" spans="1:7" s="954" customFormat="1" hidden="1">
      <c r="A1515" s="955"/>
      <c r="B1515" s="971"/>
      <c r="C1515" s="957"/>
      <c r="D1515" s="968"/>
      <c r="E1515" s="957">
        <f>SUM(E1512:E1514)</f>
        <v>497.4</v>
      </c>
      <c r="F1515" s="968" t="s">
        <v>2268</v>
      </c>
      <c r="G1515" s="957"/>
    </row>
    <row r="1516" spans="1:7" s="976" customFormat="1" ht="14.1" hidden="1">
      <c r="A1516" s="955"/>
      <c r="B1516" s="971"/>
      <c r="C1516" s="960"/>
      <c r="D1516" s="957"/>
      <c r="E1516" s="960"/>
      <c r="F1516" s="957"/>
      <c r="G1516" s="1230"/>
    </row>
    <row r="1517" spans="1:7" s="976" customFormat="1" ht="27.6" hidden="1">
      <c r="A1517" s="955" t="s">
        <v>2269</v>
      </c>
      <c r="B1517" s="1277" t="s">
        <v>2270</v>
      </c>
      <c r="C1517" s="974" t="s">
        <v>2271</v>
      </c>
      <c r="D1517" s="957"/>
      <c r="E1517" s="960" t="s">
        <v>92</v>
      </c>
      <c r="F1517" s="957"/>
      <c r="G1517" s="957" t="s">
        <v>151</v>
      </c>
    </row>
    <row r="1518" spans="1:7" s="976" customFormat="1" hidden="1">
      <c r="A1518" s="955">
        <v>1</v>
      </c>
      <c r="B1518" s="971" t="str">
        <f>B1496</f>
        <v>Outer frame "L' angle 35x35x5mm</v>
      </c>
      <c r="C1518" s="957">
        <f>F1502</f>
        <v>13.312000000000001</v>
      </c>
      <c r="D1518" s="957" t="s">
        <v>2272</v>
      </c>
      <c r="E1518" s="960"/>
      <c r="F1518" s="957"/>
      <c r="G1518" s="957"/>
    </row>
    <row r="1519" spans="1:7" s="976" customFormat="1" ht="14.1" hidden="1">
      <c r="A1519" s="955">
        <v>2</v>
      </c>
      <c r="B1519" s="975" t="str">
        <f>B1504</f>
        <v>10mm square rods safety bars</v>
      </c>
      <c r="C1519" s="960">
        <f>F1509</f>
        <v>13.571999999999999</v>
      </c>
      <c r="D1519" s="957" t="s">
        <v>462</v>
      </c>
      <c r="E1519" s="1612"/>
      <c r="F1519" s="1612"/>
      <c r="G1519" s="1230"/>
    </row>
    <row r="1520" spans="1:7" s="976" customFormat="1" ht="14.1" hidden="1">
      <c r="A1520" s="953"/>
      <c r="B1520" s="1611"/>
      <c r="C1520" s="1611">
        <f>SUM(C1518:C1519)</f>
        <v>26.884</v>
      </c>
      <c r="D1520" s="1611" t="s">
        <v>462</v>
      </c>
      <c r="E1520" s="1611">
        <f>[8]LEAD!$P$30/1000</f>
        <v>49</v>
      </c>
      <c r="F1520" s="1611" t="s">
        <v>462</v>
      </c>
      <c r="G1520" s="1611">
        <f>ROUND(C1520*E1520,2)</f>
        <v>1317.32</v>
      </c>
    </row>
    <row r="1521" spans="1:7" s="976" customFormat="1" ht="14.1" hidden="1">
      <c r="A1521" s="955">
        <v>3</v>
      </c>
      <c r="B1521" s="956" t="s">
        <v>2273</v>
      </c>
      <c r="C1521" s="957">
        <f>E1494</f>
        <v>1.08</v>
      </c>
      <c r="D1521" s="957" t="s">
        <v>461</v>
      </c>
      <c r="E1521" s="1230">
        <f>E1515</f>
        <v>497.4</v>
      </c>
      <c r="F1521" s="958" t="s">
        <v>2274</v>
      </c>
      <c r="G1521" s="958">
        <f>ROUND(C1521*E1521/10,2)</f>
        <v>53.72</v>
      </c>
    </row>
    <row r="1522" spans="1:7" s="976" customFormat="1" ht="14.1" hidden="1">
      <c r="A1522" s="955">
        <v>4</v>
      </c>
      <c r="B1522" s="1229" t="s">
        <v>2284</v>
      </c>
      <c r="C1522" s="959">
        <f>C1520</f>
        <v>26.884</v>
      </c>
      <c r="D1522" s="958" t="s">
        <v>462</v>
      </c>
      <c r="E1522" s="960">
        <f>30+4</f>
        <v>34</v>
      </c>
      <c r="F1522" s="958" t="s">
        <v>462</v>
      </c>
      <c r="G1522" s="958">
        <f>ROUND(C1522*E1522,2)</f>
        <v>914.06</v>
      </c>
    </row>
    <row r="1523" spans="1:7" s="976" customFormat="1" ht="14.1" hidden="1">
      <c r="A1523" s="955">
        <v>5</v>
      </c>
      <c r="B1523" s="1229" t="s">
        <v>2275</v>
      </c>
      <c r="C1523" s="959">
        <f>'[8]C-data (K)'!$E$5</f>
        <v>0.2</v>
      </c>
      <c r="D1523" s="958"/>
      <c r="E1523" s="960">
        <f>G1522</f>
        <v>914.06</v>
      </c>
      <c r="F1523" s="958"/>
      <c r="G1523" s="958">
        <f>ROUND(C1523*E1523,2)</f>
        <v>182.81</v>
      </c>
    </row>
    <row r="1524" spans="1:7" s="976" customFormat="1" ht="14.1" hidden="1">
      <c r="A1524" s="955"/>
      <c r="B1524" s="1229"/>
      <c r="C1524" s="960"/>
      <c r="D1524" s="957"/>
      <c r="E1524" s="957"/>
      <c r="F1524" s="962"/>
      <c r="G1524" s="958">
        <f>SUM(G1520:G1523)</f>
        <v>2467.91</v>
      </c>
    </row>
    <row r="1525" spans="1:7" s="976" customFormat="1" ht="14.1" hidden="1">
      <c r="A1525" s="955">
        <v>6</v>
      </c>
      <c r="B1525" s="1229" t="str">
        <f>'[8]C-data (K)'!$C$174</f>
        <v>Add 5% over heads</v>
      </c>
      <c r="C1525" s="960">
        <f>'[8]C-data (K)'!$D$3</f>
        <v>0</v>
      </c>
      <c r="D1525" s="957"/>
      <c r="E1525" s="957"/>
      <c r="F1525" s="962"/>
      <c r="G1525" s="958">
        <f>G1524*C1525</f>
        <v>0</v>
      </c>
    </row>
    <row r="1526" spans="1:7" s="976" customFormat="1" ht="14.1" hidden="1">
      <c r="A1526" s="955"/>
      <c r="B1526" s="1229"/>
      <c r="C1526" s="960"/>
      <c r="D1526" s="957"/>
      <c r="E1526" s="957"/>
      <c r="F1526" s="962"/>
      <c r="G1526" s="958">
        <f>SUM(G1524:G1525)</f>
        <v>2467.91</v>
      </c>
    </row>
    <row r="1527" spans="1:7" s="976" customFormat="1" ht="14.1" hidden="1">
      <c r="A1527" s="955"/>
      <c r="B1527" s="1229" t="s">
        <v>1806</v>
      </c>
      <c r="C1527" s="960"/>
      <c r="D1527" s="957"/>
      <c r="E1527" s="1230" t="s">
        <v>392</v>
      </c>
      <c r="F1527" s="962"/>
      <c r="G1527" s="958">
        <f>ROUND(G1526,0.5)</f>
        <v>2468</v>
      </c>
    </row>
    <row r="1528" spans="1:7" s="976" customFormat="1" ht="14.1" hidden="1">
      <c r="A1528" s="955"/>
      <c r="B1528" s="1229"/>
      <c r="C1528" s="957"/>
      <c r="D1528" s="957"/>
      <c r="E1528" s="957"/>
      <c r="F1528" s="962"/>
      <c r="G1528" s="958"/>
    </row>
    <row r="1529" spans="1:7" s="976" customFormat="1" ht="14.1" hidden="1">
      <c r="A1529" s="955"/>
      <c r="B1529" s="963"/>
      <c r="C1529" s="957"/>
      <c r="D1529" s="957"/>
      <c r="E1529" s="957"/>
      <c r="F1529" s="1230"/>
      <c r="G1529" s="964"/>
    </row>
    <row r="1530" spans="1:7" s="976" customFormat="1" ht="126.9" hidden="1">
      <c r="A1530" s="955">
        <v>5</v>
      </c>
      <c r="B1530" s="963" t="s">
        <v>2571</v>
      </c>
      <c r="C1530" s="957"/>
      <c r="D1530" s="957"/>
      <c r="E1530" s="957"/>
      <c r="F1530" s="1230"/>
      <c r="G1530" s="964"/>
    </row>
    <row r="1531" spans="1:7" s="976" customFormat="1" ht="14.1" hidden="1">
      <c r="A1531" s="955"/>
      <c r="B1531" s="1229" t="s">
        <v>2515</v>
      </c>
      <c r="C1531" s="959">
        <v>1.5</v>
      </c>
      <c r="D1531" s="958">
        <v>1.35</v>
      </c>
      <c r="E1531" s="960">
        <f>C1531*D1531</f>
        <v>2.0250000000000004</v>
      </c>
      <c r="F1531" s="958" t="s">
        <v>547</v>
      </c>
      <c r="G1531" s="958"/>
    </row>
    <row r="1532" spans="1:7" s="976" customFormat="1" ht="14.1" hidden="1">
      <c r="A1532" s="955"/>
      <c r="B1532" s="1229"/>
      <c r="C1532" s="960"/>
      <c r="D1532" s="957"/>
      <c r="E1532" s="957"/>
      <c r="F1532" s="962"/>
      <c r="G1532" s="958"/>
    </row>
    <row r="1533" spans="1:7" s="976" customFormat="1" ht="14.1" hidden="1">
      <c r="A1533" s="955"/>
      <c r="B1533" s="1229" t="s">
        <v>2513</v>
      </c>
      <c r="C1533" s="960"/>
      <c r="D1533" s="957"/>
      <c r="E1533" s="957"/>
      <c r="F1533" s="962"/>
      <c r="G1533" s="958"/>
    </row>
    <row r="1534" spans="1:7" s="976" customFormat="1" ht="14.1" hidden="1">
      <c r="A1534" s="955"/>
      <c r="B1534" s="1229" t="s">
        <v>2261</v>
      </c>
      <c r="C1534" s="960">
        <v>2</v>
      </c>
      <c r="D1534" s="957">
        <f>D1531</f>
        <v>1.35</v>
      </c>
      <c r="E1534" s="1230">
        <f>C1534*D1534</f>
        <v>2.7</v>
      </c>
      <c r="F1534" s="962"/>
      <c r="G1534" s="958"/>
    </row>
    <row r="1535" spans="1:7" s="976" customFormat="1" ht="14.1" hidden="1">
      <c r="A1535" s="955"/>
      <c r="B1535" s="1229" t="s">
        <v>1475</v>
      </c>
      <c r="C1535" s="957">
        <v>2</v>
      </c>
      <c r="D1535" s="957">
        <f>C1531</f>
        <v>1.5</v>
      </c>
      <c r="E1535" s="957">
        <f>C1535*D1535</f>
        <v>3</v>
      </c>
      <c r="F1535" s="962"/>
      <c r="G1535" s="958"/>
    </row>
    <row r="1536" spans="1:7" s="976" customFormat="1" ht="14.1" hidden="1">
      <c r="A1536" s="955"/>
      <c r="B1536" s="963" t="s">
        <v>1510</v>
      </c>
      <c r="C1536" s="957">
        <v>4</v>
      </c>
      <c r="D1536" s="957">
        <v>0.23</v>
      </c>
      <c r="E1536" s="957">
        <f>C1536*D1536</f>
        <v>0.92</v>
      </c>
      <c r="F1536" s="1230"/>
      <c r="G1536" s="964"/>
    </row>
    <row r="1537" spans="1:7" s="976" customFormat="1" ht="14.1" hidden="1">
      <c r="A1537" s="955"/>
      <c r="B1537" s="963"/>
      <c r="C1537" s="957"/>
      <c r="D1537" s="957"/>
      <c r="E1537" s="957">
        <f>SUM(E1534:E1536)</f>
        <v>6.62</v>
      </c>
      <c r="F1537" s="1230"/>
      <c r="G1537" s="964"/>
    </row>
    <row r="1538" spans="1:7" s="976" customFormat="1" ht="14.1" hidden="1">
      <c r="A1538" s="955"/>
      <c r="B1538" s="961" t="s">
        <v>2262</v>
      </c>
      <c r="C1538" s="959">
        <v>2.6</v>
      </c>
      <c r="D1538" s="958" t="s">
        <v>2263</v>
      </c>
      <c r="E1538" s="960"/>
      <c r="F1538" s="958"/>
      <c r="G1538" s="958"/>
    </row>
    <row r="1539" spans="1:7" s="976" customFormat="1" ht="14.1" hidden="1">
      <c r="A1539" s="955"/>
      <c r="B1539" s="1229" t="s">
        <v>2264</v>
      </c>
      <c r="C1539" s="960">
        <f>E1537</f>
        <v>6.62</v>
      </c>
      <c r="D1539" s="957">
        <f>C1538</f>
        <v>2.6</v>
      </c>
      <c r="E1539" s="957"/>
      <c r="F1539" s="962">
        <f>C1539*D1539</f>
        <v>17.212</v>
      </c>
      <c r="G1539" s="958" t="s">
        <v>462</v>
      </c>
    </row>
    <row r="1540" spans="1:7" s="976" customFormat="1" ht="14.1" hidden="1">
      <c r="A1540" s="955"/>
      <c r="B1540" s="1229" t="s">
        <v>2265</v>
      </c>
      <c r="C1540" s="960"/>
      <c r="D1540" s="957"/>
      <c r="E1540" s="957"/>
      <c r="F1540" s="962"/>
      <c r="G1540" s="958"/>
    </row>
    <row r="1541" spans="1:7" s="976" customFormat="1" ht="14.1" hidden="1">
      <c r="A1541" s="955"/>
      <c r="B1541" s="1229" t="s">
        <v>1477</v>
      </c>
      <c r="C1541" s="960">
        <v>12</v>
      </c>
      <c r="D1541" s="957">
        <f>D1534</f>
        <v>1.35</v>
      </c>
      <c r="E1541" s="1230">
        <f>C1541*D1541</f>
        <v>16.200000000000003</v>
      </c>
      <c r="F1541" s="962"/>
      <c r="G1541" s="958"/>
    </row>
    <row r="1542" spans="1:7" s="976" customFormat="1" ht="14.1" hidden="1">
      <c r="A1542" s="955"/>
      <c r="B1542" s="1229" t="s">
        <v>1475</v>
      </c>
      <c r="C1542" s="957">
        <v>10</v>
      </c>
      <c r="D1542" s="957">
        <f>D1535</f>
        <v>1.5</v>
      </c>
      <c r="E1542" s="957">
        <f>C1542*D1542</f>
        <v>15</v>
      </c>
      <c r="F1542" s="962"/>
      <c r="G1542" s="958"/>
    </row>
    <row r="1543" spans="1:7" s="976" customFormat="1" ht="14.1" hidden="1">
      <c r="A1543" s="955"/>
      <c r="B1543" s="963"/>
      <c r="C1543" s="957"/>
      <c r="D1543" s="957"/>
      <c r="E1543" s="957">
        <f>SUM(E1541:E1542)</f>
        <v>31.200000000000003</v>
      </c>
      <c r="F1543" s="1230"/>
      <c r="G1543" s="964"/>
    </row>
    <row r="1544" spans="1:7" s="976" customFormat="1" ht="14.1" hidden="1">
      <c r="A1544" s="955"/>
      <c r="B1544" s="963" t="s">
        <v>2262</v>
      </c>
      <c r="C1544" s="957">
        <v>0.78</v>
      </c>
      <c r="D1544" s="957" t="s">
        <v>2263</v>
      </c>
      <c r="E1544" s="957"/>
      <c r="F1544" s="1230"/>
      <c r="G1544" s="964"/>
    </row>
    <row r="1545" spans="1:7" s="976" customFormat="1" ht="14.1" hidden="1">
      <c r="A1545" s="955"/>
      <c r="B1545" s="961" t="s">
        <v>2264</v>
      </c>
      <c r="C1545" s="960">
        <f>E1543</f>
        <v>31.200000000000003</v>
      </c>
      <c r="D1545" s="957">
        <f>C1544</f>
        <v>0.78</v>
      </c>
      <c r="E1545" s="957"/>
      <c r="F1545" s="1230">
        <f>C1545*D1545</f>
        <v>24.336000000000002</v>
      </c>
      <c r="G1545" s="964" t="s">
        <v>462</v>
      </c>
    </row>
    <row r="1546" spans="1:7" s="976" customFormat="1" ht="14.1" hidden="1">
      <c r="A1546" s="955"/>
      <c r="B1546" s="1229" t="s">
        <v>2266</v>
      </c>
      <c r="C1546" s="960"/>
      <c r="D1546" s="965"/>
      <c r="E1546" s="957"/>
      <c r="F1546" s="962"/>
      <c r="G1546" s="958"/>
    </row>
    <row r="1547" spans="1:7" s="976" customFormat="1" ht="14.1" hidden="1">
      <c r="A1547" s="955"/>
      <c r="B1547" s="1229" t="s">
        <v>2267</v>
      </c>
      <c r="C1547" s="960">
        <v>0.6</v>
      </c>
      <c r="D1547" s="965">
        <f>'[8]C-data (K)'!$F$86</f>
        <v>129</v>
      </c>
      <c r="E1547" s="957">
        <f>C1547*D1547</f>
        <v>77.399999999999991</v>
      </c>
      <c r="F1547" s="962"/>
      <c r="G1547" s="958"/>
    </row>
    <row r="1548" spans="1:7" s="976" customFormat="1" ht="14.1" hidden="1">
      <c r="A1548" s="955"/>
      <c r="B1548" s="1229" t="s">
        <v>771</v>
      </c>
      <c r="C1548" s="960">
        <v>0.21</v>
      </c>
      <c r="D1548" s="965">
        <f>'[8]C-data (K)'!$F$19</f>
        <v>684</v>
      </c>
      <c r="E1548" s="957">
        <f>C1548*D1548</f>
        <v>143.63999999999999</v>
      </c>
      <c r="F1548" s="962"/>
      <c r="G1548" s="958"/>
    </row>
    <row r="1549" spans="1:7" s="976" customFormat="1" ht="14.1" hidden="1">
      <c r="A1549" s="955"/>
      <c r="B1549" s="963" t="s">
        <v>772</v>
      </c>
      <c r="C1549" s="960">
        <v>0.49</v>
      </c>
      <c r="D1549" s="957">
        <f>'[8]C-data (K)'!$F$20</f>
        <v>564</v>
      </c>
      <c r="E1549" s="1230">
        <f>C1549*D1549</f>
        <v>276.36</v>
      </c>
      <c r="F1549" s="964"/>
      <c r="G1549" s="964"/>
    </row>
    <row r="1550" spans="1:7" s="976" customFormat="1" ht="14.1" hidden="1">
      <c r="A1550" s="955"/>
      <c r="B1550" s="963"/>
      <c r="C1550" s="960"/>
      <c r="D1550" s="957"/>
      <c r="E1550" s="1230">
        <f>SUM(E1547:E1549)</f>
        <v>497.4</v>
      </c>
      <c r="F1550" s="964" t="s">
        <v>2268</v>
      </c>
      <c r="G1550" s="964"/>
    </row>
    <row r="1551" spans="1:7" s="976" customFormat="1" ht="14.1" hidden="1">
      <c r="A1551" s="953"/>
      <c r="B1551" s="953"/>
      <c r="C1551" s="953"/>
      <c r="D1551" s="967"/>
      <c r="E1551" s="953"/>
      <c r="F1551" s="967"/>
      <c r="G1551" s="967"/>
    </row>
    <row r="1552" spans="1:7" s="976" customFormat="1" ht="27.6" hidden="1">
      <c r="A1552" s="955" t="s">
        <v>2269</v>
      </c>
      <c r="B1552" s="1229" t="s">
        <v>2270</v>
      </c>
      <c r="C1552" s="957" t="s">
        <v>2271</v>
      </c>
      <c r="D1552" s="968"/>
      <c r="E1552" s="957" t="s">
        <v>92</v>
      </c>
      <c r="F1552" s="964"/>
      <c r="G1552" s="1230" t="s">
        <v>151</v>
      </c>
    </row>
    <row r="1553" spans="1:7" s="976" customFormat="1" ht="14.1" hidden="1">
      <c r="A1553" s="955">
        <v>1</v>
      </c>
      <c r="B1553" s="1229" t="str">
        <f>B1533</f>
        <v>Outer frame L angle 35x35x5mm</v>
      </c>
      <c r="C1553" s="957">
        <f>F1539</f>
        <v>17.212</v>
      </c>
      <c r="D1553" s="968" t="s">
        <v>2272</v>
      </c>
      <c r="E1553" s="957"/>
      <c r="F1553" s="964"/>
      <c r="G1553" s="1230"/>
    </row>
    <row r="1554" spans="1:7" s="976" customFormat="1" hidden="1">
      <c r="A1554" s="955">
        <v>2</v>
      </c>
      <c r="B1554" s="1229" t="str">
        <f>B1540</f>
        <v>10mm square rods safety bars</v>
      </c>
      <c r="C1554" s="957">
        <f>F1545</f>
        <v>24.336000000000002</v>
      </c>
      <c r="D1554" s="968" t="s">
        <v>462</v>
      </c>
      <c r="E1554" s="957"/>
      <c r="F1554" s="968"/>
      <c r="G1554" s="957"/>
    </row>
    <row r="1555" spans="1:7" s="976" customFormat="1" ht="14.1" hidden="1">
      <c r="A1555" s="969"/>
      <c r="B1555" s="970"/>
      <c r="C1555" s="1230">
        <f>SUM(C1553:C1554)</f>
        <v>41.548000000000002</v>
      </c>
      <c r="D1555" s="968" t="s">
        <v>462</v>
      </c>
      <c r="E1555" s="957">
        <f>[8]LEAD!$P$30/1000</f>
        <v>49</v>
      </c>
      <c r="F1555" s="968" t="s">
        <v>462</v>
      </c>
      <c r="G1555" s="957">
        <f>ROUND(C1555*E1555,2)</f>
        <v>2035.85</v>
      </c>
    </row>
    <row r="1556" spans="1:7" s="976" customFormat="1" ht="14.1" hidden="1">
      <c r="A1556" s="955">
        <v>3</v>
      </c>
      <c r="B1556" s="970" t="s">
        <v>2273</v>
      </c>
      <c r="C1556" s="957">
        <f>E1531</f>
        <v>2.0250000000000004</v>
      </c>
      <c r="D1556" s="968" t="s">
        <v>461</v>
      </c>
      <c r="E1556" s="957">
        <f>E1550</f>
        <v>497.4</v>
      </c>
      <c r="F1556" s="968" t="s">
        <v>2274</v>
      </c>
      <c r="G1556" s="957">
        <f>ROUND(C1556*E1556/10,2)</f>
        <v>100.72</v>
      </c>
    </row>
    <row r="1557" spans="1:7" s="976" customFormat="1" ht="14.1" hidden="1">
      <c r="A1557" s="955">
        <v>4</v>
      </c>
      <c r="B1557" s="971" t="s">
        <v>2497</v>
      </c>
      <c r="C1557" s="957">
        <f>C1555</f>
        <v>41.548000000000002</v>
      </c>
      <c r="D1557" s="968" t="s">
        <v>462</v>
      </c>
      <c r="E1557" s="957">
        <f>30+4</f>
        <v>34</v>
      </c>
      <c r="F1557" s="968" t="s">
        <v>462</v>
      </c>
      <c r="G1557" s="957">
        <f>ROUND(C1557*E1557,2)</f>
        <v>1412.63</v>
      </c>
    </row>
    <row r="1558" spans="1:7" s="954" customFormat="1" hidden="1">
      <c r="A1558" s="955">
        <v>5</v>
      </c>
      <c r="B1558" s="971" t="s">
        <v>2275</v>
      </c>
      <c r="C1558" s="957">
        <f>'[8]C-data (K)'!$E$5</f>
        <v>0.2</v>
      </c>
      <c r="D1558" s="968"/>
      <c r="E1558" s="957">
        <f>G1557</f>
        <v>1412.63</v>
      </c>
      <c r="F1558" s="968"/>
      <c r="G1558" s="957">
        <f>ROUND(C1558*E1558,2)</f>
        <v>282.52999999999997</v>
      </c>
    </row>
    <row r="1559" spans="1:7" s="976" customFormat="1" ht="14.1" hidden="1">
      <c r="A1559" s="955"/>
      <c r="B1559" s="971"/>
      <c r="C1559" s="960"/>
      <c r="D1559" s="957"/>
      <c r="E1559" s="960"/>
      <c r="F1559" s="957"/>
      <c r="G1559" s="1230">
        <f>SUM(G1555:G1558)</f>
        <v>3831.7299999999996</v>
      </c>
    </row>
    <row r="1560" spans="1:7" s="976" customFormat="1" ht="14.1" hidden="1">
      <c r="A1560" s="955">
        <v>6</v>
      </c>
      <c r="B1560" s="1277" t="str">
        <f>'[8]C-data (K)'!$C$174</f>
        <v>Add 5% over heads</v>
      </c>
      <c r="C1560" s="974">
        <f>'[8]C-data (K)'!$D$3</f>
        <v>0</v>
      </c>
      <c r="D1560" s="957"/>
      <c r="E1560" s="960"/>
      <c r="F1560" s="957"/>
      <c r="G1560" s="957">
        <f>G1559*C1560</f>
        <v>0</v>
      </c>
    </row>
    <row r="1561" spans="1:7" s="976" customFormat="1" hidden="1">
      <c r="A1561" s="955"/>
      <c r="B1561" s="971"/>
      <c r="C1561" s="957"/>
      <c r="D1561" s="957"/>
      <c r="E1561" s="960"/>
      <c r="F1561" s="957"/>
      <c r="G1561" s="957">
        <f>SUM(G1559:G1560)</f>
        <v>3831.7299999999996</v>
      </c>
    </row>
    <row r="1562" spans="1:7" s="976" customFormat="1" ht="14.1" hidden="1">
      <c r="A1562" s="955"/>
      <c r="B1562" s="975" t="s">
        <v>1806</v>
      </c>
      <c r="C1562" s="960"/>
      <c r="D1562" s="957"/>
      <c r="E1562" s="1612" t="s">
        <v>2276</v>
      </c>
      <c r="F1562" s="1612"/>
      <c r="G1562" s="1230">
        <f>ROUND(G1561,0)</f>
        <v>3832</v>
      </c>
    </row>
    <row r="1563" spans="1:7" s="976" customFormat="1" ht="14.1" hidden="1">
      <c r="A1563" s="953"/>
      <c r="B1563" s="1611"/>
      <c r="C1563" s="1611"/>
      <c r="D1563" s="1611"/>
      <c r="E1563" s="1611"/>
      <c r="F1563" s="1611"/>
      <c r="G1563" s="1611"/>
    </row>
    <row r="1564" spans="1:7" s="976" customFormat="1" ht="14.1" hidden="1">
      <c r="A1564" s="955"/>
      <c r="B1564" s="956"/>
      <c r="C1564" s="957"/>
      <c r="D1564" s="957"/>
      <c r="E1564" s="1230"/>
      <c r="F1564" s="958"/>
      <c r="G1564" s="958"/>
    </row>
    <row r="1565" spans="1:7" s="976" customFormat="1" ht="14.1" hidden="1">
      <c r="A1565" s="955"/>
      <c r="B1565" s="1229"/>
      <c r="C1565" s="959"/>
      <c r="D1565" s="958"/>
      <c r="E1565" s="960"/>
      <c r="F1565" s="958"/>
      <c r="G1565" s="958"/>
    </row>
    <row r="1566" spans="1:7" s="976" customFormat="1" ht="14.1" hidden="1">
      <c r="A1566" s="955"/>
      <c r="B1566" s="1229"/>
      <c r="C1566" s="959"/>
      <c r="D1566" s="958"/>
      <c r="E1566" s="960"/>
      <c r="F1566" s="958"/>
      <c r="G1566" s="958"/>
    </row>
    <row r="1567" spans="1:7" s="976" customFormat="1" ht="14.1" hidden="1">
      <c r="A1567" s="955"/>
      <c r="B1567" s="1229"/>
      <c r="C1567" s="960"/>
      <c r="D1567" s="957"/>
      <c r="E1567" s="957"/>
      <c r="F1567" s="962"/>
      <c r="G1567" s="958"/>
    </row>
    <row r="1568" spans="1:7" s="976" customFormat="1" ht="14.1" hidden="1">
      <c r="A1568" s="955"/>
      <c r="B1568" s="1229"/>
      <c r="C1568" s="960"/>
      <c r="D1568" s="957"/>
      <c r="E1568" s="957"/>
      <c r="F1568" s="962"/>
      <c r="G1568" s="958"/>
    </row>
    <row r="1569" spans="1:7" s="976" customFormat="1" ht="14.1" hidden="1">
      <c r="A1569" s="955"/>
      <c r="B1569" s="1229"/>
      <c r="C1569" s="960"/>
      <c r="D1569" s="957"/>
      <c r="E1569" s="957"/>
      <c r="F1569" s="962"/>
      <c r="G1569" s="958"/>
    </row>
    <row r="1570" spans="1:7" s="976" customFormat="1" ht="14.1" hidden="1">
      <c r="A1570" s="955"/>
      <c r="B1570" s="1229"/>
      <c r="C1570" s="960"/>
      <c r="D1570" s="957"/>
      <c r="E1570" s="1230"/>
      <c r="F1570" s="962"/>
      <c r="G1570" s="958"/>
    </row>
    <row r="1571" spans="1:7" s="976" customFormat="1" ht="14.1" hidden="1">
      <c r="A1571" s="955"/>
      <c r="B1571" s="1229"/>
      <c r="C1571" s="957"/>
      <c r="D1571" s="957"/>
      <c r="E1571" s="957"/>
      <c r="F1571" s="962"/>
      <c r="G1571" s="958"/>
    </row>
    <row r="1572" spans="1:7" s="976" customFormat="1" ht="14.1" hidden="1">
      <c r="A1572" s="955"/>
      <c r="B1572" s="963"/>
      <c r="C1572" s="957"/>
      <c r="D1572" s="957"/>
      <c r="E1572" s="957"/>
      <c r="F1572" s="1230"/>
      <c r="G1572" s="964"/>
    </row>
    <row r="1573" spans="1:7" s="976" customFormat="1" ht="14.1" hidden="1">
      <c r="A1573" s="955"/>
      <c r="B1573" s="963"/>
      <c r="C1573" s="957"/>
      <c r="D1573" s="957"/>
      <c r="E1573" s="957"/>
      <c r="F1573" s="1230"/>
      <c r="G1573" s="964"/>
    </row>
    <row r="1574" spans="1:7" s="976" customFormat="1" ht="14.1" hidden="1">
      <c r="A1574" s="955"/>
      <c r="B1574" s="1229"/>
      <c r="C1574" s="959"/>
      <c r="D1574" s="958"/>
      <c r="E1574" s="960"/>
      <c r="F1574" s="958"/>
      <c r="G1574" s="958"/>
    </row>
    <row r="1575" spans="1:7" s="976" customFormat="1" ht="14.1" hidden="1">
      <c r="A1575" s="955"/>
      <c r="B1575" s="1229"/>
      <c r="C1575" s="960"/>
      <c r="D1575" s="957"/>
      <c r="E1575" s="957"/>
      <c r="F1575" s="962"/>
      <c r="G1575" s="958"/>
    </row>
    <row r="1576" spans="1:7" s="976" customFormat="1" ht="14.1" hidden="1">
      <c r="A1576" s="955"/>
      <c r="B1576" s="1229"/>
      <c r="C1576" s="960"/>
      <c r="D1576" s="957"/>
      <c r="E1576" s="957"/>
      <c r="F1576" s="962"/>
      <c r="G1576" s="958"/>
    </row>
    <row r="1577" spans="1:7" s="976" customFormat="1" ht="14.1" hidden="1">
      <c r="A1577" s="955"/>
      <c r="B1577" s="1229"/>
      <c r="C1577" s="960"/>
      <c r="D1577" s="957"/>
      <c r="E1577" s="1230"/>
      <c r="F1577" s="962"/>
      <c r="G1577" s="958"/>
    </row>
    <row r="1578" spans="1:7" s="976" customFormat="1" ht="14.1" hidden="1">
      <c r="A1578" s="955"/>
      <c r="B1578" s="1229"/>
      <c r="C1578" s="957"/>
      <c r="D1578" s="957"/>
      <c r="E1578" s="957"/>
      <c r="F1578" s="962"/>
      <c r="G1578" s="958"/>
    </row>
    <row r="1579" spans="1:7" s="976" customFormat="1" ht="14.1" hidden="1">
      <c r="A1579" s="955"/>
      <c r="B1579" s="963"/>
      <c r="C1579" s="957"/>
      <c r="D1579" s="957"/>
      <c r="E1579" s="957"/>
      <c r="F1579" s="1230"/>
      <c r="G1579" s="964"/>
    </row>
    <row r="1580" spans="1:7" s="976" customFormat="1" ht="14.1" hidden="1">
      <c r="A1580" s="955"/>
      <c r="B1580" s="963"/>
      <c r="C1580" s="957"/>
      <c r="D1580" s="957"/>
      <c r="E1580" s="957"/>
      <c r="F1580" s="1230"/>
      <c r="G1580" s="964"/>
    </row>
    <row r="1581" spans="1:7" s="976" customFormat="1" ht="14.1" hidden="1">
      <c r="A1581" s="955"/>
      <c r="B1581" s="961"/>
      <c r="C1581" s="959"/>
      <c r="D1581" s="958"/>
      <c r="E1581" s="960"/>
      <c r="F1581" s="958"/>
      <c r="G1581" s="958"/>
    </row>
    <row r="1582" spans="1:7" s="976" customFormat="1" ht="14.1" hidden="1">
      <c r="A1582" s="955"/>
      <c r="B1582" s="1229"/>
      <c r="C1582" s="960"/>
      <c r="D1582" s="957"/>
      <c r="E1582" s="957"/>
      <c r="F1582" s="962"/>
      <c r="G1582" s="958"/>
    </row>
    <row r="1583" spans="1:7" s="976" customFormat="1" ht="14.1" hidden="1">
      <c r="A1583" s="955"/>
      <c r="B1583" s="1229"/>
      <c r="C1583" s="960"/>
      <c r="D1583" s="957"/>
      <c r="E1583" s="957"/>
      <c r="F1583" s="962"/>
      <c r="G1583" s="958"/>
    </row>
    <row r="1584" spans="1:7" s="976" customFormat="1" ht="14.1" hidden="1">
      <c r="A1584" s="955"/>
      <c r="B1584" s="1229"/>
      <c r="C1584" s="960"/>
      <c r="D1584" s="957"/>
      <c r="E1584" s="1230"/>
      <c r="F1584" s="962"/>
      <c r="G1584" s="958"/>
    </row>
    <row r="1585" spans="1:7" s="976" customFormat="1" ht="14.1" hidden="1">
      <c r="A1585" s="955"/>
      <c r="B1585" s="1229"/>
      <c r="C1585" s="957"/>
      <c r="D1585" s="957"/>
      <c r="E1585" s="957"/>
      <c r="F1585" s="962"/>
      <c r="G1585" s="958"/>
    </row>
    <row r="1586" spans="1:7" s="976" customFormat="1" ht="14.1" hidden="1">
      <c r="A1586" s="955"/>
      <c r="B1586" s="963"/>
      <c r="C1586" s="957"/>
      <c r="D1586" s="957"/>
      <c r="E1586" s="957"/>
      <c r="F1586" s="1230"/>
      <c r="G1586" s="964"/>
    </row>
    <row r="1587" spans="1:7" s="976" customFormat="1" ht="14.1" hidden="1">
      <c r="A1587" s="955"/>
      <c r="B1587" s="963"/>
      <c r="C1587" s="957"/>
      <c r="D1587" s="957"/>
      <c r="E1587" s="957"/>
      <c r="F1587" s="1230"/>
      <c r="G1587" s="964"/>
    </row>
    <row r="1588" spans="1:7" s="976" customFormat="1" ht="14.1" hidden="1">
      <c r="A1588" s="955"/>
      <c r="B1588" s="961"/>
      <c r="C1588" s="960"/>
      <c r="D1588" s="957"/>
      <c r="E1588" s="957"/>
      <c r="F1588" s="1230"/>
      <c r="G1588" s="964"/>
    </row>
    <row r="1589" spans="1:7" s="976" customFormat="1" ht="14.1" hidden="1">
      <c r="A1589" s="955"/>
      <c r="B1589" s="1229"/>
      <c r="C1589" s="960"/>
      <c r="D1589" s="965"/>
      <c r="E1589" s="957"/>
      <c r="F1589" s="962"/>
      <c r="G1589" s="958"/>
    </row>
    <row r="1590" spans="1:7" s="976" customFormat="1" ht="14.1" hidden="1">
      <c r="A1590" s="955"/>
      <c r="B1590" s="1229"/>
      <c r="C1590" s="960"/>
      <c r="D1590" s="965"/>
      <c r="E1590" s="957"/>
      <c r="F1590" s="962"/>
      <c r="G1590" s="958"/>
    </row>
    <row r="1591" spans="1:7" s="976" customFormat="1" ht="14.1" hidden="1">
      <c r="A1591" s="955"/>
      <c r="B1591" s="1229"/>
      <c r="C1591" s="960"/>
      <c r="D1591" s="965"/>
      <c r="E1591" s="957"/>
      <c r="F1591" s="962"/>
      <c r="G1591" s="958"/>
    </row>
    <row r="1592" spans="1:7" s="976" customFormat="1" ht="14.1" hidden="1">
      <c r="A1592" s="955"/>
      <c r="B1592" s="963"/>
      <c r="C1592" s="960"/>
      <c r="D1592" s="957"/>
      <c r="E1592" s="1230"/>
      <c r="F1592" s="964"/>
      <c r="G1592" s="964"/>
    </row>
    <row r="1593" spans="1:7" s="976" customFormat="1" ht="14.1" hidden="1">
      <c r="A1593" s="955"/>
      <c r="B1593" s="963"/>
      <c r="C1593" s="960"/>
      <c r="D1593" s="957"/>
      <c r="E1593" s="1230"/>
      <c r="F1593" s="964"/>
      <c r="G1593" s="964"/>
    </row>
    <row r="1594" spans="1:7" s="976" customFormat="1" ht="14.1" hidden="1">
      <c r="A1594" s="953"/>
      <c r="B1594" s="953"/>
      <c r="C1594" s="953"/>
      <c r="D1594" s="967"/>
      <c r="E1594" s="953"/>
      <c r="F1594" s="967"/>
      <c r="G1594" s="967"/>
    </row>
    <row r="1595" spans="1:7" s="976" customFormat="1" ht="14.1" hidden="1">
      <c r="A1595" s="955"/>
      <c r="B1595" s="1229"/>
      <c r="C1595" s="957"/>
      <c r="D1595" s="968"/>
      <c r="E1595" s="957"/>
      <c r="F1595" s="964"/>
      <c r="G1595" s="1230"/>
    </row>
    <row r="1596" spans="1:7" s="976" customFormat="1" ht="14.1" hidden="1">
      <c r="A1596" s="955"/>
      <c r="B1596" s="1229"/>
      <c r="C1596" s="957"/>
      <c r="D1596" s="968"/>
      <c r="E1596" s="957"/>
      <c r="F1596" s="964"/>
      <c r="G1596" s="1230"/>
    </row>
    <row r="1597" spans="1:7" s="976" customFormat="1" hidden="1">
      <c r="A1597" s="955"/>
      <c r="B1597" s="1229"/>
      <c r="C1597" s="957"/>
      <c r="D1597" s="968"/>
      <c r="E1597" s="957"/>
      <c r="F1597" s="968"/>
      <c r="G1597" s="957"/>
    </row>
    <row r="1598" spans="1:7" s="976" customFormat="1" ht="14.1" hidden="1">
      <c r="A1598" s="969"/>
      <c r="B1598" s="970"/>
      <c r="C1598" s="1230"/>
      <c r="D1598" s="968"/>
      <c r="E1598" s="957"/>
      <c r="F1598" s="968"/>
      <c r="G1598" s="957"/>
    </row>
    <row r="1599" spans="1:7" s="976" customFormat="1" ht="14.1" hidden="1">
      <c r="A1599" s="955"/>
      <c r="B1599" s="970"/>
      <c r="C1599" s="957"/>
      <c r="D1599" s="968"/>
      <c r="E1599" s="957"/>
      <c r="F1599" s="968"/>
      <c r="G1599" s="957"/>
    </row>
    <row r="1600" spans="1:7" s="976" customFormat="1" hidden="1">
      <c r="A1600" s="955"/>
      <c r="B1600" s="971"/>
      <c r="C1600" s="957"/>
      <c r="D1600" s="968"/>
      <c r="E1600" s="957"/>
      <c r="F1600" s="968"/>
      <c r="G1600" s="957"/>
    </row>
    <row r="1601" spans="1:7" s="954" customFormat="1" hidden="1">
      <c r="A1601" s="955"/>
      <c r="B1601" s="971"/>
      <c r="C1601" s="957"/>
      <c r="D1601" s="968"/>
      <c r="E1601" s="957"/>
      <c r="F1601" s="968"/>
      <c r="G1601" s="957"/>
    </row>
    <row r="1602" spans="1:7" s="976" customFormat="1" ht="14.1" hidden="1">
      <c r="A1602" s="955"/>
      <c r="B1602" s="971"/>
      <c r="C1602" s="960"/>
      <c r="D1602" s="957"/>
      <c r="E1602" s="960"/>
      <c r="F1602" s="957"/>
      <c r="G1602" s="1230"/>
    </row>
    <row r="1603" spans="1:7" s="976" customFormat="1" ht="14.1" hidden="1">
      <c r="A1603" s="955"/>
      <c r="B1603" s="1277"/>
      <c r="C1603" s="974"/>
      <c r="D1603" s="957"/>
      <c r="E1603" s="960"/>
      <c r="F1603" s="957"/>
      <c r="G1603" s="957"/>
    </row>
    <row r="1604" spans="1:7" s="976" customFormat="1" hidden="1">
      <c r="A1604" s="955"/>
      <c r="B1604" s="971"/>
      <c r="C1604" s="957"/>
      <c r="D1604" s="957"/>
      <c r="E1604" s="960"/>
      <c r="F1604" s="957"/>
      <c r="G1604" s="957"/>
    </row>
    <row r="1605" spans="1:7" s="976" customFormat="1" ht="14.1" hidden="1">
      <c r="A1605" s="955"/>
      <c r="B1605" s="975"/>
      <c r="C1605" s="960"/>
      <c r="D1605" s="957"/>
      <c r="E1605" s="1612"/>
      <c r="F1605" s="1612"/>
      <c r="G1605" s="1230"/>
    </row>
    <row r="1606" spans="1:7" s="976" customFormat="1" ht="14.1" hidden="1">
      <c r="A1606" s="953"/>
      <c r="B1606" s="1611"/>
      <c r="C1606" s="1611"/>
      <c r="D1606" s="1611"/>
      <c r="E1606" s="1611"/>
      <c r="F1606" s="1611"/>
      <c r="G1606" s="1611"/>
    </row>
    <row r="1607" spans="1:7" s="976" customFormat="1" ht="14.1" hidden="1">
      <c r="A1607" s="955"/>
      <c r="B1607" s="956"/>
      <c r="C1607" s="957"/>
      <c r="D1607" s="957"/>
      <c r="E1607" s="1230"/>
      <c r="F1607" s="958"/>
      <c r="G1607" s="958"/>
    </row>
    <row r="1608" spans="1:7" s="976" customFormat="1" ht="14.1" hidden="1">
      <c r="A1608" s="955"/>
      <c r="B1608" s="1229"/>
      <c r="C1608" s="959"/>
      <c r="D1608" s="958"/>
      <c r="E1608" s="960"/>
      <c r="F1608" s="958"/>
      <c r="G1608" s="958"/>
    </row>
    <row r="1609" spans="1:7" s="976" customFormat="1" ht="14.1" hidden="1">
      <c r="A1609" s="955"/>
      <c r="B1609" s="1229"/>
      <c r="C1609" s="959"/>
      <c r="D1609" s="958"/>
      <c r="E1609" s="960"/>
      <c r="F1609" s="958"/>
      <c r="G1609" s="958"/>
    </row>
    <row r="1610" spans="1:7" s="976" customFormat="1" ht="14.1" hidden="1">
      <c r="A1610" s="955"/>
      <c r="B1610" s="1229"/>
      <c r="C1610" s="960"/>
      <c r="D1610" s="957"/>
      <c r="E1610" s="957"/>
      <c r="F1610" s="962"/>
      <c r="G1610" s="958"/>
    </row>
    <row r="1611" spans="1:7" s="976" customFormat="1" ht="14.1" hidden="1">
      <c r="A1611" s="955"/>
      <c r="B1611" s="1229"/>
      <c r="C1611" s="960"/>
      <c r="D1611" s="957"/>
      <c r="E1611" s="957"/>
      <c r="F1611" s="962"/>
      <c r="G1611" s="958"/>
    </row>
    <row r="1612" spans="1:7" s="976" customFormat="1" ht="14.1" hidden="1">
      <c r="A1612" s="955"/>
      <c r="B1612" s="1229"/>
      <c r="C1612" s="960"/>
      <c r="D1612" s="957"/>
      <c r="E1612" s="957"/>
      <c r="F1612" s="962"/>
      <c r="G1612" s="958"/>
    </row>
    <row r="1613" spans="1:7" s="976" customFormat="1" ht="14.1" hidden="1">
      <c r="A1613" s="955"/>
      <c r="B1613" s="1229"/>
      <c r="C1613" s="960"/>
      <c r="D1613" s="957"/>
      <c r="E1613" s="1230"/>
      <c r="F1613" s="962"/>
      <c r="G1613" s="958"/>
    </row>
    <row r="1614" spans="1:7" s="976" customFormat="1" ht="14.1" hidden="1">
      <c r="A1614" s="955"/>
      <c r="B1614" s="1229"/>
      <c r="C1614" s="957"/>
      <c r="D1614" s="957"/>
      <c r="E1614" s="957"/>
      <c r="F1614" s="962"/>
      <c r="G1614" s="958"/>
    </row>
    <row r="1615" spans="1:7" s="976" customFormat="1" ht="14.1" hidden="1">
      <c r="A1615" s="955"/>
      <c r="B1615" s="963"/>
      <c r="C1615" s="957"/>
      <c r="D1615" s="957"/>
      <c r="E1615" s="957"/>
      <c r="F1615" s="1230"/>
      <c r="G1615" s="964"/>
    </row>
    <row r="1616" spans="1:7" s="976" customFormat="1" ht="14.1" hidden="1">
      <c r="A1616" s="955"/>
      <c r="B1616" s="963"/>
      <c r="C1616" s="957"/>
      <c r="D1616" s="957"/>
      <c r="E1616" s="957"/>
      <c r="F1616" s="1230"/>
      <c r="G1616" s="964"/>
    </row>
    <row r="1617" spans="1:7" s="976" customFormat="1" ht="14.1" hidden="1">
      <c r="A1617" s="955"/>
      <c r="B1617" s="1229"/>
      <c r="C1617" s="959"/>
      <c r="D1617" s="958"/>
      <c r="E1617" s="960"/>
      <c r="F1617" s="958"/>
      <c r="G1617" s="958"/>
    </row>
    <row r="1618" spans="1:7" s="976" customFormat="1" ht="14.1">
      <c r="A1618" s="955"/>
      <c r="B1618" s="1229" t="s">
        <v>2586</v>
      </c>
      <c r="C1618" s="955">
        <v>74.34</v>
      </c>
      <c r="D1618" s="957"/>
      <c r="E1618" s="957"/>
      <c r="F1618" s="962"/>
      <c r="G1618" s="958"/>
    </row>
    <row r="1619" spans="1:7" s="976" customFormat="1" ht="14.1">
      <c r="A1619" s="955"/>
      <c r="B1619" t="s">
        <v>2584</v>
      </c>
      <c r="C1619" s="955">
        <v>33</v>
      </c>
      <c r="D1619" s="957"/>
      <c r="E1619" s="957"/>
      <c r="F1619" s="962"/>
      <c r="G1619" s="958"/>
    </row>
    <row r="1620" spans="1:7" s="976" customFormat="1" ht="14.1">
      <c r="A1620" s="955"/>
      <c r="B1620" s="1229" t="s">
        <v>2585</v>
      </c>
      <c r="C1620" s="955">
        <v>5</v>
      </c>
      <c r="D1620" s="957"/>
      <c r="E1620" s="1230"/>
      <c r="F1620" s="962"/>
      <c r="G1620" s="958"/>
    </row>
    <row r="1621" spans="1:7" s="976" customFormat="1" ht="14.1">
      <c r="A1621" s="955"/>
      <c r="B1621" s="1324" t="s">
        <v>2594</v>
      </c>
      <c r="C1621" s="1311">
        <f>SUM(C1618:C1620)</f>
        <v>112.34</v>
      </c>
      <c r="D1621" s="957"/>
      <c r="E1621" s="957"/>
      <c r="F1621" s="962"/>
      <c r="G1621" s="958"/>
    </row>
    <row r="1622" spans="1:7" s="976" customFormat="1" ht="14.1">
      <c r="A1622" s="955"/>
      <c r="B1622" s="963"/>
      <c r="C1622" s="957"/>
      <c r="D1622" s="957"/>
      <c r="E1622" s="957"/>
      <c r="F1622" s="1230"/>
      <c r="G1622" s="964"/>
    </row>
  </sheetData>
  <mergeCells count="88">
    <mergeCell ref="B75:G75"/>
    <mergeCell ref="A1:G1"/>
    <mergeCell ref="B3:G3"/>
    <mergeCell ref="E37:F37"/>
    <mergeCell ref="B39:G39"/>
    <mergeCell ref="E73:F73"/>
    <mergeCell ref="B291:G291"/>
    <mergeCell ref="E109:F109"/>
    <mergeCell ref="B111:G111"/>
    <mergeCell ref="E145:F145"/>
    <mergeCell ref="B147:G147"/>
    <mergeCell ref="E181:F181"/>
    <mergeCell ref="B183:G183"/>
    <mergeCell ref="E217:F217"/>
    <mergeCell ref="B219:G219"/>
    <mergeCell ref="E253:F253"/>
    <mergeCell ref="B255:G255"/>
    <mergeCell ref="E289:F289"/>
    <mergeCell ref="B507:G507"/>
    <mergeCell ref="E325:F325"/>
    <mergeCell ref="B327:G327"/>
    <mergeCell ref="E361:F361"/>
    <mergeCell ref="B363:G363"/>
    <mergeCell ref="E397:F397"/>
    <mergeCell ref="B399:G399"/>
    <mergeCell ref="E433:F433"/>
    <mergeCell ref="B435:G435"/>
    <mergeCell ref="E469:F469"/>
    <mergeCell ref="B471:G471"/>
    <mergeCell ref="E505:F505"/>
    <mergeCell ref="B717:G717"/>
    <mergeCell ref="E541:F541"/>
    <mergeCell ref="B543:G543"/>
    <mergeCell ref="E577:F577"/>
    <mergeCell ref="B579:G579"/>
    <mergeCell ref="E613:F613"/>
    <mergeCell ref="B615:G615"/>
    <mergeCell ref="E647:F647"/>
    <mergeCell ref="B649:G649"/>
    <mergeCell ref="E681:F681"/>
    <mergeCell ref="B683:G683"/>
    <mergeCell ref="E715:F715"/>
    <mergeCell ref="B931:G931"/>
    <mergeCell ref="E749:F749"/>
    <mergeCell ref="B751:G751"/>
    <mergeCell ref="E785:F785"/>
    <mergeCell ref="B787:G787"/>
    <mergeCell ref="E821:F821"/>
    <mergeCell ref="B823:G823"/>
    <mergeCell ref="E857:F857"/>
    <mergeCell ref="B859:G859"/>
    <mergeCell ref="E893:F893"/>
    <mergeCell ref="B895:G895"/>
    <mergeCell ref="E929:F929"/>
    <mergeCell ref="B1147:G1147"/>
    <mergeCell ref="E965:F965"/>
    <mergeCell ref="B967:G967"/>
    <mergeCell ref="E1001:F1001"/>
    <mergeCell ref="B1003:G1003"/>
    <mergeCell ref="E1037:F1037"/>
    <mergeCell ref="B1039:G1039"/>
    <mergeCell ref="E1073:F1073"/>
    <mergeCell ref="B1075:G1075"/>
    <mergeCell ref="E1109:F1109"/>
    <mergeCell ref="B1111:G1111"/>
    <mergeCell ref="E1145:F1145"/>
    <mergeCell ref="B1391:G1391"/>
    <mergeCell ref="E1189:F1189"/>
    <mergeCell ref="B1191:G1191"/>
    <mergeCell ref="E1225:F1225"/>
    <mergeCell ref="B1227:G1227"/>
    <mergeCell ref="E1261:F1261"/>
    <mergeCell ref="B1262:G1262"/>
    <mergeCell ref="E1304:F1304"/>
    <mergeCell ref="B1305:G1305"/>
    <mergeCell ref="E1347:F1347"/>
    <mergeCell ref="B1348:G1348"/>
    <mergeCell ref="E1390:F1390"/>
    <mergeCell ref="E1562:F1562"/>
    <mergeCell ref="B1563:G1563"/>
    <mergeCell ref="E1605:F1605"/>
    <mergeCell ref="B1606:G1606"/>
    <mergeCell ref="E1433:F1433"/>
    <mergeCell ref="B1434:G1434"/>
    <mergeCell ref="E1476:F1476"/>
    <mergeCell ref="B1477:G1477"/>
    <mergeCell ref="E1519:F1519"/>
    <mergeCell ref="B1520:G1520"/>
  </mergeCells>
  <pageMargins left="0.7" right="0.7" top="0.75" bottom="0.75" header="0.3" footer="0.3"/>
  <pageSetup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AF44C-966A-419F-B8D2-EE13DA7DEF5F}">
  <dimension ref="A1:IV25"/>
  <sheetViews>
    <sheetView topLeftCell="B1" workbookViewId="0">
      <selection activeCell="L3" sqref="L3"/>
    </sheetView>
  </sheetViews>
  <sheetFormatPr defaultRowHeight="12.3"/>
  <cols>
    <col min="1" max="1" width="9.26171875" style="1341" customWidth="1"/>
    <col min="2" max="2" width="12.26171875" style="1341" customWidth="1"/>
    <col min="3" max="3" width="22.68359375" style="1341" customWidth="1"/>
    <col min="4" max="4" width="11.68359375" style="1341" customWidth="1"/>
    <col min="5" max="5" width="13.578125" style="1341" customWidth="1"/>
    <col min="6" max="6" width="14.26171875" style="1341" customWidth="1"/>
    <col min="7" max="7" width="11.578125" style="1341" bestFit="1" customWidth="1"/>
    <col min="8" max="8" width="8" style="1341" customWidth="1"/>
    <col min="9" max="9" width="8.83984375" style="1341"/>
    <col min="10" max="10" width="6.41796875" style="1341" customWidth="1"/>
    <col min="11" max="11" width="11" style="1341" customWidth="1"/>
    <col min="12" max="12" width="6.68359375" style="1341" customWidth="1"/>
    <col min="13" max="13" width="7.15625" style="1341" customWidth="1"/>
    <col min="14" max="14" width="6.68359375" style="1341" customWidth="1"/>
    <col min="15" max="16" width="8.83984375" style="1341"/>
    <col min="17" max="17" width="7.578125" style="1341" customWidth="1"/>
    <col min="18" max="18" width="8.83984375" style="1341"/>
    <col min="19" max="20" width="11.68359375" style="1341" customWidth="1"/>
    <col min="21" max="21" width="14.83984375" style="1341" customWidth="1"/>
    <col min="22" max="256" width="8.83984375" style="1341"/>
    <col min="257" max="257" width="9.26171875" style="1341" customWidth="1"/>
    <col min="258" max="258" width="12.26171875" style="1341" customWidth="1"/>
    <col min="259" max="259" width="22.68359375" style="1341" customWidth="1"/>
    <col min="260" max="260" width="11.68359375" style="1341" customWidth="1"/>
    <col min="261" max="261" width="13.578125" style="1341" customWidth="1"/>
    <col min="262" max="262" width="14.26171875" style="1341" customWidth="1"/>
    <col min="263" max="263" width="11.578125" style="1341" bestFit="1" customWidth="1"/>
    <col min="264" max="264" width="8" style="1341" customWidth="1"/>
    <col min="265" max="265" width="8.83984375" style="1341"/>
    <col min="266" max="266" width="6.41796875" style="1341" customWidth="1"/>
    <col min="267" max="267" width="11" style="1341" customWidth="1"/>
    <col min="268" max="268" width="6.68359375" style="1341" customWidth="1"/>
    <col min="269" max="269" width="7.15625" style="1341" customWidth="1"/>
    <col min="270" max="270" width="6.68359375" style="1341" customWidth="1"/>
    <col min="271" max="272" width="8.83984375" style="1341"/>
    <col min="273" max="273" width="7.578125" style="1341" customWidth="1"/>
    <col min="274" max="274" width="8.83984375" style="1341"/>
    <col min="275" max="276" width="11.68359375" style="1341" customWidth="1"/>
    <col min="277" max="277" width="14.83984375" style="1341" customWidth="1"/>
    <col min="278" max="512" width="8.83984375" style="1341"/>
    <col min="513" max="513" width="9.26171875" style="1341" customWidth="1"/>
    <col min="514" max="514" width="12.26171875" style="1341" customWidth="1"/>
    <col min="515" max="515" width="22.68359375" style="1341" customWidth="1"/>
    <col min="516" max="516" width="11.68359375" style="1341" customWidth="1"/>
    <col min="517" max="517" width="13.578125" style="1341" customWidth="1"/>
    <col min="518" max="518" width="14.26171875" style="1341" customWidth="1"/>
    <col min="519" max="519" width="11.578125" style="1341" bestFit="1" customWidth="1"/>
    <col min="520" max="520" width="8" style="1341" customWidth="1"/>
    <col min="521" max="521" width="8.83984375" style="1341"/>
    <col min="522" max="522" width="6.41796875" style="1341" customWidth="1"/>
    <col min="523" max="523" width="11" style="1341" customWidth="1"/>
    <col min="524" max="524" width="6.68359375" style="1341" customWidth="1"/>
    <col min="525" max="525" width="7.15625" style="1341" customWidth="1"/>
    <col min="526" max="526" width="6.68359375" style="1341" customWidth="1"/>
    <col min="527" max="528" width="8.83984375" style="1341"/>
    <col min="529" max="529" width="7.578125" style="1341" customWidth="1"/>
    <col min="530" max="530" width="8.83984375" style="1341"/>
    <col min="531" max="532" width="11.68359375" style="1341" customWidth="1"/>
    <col min="533" max="533" width="14.83984375" style="1341" customWidth="1"/>
    <col min="534" max="768" width="8.83984375" style="1341"/>
    <col min="769" max="769" width="9.26171875" style="1341" customWidth="1"/>
    <col min="770" max="770" width="12.26171875" style="1341" customWidth="1"/>
    <col min="771" max="771" width="22.68359375" style="1341" customWidth="1"/>
    <col min="772" max="772" width="11.68359375" style="1341" customWidth="1"/>
    <col min="773" max="773" width="13.578125" style="1341" customWidth="1"/>
    <col min="774" max="774" width="14.26171875" style="1341" customWidth="1"/>
    <col min="775" max="775" width="11.578125" style="1341" bestFit="1" customWidth="1"/>
    <col min="776" max="776" width="8" style="1341" customWidth="1"/>
    <col min="777" max="777" width="8.83984375" style="1341"/>
    <col min="778" max="778" width="6.41796875" style="1341" customWidth="1"/>
    <col min="779" max="779" width="11" style="1341" customWidth="1"/>
    <col min="780" max="780" width="6.68359375" style="1341" customWidth="1"/>
    <col min="781" max="781" width="7.15625" style="1341" customWidth="1"/>
    <col min="782" max="782" width="6.68359375" style="1341" customWidth="1"/>
    <col min="783" max="784" width="8.83984375" style="1341"/>
    <col min="785" max="785" width="7.578125" style="1341" customWidth="1"/>
    <col min="786" max="786" width="8.83984375" style="1341"/>
    <col min="787" max="788" width="11.68359375" style="1341" customWidth="1"/>
    <col min="789" max="789" width="14.83984375" style="1341" customWidth="1"/>
    <col min="790" max="1024" width="8.83984375" style="1341"/>
    <col min="1025" max="1025" width="9.26171875" style="1341" customWidth="1"/>
    <col min="1026" max="1026" width="12.26171875" style="1341" customWidth="1"/>
    <col min="1027" max="1027" width="22.68359375" style="1341" customWidth="1"/>
    <col min="1028" max="1028" width="11.68359375" style="1341" customWidth="1"/>
    <col min="1029" max="1029" width="13.578125" style="1341" customWidth="1"/>
    <col min="1030" max="1030" width="14.26171875" style="1341" customWidth="1"/>
    <col min="1031" max="1031" width="11.578125" style="1341" bestFit="1" customWidth="1"/>
    <col min="1032" max="1032" width="8" style="1341" customWidth="1"/>
    <col min="1033" max="1033" width="8.83984375" style="1341"/>
    <col min="1034" max="1034" width="6.41796875" style="1341" customWidth="1"/>
    <col min="1035" max="1035" width="11" style="1341" customWidth="1"/>
    <col min="1036" max="1036" width="6.68359375" style="1341" customWidth="1"/>
    <col min="1037" max="1037" width="7.15625" style="1341" customWidth="1"/>
    <col min="1038" max="1038" width="6.68359375" style="1341" customWidth="1"/>
    <col min="1039" max="1040" width="8.83984375" style="1341"/>
    <col min="1041" max="1041" width="7.578125" style="1341" customWidth="1"/>
    <col min="1042" max="1042" width="8.83984375" style="1341"/>
    <col min="1043" max="1044" width="11.68359375" style="1341" customWidth="1"/>
    <col min="1045" max="1045" width="14.83984375" style="1341" customWidth="1"/>
    <col min="1046" max="1280" width="8.83984375" style="1341"/>
    <col min="1281" max="1281" width="9.26171875" style="1341" customWidth="1"/>
    <col min="1282" max="1282" width="12.26171875" style="1341" customWidth="1"/>
    <col min="1283" max="1283" width="22.68359375" style="1341" customWidth="1"/>
    <col min="1284" max="1284" width="11.68359375" style="1341" customWidth="1"/>
    <col min="1285" max="1285" width="13.578125" style="1341" customWidth="1"/>
    <col min="1286" max="1286" width="14.26171875" style="1341" customWidth="1"/>
    <col min="1287" max="1287" width="11.578125" style="1341" bestFit="1" customWidth="1"/>
    <col min="1288" max="1288" width="8" style="1341" customWidth="1"/>
    <col min="1289" max="1289" width="8.83984375" style="1341"/>
    <col min="1290" max="1290" width="6.41796875" style="1341" customWidth="1"/>
    <col min="1291" max="1291" width="11" style="1341" customWidth="1"/>
    <col min="1292" max="1292" width="6.68359375" style="1341" customWidth="1"/>
    <col min="1293" max="1293" width="7.15625" style="1341" customWidth="1"/>
    <col min="1294" max="1294" width="6.68359375" style="1341" customWidth="1"/>
    <col min="1295" max="1296" width="8.83984375" style="1341"/>
    <col min="1297" max="1297" width="7.578125" style="1341" customWidth="1"/>
    <col min="1298" max="1298" width="8.83984375" style="1341"/>
    <col min="1299" max="1300" width="11.68359375" style="1341" customWidth="1"/>
    <col min="1301" max="1301" width="14.83984375" style="1341" customWidth="1"/>
    <col min="1302" max="1536" width="8.83984375" style="1341"/>
    <col min="1537" max="1537" width="9.26171875" style="1341" customWidth="1"/>
    <col min="1538" max="1538" width="12.26171875" style="1341" customWidth="1"/>
    <col min="1539" max="1539" width="22.68359375" style="1341" customWidth="1"/>
    <col min="1540" max="1540" width="11.68359375" style="1341" customWidth="1"/>
    <col min="1541" max="1541" width="13.578125" style="1341" customWidth="1"/>
    <col min="1542" max="1542" width="14.26171875" style="1341" customWidth="1"/>
    <col min="1543" max="1543" width="11.578125" style="1341" bestFit="1" customWidth="1"/>
    <col min="1544" max="1544" width="8" style="1341" customWidth="1"/>
    <col min="1545" max="1545" width="8.83984375" style="1341"/>
    <col min="1546" max="1546" width="6.41796875" style="1341" customWidth="1"/>
    <col min="1547" max="1547" width="11" style="1341" customWidth="1"/>
    <col min="1548" max="1548" width="6.68359375" style="1341" customWidth="1"/>
    <col min="1549" max="1549" width="7.15625" style="1341" customWidth="1"/>
    <col min="1550" max="1550" width="6.68359375" style="1341" customWidth="1"/>
    <col min="1551" max="1552" width="8.83984375" style="1341"/>
    <col min="1553" max="1553" width="7.578125" style="1341" customWidth="1"/>
    <col min="1554" max="1554" width="8.83984375" style="1341"/>
    <col min="1555" max="1556" width="11.68359375" style="1341" customWidth="1"/>
    <col min="1557" max="1557" width="14.83984375" style="1341" customWidth="1"/>
    <col min="1558" max="1792" width="8.83984375" style="1341"/>
    <col min="1793" max="1793" width="9.26171875" style="1341" customWidth="1"/>
    <col min="1794" max="1794" width="12.26171875" style="1341" customWidth="1"/>
    <col min="1795" max="1795" width="22.68359375" style="1341" customWidth="1"/>
    <col min="1796" max="1796" width="11.68359375" style="1341" customWidth="1"/>
    <col min="1797" max="1797" width="13.578125" style="1341" customWidth="1"/>
    <col min="1798" max="1798" width="14.26171875" style="1341" customWidth="1"/>
    <col min="1799" max="1799" width="11.578125" style="1341" bestFit="1" customWidth="1"/>
    <col min="1800" max="1800" width="8" style="1341" customWidth="1"/>
    <col min="1801" max="1801" width="8.83984375" style="1341"/>
    <col min="1802" max="1802" width="6.41796875" style="1341" customWidth="1"/>
    <col min="1803" max="1803" width="11" style="1341" customWidth="1"/>
    <col min="1804" max="1804" width="6.68359375" style="1341" customWidth="1"/>
    <col min="1805" max="1805" width="7.15625" style="1341" customWidth="1"/>
    <col min="1806" max="1806" width="6.68359375" style="1341" customWidth="1"/>
    <col min="1807" max="1808" width="8.83984375" style="1341"/>
    <col min="1809" max="1809" width="7.578125" style="1341" customWidth="1"/>
    <col min="1810" max="1810" width="8.83984375" style="1341"/>
    <col min="1811" max="1812" width="11.68359375" style="1341" customWidth="1"/>
    <col min="1813" max="1813" width="14.83984375" style="1341" customWidth="1"/>
    <col min="1814" max="2048" width="8.83984375" style="1341"/>
    <col min="2049" max="2049" width="9.26171875" style="1341" customWidth="1"/>
    <col min="2050" max="2050" width="12.26171875" style="1341" customWidth="1"/>
    <col min="2051" max="2051" width="22.68359375" style="1341" customWidth="1"/>
    <col min="2052" max="2052" width="11.68359375" style="1341" customWidth="1"/>
    <col min="2053" max="2053" width="13.578125" style="1341" customWidth="1"/>
    <col min="2054" max="2054" width="14.26171875" style="1341" customWidth="1"/>
    <col min="2055" max="2055" width="11.578125" style="1341" bestFit="1" customWidth="1"/>
    <col min="2056" max="2056" width="8" style="1341" customWidth="1"/>
    <col min="2057" max="2057" width="8.83984375" style="1341"/>
    <col min="2058" max="2058" width="6.41796875" style="1341" customWidth="1"/>
    <col min="2059" max="2059" width="11" style="1341" customWidth="1"/>
    <col min="2060" max="2060" width="6.68359375" style="1341" customWidth="1"/>
    <col min="2061" max="2061" width="7.15625" style="1341" customWidth="1"/>
    <col min="2062" max="2062" width="6.68359375" style="1341" customWidth="1"/>
    <col min="2063" max="2064" width="8.83984375" style="1341"/>
    <col min="2065" max="2065" width="7.578125" style="1341" customWidth="1"/>
    <col min="2066" max="2066" width="8.83984375" style="1341"/>
    <col min="2067" max="2068" width="11.68359375" style="1341" customWidth="1"/>
    <col min="2069" max="2069" width="14.83984375" style="1341" customWidth="1"/>
    <col min="2070" max="2304" width="8.83984375" style="1341"/>
    <col min="2305" max="2305" width="9.26171875" style="1341" customWidth="1"/>
    <col min="2306" max="2306" width="12.26171875" style="1341" customWidth="1"/>
    <col min="2307" max="2307" width="22.68359375" style="1341" customWidth="1"/>
    <col min="2308" max="2308" width="11.68359375" style="1341" customWidth="1"/>
    <col min="2309" max="2309" width="13.578125" style="1341" customWidth="1"/>
    <col min="2310" max="2310" width="14.26171875" style="1341" customWidth="1"/>
    <col min="2311" max="2311" width="11.578125" style="1341" bestFit="1" customWidth="1"/>
    <col min="2312" max="2312" width="8" style="1341" customWidth="1"/>
    <col min="2313" max="2313" width="8.83984375" style="1341"/>
    <col min="2314" max="2314" width="6.41796875" style="1341" customWidth="1"/>
    <col min="2315" max="2315" width="11" style="1341" customWidth="1"/>
    <col min="2316" max="2316" width="6.68359375" style="1341" customWidth="1"/>
    <col min="2317" max="2317" width="7.15625" style="1341" customWidth="1"/>
    <col min="2318" max="2318" width="6.68359375" style="1341" customWidth="1"/>
    <col min="2319" max="2320" width="8.83984375" style="1341"/>
    <col min="2321" max="2321" width="7.578125" style="1341" customWidth="1"/>
    <col min="2322" max="2322" width="8.83984375" style="1341"/>
    <col min="2323" max="2324" width="11.68359375" style="1341" customWidth="1"/>
    <col min="2325" max="2325" width="14.83984375" style="1341" customWidth="1"/>
    <col min="2326" max="2560" width="8.83984375" style="1341"/>
    <col min="2561" max="2561" width="9.26171875" style="1341" customWidth="1"/>
    <col min="2562" max="2562" width="12.26171875" style="1341" customWidth="1"/>
    <col min="2563" max="2563" width="22.68359375" style="1341" customWidth="1"/>
    <col min="2564" max="2564" width="11.68359375" style="1341" customWidth="1"/>
    <col min="2565" max="2565" width="13.578125" style="1341" customWidth="1"/>
    <col min="2566" max="2566" width="14.26171875" style="1341" customWidth="1"/>
    <col min="2567" max="2567" width="11.578125" style="1341" bestFit="1" customWidth="1"/>
    <col min="2568" max="2568" width="8" style="1341" customWidth="1"/>
    <col min="2569" max="2569" width="8.83984375" style="1341"/>
    <col min="2570" max="2570" width="6.41796875" style="1341" customWidth="1"/>
    <col min="2571" max="2571" width="11" style="1341" customWidth="1"/>
    <col min="2572" max="2572" width="6.68359375" style="1341" customWidth="1"/>
    <col min="2573" max="2573" width="7.15625" style="1341" customWidth="1"/>
    <col min="2574" max="2574" width="6.68359375" style="1341" customWidth="1"/>
    <col min="2575" max="2576" width="8.83984375" style="1341"/>
    <col min="2577" max="2577" width="7.578125" style="1341" customWidth="1"/>
    <col min="2578" max="2578" width="8.83984375" style="1341"/>
    <col min="2579" max="2580" width="11.68359375" style="1341" customWidth="1"/>
    <col min="2581" max="2581" width="14.83984375" style="1341" customWidth="1"/>
    <col min="2582" max="2816" width="8.83984375" style="1341"/>
    <col min="2817" max="2817" width="9.26171875" style="1341" customWidth="1"/>
    <col min="2818" max="2818" width="12.26171875" style="1341" customWidth="1"/>
    <col min="2819" max="2819" width="22.68359375" style="1341" customWidth="1"/>
    <col min="2820" max="2820" width="11.68359375" style="1341" customWidth="1"/>
    <col min="2821" max="2821" width="13.578125" style="1341" customWidth="1"/>
    <col min="2822" max="2822" width="14.26171875" style="1341" customWidth="1"/>
    <col min="2823" max="2823" width="11.578125" style="1341" bestFit="1" customWidth="1"/>
    <col min="2824" max="2824" width="8" style="1341" customWidth="1"/>
    <col min="2825" max="2825" width="8.83984375" style="1341"/>
    <col min="2826" max="2826" width="6.41796875" style="1341" customWidth="1"/>
    <col min="2827" max="2827" width="11" style="1341" customWidth="1"/>
    <col min="2828" max="2828" width="6.68359375" style="1341" customWidth="1"/>
    <col min="2829" max="2829" width="7.15625" style="1341" customWidth="1"/>
    <col min="2830" max="2830" width="6.68359375" style="1341" customWidth="1"/>
    <col min="2831" max="2832" width="8.83984375" style="1341"/>
    <col min="2833" max="2833" width="7.578125" style="1341" customWidth="1"/>
    <col min="2834" max="2834" width="8.83984375" style="1341"/>
    <col min="2835" max="2836" width="11.68359375" style="1341" customWidth="1"/>
    <col min="2837" max="2837" width="14.83984375" style="1341" customWidth="1"/>
    <col min="2838" max="3072" width="8.83984375" style="1341"/>
    <col min="3073" max="3073" width="9.26171875" style="1341" customWidth="1"/>
    <col min="3074" max="3074" width="12.26171875" style="1341" customWidth="1"/>
    <col min="3075" max="3075" width="22.68359375" style="1341" customWidth="1"/>
    <col min="3076" max="3076" width="11.68359375" style="1341" customWidth="1"/>
    <col min="3077" max="3077" width="13.578125" style="1341" customWidth="1"/>
    <col min="3078" max="3078" width="14.26171875" style="1341" customWidth="1"/>
    <col min="3079" max="3079" width="11.578125" style="1341" bestFit="1" customWidth="1"/>
    <col min="3080" max="3080" width="8" style="1341" customWidth="1"/>
    <col min="3081" max="3081" width="8.83984375" style="1341"/>
    <col min="3082" max="3082" width="6.41796875" style="1341" customWidth="1"/>
    <col min="3083" max="3083" width="11" style="1341" customWidth="1"/>
    <col min="3084" max="3084" width="6.68359375" style="1341" customWidth="1"/>
    <col min="3085" max="3085" width="7.15625" style="1341" customWidth="1"/>
    <col min="3086" max="3086" width="6.68359375" style="1341" customWidth="1"/>
    <col min="3087" max="3088" width="8.83984375" style="1341"/>
    <col min="3089" max="3089" width="7.578125" style="1341" customWidth="1"/>
    <col min="3090" max="3090" width="8.83984375" style="1341"/>
    <col min="3091" max="3092" width="11.68359375" style="1341" customWidth="1"/>
    <col min="3093" max="3093" width="14.83984375" style="1341" customWidth="1"/>
    <col min="3094" max="3328" width="8.83984375" style="1341"/>
    <col min="3329" max="3329" width="9.26171875" style="1341" customWidth="1"/>
    <col min="3330" max="3330" width="12.26171875" style="1341" customWidth="1"/>
    <col min="3331" max="3331" width="22.68359375" style="1341" customWidth="1"/>
    <col min="3332" max="3332" width="11.68359375" style="1341" customWidth="1"/>
    <col min="3333" max="3333" width="13.578125" style="1341" customWidth="1"/>
    <col min="3334" max="3334" width="14.26171875" style="1341" customWidth="1"/>
    <col min="3335" max="3335" width="11.578125" style="1341" bestFit="1" customWidth="1"/>
    <col min="3336" max="3336" width="8" style="1341" customWidth="1"/>
    <col min="3337" max="3337" width="8.83984375" style="1341"/>
    <col min="3338" max="3338" width="6.41796875" style="1341" customWidth="1"/>
    <col min="3339" max="3339" width="11" style="1341" customWidth="1"/>
    <col min="3340" max="3340" width="6.68359375" style="1341" customWidth="1"/>
    <col min="3341" max="3341" width="7.15625" style="1341" customWidth="1"/>
    <col min="3342" max="3342" width="6.68359375" style="1341" customWidth="1"/>
    <col min="3343" max="3344" width="8.83984375" style="1341"/>
    <col min="3345" max="3345" width="7.578125" style="1341" customWidth="1"/>
    <col min="3346" max="3346" width="8.83984375" style="1341"/>
    <col min="3347" max="3348" width="11.68359375" style="1341" customWidth="1"/>
    <col min="3349" max="3349" width="14.83984375" style="1341" customWidth="1"/>
    <col min="3350" max="3584" width="8.83984375" style="1341"/>
    <col min="3585" max="3585" width="9.26171875" style="1341" customWidth="1"/>
    <col min="3586" max="3586" width="12.26171875" style="1341" customWidth="1"/>
    <col min="3587" max="3587" width="22.68359375" style="1341" customWidth="1"/>
    <col min="3588" max="3588" width="11.68359375" style="1341" customWidth="1"/>
    <col min="3589" max="3589" width="13.578125" style="1341" customWidth="1"/>
    <col min="3590" max="3590" width="14.26171875" style="1341" customWidth="1"/>
    <col min="3591" max="3591" width="11.578125" style="1341" bestFit="1" customWidth="1"/>
    <col min="3592" max="3592" width="8" style="1341" customWidth="1"/>
    <col min="3593" max="3593" width="8.83984375" style="1341"/>
    <col min="3594" max="3594" width="6.41796875" style="1341" customWidth="1"/>
    <col min="3595" max="3595" width="11" style="1341" customWidth="1"/>
    <col min="3596" max="3596" width="6.68359375" style="1341" customWidth="1"/>
    <col min="3597" max="3597" width="7.15625" style="1341" customWidth="1"/>
    <col min="3598" max="3598" width="6.68359375" style="1341" customWidth="1"/>
    <col min="3599" max="3600" width="8.83984375" style="1341"/>
    <col min="3601" max="3601" width="7.578125" style="1341" customWidth="1"/>
    <col min="3602" max="3602" width="8.83984375" style="1341"/>
    <col min="3603" max="3604" width="11.68359375" style="1341" customWidth="1"/>
    <col min="3605" max="3605" width="14.83984375" style="1341" customWidth="1"/>
    <col min="3606" max="3840" width="8.83984375" style="1341"/>
    <col min="3841" max="3841" width="9.26171875" style="1341" customWidth="1"/>
    <col min="3842" max="3842" width="12.26171875" style="1341" customWidth="1"/>
    <col min="3843" max="3843" width="22.68359375" style="1341" customWidth="1"/>
    <col min="3844" max="3844" width="11.68359375" style="1341" customWidth="1"/>
    <col min="3845" max="3845" width="13.578125" style="1341" customWidth="1"/>
    <col min="3846" max="3846" width="14.26171875" style="1341" customWidth="1"/>
    <col min="3847" max="3847" width="11.578125" style="1341" bestFit="1" customWidth="1"/>
    <col min="3848" max="3848" width="8" style="1341" customWidth="1"/>
    <col min="3849" max="3849" width="8.83984375" style="1341"/>
    <col min="3850" max="3850" width="6.41796875" style="1341" customWidth="1"/>
    <col min="3851" max="3851" width="11" style="1341" customWidth="1"/>
    <col min="3852" max="3852" width="6.68359375" style="1341" customWidth="1"/>
    <col min="3853" max="3853" width="7.15625" style="1341" customWidth="1"/>
    <col min="3854" max="3854" width="6.68359375" style="1341" customWidth="1"/>
    <col min="3855" max="3856" width="8.83984375" style="1341"/>
    <col min="3857" max="3857" width="7.578125" style="1341" customWidth="1"/>
    <col min="3858" max="3858" width="8.83984375" style="1341"/>
    <col min="3859" max="3860" width="11.68359375" style="1341" customWidth="1"/>
    <col min="3861" max="3861" width="14.83984375" style="1341" customWidth="1"/>
    <col min="3862" max="4096" width="8.83984375" style="1341"/>
    <col min="4097" max="4097" width="9.26171875" style="1341" customWidth="1"/>
    <col min="4098" max="4098" width="12.26171875" style="1341" customWidth="1"/>
    <col min="4099" max="4099" width="22.68359375" style="1341" customWidth="1"/>
    <col min="4100" max="4100" width="11.68359375" style="1341" customWidth="1"/>
    <col min="4101" max="4101" width="13.578125" style="1341" customWidth="1"/>
    <col min="4102" max="4102" width="14.26171875" style="1341" customWidth="1"/>
    <col min="4103" max="4103" width="11.578125" style="1341" bestFit="1" customWidth="1"/>
    <col min="4104" max="4104" width="8" style="1341" customWidth="1"/>
    <col min="4105" max="4105" width="8.83984375" style="1341"/>
    <col min="4106" max="4106" width="6.41796875" style="1341" customWidth="1"/>
    <col min="4107" max="4107" width="11" style="1341" customWidth="1"/>
    <col min="4108" max="4108" width="6.68359375" style="1341" customWidth="1"/>
    <col min="4109" max="4109" width="7.15625" style="1341" customWidth="1"/>
    <col min="4110" max="4110" width="6.68359375" style="1341" customWidth="1"/>
    <col min="4111" max="4112" width="8.83984375" style="1341"/>
    <col min="4113" max="4113" width="7.578125" style="1341" customWidth="1"/>
    <col min="4114" max="4114" width="8.83984375" style="1341"/>
    <col min="4115" max="4116" width="11.68359375" style="1341" customWidth="1"/>
    <col min="4117" max="4117" width="14.83984375" style="1341" customWidth="1"/>
    <col min="4118" max="4352" width="8.83984375" style="1341"/>
    <col min="4353" max="4353" width="9.26171875" style="1341" customWidth="1"/>
    <col min="4354" max="4354" width="12.26171875" style="1341" customWidth="1"/>
    <col min="4355" max="4355" width="22.68359375" style="1341" customWidth="1"/>
    <col min="4356" max="4356" width="11.68359375" style="1341" customWidth="1"/>
    <col min="4357" max="4357" width="13.578125" style="1341" customWidth="1"/>
    <col min="4358" max="4358" width="14.26171875" style="1341" customWidth="1"/>
    <col min="4359" max="4359" width="11.578125" style="1341" bestFit="1" customWidth="1"/>
    <col min="4360" max="4360" width="8" style="1341" customWidth="1"/>
    <col min="4361" max="4361" width="8.83984375" style="1341"/>
    <col min="4362" max="4362" width="6.41796875" style="1341" customWidth="1"/>
    <col min="4363" max="4363" width="11" style="1341" customWidth="1"/>
    <col min="4364" max="4364" width="6.68359375" style="1341" customWidth="1"/>
    <col min="4365" max="4365" width="7.15625" style="1341" customWidth="1"/>
    <col min="4366" max="4366" width="6.68359375" style="1341" customWidth="1"/>
    <col min="4367" max="4368" width="8.83984375" style="1341"/>
    <col min="4369" max="4369" width="7.578125" style="1341" customWidth="1"/>
    <col min="4370" max="4370" width="8.83984375" style="1341"/>
    <col min="4371" max="4372" width="11.68359375" style="1341" customWidth="1"/>
    <col min="4373" max="4373" width="14.83984375" style="1341" customWidth="1"/>
    <col min="4374" max="4608" width="8.83984375" style="1341"/>
    <col min="4609" max="4609" width="9.26171875" style="1341" customWidth="1"/>
    <col min="4610" max="4610" width="12.26171875" style="1341" customWidth="1"/>
    <col min="4611" max="4611" width="22.68359375" style="1341" customWidth="1"/>
    <col min="4612" max="4612" width="11.68359375" style="1341" customWidth="1"/>
    <col min="4613" max="4613" width="13.578125" style="1341" customWidth="1"/>
    <col min="4614" max="4614" width="14.26171875" style="1341" customWidth="1"/>
    <col min="4615" max="4615" width="11.578125" style="1341" bestFit="1" customWidth="1"/>
    <col min="4616" max="4616" width="8" style="1341" customWidth="1"/>
    <col min="4617" max="4617" width="8.83984375" style="1341"/>
    <col min="4618" max="4618" width="6.41796875" style="1341" customWidth="1"/>
    <col min="4619" max="4619" width="11" style="1341" customWidth="1"/>
    <col min="4620" max="4620" width="6.68359375" style="1341" customWidth="1"/>
    <col min="4621" max="4621" width="7.15625" style="1341" customWidth="1"/>
    <col min="4622" max="4622" width="6.68359375" style="1341" customWidth="1"/>
    <col min="4623" max="4624" width="8.83984375" style="1341"/>
    <col min="4625" max="4625" width="7.578125" style="1341" customWidth="1"/>
    <col min="4626" max="4626" width="8.83984375" style="1341"/>
    <col min="4627" max="4628" width="11.68359375" style="1341" customWidth="1"/>
    <col min="4629" max="4629" width="14.83984375" style="1341" customWidth="1"/>
    <col min="4630" max="4864" width="8.83984375" style="1341"/>
    <col min="4865" max="4865" width="9.26171875" style="1341" customWidth="1"/>
    <col min="4866" max="4866" width="12.26171875" style="1341" customWidth="1"/>
    <col min="4867" max="4867" width="22.68359375" style="1341" customWidth="1"/>
    <col min="4868" max="4868" width="11.68359375" style="1341" customWidth="1"/>
    <col min="4869" max="4869" width="13.578125" style="1341" customWidth="1"/>
    <col min="4870" max="4870" width="14.26171875" style="1341" customWidth="1"/>
    <col min="4871" max="4871" width="11.578125" style="1341" bestFit="1" customWidth="1"/>
    <col min="4872" max="4872" width="8" style="1341" customWidth="1"/>
    <col min="4873" max="4873" width="8.83984375" style="1341"/>
    <col min="4874" max="4874" width="6.41796875" style="1341" customWidth="1"/>
    <col min="4875" max="4875" width="11" style="1341" customWidth="1"/>
    <col min="4876" max="4876" width="6.68359375" style="1341" customWidth="1"/>
    <col min="4877" max="4877" width="7.15625" style="1341" customWidth="1"/>
    <col min="4878" max="4878" width="6.68359375" style="1341" customWidth="1"/>
    <col min="4879" max="4880" width="8.83984375" style="1341"/>
    <col min="4881" max="4881" width="7.578125" style="1341" customWidth="1"/>
    <col min="4882" max="4882" width="8.83984375" style="1341"/>
    <col min="4883" max="4884" width="11.68359375" style="1341" customWidth="1"/>
    <col min="4885" max="4885" width="14.83984375" style="1341" customWidth="1"/>
    <col min="4886" max="5120" width="8.83984375" style="1341"/>
    <col min="5121" max="5121" width="9.26171875" style="1341" customWidth="1"/>
    <col min="5122" max="5122" width="12.26171875" style="1341" customWidth="1"/>
    <col min="5123" max="5123" width="22.68359375" style="1341" customWidth="1"/>
    <col min="5124" max="5124" width="11.68359375" style="1341" customWidth="1"/>
    <col min="5125" max="5125" width="13.578125" style="1341" customWidth="1"/>
    <col min="5126" max="5126" width="14.26171875" style="1341" customWidth="1"/>
    <col min="5127" max="5127" width="11.578125" style="1341" bestFit="1" customWidth="1"/>
    <col min="5128" max="5128" width="8" style="1341" customWidth="1"/>
    <col min="5129" max="5129" width="8.83984375" style="1341"/>
    <col min="5130" max="5130" width="6.41796875" style="1341" customWidth="1"/>
    <col min="5131" max="5131" width="11" style="1341" customWidth="1"/>
    <col min="5132" max="5132" width="6.68359375" style="1341" customWidth="1"/>
    <col min="5133" max="5133" width="7.15625" style="1341" customWidth="1"/>
    <col min="5134" max="5134" width="6.68359375" style="1341" customWidth="1"/>
    <col min="5135" max="5136" width="8.83984375" style="1341"/>
    <col min="5137" max="5137" width="7.578125" style="1341" customWidth="1"/>
    <col min="5138" max="5138" width="8.83984375" style="1341"/>
    <col min="5139" max="5140" width="11.68359375" style="1341" customWidth="1"/>
    <col min="5141" max="5141" width="14.83984375" style="1341" customWidth="1"/>
    <col min="5142" max="5376" width="8.83984375" style="1341"/>
    <col min="5377" max="5377" width="9.26171875" style="1341" customWidth="1"/>
    <col min="5378" max="5378" width="12.26171875" style="1341" customWidth="1"/>
    <col min="5379" max="5379" width="22.68359375" style="1341" customWidth="1"/>
    <col min="5380" max="5380" width="11.68359375" style="1341" customWidth="1"/>
    <col min="5381" max="5381" width="13.578125" style="1341" customWidth="1"/>
    <col min="5382" max="5382" width="14.26171875" style="1341" customWidth="1"/>
    <col min="5383" max="5383" width="11.578125" style="1341" bestFit="1" customWidth="1"/>
    <col min="5384" max="5384" width="8" style="1341" customWidth="1"/>
    <col min="5385" max="5385" width="8.83984375" style="1341"/>
    <col min="5386" max="5386" width="6.41796875" style="1341" customWidth="1"/>
    <col min="5387" max="5387" width="11" style="1341" customWidth="1"/>
    <col min="5388" max="5388" width="6.68359375" style="1341" customWidth="1"/>
    <col min="5389" max="5389" width="7.15625" style="1341" customWidth="1"/>
    <col min="5390" max="5390" width="6.68359375" style="1341" customWidth="1"/>
    <col min="5391" max="5392" width="8.83984375" style="1341"/>
    <col min="5393" max="5393" width="7.578125" style="1341" customWidth="1"/>
    <col min="5394" max="5394" width="8.83984375" style="1341"/>
    <col min="5395" max="5396" width="11.68359375" style="1341" customWidth="1"/>
    <col min="5397" max="5397" width="14.83984375" style="1341" customWidth="1"/>
    <col min="5398" max="5632" width="8.83984375" style="1341"/>
    <col min="5633" max="5633" width="9.26171875" style="1341" customWidth="1"/>
    <col min="5634" max="5634" width="12.26171875" style="1341" customWidth="1"/>
    <col min="5635" max="5635" width="22.68359375" style="1341" customWidth="1"/>
    <col min="5636" max="5636" width="11.68359375" style="1341" customWidth="1"/>
    <col min="5637" max="5637" width="13.578125" style="1341" customWidth="1"/>
    <col min="5638" max="5638" width="14.26171875" style="1341" customWidth="1"/>
    <col min="5639" max="5639" width="11.578125" style="1341" bestFit="1" customWidth="1"/>
    <col min="5640" max="5640" width="8" style="1341" customWidth="1"/>
    <col min="5641" max="5641" width="8.83984375" style="1341"/>
    <col min="5642" max="5642" width="6.41796875" style="1341" customWidth="1"/>
    <col min="5643" max="5643" width="11" style="1341" customWidth="1"/>
    <col min="5644" max="5644" width="6.68359375" style="1341" customWidth="1"/>
    <col min="5645" max="5645" width="7.15625" style="1341" customWidth="1"/>
    <col min="5646" max="5646" width="6.68359375" style="1341" customWidth="1"/>
    <col min="5647" max="5648" width="8.83984375" style="1341"/>
    <col min="5649" max="5649" width="7.578125" style="1341" customWidth="1"/>
    <col min="5650" max="5650" width="8.83984375" style="1341"/>
    <col min="5651" max="5652" width="11.68359375" style="1341" customWidth="1"/>
    <col min="5653" max="5653" width="14.83984375" style="1341" customWidth="1"/>
    <col min="5654" max="5888" width="8.83984375" style="1341"/>
    <col min="5889" max="5889" width="9.26171875" style="1341" customWidth="1"/>
    <col min="5890" max="5890" width="12.26171875" style="1341" customWidth="1"/>
    <col min="5891" max="5891" width="22.68359375" style="1341" customWidth="1"/>
    <col min="5892" max="5892" width="11.68359375" style="1341" customWidth="1"/>
    <col min="5893" max="5893" width="13.578125" style="1341" customWidth="1"/>
    <col min="5894" max="5894" width="14.26171875" style="1341" customWidth="1"/>
    <col min="5895" max="5895" width="11.578125" style="1341" bestFit="1" customWidth="1"/>
    <col min="5896" max="5896" width="8" style="1341" customWidth="1"/>
    <col min="5897" max="5897" width="8.83984375" style="1341"/>
    <col min="5898" max="5898" width="6.41796875" style="1341" customWidth="1"/>
    <col min="5899" max="5899" width="11" style="1341" customWidth="1"/>
    <col min="5900" max="5900" width="6.68359375" style="1341" customWidth="1"/>
    <col min="5901" max="5901" width="7.15625" style="1341" customWidth="1"/>
    <col min="5902" max="5902" width="6.68359375" style="1341" customWidth="1"/>
    <col min="5903" max="5904" width="8.83984375" style="1341"/>
    <col min="5905" max="5905" width="7.578125" style="1341" customWidth="1"/>
    <col min="5906" max="5906" width="8.83984375" style="1341"/>
    <col min="5907" max="5908" width="11.68359375" style="1341" customWidth="1"/>
    <col min="5909" max="5909" width="14.83984375" style="1341" customWidth="1"/>
    <col min="5910" max="6144" width="8.83984375" style="1341"/>
    <col min="6145" max="6145" width="9.26171875" style="1341" customWidth="1"/>
    <col min="6146" max="6146" width="12.26171875" style="1341" customWidth="1"/>
    <col min="6147" max="6147" width="22.68359375" style="1341" customWidth="1"/>
    <col min="6148" max="6148" width="11.68359375" style="1341" customWidth="1"/>
    <col min="6149" max="6149" width="13.578125" style="1341" customWidth="1"/>
    <col min="6150" max="6150" width="14.26171875" style="1341" customWidth="1"/>
    <col min="6151" max="6151" width="11.578125" style="1341" bestFit="1" customWidth="1"/>
    <col min="6152" max="6152" width="8" style="1341" customWidth="1"/>
    <col min="6153" max="6153" width="8.83984375" style="1341"/>
    <col min="6154" max="6154" width="6.41796875" style="1341" customWidth="1"/>
    <col min="6155" max="6155" width="11" style="1341" customWidth="1"/>
    <col min="6156" max="6156" width="6.68359375" style="1341" customWidth="1"/>
    <col min="6157" max="6157" width="7.15625" style="1341" customWidth="1"/>
    <col min="6158" max="6158" width="6.68359375" style="1341" customWidth="1"/>
    <col min="6159" max="6160" width="8.83984375" style="1341"/>
    <col min="6161" max="6161" width="7.578125" style="1341" customWidth="1"/>
    <col min="6162" max="6162" width="8.83984375" style="1341"/>
    <col min="6163" max="6164" width="11.68359375" style="1341" customWidth="1"/>
    <col min="6165" max="6165" width="14.83984375" style="1341" customWidth="1"/>
    <col min="6166" max="6400" width="8.83984375" style="1341"/>
    <col min="6401" max="6401" width="9.26171875" style="1341" customWidth="1"/>
    <col min="6402" max="6402" width="12.26171875" style="1341" customWidth="1"/>
    <col min="6403" max="6403" width="22.68359375" style="1341" customWidth="1"/>
    <col min="6404" max="6404" width="11.68359375" style="1341" customWidth="1"/>
    <col min="6405" max="6405" width="13.578125" style="1341" customWidth="1"/>
    <col min="6406" max="6406" width="14.26171875" style="1341" customWidth="1"/>
    <col min="6407" max="6407" width="11.578125" style="1341" bestFit="1" customWidth="1"/>
    <col min="6408" max="6408" width="8" style="1341" customWidth="1"/>
    <col min="6409" max="6409" width="8.83984375" style="1341"/>
    <col min="6410" max="6410" width="6.41796875" style="1341" customWidth="1"/>
    <col min="6411" max="6411" width="11" style="1341" customWidth="1"/>
    <col min="6412" max="6412" width="6.68359375" style="1341" customWidth="1"/>
    <col min="6413" max="6413" width="7.15625" style="1341" customWidth="1"/>
    <col min="6414" max="6414" width="6.68359375" style="1341" customWidth="1"/>
    <col min="6415" max="6416" width="8.83984375" style="1341"/>
    <col min="6417" max="6417" width="7.578125" style="1341" customWidth="1"/>
    <col min="6418" max="6418" width="8.83984375" style="1341"/>
    <col min="6419" max="6420" width="11.68359375" style="1341" customWidth="1"/>
    <col min="6421" max="6421" width="14.83984375" style="1341" customWidth="1"/>
    <col min="6422" max="6656" width="8.83984375" style="1341"/>
    <col min="6657" max="6657" width="9.26171875" style="1341" customWidth="1"/>
    <col min="6658" max="6658" width="12.26171875" style="1341" customWidth="1"/>
    <col min="6659" max="6659" width="22.68359375" style="1341" customWidth="1"/>
    <col min="6660" max="6660" width="11.68359375" style="1341" customWidth="1"/>
    <col min="6661" max="6661" width="13.578125" style="1341" customWidth="1"/>
    <col min="6662" max="6662" width="14.26171875" style="1341" customWidth="1"/>
    <col min="6663" max="6663" width="11.578125" style="1341" bestFit="1" customWidth="1"/>
    <col min="6664" max="6664" width="8" style="1341" customWidth="1"/>
    <col min="6665" max="6665" width="8.83984375" style="1341"/>
    <col min="6666" max="6666" width="6.41796875" style="1341" customWidth="1"/>
    <col min="6667" max="6667" width="11" style="1341" customWidth="1"/>
    <col min="6668" max="6668" width="6.68359375" style="1341" customWidth="1"/>
    <col min="6669" max="6669" width="7.15625" style="1341" customWidth="1"/>
    <col min="6670" max="6670" width="6.68359375" style="1341" customWidth="1"/>
    <col min="6671" max="6672" width="8.83984375" style="1341"/>
    <col min="6673" max="6673" width="7.578125" style="1341" customWidth="1"/>
    <col min="6674" max="6674" width="8.83984375" style="1341"/>
    <col min="6675" max="6676" width="11.68359375" style="1341" customWidth="1"/>
    <col min="6677" max="6677" width="14.83984375" style="1341" customWidth="1"/>
    <col min="6678" max="6912" width="8.83984375" style="1341"/>
    <col min="6913" max="6913" width="9.26171875" style="1341" customWidth="1"/>
    <col min="6914" max="6914" width="12.26171875" style="1341" customWidth="1"/>
    <col min="6915" max="6915" width="22.68359375" style="1341" customWidth="1"/>
    <col min="6916" max="6916" width="11.68359375" style="1341" customWidth="1"/>
    <col min="6917" max="6917" width="13.578125" style="1341" customWidth="1"/>
    <col min="6918" max="6918" width="14.26171875" style="1341" customWidth="1"/>
    <col min="6919" max="6919" width="11.578125" style="1341" bestFit="1" customWidth="1"/>
    <col min="6920" max="6920" width="8" style="1341" customWidth="1"/>
    <col min="6921" max="6921" width="8.83984375" style="1341"/>
    <col min="6922" max="6922" width="6.41796875" style="1341" customWidth="1"/>
    <col min="6923" max="6923" width="11" style="1341" customWidth="1"/>
    <col min="6924" max="6924" width="6.68359375" style="1341" customWidth="1"/>
    <col min="6925" max="6925" width="7.15625" style="1341" customWidth="1"/>
    <col min="6926" max="6926" width="6.68359375" style="1341" customWidth="1"/>
    <col min="6927" max="6928" width="8.83984375" style="1341"/>
    <col min="6929" max="6929" width="7.578125" style="1341" customWidth="1"/>
    <col min="6930" max="6930" width="8.83984375" style="1341"/>
    <col min="6931" max="6932" width="11.68359375" style="1341" customWidth="1"/>
    <col min="6933" max="6933" width="14.83984375" style="1341" customWidth="1"/>
    <col min="6934" max="7168" width="8.83984375" style="1341"/>
    <col min="7169" max="7169" width="9.26171875" style="1341" customWidth="1"/>
    <col min="7170" max="7170" width="12.26171875" style="1341" customWidth="1"/>
    <col min="7171" max="7171" width="22.68359375" style="1341" customWidth="1"/>
    <col min="7172" max="7172" width="11.68359375" style="1341" customWidth="1"/>
    <col min="7173" max="7173" width="13.578125" style="1341" customWidth="1"/>
    <col min="7174" max="7174" width="14.26171875" style="1341" customWidth="1"/>
    <col min="7175" max="7175" width="11.578125" style="1341" bestFit="1" customWidth="1"/>
    <col min="7176" max="7176" width="8" style="1341" customWidth="1"/>
    <col min="7177" max="7177" width="8.83984375" style="1341"/>
    <col min="7178" max="7178" width="6.41796875" style="1341" customWidth="1"/>
    <col min="7179" max="7179" width="11" style="1341" customWidth="1"/>
    <col min="7180" max="7180" width="6.68359375" style="1341" customWidth="1"/>
    <col min="7181" max="7181" width="7.15625" style="1341" customWidth="1"/>
    <col min="7182" max="7182" width="6.68359375" style="1341" customWidth="1"/>
    <col min="7183" max="7184" width="8.83984375" style="1341"/>
    <col min="7185" max="7185" width="7.578125" style="1341" customWidth="1"/>
    <col min="7186" max="7186" width="8.83984375" style="1341"/>
    <col min="7187" max="7188" width="11.68359375" style="1341" customWidth="1"/>
    <col min="7189" max="7189" width="14.83984375" style="1341" customWidth="1"/>
    <col min="7190" max="7424" width="8.83984375" style="1341"/>
    <col min="7425" max="7425" width="9.26171875" style="1341" customWidth="1"/>
    <col min="7426" max="7426" width="12.26171875" style="1341" customWidth="1"/>
    <col min="7427" max="7427" width="22.68359375" style="1341" customWidth="1"/>
    <col min="7428" max="7428" width="11.68359375" style="1341" customWidth="1"/>
    <col min="7429" max="7429" width="13.578125" style="1341" customWidth="1"/>
    <col min="7430" max="7430" width="14.26171875" style="1341" customWidth="1"/>
    <col min="7431" max="7431" width="11.578125" style="1341" bestFit="1" customWidth="1"/>
    <col min="7432" max="7432" width="8" style="1341" customWidth="1"/>
    <col min="7433" max="7433" width="8.83984375" style="1341"/>
    <col min="7434" max="7434" width="6.41796875" style="1341" customWidth="1"/>
    <col min="7435" max="7435" width="11" style="1341" customWidth="1"/>
    <col min="7436" max="7436" width="6.68359375" style="1341" customWidth="1"/>
    <col min="7437" max="7437" width="7.15625" style="1341" customWidth="1"/>
    <col min="7438" max="7438" width="6.68359375" style="1341" customWidth="1"/>
    <col min="7439" max="7440" width="8.83984375" style="1341"/>
    <col min="7441" max="7441" width="7.578125" style="1341" customWidth="1"/>
    <col min="7442" max="7442" width="8.83984375" style="1341"/>
    <col min="7443" max="7444" width="11.68359375" style="1341" customWidth="1"/>
    <col min="7445" max="7445" width="14.83984375" style="1341" customWidth="1"/>
    <col min="7446" max="7680" width="8.83984375" style="1341"/>
    <col min="7681" max="7681" width="9.26171875" style="1341" customWidth="1"/>
    <col min="7682" max="7682" width="12.26171875" style="1341" customWidth="1"/>
    <col min="7683" max="7683" width="22.68359375" style="1341" customWidth="1"/>
    <col min="7684" max="7684" width="11.68359375" style="1341" customWidth="1"/>
    <col min="7685" max="7685" width="13.578125" style="1341" customWidth="1"/>
    <col min="7686" max="7686" width="14.26171875" style="1341" customWidth="1"/>
    <col min="7687" max="7687" width="11.578125" style="1341" bestFit="1" customWidth="1"/>
    <col min="7688" max="7688" width="8" style="1341" customWidth="1"/>
    <col min="7689" max="7689" width="8.83984375" style="1341"/>
    <col min="7690" max="7690" width="6.41796875" style="1341" customWidth="1"/>
    <col min="7691" max="7691" width="11" style="1341" customWidth="1"/>
    <col min="7692" max="7692" width="6.68359375" style="1341" customWidth="1"/>
    <col min="7693" max="7693" width="7.15625" style="1341" customWidth="1"/>
    <col min="7694" max="7694" width="6.68359375" style="1341" customWidth="1"/>
    <col min="7695" max="7696" width="8.83984375" style="1341"/>
    <col min="7697" max="7697" width="7.578125" style="1341" customWidth="1"/>
    <col min="7698" max="7698" width="8.83984375" style="1341"/>
    <col min="7699" max="7700" width="11.68359375" style="1341" customWidth="1"/>
    <col min="7701" max="7701" width="14.83984375" style="1341" customWidth="1"/>
    <col min="7702" max="7936" width="8.83984375" style="1341"/>
    <col min="7937" max="7937" width="9.26171875" style="1341" customWidth="1"/>
    <col min="7938" max="7938" width="12.26171875" style="1341" customWidth="1"/>
    <col min="7939" max="7939" width="22.68359375" style="1341" customWidth="1"/>
    <col min="7940" max="7940" width="11.68359375" style="1341" customWidth="1"/>
    <col min="7941" max="7941" width="13.578125" style="1341" customWidth="1"/>
    <col min="7942" max="7942" width="14.26171875" style="1341" customWidth="1"/>
    <col min="7943" max="7943" width="11.578125" style="1341" bestFit="1" customWidth="1"/>
    <col min="7944" max="7944" width="8" style="1341" customWidth="1"/>
    <col min="7945" max="7945" width="8.83984375" style="1341"/>
    <col min="7946" max="7946" width="6.41796875" style="1341" customWidth="1"/>
    <col min="7947" max="7947" width="11" style="1341" customWidth="1"/>
    <col min="7948" max="7948" width="6.68359375" style="1341" customWidth="1"/>
    <col min="7949" max="7949" width="7.15625" style="1341" customWidth="1"/>
    <col min="7950" max="7950" width="6.68359375" style="1341" customWidth="1"/>
    <col min="7951" max="7952" width="8.83984375" style="1341"/>
    <col min="7953" max="7953" width="7.578125" style="1341" customWidth="1"/>
    <col min="7954" max="7954" width="8.83984375" style="1341"/>
    <col min="7955" max="7956" width="11.68359375" style="1341" customWidth="1"/>
    <col min="7957" max="7957" width="14.83984375" style="1341" customWidth="1"/>
    <col min="7958" max="8192" width="8.83984375" style="1341"/>
    <col min="8193" max="8193" width="9.26171875" style="1341" customWidth="1"/>
    <col min="8194" max="8194" width="12.26171875" style="1341" customWidth="1"/>
    <col min="8195" max="8195" width="22.68359375" style="1341" customWidth="1"/>
    <col min="8196" max="8196" width="11.68359375" style="1341" customWidth="1"/>
    <col min="8197" max="8197" width="13.578125" style="1341" customWidth="1"/>
    <col min="8198" max="8198" width="14.26171875" style="1341" customWidth="1"/>
    <col min="8199" max="8199" width="11.578125" style="1341" bestFit="1" customWidth="1"/>
    <col min="8200" max="8200" width="8" style="1341" customWidth="1"/>
    <col min="8201" max="8201" width="8.83984375" style="1341"/>
    <col min="8202" max="8202" width="6.41796875" style="1341" customWidth="1"/>
    <col min="8203" max="8203" width="11" style="1341" customWidth="1"/>
    <col min="8204" max="8204" width="6.68359375" style="1341" customWidth="1"/>
    <col min="8205" max="8205" width="7.15625" style="1341" customWidth="1"/>
    <col min="8206" max="8206" width="6.68359375" style="1341" customWidth="1"/>
    <col min="8207" max="8208" width="8.83984375" style="1341"/>
    <col min="8209" max="8209" width="7.578125" style="1341" customWidth="1"/>
    <col min="8210" max="8210" width="8.83984375" style="1341"/>
    <col min="8211" max="8212" width="11.68359375" style="1341" customWidth="1"/>
    <col min="8213" max="8213" width="14.83984375" style="1341" customWidth="1"/>
    <col min="8214" max="8448" width="8.83984375" style="1341"/>
    <col min="8449" max="8449" width="9.26171875" style="1341" customWidth="1"/>
    <col min="8450" max="8450" width="12.26171875" style="1341" customWidth="1"/>
    <col min="8451" max="8451" width="22.68359375" style="1341" customWidth="1"/>
    <col min="8452" max="8452" width="11.68359375" style="1341" customWidth="1"/>
    <col min="8453" max="8453" width="13.578125" style="1341" customWidth="1"/>
    <col min="8454" max="8454" width="14.26171875" style="1341" customWidth="1"/>
    <col min="8455" max="8455" width="11.578125" style="1341" bestFit="1" customWidth="1"/>
    <col min="8456" max="8456" width="8" style="1341" customWidth="1"/>
    <col min="8457" max="8457" width="8.83984375" style="1341"/>
    <col min="8458" max="8458" width="6.41796875" style="1341" customWidth="1"/>
    <col min="8459" max="8459" width="11" style="1341" customWidth="1"/>
    <col min="8460" max="8460" width="6.68359375" style="1341" customWidth="1"/>
    <col min="8461" max="8461" width="7.15625" style="1341" customWidth="1"/>
    <col min="8462" max="8462" width="6.68359375" style="1341" customWidth="1"/>
    <col min="8463" max="8464" width="8.83984375" style="1341"/>
    <col min="8465" max="8465" width="7.578125" style="1341" customWidth="1"/>
    <col min="8466" max="8466" width="8.83984375" style="1341"/>
    <col min="8467" max="8468" width="11.68359375" style="1341" customWidth="1"/>
    <col min="8469" max="8469" width="14.83984375" style="1341" customWidth="1"/>
    <col min="8470" max="8704" width="8.83984375" style="1341"/>
    <col min="8705" max="8705" width="9.26171875" style="1341" customWidth="1"/>
    <col min="8706" max="8706" width="12.26171875" style="1341" customWidth="1"/>
    <col min="8707" max="8707" width="22.68359375" style="1341" customWidth="1"/>
    <col min="8708" max="8708" width="11.68359375" style="1341" customWidth="1"/>
    <col min="8709" max="8709" width="13.578125" style="1341" customWidth="1"/>
    <col min="8710" max="8710" width="14.26171875" style="1341" customWidth="1"/>
    <col min="8711" max="8711" width="11.578125" style="1341" bestFit="1" customWidth="1"/>
    <col min="8712" max="8712" width="8" style="1341" customWidth="1"/>
    <col min="8713" max="8713" width="8.83984375" style="1341"/>
    <col min="8714" max="8714" width="6.41796875" style="1341" customWidth="1"/>
    <col min="8715" max="8715" width="11" style="1341" customWidth="1"/>
    <col min="8716" max="8716" width="6.68359375" style="1341" customWidth="1"/>
    <col min="8717" max="8717" width="7.15625" style="1341" customWidth="1"/>
    <col min="8718" max="8718" width="6.68359375" style="1341" customWidth="1"/>
    <col min="8719" max="8720" width="8.83984375" style="1341"/>
    <col min="8721" max="8721" width="7.578125" style="1341" customWidth="1"/>
    <col min="8722" max="8722" width="8.83984375" style="1341"/>
    <col min="8723" max="8724" width="11.68359375" style="1341" customWidth="1"/>
    <col min="8725" max="8725" width="14.83984375" style="1341" customWidth="1"/>
    <col min="8726" max="8960" width="8.83984375" style="1341"/>
    <col min="8961" max="8961" width="9.26171875" style="1341" customWidth="1"/>
    <col min="8962" max="8962" width="12.26171875" style="1341" customWidth="1"/>
    <col min="8963" max="8963" width="22.68359375" style="1341" customWidth="1"/>
    <col min="8964" max="8964" width="11.68359375" style="1341" customWidth="1"/>
    <col min="8965" max="8965" width="13.578125" style="1341" customWidth="1"/>
    <col min="8966" max="8966" width="14.26171875" style="1341" customWidth="1"/>
    <col min="8967" max="8967" width="11.578125" style="1341" bestFit="1" customWidth="1"/>
    <col min="8968" max="8968" width="8" style="1341" customWidth="1"/>
    <col min="8969" max="8969" width="8.83984375" style="1341"/>
    <col min="8970" max="8970" width="6.41796875" style="1341" customWidth="1"/>
    <col min="8971" max="8971" width="11" style="1341" customWidth="1"/>
    <col min="8972" max="8972" width="6.68359375" style="1341" customWidth="1"/>
    <col min="8973" max="8973" width="7.15625" style="1341" customWidth="1"/>
    <col min="8974" max="8974" width="6.68359375" style="1341" customWidth="1"/>
    <col min="8975" max="8976" width="8.83984375" style="1341"/>
    <col min="8977" max="8977" width="7.578125" style="1341" customWidth="1"/>
    <col min="8978" max="8978" width="8.83984375" style="1341"/>
    <col min="8979" max="8980" width="11.68359375" style="1341" customWidth="1"/>
    <col min="8981" max="8981" width="14.83984375" style="1341" customWidth="1"/>
    <col min="8982" max="9216" width="8.83984375" style="1341"/>
    <col min="9217" max="9217" width="9.26171875" style="1341" customWidth="1"/>
    <col min="9218" max="9218" width="12.26171875" style="1341" customWidth="1"/>
    <col min="9219" max="9219" width="22.68359375" style="1341" customWidth="1"/>
    <col min="9220" max="9220" width="11.68359375" style="1341" customWidth="1"/>
    <col min="9221" max="9221" width="13.578125" style="1341" customWidth="1"/>
    <col min="9222" max="9222" width="14.26171875" style="1341" customWidth="1"/>
    <col min="9223" max="9223" width="11.578125" style="1341" bestFit="1" customWidth="1"/>
    <col min="9224" max="9224" width="8" style="1341" customWidth="1"/>
    <col min="9225" max="9225" width="8.83984375" style="1341"/>
    <col min="9226" max="9226" width="6.41796875" style="1341" customWidth="1"/>
    <col min="9227" max="9227" width="11" style="1341" customWidth="1"/>
    <col min="9228" max="9228" width="6.68359375" style="1341" customWidth="1"/>
    <col min="9229" max="9229" width="7.15625" style="1341" customWidth="1"/>
    <col min="9230" max="9230" width="6.68359375" style="1341" customWidth="1"/>
    <col min="9231" max="9232" width="8.83984375" style="1341"/>
    <col min="9233" max="9233" width="7.578125" style="1341" customWidth="1"/>
    <col min="9234" max="9234" width="8.83984375" style="1341"/>
    <col min="9235" max="9236" width="11.68359375" style="1341" customWidth="1"/>
    <col min="9237" max="9237" width="14.83984375" style="1341" customWidth="1"/>
    <col min="9238" max="9472" width="8.83984375" style="1341"/>
    <col min="9473" max="9473" width="9.26171875" style="1341" customWidth="1"/>
    <col min="9474" max="9474" width="12.26171875" style="1341" customWidth="1"/>
    <col min="9475" max="9475" width="22.68359375" style="1341" customWidth="1"/>
    <col min="9476" max="9476" width="11.68359375" style="1341" customWidth="1"/>
    <col min="9477" max="9477" width="13.578125" style="1341" customWidth="1"/>
    <col min="9478" max="9478" width="14.26171875" style="1341" customWidth="1"/>
    <col min="9479" max="9479" width="11.578125" style="1341" bestFit="1" customWidth="1"/>
    <col min="9480" max="9480" width="8" style="1341" customWidth="1"/>
    <col min="9481" max="9481" width="8.83984375" style="1341"/>
    <col min="9482" max="9482" width="6.41796875" style="1341" customWidth="1"/>
    <col min="9483" max="9483" width="11" style="1341" customWidth="1"/>
    <col min="9484" max="9484" width="6.68359375" style="1341" customWidth="1"/>
    <col min="9485" max="9485" width="7.15625" style="1341" customWidth="1"/>
    <col min="9486" max="9486" width="6.68359375" style="1341" customWidth="1"/>
    <col min="9487" max="9488" width="8.83984375" style="1341"/>
    <col min="9489" max="9489" width="7.578125" style="1341" customWidth="1"/>
    <col min="9490" max="9490" width="8.83984375" style="1341"/>
    <col min="9491" max="9492" width="11.68359375" style="1341" customWidth="1"/>
    <col min="9493" max="9493" width="14.83984375" style="1341" customWidth="1"/>
    <col min="9494" max="9728" width="8.83984375" style="1341"/>
    <col min="9729" max="9729" width="9.26171875" style="1341" customWidth="1"/>
    <col min="9730" max="9730" width="12.26171875" style="1341" customWidth="1"/>
    <col min="9731" max="9731" width="22.68359375" style="1341" customWidth="1"/>
    <col min="9732" max="9732" width="11.68359375" style="1341" customWidth="1"/>
    <col min="9733" max="9733" width="13.578125" style="1341" customWidth="1"/>
    <col min="9734" max="9734" width="14.26171875" style="1341" customWidth="1"/>
    <col min="9735" max="9735" width="11.578125" style="1341" bestFit="1" customWidth="1"/>
    <col min="9736" max="9736" width="8" style="1341" customWidth="1"/>
    <col min="9737" max="9737" width="8.83984375" style="1341"/>
    <col min="9738" max="9738" width="6.41796875" style="1341" customWidth="1"/>
    <col min="9739" max="9739" width="11" style="1341" customWidth="1"/>
    <col min="9740" max="9740" width="6.68359375" style="1341" customWidth="1"/>
    <col min="9741" max="9741" width="7.15625" style="1341" customWidth="1"/>
    <col min="9742" max="9742" width="6.68359375" style="1341" customWidth="1"/>
    <col min="9743" max="9744" width="8.83984375" style="1341"/>
    <col min="9745" max="9745" width="7.578125" style="1341" customWidth="1"/>
    <col min="9746" max="9746" width="8.83984375" style="1341"/>
    <col min="9747" max="9748" width="11.68359375" style="1341" customWidth="1"/>
    <col min="9749" max="9749" width="14.83984375" style="1341" customWidth="1"/>
    <col min="9750" max="9984" width="8.83984375" style="1341"/>
    <col min="9985" max="9985" width="9.26171875" style="1341" customWidth="1"/>
    <col min="9986" max="9986" width="12.26171875" style="1341" customWidth="1"/>
    <col min="9987" max="9987" width="22.68359375" style="1341" customWidth="1"/>
    <col min="9988" max="9988" width="11.68359375" style="1341" customWidth="1"/>
    <col min="9989" max="9989" width="13.578125" style="1341" customWidth="1"/>
    <col min="9990" max="9990" width="14.26171875" style="1341" customWidth="1"/>
    <col min="9991" max="9991" width="11.578125" style="1341" bestFit="1" customWidth="1"/>
    <col min="9992" max="9992" width="8" style="1341" customWidth="1"/>
    <col min="9993" max="9993" width="8.83984375" style="1341"/>
    <col min="9994" max="9994" width="6.41796875" style="1341" customWidth="1"/>
    <col min="9995" max="9995" width="11" style="1341" customWidth="1"/>
    <col min="9996" max="9996" width="6.68359375" style="1341" customWidth="1"/>
    <col min="9997" max="9997" width="7.15625" style="1341" customWidth="1"/>
    <col min="9998" max="9998" width="6.68359375" style="1341" customWidth="1"/>
    <col min="9999" max="10000" width="8.83984375" style="1341"/>
    <col min="10001" max="10001" width="7.578125" style="1341" customWidth="1"/>
    <col min="10002" max="10002" width="8.83984375" style="1341"/>
    <col min="10003" max="10004" width="11.68359375" style="1341" customWidth="1"/>
    <col min="10005" max="10005" width="14.83984375" style="1341" customWidth="1"/>
    <col min="10006" max="10240" width="8.83984375" style="1341"/>
    <col min="10241" max="10241" width="9.26171875" style="1341" customWidth="1"/>
    <col min="10242" max="10242" width="12.26171875" style="1341" customWidth="1"/>
    <col min="10243" max="10243" width="22.68359375" style="1341" customWidth="1"/>
    <col min="10244" max="10244" width="11.68359375" style="1341" customWidth="1"/>
    <col min="10245" max="10245" width="13.578125" style="1341" customWidth="1"/>
    <col min="10246" max="10246" width="14.26171875" style="1341" customWidth="1"/>
    <col min="10247" max="10247" width="11.578125" style="1341" bestFit="1" customWidth="1"/>
    <col min="10248" max="10248" width="8" style="1341" customWidth="1"/>
    <col min="10249" max="10249" width="8.83984375" style="1341"/>
    <col min="10250" max="10250" width="6.41796875" style="1341" customWidth="1"/>
    <col min="10251" max="10251" width="11" style="1341" customWidth="1"/>
    <col min="10252" max="10252" width="6.68359375" style="1341" customWidth="1"/>
    <col min="10253" max="10253" width="7.15625" style="1341" customWidth="1"/>
    <col min="10254" max="10254" width="6.68359375" style="1341" customWidth="1"/>
    <col min="10255" max="10256" width="8.83984375" style="1341"/>
    <col min="10257" max="10257" width="7.578125" style="1341" customWidth="1"/>
    <col min="10258" max="10258" width="8.83984375" style="1341"/>
    <col min="10259" max="10260" width="11.68359375" style="1341" customWidth="1"/>
    <col min="10261" max="10261" width="14.83984375" style="1341" customWidth="1"/>
    <col min="10262" max="10496" width="8.83984375" style="1341"/>
    <col min="10497" max="10497" width="9.26171875" style="1341" customWidth="1"/>
    <col min="10498" max="10498" width="12.26171875" style="1341" customWidth="1"/>
    <col min="10499" max="10499" width="22.68359375" style="1341" customWidth="1"/>
    <col min="10500" max="10500" width="11.68359375" style="1341" customWidth="1"/>
    <col min="10501" max="10501" width="13.578125" style="1341" customWidth="1"/>
    <col min="10502" max="10502" width="14.26171875" style="1341" customWidth="1"/>
    <col min="10503" max="10503" width="11.578125" style="1341" bestFit="1" customWidth="1"/>
    <col min="10504" max="10504" width="8" style="1341" customWidth="1"/>
    <col min="10505" max="10505" width="8.83984375" style="1341"/>
    <col min="10506" max="10506" width="6.41796875" style="1341" customWidth="1"/>
    <col min="10507" max="10507" width="11" style="1341" customWidth="1"/>
    <col min="10508" max="10508" width="6.68359375" style="1341" customWidth="1"/>
    <col min="10509" max="10509" width="7.15625" style="1341" customWidth="1"/>
    <col min="10510" max="10510" width="6.68359375" style="1341" customWidth="1"/>
    <col min="10511" max="10512" width="8.83984375" style="1341"/>
    <col min="10513" max="10513" width="7.578125" style="1341" customWidth="1"/>
    <col min="10514" max="10514" width="8.83984375" style="1341"/>
    <col min="10515" max="10516" width="11.68359375" style="1341" customWidth="1"/>
    <col min="10517" max="10517" width="14.83984375" style="1341" customWidth="1"/>
    <col min="10518" max="10752" width="8.83984375" style="1341"/>
    <col min="10753" max="10753" width="9.26171875" style="1341" customWidth="1"/>
    <col min="10754" max="10754" width="12.26171875" style="1341" customWidth="1"/>
    <col min="10755" max="10755" width="22.68359375" style="1341" customWidth="1"/>
    <col min="10756" max="10756" width="11.68359375" style="1341" customWidth="1"/>
    <col min="10757" max="10757" width="13.578125" style="1341" customWidth="1"/>
    <col min="10758" max="10758" width="14.26171875" style="1341" customWidth="1"/>
    <col min="10759" max="10759" width="11.578125" style="1341" bestFit="1" customWidth="1"/>
    <col min="10760" max="10760" width="8" style="1341" customWidth="1"/>
    <col min="10761" max="10761" width="8.83984375" style="1341"/>
    <col min="10762" max="10762" width="6.41796875" style="1341" customWidth="1"/>
    <col min="10763" max="10763" width="11" style="1341" customWidth="1"/>
    <col min="10764" max="10764" width="6.68359375" style="1341" customWidth="1"/>
    <col min="10765" max="10765" width="7.15625" style="1341" customWidth="1"/>
    <col min="10766" max="10766" width="6.68359375" style="1341" customWidth="1"/>
    <col min="10767" max="10768" width="8.83984375" style="1341"/>
    <col min="10769" max="10769" width="7.578125" style="1341" customWidth="1"/>
    <col min="10770" max="10770" width="8.83984375" style="1341"/>
    <col min="10771" max="10772" width="11.68359375" style="1341" customWidth="1"/>
    <col min="10773" max="10773" width="14.83984375" style="1341" customWidth="1"/>
    <col min="10774" max="11008" width="8.83984375" style="1341"/>
    <col min="11009" max="11009" width="9.26171875" style="1341" customWidth="1"/>
    <col min="11010" max="11010" width="12.26171875" style="1341" customWidth="1"/>
    <col min="11011" max="11011" width="22.68359375" style="1341" customWidth="1"/>
    <col min="11012" max="11012" width="11.68359375" style="1341" customWidth="1"/>
    <col min="11013" max="11013" width="13.578125" style="1341" customWidth="1"/>
    <col min="11014" max="11014" width="14.26171875" style="1341" customWidth="1"/>
    <col min="11015" max="11015" width="11.578125" style="1341" bestFit="1" customWidth="1"/>
    <col min="11016" max="11016" width="8" style="1341" customWidth="1"/>
    <col min="11017" max="11017" width="8.83984375" style="1341"/>
    <col min="11018" max="11018" width="6.41796875" style="1341" customWidth="1"/>
    <col min="11019" max="11019" width="11" style="1341" customWidth="1"/>
    <col min="11020" max="11020" width="6.68359375" style="1341" customWidth="1"/>
    <col min="11021" max="11021" width="7.15625" style="1341" customWidth="1"/>
    <col min="11022" max="11022" width="6.68359375" style="1341" customWidth="1"/>
    <col min="11023" max="11024" width="8.83984375" style="1341"/>
    <col min="11025" max="11025" width="7.578125" style="1341" customWidth="1"/>
    <col min="11026" max="11026" width="8.83984375" style="1341"/>
    <col min="11027" max="11028" width="11.68359375" style="1341" customWidth="1"/>
    <col min="11029" max="11029" width="14.83984375" style="1341" customWidth="1"/>
    <col min="11030" max="11264" width="8.83984375" style="1341"/>
    <col min="11265" max="11265" width="9.26171875" style="1341" customWidth="1"/>
    <col min="11266" max="11266" width="12.26171875" style="1341" customWidth="1"/>
    <col min="11267" max="11267" width="22.68359375" style="1341" customWidth="1"/>
    <col min="11268" max="11268" width="11.68359375" style="1341" customWidth="1"/>
    <col min="11269" max="11269" width="13.578125" style="1341" customWidth="1"/>
    <col min="11270" max="11270" width="14.26171875" style="1341" customWidth="1"/>
    <col min="11271" max="11271" width="11.578125" style="1341" bestFit="1" customWidth="1"/>
    <col min="11272" max="11272" width="8" style="1341" customWidth="1"/>
    <col min="11273" max="11273" width="8.83984375" style="1341"/>
    <col min="11274" max="11274" width="6.41796875" style="1341" customWidth="1"/>
    <col min="11275" max="11275" width="11" style="1341" customWidth="1"/>
    <col min="11276" max="11276" width="6.68359375" style="1341" customWidth="1"/>
    <col min="11277" max="11277" width="7.15625" style="1341" customWidth="1"/>
    <col min="11278" max="11278" width="6.68359375" style="1341" customWidth="1"/>
    <col min="11279" max="11280" width="8.83984375" style="1341"/>
    <col min="11281" max="11281" width="7.578125" style="1341" customWidth="1"/>
    <col min="11282" max="11282" width="8.83984375" style="1341"/>
    <col min="11283" max="11284" width="11.68359375" style="1341" customWidth="1"/>
    <col min="11285" max="11285" width="14.83984375" style="1341" customWidth="1"/>
    <col min="11286" max="11520" width="8.83984375" style="1341"/>
    <col min="11521" max="11521" width="9.26171875" style="1341" customWidth="1"/>
    <col min="11522" max="11522" width="12.26171875" style="1341" customWidth="1"/>
    <col min="11523" max="11523" width="22.68359375" style="1341" customWidth="1"/>
    <col min="11524" max="11524" width="11.68359375" style="1341" customWidth="1"/>
    <col min="11525" max="11525" width="13.578125" style="1341" customWidth="1"/>
    <col min="11526" max="11526" width="14.26171875" style="1341" customWidth="1"/>
    <col min="11527" max="11527" width="11.578125" style="1341" bestFit="1" customWidth="1"/>
    <col min="11528" max="11528" width="8" style="1341" customWidth="1"/>
    <col min="11529" max="11529" width="8.83984375" style="1341"/>
    <col min="11530" max="11530" width="6.41796875" style="1341" customWidth="1"/>
    <col min="11531" max="11531" width="11" style="1341" customWidth="1"/>
    <col min="11532" max="11532" width="6.68359375" style="1341" customWidth="1"/>
    <col min="11533" max="11533" width="7.15625" style="1341" customWidth="1"/>
    <col min="11534" max="11534" width="6.68359375" style="1341" customWidth="1"/>
    <col min="11535" max="11536" width="8.83984375" style="1341"/>
    <col min="11537" max="11537" width="7.578125" style="1341" customWidth="1"/>
    <col min="11538" max="11538" width="8.83984375" style="1341"/>
    <col min="11539" max="11540" width="11.68359375" style="1341" customWidth="1"/>
    <col min="11541" max="11541" width="14.83984375" style="1341" customWidth="1"/>
    <col min="11542" max="11776" width="8.83984375" style="1341"/>
    <col min="11777" max="11777" width="9.26171875" style="1341" customWidth="1"/>
    <col min="11778" max="11778" width="12.26171875" style="1341" customWidth="1"/>
    <col min="11779" max="11779" width="22.68359375" style="1341" customWidth="1"/>
    <col min="11780" max="11780" width="11.68359375" style="1341" customWidth="1"/>
    <col min="11781" max="11781" width="13.578125" style="1341" customWidth="1"/>
    <col min="11782" max="11782" width="14.26171875" style="1341" customWidth="1"/>
    <col min="11783" max="11783" width="11.578125" style="1341" bestFit="1" customWidth="1"/>
    <col min="11784" max="11784" width="8" style="1341" customWidth="1"/>
    <col min="11785" max="11785" width="8.83984375" style="1341"/>
    <col min="11786" max="11786" width="6.41796875" style="1341" customWidth="1"/>
    <col min="11787" max="11787" width="11" style="1341" customWidth="1"/>
    <col min="11788" max="11788" width="6.68359375" style="1341" customWidth="1"/>
    <col min="11789" max="11789" width="7.15625" style="1341" customWidth="1"/>
    <col min="11790" max="11790" width="6.68359375" style="1341" customWidth="1"/>
    <col min="11791" max="11792" width="8.83984375" style="1341"/>
    <col min="11793" max="11793" width="7.578125" style="1341" customWidth="1"/>
    <col min="11794" max="11794" width="8.83984375" style="1341"/>
    <col min="11795" max="11796" width="11.68359375" style="1341" customWidth="1"/>
    <col min="11797" max="11797" width="14.83984375" style="1341" customWidth="1"/>
    <col min="11798" max="12032" width="8.83984375" style="1341"/>
    <col min="12033" max="12033" width="9.26171875" style="1341" customWidth="1"/>
    <col min="12034" max="12034" width="12.26171875" style="1341" customWidth="1"/>
    <col min="12035" max="12035" width="22.68359375" style="1341" customWidth="1"/>
    <col min="12036" max="12036" width="11.68359375" style="1341" customWidth="1"/>
    <col min="12037" max="12037" width="13.578125" style="1341" customWidth="1"/>
    <col min="12038" max="12038" width="14.26171875" style="1341" customWidth="1"/>
    <col min="12039" max="12039" width="11.578125" style="1341" bestFit="1" customWidth="1"/>
    <col min="12040" max="12040" width="8" style="1341" customWidth="1"/>
    <col min="12041" max="12041" width="8.83984375" style="1341"/>
    <col min="12042" max="12042" width="6.41796875" style="1341" customWidth="1"/>
    <col min="12043" max="12043" width="11" style="1341" customWidth="1"/>
    <col min="12044" max="12044" width="6.68359375" style="1341" customWidth="1"/>
    <col min="12045" max="12045" width="7.15625" style="1341" customWidth="1"/>
    <col min="12046" max="12046" width="6.68359375" style="1341" customWidth="1"/>
    <col min="12047" max="12048" width="8.83984375" style="1341"/>
    <col min="12049" max="12049" width="7.578125" style="1341" customWidth="1"/>
    <col min="12050" max="12050" width="8.83984375" style="1341"/>
    <col min="12051" max="12052" width="11.68359375" style="1341" customWidth="1"/>
    <col min="12053" max="12053" width="14.83984375" style="1341" customWidth="1"/>
    <col min="12054" max="12288" width="8.83984375" style="1341"/>
    <col min="12289" max="12289" width="9.26171875" style="1341" customWidth="1"/>
    <col min="12290" max="12290" width="12.26171875" style="1341" customWidth="1"/>
    <col min="12291" max="12291" width="22.68359375" style="1341" customWidth="1"/>
    <col min="12292" max="12292" width="11.68359375" style="1341" customWidth="1"/>
    <col min="12293" max="12293" width="13.578125" style="1341" customWidth="1"/>
    <col min="12294" max="12294" width="14.26171875" style="1341" customWidth="1"/>
    <col min="12295" max="12295" width="11.578125" style="1341" bestFit="1" customWidth="1"/>
    <col min="12296" max="12296" width="8" style="1341" customWidth="1"/>
    <col min="12297" max="12297" width="8.83984375" style="1341"/>
    <col min="12298" max="12298" width="6.41796875" style="1341" customWidth="1"/>
    <col min="12299" max="12299" width="11" style="1341" customWidth="1"/>
    <col min="12300" max="12300" width="6.68359375" style="1341" customWidth="1"/>
    <col min="12301" max="12301" width="7.15625" style="1341" customWidth="1"/>
    <col min="12302" max="12302" width="6.68359375" style="1341" customWidth="1"/>
    <col min="12303" max="12304" width="8.83984375" style="1341"/>
    <col min="12305" max="12305" width="7.578125" style="1341" customWidth="1"/>
    <col min="12306" max="12306" width="8.83984375" style="1341"/>
    <col min="12307" max="12308" width="11.68359375" style="1341" customWidth="1"/>
    <col min="12309" max="12309" width="14.83984375" style="1341" customWidth="1"/>
    <col min="12310" max="12544" width="8.83984375" style="1341"/>
    <col min="12545" max="12545" width="9.26171875" style="1341" customWidth="1"/>
    <col min="12546" max="12546" width="12.26171875" style="1341" customWidth="1"/>
    <col min="12547" max="12547" width="22.68359375" style="1341" customWidth="1"/>
    <col min="12548" max="12548" width="11.68359375" style="1341" customWidth="1"/>
    <col min="12549" max="12549" width="13.578125" style="1341" customWidth="1"/>
    <col min="12550" max="12550" width="14.26171875" style="1341" customWidth="1"/>
    <col min="12551" max="12551" width="11.578125" style="1341" bestFit="1" customWidth="1"/>
    <col min="12552" max="12552" width="8" style="1341" customWidth="1"/>
    <col min="12553" max="12553" width="8.83984375" style="1341"/>
    <col min="12554" max="12554" width="6.41796875" style="1341" customWidth="1"/>
    <col min="12555" max="12555" width="11" style="1341" customWidth="1"/>
    <col min="12556" max="12556" width="6.68359375" style="1341" customWidth="1"/>
    <col min="12557" max="12557" width="7.15625" style="1341" customWidth="1"/>
    <col min="12558" max="12558" width="6.68359375" style="1341" customWidth="1"/>
    <col min="12559" max="12560" width="8.83984375" style="1341"/>
    <col min="12561" max="12561" width="7.578125" style="1341" customWidth="1"/>
    <col min="12562" max="12562" width="8.83984375" style="1341"/>
    <col min="12563" max="12564" width="11.68359375" style="1341" customWidth="1"/>
    <col min="12565" max="12565" width="14.83984375" style="1341" customWidth="1"/>
    <col min="12566" max="12800" width="8.83984375" style="1341"/>
    <col min="12801" max="12801" width="9.26171875" style="1341" customWidth="1"/>
    <col min="12802" max="12802" width="12.26171875" style="1341" customWidth="1"/>
    <col min="12803" max="12803" width="22.68359375" style="1341" customWidth="1"/>
    <col min="12804" max="12804" width="11.68359375" style="1341" customWidth="1"/>
    <col min="12805" max="12805" width="13.578125" style="1341" customWidth="1"/>
    <col min="12806" max="12806" width="14.26171875" style="1341" customWidth="1"/>
    <col min="12807" max="12807" width="11.578125" style="1341" bestFit="1" customWidth="1"/>
    <col min="12808" max="12808" width="8" style="1341" customWidth="1"/>
    <col min="12809" max="12809" width="8.83984375" style="1341"/>
    <col min="12810" max="12810" width="6.41796875" style="1341" customWidth="1"/>
    <col min="12811" max="12811" width="11" style="1341" customWidth="1"/>
    <col min="12812" max="12812" width="6.68359375" style="1341" customWidth="1"/>
    <col min="12813" max="12813" width="7.15625" style="1341" customWidth="1"/>
    <col min="12814" max="12814" width="6.68359375" style="1341" customWidth="1"/>
    <col min="12815" max="12816" width="8.83984375" style="1341"/>
    <col min="12817" max="12817" width="7.578125" style="1341" customWidth="1"/>
    <col min="12818" max="12818" width="8.83984375" style="1341"/>
    <col min="12819" max="12820" width="11.68359375" style="1341" customWidth="1"/>
    <col min="12821" max="12821" width="14.83984375" style="1341" customWidth="1"/>
    <col min="12822" max="13056" width="8.83984375" style="1341"/>
    <col min="13057" max="13057" width="9.26171875" style="1341" customWidth="1"/>
    <col min="13058" max="13058" width="12.26171875" style="1341" customWidth="1"/>
    <col min="13059" max="13059" width="22.68359375" style="1341" customWidth="1"/>
    <col min="13060" max="13060" width="11.68359375" style="1341" customWidth="1"/>
    <col min="13061" max="13061" width="13.578125" style="1341" customWidth="1"/>
    <col min="13062" max="13062" width="14.26171875" style="1341" customWidth="1"/>
    <col min="13063" max="13063" width="11.578125" style="1341" bestFit="1" customWidth="1"/>
    <col min="13064" max="13064" width="8" style="1341" customWidth="1"/>
    <col min="13065" max="13065" width="8.83984375" style="1341"/>
    <col min="13066" max="13066" width="6.41796875" style="1341" customWidth="1"/>
    <col min="13067" max="13067" width="11" style="1341" customWidth="1"/>
    <col min="13068" max="13068" width="6.68359375" style="1341" customWidth="1"/>
    <col min="13069" max="13069" width="7.15625" style="1341" customWidth="1"/>
    <col min="13070" max="13070" width="6.68359375" style="1341" customWidth="1"/>
    <col min="13071" max="13072" width="8.83984375" style="1341"/>
    <col min="13073" max="13073" width="7.578125" style="1341" customWidth="1"/>
    <col min="13074" max="13074" width="8.83984375" style="1341"/>
    <col min="13075" max="13076" width="11.68359375" style="1341" customWidth="1"/>
    <col min="13077" max="13077" width="14.83984375" style="1341" customWidth="1"/>
    <col min="13078" max="13312" width="8.83984375" style="1341"/>
    <col min="13313" max="13313" width="9.26171875" style="1341" customWidth="1"/>
    <col min="13314" max="13314" width="12.26171875" style="1341" customWidth="1"/>
    <col min="13315" max="13315" width="22.68359375" style="1341" customWidth="1"/>
    <col min="13316" max="13316" width="11.68359375" style="1341" customWidth="1"/>
    <col min="13317" max="13317" width="13.578125" style="1341" customWidth="1"/>
    <col min="13318" max="13318" width="14.26171875" style="1341" customWidth="1"/>
    <col min="13319" max="13319" width="11.578125" style="1341" bestFit="1" customWidth="1"/>
    <col min="13320" max="13320" width="8" style="1341" customWidth="1"/>
    <col min="13321" max="13321" width="8.83984375" style="1341"/>
    <col min="13322" max="13322" width="6.41796875" style="1341" customWidth="1"/>
    <col min="13323" max="13323" width="11" style="1341" customWidth="1"/>
    <col min="13324" max="13324" width="6.68359375" style="1341" customWidth="1"/>
    <col min="13325" max="13325" width="7.15625" style="1341" customWidth="1"/>
    <col min="13326" max="13326" width="6.68359375" style="1341" customWidth="1"/>
    <col min="13327" max="13328" width="8.83984375" style="1341"/>
    <col min="13329" max="13329" width="7.578125" style="1341" customWidth="1"/>
    <col min="13330" max="13330" width="8.83984375" style="1341"/>
    <col min="13331" max="13332" width="11.68359375" style="1341" customWidth="1"/>
    <col min="13333" max="13333" width="14.83984375" style="1341" customWidth="1"/>
    <col min="13334" max="13568" width="8.83984375" style="1341"/>
    <col min="13569" max="13569" width="9.26171875" style="1341" customWidth="1"/>
    <col min="13570" max="13570" width="12.26171875" style="1341" customWidth="1"/>
    <col min="13571" max="13571" width="22.68359375" style="1341" customWidth="1"/>
    <col min="13572" max="13572" width="11.68359375" style="1341" customWidth="1"/>
    <col min="13573" max="13573" width="13.578125" style="1341" customWidth="1"/>
    <col min="13574" max="13574" width="14.26171875" style="1341" customWidth="1"/>
    <col min="13575" max="13575" width="11.578125" style="1341" bestFit="1" customWidth="1"/>
    <col min="13576" max="13576" width="8" style="1341" customWidth="1"/>
    <col min="13577" max="13577" width="8.83984375" style="1341"/>
    <col min="13578" max="13578" width="6.41796875" style="1341" customWidth="1"/>
    <col min="13579" max="13579" width="11" style="1341" customWidth="1"/>
    <col min="13580" max="13580" width="6.68359375" style="1341" customWidth="1"/>
    <col min="13581" max="13581" width="7.15625" style="1341" customWidth="1"/>
    <col min="13582" max="13582" width="6.68359375" style="1341" customWidth="1"/>
    <col min="13583" max="13584" width="8.83984375" style="1341"/>
    <col min="13585" max="13585" width="7.578125" style="1341" customWidth="1"/>
    <col min="13586" max="13586" width="8.83984375" style="1341"/>
    <col min="13587" max="13588" width="11.68359375" style="1341" customWidth="1"/>
    <col min="13589" max="13589" width="14.83984375" style="1341" customWidth="1"/>
    <col min="13590" max="13824" width="8.83984375" style="1341"/>
    <col min="13825" max="13825" width="9.26171875" style="1341" customWidth="1"/>
    <col min="13826" max="13826" width="12.26171875" style="1341" customWidth="1"/>
    <col min="13827" max="13827" width="22.68359375" style="1341" customWidth="1"/>
    <col min="13828" max="13828" width="11.68359375" style="1341" customWidth="1"/>
    <col min="13829" max="13829" width="13.578125" style="1341" customWidth="1"/>
    <col min="13830" max="13830" width="14.26171875" style="1341" customWidth="1"/>
    <col min="13831" max="13831" width="11.578125" style="1341" bestFit="1" customWidth="1"/>
    <col min="13832" max="13832" width="8" style="1341" customWidth="1"/>
    <col min="13833" max="13833" width="8.83984375" style="1341"/>
    <col min="13834" max="13834" width="6.41796875" style="1341" customWidth="1"/>
    <col min="13835" max="13835" width="11" style="1341" customWidth="1"/>
    <col min="13836" max="13836" width="6.68359375" style="1341" customWidth="1"/>
    <col min="13837" max="13837" width="7.15625" style="1341" customWidth="1"/>
    <col min="13838" max="13838" width="6.68359375" style="1341" customWidth="1"/>
    <col min="13839" max="13840" width="8.83984375" style="1341"/>
    <col min="13841" max="13841" width="7.578125" style="1341" customWidth="1"/>
    <col min="13842" max="13842" width="8.83984375" style="1341"/>
    <col min="13843" max="13844" width="11.68359375" style="1341" customWidth="1"/>
    <col min="13845" max="13845" width="14.83984375" style="1341" customWidth="1"/>
    <col min="13846" max="14080" width="8.83984375" style="1341"/>
    <col min="14081" max="14081" width="9.26171875" style="1341" customWidth="1"/>
    <col min="14082" max="14082" width="12.26171875" style="1341" customWidth="1"/>
    <col min="14083" max="14083" width="22.68359375" style="1341" customWidth="1"/>
    <col min="14084" max="14084" width="11.68359375" style="1341" customWidth="1"/>
    <col min="14085" max="14085" width="13.578125" style="1341" customWidth="1"/>
    <col min="14086" max="14086" width="14.26171875" style="1341" customWidth="1"/>
    <col min="14087" max="14087" width="11.578125" style="1341" bestFit="1" customWidth="1"/>
    <col min="14088" max="14088" width="8" style="1341" customWidth="1"/>
    <col min="14089" max="14089" width="8.83984375" style="1341"/>
    <col min="14090" max="14090" width="6.41796875" style="1341" customWidth="1"/>
    <col min="14091" max="14091" width="11" style="1341" customWidth="1"/>
    <col min="14092" max="14092" width="6.68359375" style="1341" customWidth="1"/>
    <col min="14093" max="14093" width="7.15625" style="1341" customWidth="1"/>
    <col min="14094" max="14094" width="6.68359375" style="1341" customWidth="1"/>
    <col min="14095" max="14096" width="8.83984375" style="1341"/>
    <col min="14097" max="14097" width="7.578125" style="1341" customWidth="1"/>
    <col min="14098" max="14098" width="8.83984375" style="1341"/>
    <col min="14099" max="14100" width="11.68359375" style="1341" customWidth="1"/>
    <col min="14101" max="14101" width="14.83984375" style="1341" customWidth="1"/>
    <col min="14102" max="14336" width="8.83984375" style="1341"/>
    <col min="14337" max="14337" width="9.26171875" style="1341" customWidth="1"/>
    <col min="14338" max="14338" width="12.26171875" style="1341" customWidth="1"/>
    <col min="14339" max="14339" width="22.68359375" style="1341" customWidth="1"/>
    <col min="14340" max="14340" width="11.68359375" style="1341" customWidth="1"/>
    <col min="14341" max="14341" width="13.578125" style="1341" customWidth="1"/>
    <col min="14342" max="14342" width="14.26171875" style="1341" customWidth="1"/>
    <col min="14343" max="14343" width="11.578125" style="1341" bestFit="1" customWidth="1"/>
    <col min="14344" max="14344" width="8" style="1341" customWidth="1"/>
    <col min="14345" max="14345" width="8.83984375" style="1341"/>
    <col min="14346" max="14346" width="6.41796875" style="1341" customWidth="1"/>
    <col min="14347" max="14347" width="11" style="1341" customWidth="1"/>
    <col min="14348" max="14348" width="6.68359375" style="1341" customWidth="1"/>
    <col min="14349" max="14349" width="7.15625" style="1341" customWidth="1"/>
    <col min="14350" max="14350" width="6.68359375" style="1341" customWidth="1"/>
    <col min="14351" max="14352" width="8.83984375" style="1341"/>
    <col min="14353" max="14353" width="7.578125" style="1341" customWidth="1"/>
    <col min="14354" max="14354" width="8.83984375" style="1341"/>
    <col min="14355" max="14356" width="11.68359375" style="1341" customWidth="1"/>
    <col min="14357" max="14357" width="14.83984375" style="1341" customWidth="1"/>
    <col min="14358" max="14592" width="8.83984375" style="1341"/>
    <col min="14593" max="14593" width="9.26171875" style="1341" customWidth="1"/>
    <col min="14594" max="14594" width="12.26171875" style="1341" customWidth="1"/>
    <col min="14595" max="14595" width="22.68359375" style="1341" customWidth="1"/>
    <col min="14596" max="14596" width="11.68359375" style="1341" customWidth="1"/>
    <col min="14597" max="14597" width="13.578125" style="1341" customWidth="1"/>
    <col min="14598" max="14598" width="14.26171875" style="1341" customWidth="1"/>
    <col min="14599" max="14599" width="11.578125" style="1341" bestFit="1" customWidth="1"/>
    <col min="14600" max="14600" width="8" style="1341" customWidth="1"/>
    <col min="14601" max="14601" width="8.83984375" style="1341"/>
    <col min="14602" max="14602" width="6.41796875" style="1341" customWidth="1"/>
    <col min="14603" max="14603" width="11" style="1341" customWidth="1"/>
    <col min="14604" max="14604" width="6.68359375" style="1341" customWidth="1"/>
    <col min="14605" max="14605" width="7.15625" style="1341" customWidth="1"/>
    <col min="14606" max="14606" width="6.68359375" style="1341" customWidth="1"/>
    <col min="14607" max="14608" width="8.83984375" style="1341"/>
    <col min="14609" max="14609" width="7.578125" style="1341" customWidth="1"/>
    <col min="14610" max="14610" width="8.83984375" style="1341"/>
    <col min="14611" max="14612" width="11.68359375" style="1341" customWidth="1"/>
    <col min="14613" max="14613" width="14.83984375" style="1341" customWidth="1"/>
    <col min="14614" max="14848" width="8.83984375" style="1341"/>
    <col min="14849" max="14849" width="9.26171875" style="1341" customWidth="1"/>
    <col min="14850" max="14850" width="12.26171875" style="1341" customWidth="1"/>
    <col min="14851" max="14851" width="22.68359375" style="1341" customWidth="1"/>
    <col min="14852" max="14852" width="11.68359375" style="1341" customWidth="1"/>
    <col min="14853" max="14853" width="13.578125" style="1341" customWidth="1"/>
    <col min="14854" max="14854" width="14.26171875" style="1341" customWidth="1"/>
    <col min="14855" max="14855" width="11.578125" style="1341" bestFit="1" customWidth="1"/>
    <col min="14856" max="14856" width="8" style="1341" customWidth="1"/>
    <col min="14857" max="14857" width="8.83984375" style="1341"/>
    <col min="14858" max="14858" width="6.41796875" style="1341" customWidth="1"/>
    <col min="14859" max="14859" width="11" style="1341" customWidth="1"/>
    <col min="14860" max="14860" width="6.68359375" style="1341" customWidth="1"/>
    <col min="14861" max="14861" width="7.15625" style="1341" customWidth="1"/>
    <col min="14862" max="14862" width="6.68359375" style="1341" customWidth="1"/>
    <col min="14863" max="14864" width="8.83984375" style="1341"/>
    <col min="14865" max="14865" width="7.578125" style="1341" customWidth="1"/>
    <col min="14866" max="14866" width="8.83984375" style="1341"/>
    <col min="14867" max="14868" width="11.68359375" style="1341" customWidth="1"/>
    <col min="14869" max="14869" width="14.83984375" style="1341" customWidth="1"/>
    <col min="14870" max="15104" width="8.83984375" style="1341"/>
    <col min="15105" max="15105" width="9.26171875" style="1341" customWidth="1"/>
    <col min="15106" max="15106" width="12.26171875" style="1341" customWidth="1"/>
    <col min="15107" max="15107" width="22.68359375" style="1341" customWidth="1"/>
    <col min="15108" max="15108" width="11.68359375" style="1341" customWidth="1"/>
    <col min="15109" max="15109" width="13.578125" style="1341" customWidth="1"/>
    <col min="15110" max="15110" width="14.26171875" style="1341" customWidth="1"/>
    <col min="15111" max="15111" width="11.578125" style="1341" bestFit="1" customWidth="1"/>
    <col min="15112" max="15112" width="8" style="1341" customWidth="1"/>
    <col min="15113" max="15113" width="8.83984375" style="1341"/>
    <col min="15114" max="15114" width="6.41796875" style="1341" customWidth="1"/>
    <col min="15115" max="15115" width="11" style="1341" customWidth="1"/>
    <col min="15116" max="15116" width="6.68359375" style="1341" customWidth="1"/>
    <col min="15117" max="15117" width="7.15625" style="1341" customWidth="1"/>
    <col min="15118" max="15118" width="6.68359375" style="1341" customWidth="1"/>
    <col min="15119" max="15120" width="8.83984375" style="1341"/>
    <col min="15121" max="15121" width="7.578125" style="1341" customWidth="1"/>
    <col min="15122" max="15122" width="8.83984375" style="1341"/>
    <col min="15123" max="15124" width="11.68359375" style="1341" customWidth="1"/>
    <col min="15125" max="15125" width="14.83984375" style="1341" customWidth="1"/>
    <col min="15126" max="15360" width="8.83984375" style="1341"/>
    <col min="15361" max="15361" width="9.26171875" style="1341" customWidth="1"/>
    <col min="15362" max="15362" width="12.26171875" style="1341" customWidth="1"/>
    <col min="15363" max="15363" width="22.68359375" style="1341" customWidth="1"/>
    <col min="15364" max="15364" width="11.68359375" style="1341" customWidth="1"/>
    <col min="15365" max="15365" width="13.578125" style="1341" customWidth="1"/>
    <col min="15366" max="15366" width="14.26171875" style="1341" customWidth="1"/>
    <col min="15367" max="15367" width="11.578125" style="1341" bestFit="1" customWidth="1"/>
    <col min="15368" max="15368" width="8" style="1341" customWidth="1"/>
    <col min="15369" max="15369" width="8.83984375" style="1341"/>
    <col min="15370" max="15370" width="6.41796875" style="1341" customWidth="1"/>
    <col min="15371" max="15371" width="11" style="1341" customWidth="1"/>
    <col min="15372" max="15372" width="6.68359375" style="1341" customWidth="1"/>
    <col min="15373" max="15373" width="7.15625" style="1341" customWidth="1"/>
    <col min="15374" max="15374" width="6.68359375" style="1341" customWidth="1"/>
    <col min="15375" max="15376" width="8.83984375" style="1341"/>
    <col min="15377" max="15377" width="7.578125" style="1341" customWidth="1"/>
    <col min="15378" max="15378" width="8.83984375" style="1341"/>
    <col min="15379" max="15380" width="11.68359375" style="1341" customWidth="1"/>
    <col min="15381" max="15381" width="14.83984375" style="1341" customWidth="1"/>
    <col min="15382" max="15616" width="8.83984375" style="1341"/>
    <col min="15617" max="15617" width="9.26171875" style="1341" customWidth="1"/>
    <col min="15618" max="15618" width="12.26171875" style="1341" customWidth="1"/>
    <col min="15619" max="15619" width="22.68359375" style="1341" customWidth="1"/>
    <col min="15620" max="15620" width="11.68359375" style="1341" customWidth="1"/>
    <col min="15621" max="15621" width="13.578125" style="1341" customWidth="1"/>
    <col min="15622" max="15622" width="14.26171875" style="1341" customWidth="1"/>
    <col min="15623" max="15623" width="11.578125" style="1341" bestFit="1" customWidth="1"/>
    <col min="15624" max="15624" width="8" style="1341" customWidth="1"/>
    <col min="15625" max="15625" width="8.83984375" style="1341"/>
    <col min="15626" max="15626" width="6.41796875" style="1341" customWidth="1"/>
    <col min="15627" max="15627" width="11" style="1341" customWidth="1"/>
    <col min="15628" max="15628" width="6.68359375" style="1341" customWidth="1"/>
    <col min="15629" max="15629" width="7.15625" style="1341" customWidth="1"/>
    <col min="15630" max="15630" width="6.68359375" style="1341" customWidth="1"/>
    <col min="15631" max="15632" width="8.83984375" style="1341"/>
    <col min="15633" max="15633" width="7.578125" style="1341" customWidth="1"/>
    <col min="15634" max="15634" width="8.83984375" style="1341"/>
    <col min="15635" max="15636" width="11.68359375" style="1341" customWidth="1"/>
    <col min="15637" max="15637" width="14.83984375" style="1341" customWidth="1"/>
    <col min="15638" max="15872" width="8.83984375" style="1341"/>
    <col min="15873" max="15873" width="9.26171875" style="1341" customWidth="1"/>
    <col min="15874" max="15874" width="12.26171875" style="1341" customWidth="1"/>
    <col min="15875" max="15875" width="22.68359375" style="1341" customWidth="1"/>
    <col min="15876" max="15876" width="11.68359375" style="1341" customWidth="1"/>
    <col min="15877" max="15877" width="13.578125" style="1341" customWidth="1"/>
    <col min="15878" max="15878" width="14.26171875" style="1341" customWidth="1"/>
    <col min="15879" max="15879" width="11.578125" style="1341" bestFit="1" customWidth="1"/>
    <col min="15880" max="15880" width="8" style="1341" customWidth="1"/>
    <col min="15881" max="15881" width="8.83984375" style="1341"/>
    <col min="15882" max="15882" width="6.41796875" style="1341" customWidth="1"/>
    <col min="15883" max="15883" width="11" style="1341" customWidth="1"/>
    <col min="15884" max="15884" width="6.68359375" style="1341" customWidth="1"/>
    <col min="15885" max="15885" width="7.15625" style="1341" customWidth="1"/>
    <col min="15886" max="15886" width="6.68359375" style="1341" customWidth="1"/>
    <col min="15887" max="15888" width="8.83984375" style="1341"/>
    <col min="15889" max="15889" width="7.578125" style="1341" customWidth="1"/>
    <col min="15890" max="15890" width="8.83984375" style="1341"/>
    <col min="15891" max="15892" width="11.68359375" style="1341" customWidth="1"/>
    <col min="15893" max="15893" width="14.83984375" style="1341" customWidth="1"/>
    <col min="15894" max="16128" width="8.83984375" style="1341"/>
    <col min="16129" max="16129" width="9.26171875" style="1341" customWidth="1"/>
    <col min="16130" max="16130" width="12.26171875" style="1341" customWidth="1"/>
    <col min="16131" max="16131" width="22.68359375" style="1341" customWidth="1"/>
    <col min="16132" max="16132" width="11.68359375" style="1341" customWidth="1"/>
    <col min="16133" max="16133" width="13.578125" style="1341" customWidth="1"/>
    <col min="16134" max="16134" width="14.26171875" style="1341" customWidth="1"/>
    <col min="16135" max="16135" width="11.578125" style="1341" bestFit="1" customWidth="1"/>
    <col min="16136" max="16136" width="8" style="1341" customWidth="1"/>
    <col min="16137" max="16137" width="8.83984375" style="1341"/>
    <col min="16138" max="16138" width="6.41796875" style="1341" customWidth="1"/>
    <col min="16139" max="16139" width="11" style="1341" customWidth="1"/>
    <col min="16140" max="16140" width="6.68359375" style="1341" customWidth="1"/>
    <col min="16141" max="16141" width="7.15625" style="1341" customWidth="1"/>
    <col min="16142" max="16142" width="6.68359375" style="1341" customWidth="1"/>
    <col min="16143" max="16144" width="8.83984375" style="1341"/>
    <col min="16145" max="16145" width="7.578125" style="1341" customWidth="1"/>
    <col min="16146" max="16146" width="8.83984375" style="1341"/>
    <col min="16147" max="16148" width="11.68359375" style="1341" customWidth="1"/>
    <col min="16149" max="16149" width="14.83984375" style="1341" customWidth="1"/>
    <col min="16150" max="16384" width="8.83984375" style="1341"/>
  </cols>
  <sheetData>
    <row r="1" spans="1:256" ht="20.100000000000001">
      <c r="A1" s="1630" t="s">
        <v>2618</v>
      </c>
      <c r="B1" s="1630"/>
      <c r="C1" s="1630"/>
      <c r="D1" s="1630"/>
      <c r="E1" s="1630"/>
      <c r="F1" s="1630"/>
      <c r="G1" s="1630"/>
      <c r="H1" s="1630"/>
      <c r="I1" s="1630"/>
      <c r="J1" s="1630"/>
      <c r="K1" s="1630"/>
      <c r="L1" s="1630"/>
      <c r="M1" s="1630"/>
      <c r="N1" s="1630"/>
      <c r="O1" s="1630"/>
      <c r="P1" s="1630"/>
      <c r="Q1" s="1630"/>
      <c r="R1" s="1630"/>
      <c r="S1" s="1630"/>
      <c r="T1" s="1340"/>
    </row>
    <row r="2" spans="1:256" ht="72">
      <c r="A2" s="1631" t="s">
        <v>2619</v>
      </c>
      <c r="B2" s="1342" t="s">
        <v>2620</v>
      </c>
      <c r="C2" s="1342" t="s">
        <v>2610</v>
      </c>
      <c r="D2" s="1342" t="s">
        <v>2621</v>
      </c>
      <c r="E2" s="1342" t="s">
        <v>2622</v>
      </c>
      <c r="F2" s="1342" t="s">
        <v>2623</v>
      </c>
      <c r="G2" s="1342" t="s">
        <v>2624</v>
      </c>
      <c r="H2" s="1342" t="s">
        <v>2625</v>
      </c>
      <c r="I2" s="1342" t="s">
        <v>2626</v>
      </c>
      <c r="J2" s="1342" t="s">
        <v>2627</v>
      </c>
      <c r="K2" s="1342" t="s">
        <v>2628</v>
      </c>
      <c r="L2" s="1342" t="s">
        <v>2629</v>
      </c>
      <c r="M2" s="1342" t="s">
        <v>2630</v>
      </c>
      <c r="N2" s="1342" t="s">
        <v>2631</v>
      </c>
      <c r="O2" s="1342" t="s">
        <v>2632</v>
      </c>
      <c r="P2" s="1342" t="s">
        <v>2633</v>
      </c>
      <c r="Q2" s="1342" t="s">
        <v>2634</v>
      </c>
      <c r="R2" s="1342" t="s">
        <v>2635</v>
      </c>
      <c r="S2" s="1342" t="s">
        <v>2636</v>
      </c>
      <c r="T2" s="1343" t="s">
        <v>2613</v>
      </c>
      <c r="U2" s="1344" t="s">
        <v>2637</v>
      </c>
      <c r="V2" s="1345"/>
      <c r="W2" s="1345"/>
      <c r="X2" s="1345"/>
      <c r="Y2" s="1345"/>
      <c r="Z2" s="1345"/>
      <c r="AA2" s="1345"/>
      <c r="AB2" s="1345"/>
      <c r="AC2" s="1345"/>
      <c r="AD2" s="1345"/>
      <c r="AE2" s="1345"/>
      <c r="AF2" s="1345"/>
      <c r="AG2" s="1345"/>
      <c r="AH2" s="1345"/>
      <c r="AI2" s="1345"/>
      <c r="AJ2" s="1345"/>
      <c r="AK2" s="1345"/>
      <c r="AL2" s="1345"/>
      <c r="AM2" s="1345"/>
      <c r="AN2" s="1345"/>
      <c r="AO2" s="1345"/>
      <c r="AP2" s="1345"/>
      <c r="AQ2" s="1345"/>
      <c r="AR2" s="1345"/>
      <c r="AS2" s="1345"/>
      <c r="AT2" s="1345"/>
      <c r="AU2" s="1345"/>
      <c r="AV2" s="1345"/>
      <c r="AW2" s="1345"/>
      <c r="AX2" s="1345"/>
      <c r="AY2" s="1345"/>
      <c r="AZ2" s="1345"/>
      <c r="BA2" s="1345"/>
      <c r="BB2" s="1345"/>
      <c r="BC2" s="1345"/>
      <c r="BD2" s="1345"/>
      <c r="BE2" s="1345"/>
      <c r="BF2" s="1345"/>
      <c r="BG2" s="1345"/>
      <c r="BH2" s="1345"/>
      <c r="BI2" s="1345"/>
      <c r="BJ2" s="1345"/>
      <c r="BK2" s="1345"/>
      <c r="BL2" s="1345"/>
      <c r="BM2" s="1345"/>
      <c r="BN2" s="1345"/>
      <c r="BO2" s="1345"/>
      <c r="BP2" s="1345"/>
      <c r="BQ2" s="1345"/>
      <c r="BR2" s="1345"/>
      <c r="BS2" s="1345"/>
      <c r="BT2" s="1345"/>
      <c r="BU2" s="1345"/>
      <c r="BV2" s="1345"/>
      <c r="BW2" s="1345"/>
      <c r="BX2" s="1345"/>
      <c r="BY2" s="1345"/>
      <c r="BZ2" s="1345"/>
      <c r="CA2" s="1345"/>
      <c r="CB2" s="1345"/>
      <c r="CC2" s="1345"/>
      <c r="CD2" s="1345"/>
      <c r="CE2" s="1345"/>
      <c r="CF2" s="1345"/>
      <c r="CG2" s="1345"/>
      <c r="CH2" s="1345"/>
      <c r="CI2" s="1345"/>
      <c r="CJ2" s="1345"/>
      <c r="CK2" s="1345"/>
      <c r="CL2" s="1345"/>
      <c r="CM2" s="1345"/>
      <c r="CN2" s="1345"/>
      <c r="CO2" s="1345"/>
      <c r="CP2" s="1345"/>
      <c r="CQ2" s="1345"/>
      <c r="CR2" s="1345"/>
      <c r="CS2" s="1345"/>
      <c r="CT2" s="1345"/>
      <c r="CU2" s="1345"/>
      <c r="CV2" s="1345"/>
      <c r="CW2" s="1345"/>
      <c r="CX2" s="1345"/>
      <c r="CY2" s="1345"/>
      <c r="CZ2" s="1345"/>
      <c r="DA2" s="1345"/>
      <c r="DB2" s="1345"/>
      <c r="DC2" s="1345"/>
      <c r="DD2" s="1345"/>
      <c r="DE2" s="1345"/>
      <c r="DF2" s="1345"/>
      <c r="DG2" s="1345"/>
      <c r="DH2" s="1345"/>
      <c r="DI2" s="1345"/>
      <c r="DJ2" s="1345"/>
      <c r="DK2" s="1345"/>
      <c r="DL2" s="1345"/>
      <c r="DM2" s="1345"/>
      <c r="DN2" s="1345"/>
      <c r="DO2" s="1345"/>
      <c r="DP2" s="1345"/>
      <c r="DQ2" s="1345"/>
      <c r="DR2" s="1345"/>
      <c r="DS2" s="1345"/>
      <c r="DT2" s="1345"/>
      <c r="DU2" s="1345"/>
      <c r="DV2" s="1345"/>
      <c r="DW2" s="1345"/>
      <c r="DX2" s="1345"/>
      <c r="DY2" s="1345"/>
      <c r="DZ2" s="1345"/>
      <c r="EA2" s="1345"/>
      <c r="EB2" s="1345"/>
      <c r="EC2" s="1345"/>
      <c r="ED2" s="1345"/>
      <c r="EE2" s="1345"/>
      <c r="EF2" s="1345"/>
      <c r="EG2" s="1345"/>
      <c r="EH2" s="1345"/>
      <c r="EI2" s="1345"/>
      <c r="EJ2" s="1345"/>
      <c r="EK2" s="1345"/>
      <c r="EL2" s="1345"/>
      <c r="EM2" s="1345"/>
      <c r="EN2" s="1345"/>
      <c r="EO2" s="1345"/>
      <c r="EP2" s="1345"/>
      <c r="EQ2" s="1345"/>
      <c r="ER2" s="1345"/>
      <c r="ES2" s="1345"/>
      <c r="ET2" s="1345"/>
      <c r="EU2" s="1345"/>
      <c r="EV2" s="1345"/>
      <c r="EW2" s="1345"/>
      <c r="EX2" s="1345"/>
      <c r="EY2" s="1345"/>
      <c r="EZ2" s="1345"/>
      <c r="FA2" s="1345"/>
      <c r="FB2" s="1345"/>
      <c r="FC2" s="1345"/>
      <c r="FD2" s="1345"/>
      <c r="FE2" s="1345"/>
      <c r="FF2" s="1345"/>
      <c r="FG2" s="1345"/>
      <c r="FH2" s="1345"/>
      <c r="FI2" s="1345"/>
      <c r="FJ2" s="1345"/>
      <c r="FK2" s="1345"/>
      <c r="FL2" s="1345"/>
      <c r="FM2" s="1345"/>
      <c r="FN2" s="1345"/>
      <c r="FO2" s="1345"/>
      <c r="FP2" s="1345"/>
      <c r="FQ2" s="1345"/>
      <c r="FR2" s="1345"/>
      <c r="FS2" s="1345"/>
      <c r="FT2" s="1345"/>
      <c r="FU2" s="1345"/>
      <c r="FV2" s="1345"/>
      <c r="FW2" s="1345"/>
      <c r="FX2" s="1345"/>
      <c r="FY2" s="1345"/>
      <c r="FZ2" s="1345"/>
      <c r="GA2" s="1345"/>
      <c r="GB2" s="1345"/>
      <c r="GC2" s="1345"/>
      <c r="GD2" s="1345"/>
      <c r="GE2" s="1345"/>
      <c r="GF2" s="1345"/>
      <c r="GG2" s="1345"/>
      <c r="GH2" s="1345"/>
      <c r="GI2" s="1345"/>
      <c r="GJ2" s="1345"/>
      <c r="GK2" s="1345"/>
      <c r="GL2" s="1345"/>
      <c r="GM2" s="1345"/>
      <c r="GN2" s="1345"/>
      <c r="GO2" s="1345"/>
      <c r="GP2" s="1345"/>
      <c r="GQ2" s="1345"/>
      <c r="GR2" s="1345"/>
      <c r="GS2" s="1345"/>
      <c r="GT2" s="1345"/>
      <c r="GU2" s="1345"/>
      <c r="GV2" s="1345"/>
      <c r="GW2" s="1345"/>
      <c r="GX2" s="1345"/>
      <c r="GY2" s="1345"/>
      <c r="GZ2" s="1345"/>
      <c r="HA2" s="1345"/>
      <c r="HB2" s="1345"/>
      <c r="HC2" s="1345"/>
      <c r="HD2" s="1345"/>
      <c r="HE2" s="1345"/>
      <c r="HF2" s="1345"/>
      <c r="HG2" s="1345"/>
      <c r="HH2" s="1345"/>
      <c r="HI2" s="1345"/>
      <c r="HJ2" s="1345"/>
      <c r="HK2" s="1345"/>
      <c r="HL2" s="1345"/>
      <c r="HM2" s="1345"/>
      <c r="HN2" s="1345"/>
      <c r="HO2" s="1345"/>
      <c r="HP2" s="1345"/>
      <c r="HQ2" s="1345"/>
      <c r="HR2" s="1345"/>
      <c r="HS2" s="1345"/>
      <c r="HT2" s="1345"/>
      <c r="HU2" s="1345"/>
      <c r="HV2" s="1345"/>
      <c r="HW2" s="1345"/>
      <c r="HX2" s="1345"/>
      <c r="HY2" s="1345"/>
      <c r="HZ2" s="1345"/>
      <c r="IA2" s="1345"/>
      <c r="IB2" s="1345"/>
      <c r="IC2" s="1345"/>
      <c r="ID2" s="1345"/>
      <c r="IE2" s="1345"/>
      <c r="IF2" s="1345"/>
      <c r="IG2" s="1345"/>
      <c r="IH2" s="1345"/>
      <c r="II2" s="1345"/>
      <c r="IJ2" s="1345"/>
      <c r="IK2" s="1345"/>
      <c r="IL2" s="1345"/>
      <c r="IM2" s="1345"/>
      <c r="IN2" s="1345"/>
      <c r="IO2" s="1345"/>
      <c r="IP2" s="1345"/>
      <c r="IQ2" s="1345"/>
      <c r="IR2" s="1345"/>
      <c r="IS2" s="1345"/>
      <c r="IT2" s="1345"/>
      <c r="IU2" s="1345"/>
      <c r="IV2" s="1345"/>
    </row>
    <row r="3" spans="1:256" ht="36.9">
      <c r="A3" s="1631"/>
      <c r="B3" s="1346" t="s">
        <v>2638</v>
      </c>
      <c r="C3" s="1346">
        <f>Inputsheet!B8</f>
        <v>76</v>
      </c>
      <c r="D3" s="1347">
        <f>Inputsheet!B5-1</f>
        <v>44671</v>
      </c>
      <c r="E3" s="1348">
        <f>ROUND([9]Input!B10/245000,4)</f>
        <v>0</v>
      </c>
      <c r="F3" s="1349">
        <v>3.4</v>
      </c>
      <c r="G3" s="1346" t="str">
        <f>Inputsheet!B2</f>
        <v>Bijwar</v>
      </c>
      <c r="H3" s="1346" t="s">
        <v>2639</v>
      </c>
      <c r="I3" s="1346" t="s">
        <v>329</v>
      </c>
      <c r="J3" s="1346" t="s">
        <v>2640</v>
      </c>
      <c r="K3" s="1346" t="s">
        <v>2681</v>
      </c>
      <c r="L3" s="1346" t="s">
        <v>2641</v>
      </c>
      <c r="M3" s="1346" t="s">
        <v>2641</v>
      </c>
      <c r="N3" s="1346" t="s">
        <v>2642</v>
      </c>
      <c r="O3" s="1346" t="str">
        <f>K3</f>
        <v>Constr. Of Kitchen Shed</v>
      </c>
      <c r="P3" s="1346" t="s">
        <v>2643</v>
      </c>
      <c r="Q3" s="1346" t="s">
        <v>2644</v>
      </c>
      <c r="R3" s="1346" t="s">
        <v>2645</v>
      </c>
      <c r="S3" s="1347">
        <f>D3+1</f>
        <v>44672</v>
      </c>
      <c r="T3" s="1346"/>
      <c r="U3" s="1346" t="s">
        <v>2639</v>
      </c>
      <c r="V3" s="1350"/>
      <c r="W3" s="1350"/>
      <c r="X3" s="1350"/>
      <c r="Y3" s="1350"/>
      <c r="Z3" s="1350"/>
      <c r="AA3" s="1350"/>
      <c r="AB3" s="1350"/>
      <c r="AC3" s="1350"/>
      <c r="AD3" s="1350"/>
      <c r="AE3" s="1350"/>
      <c r="AF3" s="1350"/>
      <c r="AG3" s="1350"/>
      <c r="AH3" s="1350"/>
      <c r="AI3" s="1350"/>
      <c r="AJ3" s="1350"/>
      <c r="AK3" s="1350"/>
      <c r="AL3" s="1350"/>
      <c r="AM3" s="1350"/>
      <c r="AN3" s="1350"/>
      <c r="AO3" s="1350"/>
      <c r="AP3" s="1350"/>
      <c r="AQ3" s="1350"/>
      <c r="AR3" s="1350"/>
      <c r="AS3" s="1350"/>
      <c r="AT3" s="1350"/>
      <c r="AU3" s="1350"/>
      <c r="AV3" s="1350"/>
      <c r="AW3" s="1350"/>
      <c r="AX3" s="1350"/>
      <c r="AY3" s="1350"/>
      <c r="AZ3" s="1350"/>
      <c r="BA3" s="1350"/>
      <c r="BB3" s="1350"/>
      <c r="BC3" s="1350"/>
      <c r="BD3" s="1350"/>
      <c r="BE3" s="1350"/>
      <c r="BF3" s="1350"/>
      <c r="BG3" s="1350"/>
      <c r="BH3" s="1350"/>
      <c r="BI3" s="1350"/>
      <c r="BJ3" s="1350"/>
      <c r="BK3" s="1350"/>
      <c r="BL3" s="1350"/>
      <c r="BM3" s="1350"/>
      <c r="BN3" s="1350"/>
      <c r="BO3" s="1350"/>
      <c r="BP3" s="1350"/>
      <c r="BQ3" s="1350"/>
      <c r="BR3" s="1350"/>
      <c r="BS3" s="1350"/>
      <c r="BT3" s="1350"/>
      <c r="BU3" s="1350"/>
      <c r="BV3" s="1350"/>
      <c r="BW3" s="1350"/>
      <c r="BX3" s="1350"/>
      <c r="BY3" s="1350"/>
      <c r="BZ3" s="1350"/>
      <c r="CA3" s="1350"/>
      <c r="CB3" s="1350"/>
      <c r="CC3" s="1350"/>
      <c r="CD3" s="1350"/>
      <c r="CE3" s="1350"/>
      <c r="CF3" s="1350"/>
      <c r="CG3" s="1350"/>
      <c r="CH3" s="1350"/>
      <c r="CI3" s="1350"/>
      <c r="CJ3" s="1350"/>
      <c r="CK3" s="1350"/>
      <c r="CL3" s="1350"/>
      <c r="CM3" s="1350"/>
      <c r="CN3" s="1350"/>
      <c r="CO3" s="1350"/>
      <c r="CP3" s="1350"/>
      <c r="CQ3" s="1350"/>
      <c r="CR3" s="1350"/>
      <c r="CS3" s="1350"/>
      <c r="CT3" s="1350"/>
      <c r="CU3" s="1350"/>
      <c r="CV3" s="1350"/>
      <c r="CW3" s="1350"/>
      <c r="CX3" s="1350"/>
      <c r="CY3" s="1350"/>
      <c r="CZ3" s="1350"/>
      <c r="DA3" s="1350"/>
      <c r="DB3" s="1350"/>
      <c r="DC3" s="1350"/>
      <c r="DD3" s="1350"/>
      <c r="DE3" s="1350"/>
      <c r="DF3" s="1350"/>
      <c r="DG3" s="1350"/>
      <c r="DH3" s="1350"/>
      <c r="DI3" s="1350"/>
      <c r="DJ3" s="1350"/>
      <c r="DK3" s="1350"/>
      <c r="DL3" s="1350"/>
      <c r="DM3" s="1350"/>
      <c r="DN3" s="1350"/>
      <c r="DO3" s="1350"/>
      <c r="DP3" s="1350"/>
      <c r="DQ3" s="1350"/>
      <c r="DR3" s="1350"/>
      <c r="DS3" s="1350"/>
      <c r="DT3" s="1350"/>
      <c r="DU3" s="1350"/>
      <c r="DV3" s="1350"/>
      <c r="DW3" s="1350"/>
      <c r="DX3" s="1350"/>
      <c r="DY3" s="1350"/>
      <c r="DZ3" s="1350"/>
      <c r="EA3" s="1350"/>
      <c r="EB3" s="1350"/>
      <c r="EC3" s="1350"/>
      <c r="ED3" s="1350"/>
      <c r="EE3" s="1350"/>
      <c r="EF3" s="1350"/>
      <c r="EG3" s="1350"/>
      <c r="EH3" s="1350"/>
      <c r="EI3" s="1350"/>
      <c r="EJ3" s="1350"/>
      <c r="EK3" s="1350"/>
      <c r="EL3" s="1350"/>
      <c r="EM3" s="1350"/>
      <c r="EN3" s="1350"/>
      <c r="EO3" s="1350"/>
      <c r="EP3" s="1350"/>
      <c r="EQ3" s="1350"/>
      <c r="ER3" s="1350"/>
      <c r="ES3" s="1350"/>
      <c r="ET3" s="1350"/>
      <c r="EU3" s="1350"/>
      <c r="EV3" s="1350"/>
      <c r="EW3" s="1350"/>
      <c r="EX3" s="1350"/>
      <c r="EY3" s="1350"/>
      <c r="EZ3" s="1350"/>
      <c r="FA3" s="1350"/>
      <c r="FB3" s="1350"/>
      <c r="FC3" s="1350"/>
      <c r="FD3" s="1350"/>
      <c r="FE3" s="1350"/>
      <c r="FF3" s="1350"/>
      <c r="FG3" s="1350"/>
      <c r="FH3" s="1350"/>
      <c r="FI3" s="1350"/>
      <c r="FJ3" s="1350"/>
      <c r="FK3" s="1350"/>
      <c r="FL3" s="1350"/>
      <c r="FM3" s="1350"/>
      <c r="FN3" s="1350"/>
      <c r="FO3" s="1350"/>
      <c r="FP3" s="1350"/>
      <c r="FQ3" s="1350"/>
      <c r="FR3" s="1350"/>
      <c r="FS3" s="1350"/>
      <c r="FT3" s="1350"/>
      <c r="FU3" s="1350"/>
      <c r="FV3" s="1350"/>
      <c r="FW3" s="1350"/>
      <c r="FX3" s="1350"/>
      <c r="FY3" s="1350"/>
      <c r="FZ3" s="1350"/>
      <c r="GA3" s="1350"/>
      <c r="GB3" s="1350"/>
      <c r="GC3" s="1350"/>
      <c r="GD3" s="1350"/>
      <c r="GE3" s="1350"/>
      <c r="GF3" s="1350"/>
      <c r="GG3" s="1350"/>
      <c r="GH3" s="1350"/>
      <c r="GI3" s="1350"/>
      <c r="GJ3" s="1350"/>
      <c r="GK3" s="1350"/>
      <c r="GL3" s="1350"/>
      <c r="GM3" s="1350"/>
      <c r="GN3" s="1350"/>
      <c r="GO3" s="1350"/>
      <c r="GP3" s="1350"/>
      <c r="GQ3" s="1350"/>
      <c r="GR3" s="1350"/>
      <c r="GS3" s="1350"/>
      <c r="GT3" s="1350"/>
      <c r="GU3" s="1350"/>
      <c r="GV3" s="1350"/>
      <c r="GW3" s="1350"/>
      <c r="GX3" s="1350"/>
      <c r="GY3" s="1350"/>
      <c r="GZ3" s="1350"/>
      <c r="HA3" s="1350"/>
      <c r="HB3" s="1350"/>
      <c r="HC3" s="1350"/>
      <c r="HD3" s="1350"/>
      <c r="HE3" s="1350"/>
      <c r="HF3" s="1350"/>
      <c r="HG3" s="1350"/>
      <c r="HH3" s="1350"/>
      <c r="HI3" s="1350"/>
      <c r="HJ3" s="1350"/>
      <c r="HK3" s="1350"/>
      <c r="HL3" s="1350"/>
      <c r="HM3" s="1350"/>
      <c r="HN3" s="1350"/>
      <c r="HO3" s="1350"/>
      <c r="HP3" s="1350"/>
      <c r="HQ3" s="1350"/>
      <c r="HR3" s="1350"/>
      <c r="HS3" s="1350"/>
      <c r="HT3" s="1350"/>
      <c r="HU3" s="1350"/>
      <c r="HV3" s="1350"/>
      <c r="HW3" s="1350"/>
      <c r="HX3" s="1350"/>
      <c r="HY3" s="1350"/>
      <c r="HZ3" s="1350"/>
      <c r="IA3" s="1350"/>
      <c r="IB3" s="1350"/>
      <c r="IC3" s="1350"/>
      <c r="ID3" s="1350"/>
      <c r="IE3" s="1350"/>
      <c r="IF3" s="1350"/>
      <c r="IG3" s="1350"/>
      <c r="IH3" s="1350"/>
      <c r="II3" s="1350"/>
      <c r="IJ3" s="1350"/>
      <c r="IK3" s="1350"/>
      <c r="IL3" s="1350"/>
      <c r="IM3" s="1350"/>
      <c r="IN3" s="1350"/>
      <c r="IO3" s="1350"/>
      <c r="IP3" s="1350"/>
      <c r="IQ3" s="1350"/>
      <c r="IR3" s="1350"/>
      <c r="IS3" s="1350"/>
      <c r="IT3" s="1350"/>
      <c r="IU3" s="1350"/>
      <c r="IV3" s="1350"/>
    </row>
    <row r="4" spans="1:256">
      <c r="A4" s="1350"/>
      <c r="B4" s="1350"/>
      <c r="C4" s="1350"/>
      <c r="D4" s="1350"/>
      <c r="E4" s="1351"/>
      <c r="F4" s="1350"/>
      <c r="G4" s="1350"/>
      <c r="H4" s="1350"/>
      <c r="I4" s="1352"/>
      <c r="J4" s="1350"/>
      <c r="K4" s="1350"/>
      <c r="L4" s="1350"/>
      <c r="M4" s="1350"/>
      <c r="N4" s="1350"/>
      <c r="O4" s="1350"/>
      <c r="P4" s="1350"/>
      <c r="Q4" s="1350"/>
      <c r="R4" s="1350"/>
      <c r="S4" s="1351"/>
      <c r="T4" s="1350"/>
      <c r="U4" s="1350"/>
      <c r="V4" s="1350"/>
      <c r="W4" s="1350"/>
      <c r="X4" s="1350"/>
      <c r="Y4" s="1350"/>
      <c r="Z4" s="1350"/>
      <c r="AA4" s="1350"/>
      <c r="AB4" s="1350"/>
      <c r="AC4" s="1350"/>
      <c r="AD4" s="1350"/>
      <c r="AE4" s="1350"/>
      <c r="AF4" s="1350"/>
      <c r="AG4" s="1350"/>
      <c r="AH4" s="1350"/>
      <c r="AI4" s="1350"/>
      <c r="AJ4" s="1350"/>
      <c r="AK4" s="1350"/>
      <c r="AL4" s="1350"/>
      <c r="AM4" s="1350"/>
      <c r="AN4" s="1350"/>
      <c r="AO4" s="1350"/>
      <c r="AP4" s="1350"/>
      <c r="AQ4" s="1350"/>
      <c r="AR4" s="1350"/>
      <c r="AS4" s="1350"/>
      <c r="AT4" s="1350"/>
      <c r="AU4" s="1350"/>
      <c r="AV4" s="1350"/>
      <c r="AW4" s="1350"/>
      <c r="AX4" s="1350"/>
      <c r="AY4" s="1350"/>
      <c r="AZ4" s="1350"/>
      <c r="BA4" s="1350"/>
      <c r="BB4" s="1350"/>
      <c r="BC4" s="1350"/>
      <c r="BD4" s="1350"/>
      <c r="BE4" s="1350"/>
      <c r="BF4" s="1350"/>
      <c r="BG4" s="1350"/>
      <c r="BH4" s="1350"/>
      <c r="BI4" s="1350"/>
      <c r="BJ4" s="1350"/>
      <c r="BK4" s="1350"/>
      <c r="BL4" s="1350"/>
      <c r="BM4" s="1350"/>
      <c r="BN4" s="1350"/>
      <c r="BO4" s="1350"/>
      <c r="BP4" s="1350"/>
      <c r="BQ4" s="1350"/>
      <c r="BR4" s="1350"/>
      <c r="BS4" s="1350"/>
      <c r="BT4" s="1350"/>
      <c r="BU4" s="1350"/>
      <c r="BV4" s="1350"/>
      <c r="BW4" s="1350"/>
      <c r="BX4" s="1350"/>
      <c r="BY4" s="1350"/>
      <c r="BZ4" s="1350"/>
      <c r="CA4" s="1350"/>
      <c r="CB4" s="1350"/>
      <c r="CC4" s="1350"/>
      <c r="CD4" s="1350"/>
      <c r="CE4" s="1350"/>
      <c r="CF4" s="1350"/>
      <c r="CG4" s="1350"/>
      <c r="CH4" s="1350"/>
      <c r="CI4" s="1350"/>
      <c r="CJ4" s="1350"/>
      <c r="CK4" s="1350"/>
      <c r="CL4" s="1350"/>
      <c r="CM4" s="1350"/>
      <c r="CN4" s="1350"/>
      <c r="CO4" s="1350"/>
      <c r="CP4" s="1350"/>
      <c r="CQ4" s="1350"/>
      <c r="CR4" s="1350"/>
      <c r="CS4" s="1350"/>
      <c r="CT4" s="1350"/>
      <c r="CU4" s="1350"/>
      <c r="CV4" s="1350"/>
      <c r="CW4" s="1350"/>
      <c r="CX4" s="1350"/>
      <c r="CY4" s="1350"/>
      <c r="CZ4" s="1350"/>
      <c r="DA4" s="1350"/>
      <c r="DB4" s="1350"/>
      <c r="DC4" s="1350"/>
      <c r="DD4" s="1350"/>
      <c r="DE4" s="1350"/>
      <c r="DF4" s="1350"/>
      <c r="DG4" s="1350"/>
      <c r="DH4" s="1350"/>
      <c r="DI4" s="1350"/>
      <c r="DJ4" s="1350"/>
      <c r="DK4" s="1350"/>
      <c r="DL4" s="1350"/>
      <c r="DM4" s="1350"/>
      <c r="DN4" s="1350"/>
      <c r="DO4" s="1350"/>
      <c r="DP4" s="1350"/>
      <c r="DQ4" s="1350"/>
      <c r="DR4" s="1350"/>
      <c r="DS4" s="1350"/>
      <c r="DT4" s="1350"/>
      <c r="DU4" s="1350"/>
      <c r="DV4" s="1350"/>
      <c r="DW4" s="1350"/>
      <c r="DX4" s="1350"/>
      <c r="DY4" s="1350"/>
      <c r="DZ4" s="1350"/>
      <c r="EA4" s="1350"/>
      <c r="EB4" s="1350"/>
      <c r="EC4" s="1350"/>
      <c r="ED4" s="1350"/>
      <c r="EE4" s="1350"/>
      <c r="EF4" s="1350"/>
      <c r="EG4" s="1350"/>
      <c r="EH4" s="1350"/>
      <c r="EI4" s="1350"/>
      <c r="EJ4" s="1350"/>
      <c r="EK4" s="1350"/>
      <c r="EL4" s="1350"/>
      <c r="EM4" s="1350"/>
      <c r="EN4" s="1350"/>
      <c r="EO4" s="1350"/>
      <c r="EP4" s="1350"/>
      <c r="EQ4" s="1350"/>
      <c r="ER4" s="1350"/>
      <c r="ES4" s="1350"/>
      <c r="ET4" s="1350"/>
      <c r="EU4" s="1350"/>
      <c r="EV4" s="1350"/>
      <c r="EW4" s="1350"/>
      <c r="EX4" s="1350"/>
      <c r="EY4" s="1350"/>
      <c r="EZ4" s="1350"/>
      <c r="FA4" s="1350"/>
      <c r="FB4" s="1350"/>
      <c r="FC4" s="1350"/>
      <c r="FD4" s="1350"/>
      <c r="FE4" s="1350"/>
      <c r="FF4" s="1350"/>
      <c r="FG4" s="1350"/>
      <c r="FH4" s="1350"/>
      <c r="FI4" s="1350"/>
      <c r="FJ4" s="1350"/>
      <c r="FK4" s="1350"/>
      <c r="FL4" s="1350"/>
      <c r="FM4" s="1350"/>
      <c r="FN4" s="1350"/>
      <c r="FO4" s="1350"/>
      <c r="FP4" s="1350"/>
      <c r="FQ4" s="1350"/>
      <c r="FR4" s="1350"/>
      <c r="FS4" s="1350"/>
      <c r="FT4" s="1350"/>
      <c r="FU4" s="1350"/>
      <c r="FV4" s="1350"/>
      <c r="FW4" s="1350"/>
      <c r="FX4" s="1350"/>
      <c r="FY4" s="1350"/>
      <c r="FZ4" s="1350"/>
      <c r="GA4" s="1350"/>
      <c r="GB4" s="1350"/>
      <c r="GC4" s="1350"/>
      <c r="GD4" s="1350"/>
      <c r="GE4" s="1350"/>
      <c r="GF4" s="1350"/>
      <c r="GG4" s="1350"/>
      <c r="GH4" s="1350"/>
      <c r="GI4" s="1350"/>
      <c r="GJ4" s="1350"/>
      <c r="GK4" s="1350"/>
      <c r="GL4" s="1350"/>
      <c r="GM4" s="1350"/>
      <c r="GN4" s="1350"/>
      <c r="GO4" s="1350"/>
      <c r="GP4" s="1350"/>
      <c r="GQ4" s="1350"/>
      <c r="GR4" s="1350"/>
      <c r="GS4" s="1350"/>
      <c r="GT4" s="1350"/>
      <c r="GU4" s="1350"/>
      <c r="GV4" s="1350"/>
      <c r="GW4" s="1350"/>
      <c r="GX4" s="1350"/>
      <c r="GY4" s="1350"/>
      <c r="GZ4" s="1350"/>
      <c r="HA4" s="1350"/>
      <c r="HB4" s="1350"/>
      <c r="HC4" s="1350"/>
      <c r="HD4" s="1350"/>
      <c r="HE4" s="1350"/>
      <c r="HF4" s="1350"/>
      <c r="HG4" s="1350"/>
      <c r="HH4" s="1350"/>
      <c r="HI4" s="1350"/>
      <c r="HJ4" s="1350"/>
      <c r="HK4" s="1350"/>
      <c r="HL4" s="1350"/>
      <c r="HM4" s="1350"/>
      <c r="HN4" s="1350"/>
      <c r="HO4" s="1350"/>
      <c r="HP4" s="1350"/>
      <c r="HQ4" s="1350"/>
      <c r="HR4" s="1350"/>
      <c r="HS4" s="1350"/>
      <c r="HT4" s="1350"/>
      <c r="HU4" s="1350"/>
      <c r="HV4" s="1350"/>
      <c r="HW4" s="1350"/>
      <c r="HX4" s="1350"/>
      <c r="HY4" s="1350"/>
      <c r="HZ4" s="1350"/>
      <c r="IA4" s="1350"/>
      <c r="IB4" s="1350"/>
      <c r="IC4" s="1350"/>
      <c r="ID4" s="1350"/>
      <c r="IE4" s="1350"/>
      <c r="IF4" s="1350"/>
      <c r="IG4" s="1350"/>
      <c r="IH4" s="1350"/>
      <c r="II4" s="1350"/>
      <c r="IJ4" s="1350"/>
      <c r="IK4" s="1350"/>
      <c r="IL4" s="1350"/>
      <c r="IM4" s="1350"/>
      <c r="IN4" s="1350"/>
      <c r="IO4" s="1350"/>
      <c r="IP4" s="1350"/>
      <c r="IQ4" s="1350"/>
      <c r="IR4" s="1350"/>
      <c r="IS4" s="1350"/>
      <c r="IT4" s="1350"/>
      <c r="IU4" s="1350"/>
      <c r="IV4" s="1350"/>
    </row>
    <row r="5" spans="1:256" ht="49.2">
      <c r="A5" s="1627" t="s">
        <v>2646</v>
      </c>
      <c r="B5" s="1342" t="s">
        <v>2608</v>
      </c>
      <c r="C5" s="1342" t="s">
        <v>2609</v>
      </c>
      <c r="D5" s="1342" t="s">
        <v>2647</v>
      </c>
      <c r="E5" s="1342" t="s">
        <v>2648</v>
      </c>
      <c r="F5" s="1342" t="s">
        <v>2649</v>
      </c>
      <c r="G5" s="1342" t="s">
        <v>2650</v>
      </c>
      <c r="H5" s="1342"/>
      <c r="I5" s="1345"/>
      <c r="J5" s="1345"/>
      <c r="K5" s="1345"/>
      <c r="L5" s="1345"/>
      <c r="M5" s="1345"/>
      <c r="N5" s="1345"/>
      <c r="O5" s="1345"/>
      <c r="P5" s="1345"/>
      <c r="Q5" s="1345"/>
      <c r="R5" s="1345"/>
      <c r="S5" s="1345"/>
      <c r="T5" s="1345"/>
      <c r="U5" s="1345"/>
      <c r="V5" s="1345"/>
      <c r="W5" s="1345"/>
      <c r="X5" s="1345"/>
      <c r="Y5" s="1345"/>
      <c r="Z5" s="1345"/>
      <c r="AA5" s="1345"/>
      <c r="AB5" s="1345"/>
      <c r="AC5" s="1345"/>
      <c r="AD5" s="1345"/>
      <c r="AE5" s="1345"/>
      <c r="AF5" s="1345"/>
      <c r="AG5" s="1345"/>
      <c r="AH5" s="1345"/>
      <c r="AI5" s="1345"/>
      <c r="AJ5" s="1345"/>
      <c r="AK5" s="1345"/>
      <c r="AL5" s="1345"/>
      <c r="AM5" s="1345"/>
      <c r="AN5" s="1345"/>
      <c r="AO5" s="1345"/>
      <c r="AP5" s="1345"/>
      <c r="AQ5" s="1345"/>
      <c r="AR5" s="1345"/>
      <c r="AS5" s="1345"/>
      <c r="AT5" s="1345"/>
      <c r="AU5" s="1345"/>
      <c r="AV5" s="1345"/>
      <c r="AW5" s="1345"/>
      <c r="AX5" s="1345"/>
      <c r="AY5" s="1345"/>
      <c r="AZ5" s="1345"/>
      <c r="BA5" s="1345"/>
      <c r="BB5" s="1345"/>
      <c r="BC5" s="1345"/>
      <c r="BD5" s="1345"/>
      <c r="BE5" s="1345"/>
      <c r="BF5" s="1345"/>
      <c r="BG5" s="1345"/>
      <c r="BH5" s="1345"/>
      <c r="BI5" s="1345"/>
      <c r="BJ5" s="1345"/>
      <c r="BK5" s="1345"/>
      <c r="BL5" s="1345"/>
      <c r="BM5" s="1345"/>
      <c r="BN5" s="1345"/>
      <c r="BO5" s="1345"/>
      <c r="BP5" s="1345"/>
      <c r="BQ5" s="1345"/>
      <c r="BR5" s="1345"/>
      <c r="BS5" s="1345"/>
      <c r="BT5" s="1345"/>
      <c r="BU5" s="1345"/>
      <c r="BV5" s="1345"/>
      <c r="BW5" s="1345"/>
      <c r="BX5" s="1345"/>
      <c r="BY5" s="1345"/>
      <c r="BZ5" s="1345"/>
      <c r="CA5" s="1345"/>
      <c r="CB5" s="1345"/>
      <c r="CC5" s="1345"/>
      <c r="CD5" s="1345"/>
      <c r="CE5" s="1345"/>
      <c r="CF5" s="1345"/>
      <c r="CG5" s="1345"/>
      <c r="CH5" s="1345"/>
      <c r="CI5" s="1345"/>
      <c r="CJ5" s="1345"/>
      <c r="CK5" s="1345"/>
      <c r="CL5" s="1345"/>
      <c r="CM5" s="1345"/>
      <c r="CN5" s="1345"/>
      <c r="CO5" s="1345"/>
      <c r="CP5" s="1345"/>
      <c r="CQ5" s="1345"/>
      <c r="CR5" s="1345"/>
      <c r="CS5" s="1345"/>
      <c r="CT5" s="1345"/>
      <c r="CU5" s="1345"/>
      <c r="CV5" s="1345"/>
      <c r="CW5" s="1345"/>
      <c r="CX5" s="1345"/>
      <c r="CY5" s="1345"/>
      <c r="CZ5" s="1345"/>
      <c r="DA5" s="1345"/>
      <c r="DB5" s="1345"/>
      <c r="DC5" s="1345"/>
      <c r="DD5" s="1345"/>
      <c r="DE5" s="1345"/>
      <c r="DF5" s="1345"/>
      <c r="DG5" s="1345"/>
      <c r="DH5" s="1345"/>
      <c r="DI5" s="1345"/>
      <c r="DJ5" s="1345"/>
      <c r="DK5" s="1345"/>
      <c r="DL5" s="1345"/>
      <c r="DM5" s="1345"/>
      <c r="DN5" s="1345"/>
      <c r="DO5" s="1345"/>
      <c r="DP5" s="1345"/>
      <c r="DQ5" s="1345"/>
      <c r="DR5" s="1345"/>
      <c r="DS5" s="1345"/>
      <c r="DT5" s="1345"/>
      <c r="DU5" s="1345"/>
      <c r="DV5" s="1345"/>
      <c r="DW5" s="1345"/>
      <c r="DX5" s="1345"/>
      <c r="DY5" s="1345"/>
      <c r="DZ5" s="1345"/>
      <c r="EA5" s="1345"/>
      <c r="EB5" s="1345"/>
      <c r="EC5" s="1345"/>
      <c r="ED5" s="1345"/>
      <c r="EE5" s="1345"/>
      <c r="EF5" s="1345"/>
      <c r="EG5" s="1345"/>
      <c r="EH5" s="1345"/>
      <c r="EI5" s="1345"/>
      <c r="EJ5" s="1345"/>
      <c r="EK5" s="1345"/>
      <c r="EL5" s="1345"/>
      <c r="EM5" s="1345"/>
      <c r="EN5" s="1345"/>
      <c r="EO5" s="1345"/>
      <c r="EP5" s="1345"/>
      <c r="EQ5" s="1345"/>
      <c r="ER5" s="1345"/>
      <c r="ES5" s="1345"/>
      <c r="ET5" s="1345"/>
      <c r="EU5" s="1345"/>
      <c r="EV5" s="1345"/>
      <c r="EW5" s="1345"/>
      <c r="EX5" s="1345"/>
      <c r="EY5" s="1345"/>
      <c r="EZ5" s="1345"/>
      <c r="FA5" s="1345"/>
      <c r="FB5" s="1345"/>
      <c r="FC5" s="1345"/>
      <c r="FD5" s="1345"/>
      <c r="FE5" s="1345"/>
      <c r="FF5" s="1345"/>
      <c r="FG5" s="1345"/>
      <c r="FH5" s="1345"/>
      <c r="FI5" s="1345"/>
      <c r="FJ5" s="1345"/>
      <c r="FK5" s="1345"/>
      <c r="FL5" s="1345"/>
      <c r="FM5" s="1345"/>
      <c r="FN5" s="1345"/>
      <c r="FO5" s="1345"/>
      <c r="FP5" s="1345"/>
      <c r="FQ5" s="1345"/>
      <c r="FR5" s="1345"/>
      <c r="FS5" s="1345"/>
      <c r="FT5" s="1345"/>
      <c r="FU5" s="1345"/>
      <c r="FV5" s="1345"/>
      <c r="FW5" s="1345"/>
      <c r="FX5" s="1345"/>
      <c r="FY5" s="1345"/>
      <c r="FZ5" s="1345"/>
      <c r="GA5" s="1345"/>
      <c r="GB5" s="1345"/>
      <c r="GC5" s="1345"/>
      <c r="GD5" s="1345"/>
      <c r="GE5" s="1345"/>
      <c r="GF5" s="1345"/>
      <c r="GG5" s="1345"/>
      <c r="GH5" s="1345"/>
      <c r="GI5" s="1345"/>
      <c r="GJ5" s="1345"/>
      <c r="GK5" s="1345"/>
      <c r="GL5" s="1345"/>
      <c r="GM5" s="1345"/>
      <c r="GN5" s="1345"/>
      <c r="GO5" s="1345"/>
      <c r="GP5" s="1345"/>
      <c r="GQ5" s="1345"/>
      <c r="GR5" s="1345"/>
      <c r="GS5" s="1345"/>
      <c r="GT5" s="1345"/>
      <c r="GU5" s="1345"/>
      <c r="GV5" s="1345"/>
      <c r="GW5" s="1345"/>
      <c r="GX5" s="1345"/>
      <c r="GY5" s="1345"/>
      <c r="GZ5" s="1345"/>
      <c r="HA5" s="1345"/>
      <c r="HB5" s="1345"/>
      <c r="HC5" s="1345"/>
      <c r="HD5" s="1345"/>
      <c r="HE5" s="1345"/>
      <c r="HF5" s="1345"/>
      <c r="HG5" s="1345"/>
      <c r="HH5" s="1345"/>
      <c r="HI5" s="1345"/>
      <c r="HJ5" s="1345"/>
      <c r="HK5" s="1345"/>
      <c r="HL5" s="1345"/>
      <c r="HM5" s="1345"/>
      <c r="HN5" s="1345"/>
      <c r="HO5" s="1345"/>
      <c r="HP5" s="1345"/>
      <c r="HQ5" s="1345"/>
      <c r="HR5" s="1345"/>
      <c r="HS5" s="1345"/>
      <c r="HT5" s="1345"/>
      <c r="HU5" s="1345"/>
      <c r="HV5" s="1345"/>
      <c r="HW5" s="1345"/>
      <c r="HX5" s="1345"/>
      <c r="HY5" s="1345"/>
      <c r="HZ5" s="1345"/>
      <c r="IA5" s="1345"/>
      <c r="IB5" s="1345"/>
      <c r="IC5" s="1345"/>
      <c r="ID5" s="1345"/>
      <c r="IE5" s="1345"/>
      <c r="IF5" s="1345"/>
      <c r="IG5" s="1345"/>
      <c r="IH5" s="1345"/>
      <c r="II5" s="1345"/>
      <c r="IJ5" s="1345"/>
      <c r="IK5" s="1345"/>
      <c r="IL5" s="1345"/>
      <c r="IM5" s="1345"/>
      <c r="IN5" s="1345"/>
      <c r="IO5" s="1345"/>
      <c r="IP5" s="1345"/>
      <c r="IQ5" s="1345"/>
      <c r="IR5" s="1345"/>
      <c r="IS5" s="1345"/>
      <c r="IT5" s="1345"/>
      <c r="IU5" s="1345"/>
      <c r="IV5" s="1345"/>
    </row>
    <row r="6" spans="1:256">
      <c r="A6" s="1628"/>
      <c r="B6" s="1346">
        <f>[9]Input!B6</f>
        <v>1</v>
      </c>
      <c r="C6" s="1347">
        <f>Inputsheet!B7</f>
        <v>44672</v>
      </c>
      <c r="D6" s="1346">
        <v>3</v>
      </c>
      <c r="E6" s="1346">
        <f>[9]Input!B10</f>
        <v>4</v>
      </c>
      <c r="F6" s="1346">
        <f>E3</f>
        <v>0</v>
      </c>
      <c r="G6" s="1349">
        <f>F3</f>
        <v>3.4</v>
      </c>
      <c r="H6" s="1346"/>
      <c r="I6" s="1350"/>
      <c r="J6" s="1350"/>
      <c r="K6" s="1350"/>
      <c r="L6" s="1350"/>
      <c r="M6" s="1350"/>
      <c r="N6" s="1350"/>
      <c r="O6" s="1350"/>
      <c r="P6" s="1350"/>
      <c r="Q6" s="1350"/>
      <c r="R6" s="1350"/>
      <c r="S6" s="1350"/>
      <c r="T6" s="1350"/>
      <c r="U6" s="1350"/>
      <c r="V6" s="1350"/>
      <c r="W6" s="1350"/>
      <c r="X6" s="1350"/>
      <c r="Y6" s="1350"/>
      <c r="Z6" s="1350"/>
      <c r="AA6" s="1350"/>
      <c r="AB6" s="1350"/>
      <c r="AC6" s="1350"/>
      <c r="AD6" s="1350"/>
      <c r="AE6" s="1350"/>
      <c r="AF6" s="1350"/>
      <c r="AG6" s="1350"/>
      <c r="AH6" s="1350"/>
      <c r="AI6" s="1350"/>
      <c r="AJ6" s="1350"/>
      <c r="AK6" s="1350"/>
      <c r="AL6" s="1350"/>
      <c r="AM6" s="1350"/>
      <c r="AN6" s="1350"/>
      <c r="AO6" s="1350"/>
      <c r="AP6" s="1350"/>
      <c r="AQ6" s="1350"/>
      <c r="AR6" s="1350"/>
      <c r="AS6" s="1350"/>
      <c r="AT6" s="1350"/>
      <c r="AU6" s="1350"/>
      <c r="AV6" s="1350"/>
      <c r="AW6" s="1350"/>
      <c r="AX6" s="1350"/>
      <c r="AY6" s="1350"/>
      <c r="AZ6" s="1350"/>
      <c r="BA6" s="1350"/>
      <c r="BB6" s="1350"/>
      <c r="BC6" s="1350"/>
      <c r="BD6" s="1350"/>
      <c r="BE6" s="1350"/>
      <c r="BF6" s="1350"/>
      <c r="BG6" s="1350"/>
      <c r="BH6" s="1350"/>
      <c r="BI6" s="1350"/>
      <c r="BJ6" s="1350"/>
      <c r="BK6" s="1350"/>
      <c r="BL6" s="1350"/>
      <c r="BM6" s="1350"/>
      <c r="BN6" s="1350"/>
      <c r="BO6" s="1350"/>
      <c r="BP6" s="1350"/>
      <c r="BQ6" s="1350"/>
      <c r="BR6" s="1350"/>
      <c r="BS6" s="1350"/>
      <c r="BT6" s="1350"/>
      <c r="BU6" s="1350"/>
      <c r="BV6" s="1350"/>
      <c r="BW6" s="1350"/>
      <c r="BX6" s="1350"/>
      <c r="BY6" s="1350"/>
      <c r="BZ6" s="1350"/>
      <c r="CA6" s="1350"/>
      <c r="CB6" s="1350"/>
      <c r="CC6" s="1350"/>
      <c r="CD6" s="1350"/>
      <c r="CE6" s="1350"/>
      <c r="CF6" s="1350"/>
      <c r="CG6" s="1350"/>
      <c r="CH6" s="1350"/>
      <c r="CI6" s="1350"/>
      <c r="CJ6" s="1350"/>
      <c r="CK6" s="1350"/>
      <c r="CL6" s="1350"/>
      <c r="CM6" s="1350"/>
      <c r="CN6" s="1350"/>
      <c r="CO6" s="1350"/>
      <c r="CP6" s="1350"/>
      <c r="CQ6" s="1350"/>
      <c r="CR6" s="1350"/>
      <c r="CS6" s="1350"/>
      <c r="CT6" s="1350"/>
      <c r="CU6" s="1350"/>
      <c r="CV6" s="1350"/>
      <c r="CW6" s="1350"/>
      <c r="CX6" s="1350"/>
      <c r="CY6" s="1350"/>
      <c r="CZ6" s="1350"/>
      <c r="DA6" s="1350"/>
      <c r="DB6" s="1350"/>
      <c r="DC6" s="1350"/>
      <c r="DD6" s="1350"/>
      <c r="DE6" s="1350"/>
      <c r="DF6" s="1350"/>
      <c r="DG6" s="1350"/>
      <c r="DH6" s="1350"/>
      <c r="DI6" s="1350"/>
      <c r="DJ6" s="1350"/>
      <c r="DK6" s="1350"/>
      <c r="DL6" s="1350"/>
      <c r="DM6" s="1350"/>
      <c r="DN6" s="1350"/>
      <c r="DO6" s="1350"/>
      <c r="DP6" s="1350"/>
      <c r="DQ6" s="1350"/>
      <c r="DR6" s="1350"/>
      <c r="DS6" s="1350"/>
      <c r="DT6" s="1350"/>
      <c r="DU6" s="1350"/>
      <c r="DV6" s="1350"/>
      <c r="DW6" s="1350"/>
      <c r="DX6" s="1350"/>
      <c r="DY6" s="1350"/>
      <c r="DZ6" s="1350"/>
      <c r="EA6" s="1350"/>
      <c r="EB6" s="1350"/>
      <c r="EC6" s="1350"/>
      <c r="ED6" s="1350"/>
      <c r="EE6" s="1350"/>
      <c r="EF6" s="1350"/>
      <c r="EG6" s="1350"/>
      <c r="EH6" s="1350"/>
      <c r="EI6" s="1350"/>
      <c r="EJ6" s="1350"/>
      <c r="EK6" s="1350"/>
      <c r="EL6" s="1350"/>
      <c r="EM6" s="1350"/>
      <c r="EN6" s="1350"/>
      <c r="EO6" s="1350"/>
      <c r="EP6" s="1350"/>
      <c r="EQ6" s="1350"/>
      <c r="ER6" s="1350"/>
      <c r="ES6" s="1350"/>
      <c r="ET6" s="1350"/>
      <c r="EU6" s="1350"/>
      <c r="EV6" s="1350"/>
      <c r="EW6" s="1350"/>
      <c r="EX6" s="1350"/>
      <c r="EY6" s="1350"/>
      <c r="EZ6" s="1350"/>
      <c r="FA6" s="1350"/>
      <c r="FB6" s="1350"/>
      <c r="FC6" s="1350"/>
      <c r="FD6" s="1350"/>
      <c r="FE6" s="1350"/>
      <c r="FF6" s="1350"/>
      <c r="FG6" s="1350"/>
      <c r="FH6" s="1350"/>
      <c r="FI6" s="1350"/>
      <c r="FJ6" s="1350"/>
      <c r="FK6" s="1350"/>
      <c r="FL6" s="1350"/>
      <c r="FM6" s="1350"/>
      <c r="FN6" s="1350"/>
      <c r="FO6" s="1350"/>
      <c r="FP6" s="1350"/>
      <c r="FQ6" s="1350"/>
      <c r="FR6" s="1350"/>
      <c r="FS6" s="1350"/>
      <c r="FT6" s="1350"/>
      <c r="FU6" s="1350"/>
      <c r="FV6" s="1350"/>
      <c r="FW6" s="1350"/>
      <c r="FX6" s="1350"/>
      <c r="FY6" s="1350"/>
      <c r="FZ6" s="1350"/>
      <c r="GA6" s="1350"/>
      <c r="GB6" s="1350"/>
      <c r="GC6" s="1350"/>
      <c r="GD6" s="1350"/>
      <c r="GE6" s="1350"/>
      <c r="GF6" s="1350"/>
      <c r="GG6" s="1350"/>
      <c r="GH6" s="1350"/>
      <c r="GI6" s="1350"/>
      <c r="GJ6" s="1350"/>
      <c r="GK6" s="1350"/>
      <c r="GL6" s="1350"/>
      <c r="GM6" s="1350"/>
      <c r="GN6" s="1350"/>
      <c r="GO6" s="1350"/>
      <c r="GP6" s="1350"/>
      <c r="GQ6" s="1350"/>
      <c r="GR6" s="1350"/>
      <c r="GS6" s="1350"/>
      <c r="GT6" s="1350"/>
      <c r="GU6" s="1350"/>
      <c r="GV6" s="1350"/>
      <c r="GW6" s="1350"/>
      <c r="GX6" s="1350"/>
      <c r="GY6" s="1350"/>
      <c r="GZ6" s="1350"/>
      <c r="HA6" s="1350"/>
      <c r="HB6" s="1350"/>
      <c r="HC6" s="1350"/>
      <c r="HD6" s="1350"/>
      <c r="HE6" s="1350"/>
      <c r="HF6" s="1350"/>
      <c r="HG6" s="1350"/>
      <c r="HH6" s="1350"/>
      <c r="HI6" s="1350"/>
      <c r="HJ6" s="1350"/>
      <c r="HK6" s="1350"/>
      <c r="HL6" s="1350"/>
      <c r="HM6" s="1350"/>
      <c r="HN6" s="1350"/>
      <c r="HO6" s="1350"/>
      <c r="HP6" s="1350"/>
      <c r="HQ6" s="1350"/>
      <c r="HR6" s="1350"/>
      <c r="HS6" s="1350"/>
      <c r="HT6" s="1350"/>
      <c r="HU6" s="1350"/>
      <c r="HV6" s="1350"/>
      <c r="HW6" s="1350"/>
      <c r="HX6" s="1350"/>
      <c r="HY6" s="1350"/>
      <c r="HZ6" s="1350"/>
      <c r="IA6" s="1350"/>
      <c r="IB6" s="1350"/>
      <c r="IC6" s="1350"/>
      <c r="ID6" s="1350"/>
      <c r="IE6" s="1350"/>
      <c r="IF6" s="1350"/>
      <c r="IG6" s="1350"/>
      <c r="IH6" s="1350"/>
      <c r="II6" s="1350"/>
      <c r="IJ6" s="1350"/>
      <c r="IK6" s="1350"/>
      <c r="IL6" s="1350"/>
      <c r="IM6" s="1350"/>
      <c r="IN6" s="1350"/>
      <c r="IO6" s="1350"/>
      <c r="IP6" s="1350"/>
      <c r="IQ6" s="1350"/>
      <c r="IR6" s="1350"/>
      <c r="IS6" s="1350"/>
      <c r="IT6" s="1350"/>
      <c r="IU6" s="1350"/>
      <c r="IV6" s="1350"/>
    </row>
    <row r="7" spans="1:256">
      <c r="A7" s="1628"/>
      <c r="B7" s="1353" t="s">
        <v>2651</v>
      </c>
      <c r="C7" s="1354"/>
      <c r="D7" s="1354"/>
      <c r="E7" s="1354"/>
      <c r="F7" s="1354"/>
      <c r="G7" s="1354"/>
      <c r="H7" s="1354"/>
    </row>
    <row r="8" spans="1:256">
      <c r="A8" s="1628"/>
      <c r="B8" s="1633" t="s">
        <v>2652</v>
      </c>
      <c r="C8" s="1633" t="s">
        <v>557</v>
      </c>
      <c r="D8" s="1633"/>
      <c r="E8" s="1633"/>
      <c r="F8" s="1633"/>
      <c r="G8" s="1633"/>
      <c r="H8" s="1633" t="s">
        <v>466</v>
      </c>
      <c r="I8" s="1355"/>
      <c r="J8" s="1350"/>
      <c r="K8" s="1350"/>
      <c r="L8" s="1350"/>
      <c r="M8" s="1350"/>
      <c r="N8" s="1350"/>
      <c r="O8" s="1350"/>
      <c r="P8" s="1350"/>
      <c r="Q8" s="1350"/>
      <c r="R8" s="1350"/>
      <c r="S8" s="1350"/>
      <c r="T8" s="1350"/>
      <c r="U8" s="1350"/>
      <c r="V8" s="1350"/>
      <c r="W8" s="1350"/>
      <c r="X8" s="1350"/>
      <c r="Y8" s="1350"/>
      <c r="Z8" s="1350"/>
      <c r="AA8" s="1350"/>
      <c r="AB8" s="1350"/>
      <c r="AC8" s="1350"/>
      <c r="AD8" s="1350"/>
      <c r="AE8" s="1350"/>
      <c r="AF8" s="1350"/>
      <c r="AG8" s="1350"/>
      <c r="AH8" s="1350"/>
      <c r="AI8" s="1350"/>
      <c r="AJ8" s="1350"/>
      <c r="AK8" s="1350"/>
      <c r="AL8" s="1350"/>
      <c r="AM8" s="1350"/>
      <c r="AN8" s="1350"/>
      <c r="AO8" s="1350"/>
      <c r="AP8" s="1350"/>
      <c r="AQ8" s="1350"/>
      <c r="AR8" s="1350"/>
      <c r="AS8" s="1350"/>
      <c r="AT8" s="1350"/>
      <c r="AU8" s="1350"/>
      <c r="AV8" s="1350"/>
      <c r="AW8" s="1350"/>
      <c r="AX8" s="1350"/>
      <c r="AY8" s="1350"/>
      <c r="AZ8" s="1350"/>
      <c r="BA8" s="1350"/>
      <c r="BB8" s="1350"/>
      <c r="BC8" s="1350"/>
      <c r="BD8" s="1350"/>
      <c r="BE8" s="1350"/>
      <c r="BF8" s="1350"/>
      <c r="BG8" s="1350"/>
      <c r="BH8" s="1350"/>
      <c r="BI8" s="1350"/>
      <c r="BJ8" s="1350"/>
      <c r="BK8" s="1350"/>
      <c r="BL8" s="1350"/>
      <c r="BM8" s="1350"/>
      <c r="BN8" s="1350"/>
      <c r="BO8" s="1350"/>
      <c r="BP8" s="1350"/>
      <c r="BQ8" s="1350"/>
      <c r="BR8" s="1350"/>
      <c r="BS8" s="1350"/>
      <c r="BT8" s="1350"/>
      <c r="BU8" s="1350"/>
      <c r="BV8" s="1350"/>
      <c r="BW8" s="1350"/>
      <c r="BX8" s="1350"/>
      <c r="BY8" s="1350"/>
      <c r="BZ8" s="1350"/>
      <c r="CA8" s="1350"/>
      <c r="CB8" s="1350"/>
      <c r="CC8" s="1350"/>
      <c r="CD8" s="1350"/>
      <c r="CE8" s="1350"/>
      <c r="CF8" s="1350"/>
      <c r="CG8" s="1350"/>
      <c r="CH8" s="1350"/>
      <c r="CI8" s="1350"/>
      <c r="CJ8" s="1350"/>
      <c r="CK8" s="1350"/>
      <c r="CL8" s="1350"/>
      <c r="CM8" s="1350"/>
      <c r="CN8" s="1350"/>
      <c r="CO8" s="1350"/>
      <c r="CP8" s="1350"/>
      <c r="CQ8" s="1350"/>
      <c r="CR8" s="1350"/>
      <c r="CS8" s="1350"/>
      <c r="CT8" s="1350"/>
      <c r="CU8" s="1350"/>
      <c r="CV8" s="1350"/>
      <c r="CW8" s="1350"/>
      <c r="CX8" s="1350"/>
      <c r="CY8" s="1350"/>
      <c r="CZ8" s="1350"/>
      <c r="DA8" s="1350"/>
      <c r="DB8" s="1350"/>
      <c r="DC8" s="1350"/>
      <c r="DD8" s="1350"/>
      <c r="DE8" s="1350"/>
      <c r="DF8" s="1350"/>
      <c r="DG8" s="1350"/>
      <c r="DH8" s="1350"/>
      <c r="DI8" s="1350"/>
      <c r="DJ8" s="1350"/>
      <c r="DK8" s="1350"/>
      <c r="DL8" s="1350"/>
      <c r="DM8" s="1350"/>
      <c r="DN8" s="1350"/>
      <c r="DO8" s="1350"/>
      <c r="DP8" s="1350"/>
      <c r="DQ8" s="1350"/>
      <c r="DR8" s="1350"/>
      <c r="DS8" s="1350"/>
      <c r="DT8" s="1350"/>
      <c r="DU8" s="1350"/>
      <c r="DV8" s="1350"/>
      <c r="DW8" s="1350"/>
      <c r="DX8" s="1350"/>
      <c r="DY8" s="1350"/>
      <c r="DZ8" s="1350"/>
      <c r="EA8" s="1350"/>
      <c r="EB8" s="1350"/>
      <c r="EC8" s="1350"/>
      <c r="ED8" s="1350"/>
      <c r="EE8" s="1350"/>
      <c r="EF8" s="1350"/>
      <c r="EG8" s="1350"/>
      <c r="EH8" s="1350"/>
      <c r="EI8" s="1350"/>
      <c r="EJ8" s="1350"/>
      <c r="EK8" s="1350"/>
      <c r="EL8" s="1350"/>
      <c r="EM8" s="1350"/>
      <c r="EN8" s="1350"/>
      <c r="EO8" s="1350"/>
      <c r="EP8" s="1350"/>
      <c r="EQ8" s="1350"/>
      <c r="ER8" s="1350"/>
      <c r="ES8" s="1350"/>
      <c r="ET8" s="1350"/>
      <c r="EU8" s="1350"/>
      <c r="EV8" s="1350"/>
      <c r="EW8" s="1350"/>
      <c r="EX8" s="1350"/>
      <c r="EY8" s="1350"/>
      <c r="EZ8" s="1350"/>
      <c r="FA8" s="1350"/>
      <c r="FB8" s="1350"/>
      <c r="FC8" s="1350"/>
      <c r="FD8" s="1350"/>
      <c r="FE8" s="1350"/>
      <c r="FF8" s="1350"/>
      <c r="FG8" s="1350"/>
      <c r="FH8" s="1350"/>
      <c r="FI8" s="1350"/>
      <c r="FJ8" s="1350"/>
      <c r="FK8" s="1350"/>
      <c r="FL8" s="1350"/>
      <c r="FM8" s="1350"/>
      <c r="FN8" s="1350"/>
      <c r="FO8" s="1350"/>
      <c r="FP8" s="1350"/>
      <c r="FQ8" s="1350"/>
      <c r="FR8" s="1350"/>
      <c r="FS8" s="1350"/>
      <c r="FT8" s="1350"/>
      <c r="FU8" s="1350"/>
      <c r="FV8" s="1350"/>
      <c r="FW8" s="1350"/>
      <c r="FX8" s="1350"/>
      <c r="FY8" s="1350"/>
      <c r="FZ8" s="1350"/>
      <c r="GA8" s="1350"/>
      <c r="GB8" s="1350"/>
      <c r="GC8" s="1350"/>
      <c r="GD8" s="1350"/>
      <c r="GE8" s="1350"/>
      <c r="GF8" s="1350"/>
      <c r="GG8" s="1350"/>
      <c r="GH8" s="1350"/>
      <c r="GI8" s="1350"/>
      <c r="GJ8" s="1350"/>
      <c r="GK8" s="1350"/>
      <c r="GL8" s="1350"/>
      <c r="GM8" s="1350"/>
      <c r="GN8" s="1350"/>
      <c r="GO8" s="1350"/>
      <c r="GP8" s="1350"/>
      <c r="GQ8" s="1350"/>
      <c r="GR8" s="1350"/>
      <c r="GS8" s="1350"/>
      <c r="GT8" s="1350"/>
      <c r="GU8" s="1350"/>
      <c r="GV8" s="1350"/>
      <c r="GW8" s="1350"/>
      <c r="GX8" s="1350"/>
      <c r="GY8" s="1350"/>
      <c r="GZ8" s="1350"/>
      <c r="HA8" s="1350"/>
      <c r="HB8" s="1350"/>
      <c r="HC8" s="1350"/>
      <c r="HD8" s="1350"/>
      <c r="HE8" s="1350"/>
      <c r="HF8" s="1350"/>
      <c r="HG8" s="1350"/>
      <c r="HH8" s="1350"/>
      <c r="HI8" s="1350"/>
      <c r="HJ8" s="1350"/>
      <c r="HK8" s="1350"/>
      <c r="HL8" s="1350"/>
      <c r="HM8" s="1350"/>
      <c r="HN8" s="1350"/>
      <c r="HO8" s="1350"/>
      <c r="HP8" s="1350"/>
      <c r="HQ8" s="1350"/>
      <c r="HR8" s="1350"/>
      <c r="HS8" s="1350"/>
      <c r="HT8" s="1350"/>
      <c r="HU8" s="1350"/>
      <c r="HV8" s="1350"/>
      <c r="HW8" s="1350"/>
      <c r="HX8" s="1350"/>
      <c r="HY8" s="1350"/>
      <c r="HZ8" s="1350"/>
      <c r="IA8" s="1350"/>
      <c r="IB8" s="1350"/>
      <c r="IC8" s="1350"/>
      <c r="ID8" s="1350"/>
      <c r="IE8" s="1350"/>
      <c r="IF8" s="1350"/>
      <c r="IG8" s="1350"/>
      <c r="IH8" s="1350"/>
      <c r="II8" s="1350"/>
      <c r="IJ8" s="1350"/>
      <c r="IK8" s="1350"/>
      <c r="IL8" s="1350"/>
      <c r="IM8" s="1350"/>
      <c r="IN8" s="1350"/>
      <c r="IO8" s="1350"/>
      <c r="IP8" s="1350"/>
      <c r="IQ8" s="1350"/>
      <c r="IR8" s="1350"/>
      <c r="IS8" s="1350"/>
      <c r="IT8" s="1350"/>
      <c r="IU8" s="1350"/>
      <c r="IV8" s="1350"/>
    </row>
    <row r="9" spans="1:256">
      <c r="A9" s="1628"/>
      <c r="B9" s="1633"/>
      <c r="C9" s="1346" t="s">
        <v>2653</v>
      </c>
      <c r="D9" s="1346" t="s">
        <v>2654</v>
      </c>
      <c r="E9" s="1346" t="s">
        <v>2655</v>
      </c>
      <c r="F9" s="1346" t="s">
        <v>2656</v>
      </c>
      <c r="G9" s="1346" t="s">
        <v>466</v>
      </c>
      <c r="H9" s="1633"/>
      <c r="I9" s="1350"/>
      <c r="J9" s="1350"/>
      <c r="K9" s="1350"/>
      <c r="L9" s="1350"/>
      <c r="M9" s="1350"/>
      <c r="N9" s="1350"/>
      <c r="O9" s="1350"/>
      <c r="P9" s="1350"/>
      <c r="Q9" s="1350"/>
      <c r="R9" s="1350"/>
      <c r="S9" s="1350"/>
      <c r="T9" s="1350"/>
      <c r="U9" s="1350"/>
      <c r="V9" s="1350"/>
      <c r="W9" s="1350"/>
      <c r="X9" s="1350"/>
      <c r="Y9" s="1350"/>
      <c r="Z9" s="1350"/>
      <c r="AA9" s="1350"/>
      <c r="AB9" s="1350"/>
      <c r="AC9" s="1350"/>
      <c r="AD9" s="1350"/>
      <c r="AE9" s="1350"/>
      <c r="AF9" s="1350"/>
      <c r="AG9" s="1350"/>
      <c r="AH9" s="1350"/>
      <c r="AI9" s="1350"/>
      <c r="AJ9" s="1350"/>
      <c r="AK9" s="1350"/>
      <c r="AL9" s="1350"/>
      <c r="AM9" s="1350"/>
      <c r="AN9" s="1350"/>
      <c r="AO9" s="1350"/>
      <c r="AP9" s="1350"/>
      <c r="AQ9" s="1350"/>
      <c r="AR9" s="1350"/>
      <c r="AS9" s="1350"/>
      <c r="AT9" s="1350"/>
      <c r="AU9" s="1350"/>
      <c r="AV9" s="1350"/>
      <c r="AW9" s="1350"/>
      <c r="AX9" s="1350"/>
      <c r="AY9" s="1350"/>
      <c r="AZ9" s="1350"/>
      <c r="BA9" s="1350"/>
      <c r="BB9" s="1350"/>
      <c r="BC9" s="1350"/>
      <c r="BD9" s="1350"/>
      <c r="BE9" s="1350"/>
      <c r="BF9" s="1350"/>
      <c r="BG9" s="1350"/>
      <c r="BH9" s="1350"/>
      <c r="BI9" s="1350"/>
      <c r="BJ9" s="1350"/>
      <c r="BK9" s="1350"/>
      <c r="BL9" s="1350"/>
      <c r="BM9" s="1350"/>
      <c r="BN9" s="1350"/>
      <c r="BO9" s="1350"/>
      <c r="BP9" s="1350"/>
      <c r="BQ9" s="1350"/>
      <c r="BR9" s="1350"/>
      <c r="BS9" s="1350"/>
      <c r="BT9" s="1350"/>
      <c r="BU9" s="1350"/>
      <c r="BV9" s="1350"/>
      <c r="BW9" s="1350"/>
      <c r="BX9" s="1350"/>
      <c r="BY9" s="1350"/>
      <c r="BZ9" s="1350"/>
      <c r="CA9" s="1350"/>
      <c r="CB9" s="1350"/>
      <c r="CC9" s="1350"/>
      <c r="CD9" s="1350"/>
      <c r="CE9" s="1350"/>
      <c r="CF9" s="1350"/>
      <c r="CG9" s="1350"/>
      <c r="CH9" s="1350"/>
      <c r="CI9" s="1350"/>
      <c r="CJ9" s="1350"/>
      <c r="CK9" s="1350"/>
      <c r="CL9" s="1350"/>
      <c r="CM9" s="1350"/>
      <c r="CN9" s="1350"/>
      <c r="CO9" s="1350"/>
      <c r="CP9" s="1350"/>
      <c r="CQ9" s="1350"/>
      <c r="CR9" s="1350"/>
      <c r="CS9" s="1350"/>
      <c r="CT9" s="1350"/>
      <c r="CU9" s="1350"/>
      <c r="CV9" s="1350"/>
      <c r="CW9" s="1350"/>
      <c r="CX9" s="1350"/>
      <c r="CY9" s="1350"/>
      <c r="CZ9" s="1350"/>
      <c r="DA9" s="1350"/>
      <c r="DB9" s="1350"/>
      <c r="DC9" s="1350"/>
      <c r="DD9" s="1350"/>
      <c r="DE9" s="1350"/>
      <c r="DF9" s="1350"/>
      <c r="DG9" s="1350"/>
      <c r="DH9" s="1350"/>
      <c r="DI9" s="1350"/>
      <c r="DJ9" s="1350"/>
      <c r="DK9" s="1350"/>
      <c r="DL9" s="1350"/>
      <c r="DM9" s="1350"/>
      <c r="DN9" s="1350"/>
      <c r="DO9" s="1350"/>
      <c r="DP9" s="1350"/>
      <c r="DQ9" s="1350"/>
      <c r="DR9" s="1350"/>
      <c r="DS9" s="1350"/>
      <c r="DT9" s="1350"/>
      <c r="DU9" s="1350"/>
      <c r="DV9" s="1350"/>
      <c r="DW9" s="1350"/>
      <c r="DX9" s="1350"/>
      <c r="DY9" s="1350"/>
      <c r="DZ9" s="1350"/>
      <c r="EA9" s="1350"/>
      <c r="EB9" s="1350"/>
      <c r="EC9" s="1350"/>
      <c r="ED9" s="1350"/>
      <c r="EE9" s="1350"/>
      <c r="EF9" s="1350"/>
      <c r="EG9" s="1350"/>
      <c r="EH9" s="1350"/>
      <c r="EI9" s="1350"/>
      <c r="EJ9" s="1350"/>
      <c r="EK9" s="1350"/>
      <c r="EL9" s="1350"/>
      <c r="EM9" s="1350"/>
      <c r="EN9" s="1350"/>
      <c r="EO9" s="1350"/>
      <c r="EP9" s="1350"/>
      <c r="EQ9" s="1350"/>
      <c r="ER9" s="1350"/>
      <c r="ES9" s="1350"/>
      <c r="ET9" s="1350"/>
      <c r="EU9" s="1350"/>
      <c r="EV9" s="1350"/>
      <c r="EW9" s="1350"/>
      <c r="EX9" s="1350"/>
      <c r="EY9" s="1350"/>
      <c r="EZ9" s="1350"/>
      <c r="FA9" s="1350"/>
      <c r="FB9" s="1350"/>
      <c r="FC9" s="1350"/>
      <c r="FD9" s="1350"/>
      <c r="FE9" s="1350"/>
      <c r="FF9" s="1350"/>
      <c r="FG9" s="1350"/>
      <c r="FH9" s="1350"/>
      <c r="FI9" s="1350"/>
      <c r="FJ9" s="1350"/>
      <c r="FK9" s="1350"/>
      <c r="FL9" s="1350"/>
      <c r="FM9" s="1350"/>
      <c r="FN9" s="1350"/>
      <c r="FO9" s="1350"/>
      <c r="FP9" s="1350"/>
      <c r="FQ9" s="1350"/>
      <c r="FR9" s="1350"/>
      <c r="FS9" s="1350"/>
      <c r="FT9" s="1350"/>
      <c r="FU9" s="1350"/>
      <c r="FV9" s="1350"/>
      <c r="FW9" s="1350"/>
      <c r="FX9" s="1350"/>
      <c r="FY9" s="1350"/>
      <c r="FZ9" s="1350"/>
      <c r="GA9" s="1350"/>
      <c r="GB9" s="1350"/>
      <c r="GC9" s="1350"/>
      <c r="GD9" s="1350"/>
      <c r="GE9" s="1350"/>
      <c r="GF9" s="1350"/>
      <c r="GG9" s="1350"/>
      <c r="GH9" s="1350"/>
      <c r="GI9" s="1350"/>
      <c r="GJ9" s="1350"/>
      <c r="GK9" s="1350"/>
      <c r="GL9" s="1350"/>
      <c r="GM9" s="1350"/>
      <c r="GN9" s="1350"/>
      <c r="GO9" s="1350"/>
      <c r="GP9" s="1350"/>
      <c r="GQ9" s="1350"/>
      <c r="GR9" s="1350"/>
      <c r="GS9" s="1350"/>
      <c r="GT9" s="1350"/>
      <c r="GU9" s="1350"/>
      <c r="GV9" s="1350"/>
      <c r="GW9" s="1350"/>
      <c r="GX9" s="1350"/>
      <c r="GY9" s="1350"/>
      <c r="GZ9" s="1350"/>
      <c r="HA9" s="1350"/>
      <c r="HB9" s="1350"/>
      <c r="HC9" s="1350"/>
      <c r="HD9" s="1350"/>
      <c r="HE9" s="1350"/>
      <c r="HF9" s="1350"/>
      <c r="HG9" s="1350"/>
      <c r="HH9" s="1350"/>
      <c r="HI9" s="1350"/>
      <c r="HJ9" s="1350"/>
      <c r="HK9" s="1350"/>
      <c r="HL9" s="1350"/>
      <c r="HM9" s="1350"/>
      <c r="HN9" s="1350"/>
      <c r="HO9" s="1350"/>
      <c r="HP9" s="1350"/>
      <c r="HQ9" s="1350"/>
      <c r="HR9" s="1350"/>
      <c r="HS9" s="1350"/>
      <c r="HT9" s="1350"/>
      <c r="HU9" s="1350"/>
      <c r="HV9" s="1350"/>
      <c r="HW9" s="1350"/>
      <c r="HX9" s="1350"/>
      <c r="HY9" s="1350"/>
      <c r="HZ9" s="1350"/>
      <c r="IA9" s="1350"/>
      <c r="IB9" s="1350"/>
      <c r="IC9" s="1350"/>
      <c r="ID9" s="1350"/>
      <c r="IE9" s="1350"/>
      <c r="IF9" s="1350"/>
      <c r="IG9" s="1350"/>
      <c r="IH9" s="1350"/>
      <c r="II9" s="1350"/>
      <c r="IJ9" s="1350"/>
      <c r="IK9" s="1350"/>
      <c r="IL9" s="1350"/>
      <c r="IM9" s="1350"/>
      <c r="IN9" s="1350"/>
      <c r="IO9" s="1350"/>
      <c r="IP9" s="1350"/>
      <c r="IQ9" s="1350"/>
      <c r="IR9" s="1350"/>
      <c r="IS9" s="1350"/>
      <c r="IT9" s="1350"/>
      <c r="IU9" s="1350"/>
      <c r="IV9" s="1350"/>
    </row>
    <row r="10" spans="1:256">
      <c r="A10" s="1628"/>
      <c r="B10" s="1356">
        <f>'NREGA Input'!G20/100000</f>
        <v>1.9480000000000001E-2</v>
      </c>
      <c r="C10" s="1356">
        <f>F3-B10</f>
        <v>3.3805199999999997</v>
      </c>
      <c r="D10" s="1346">
        <v>0</v>
      </c>
      <c r="E10" s="1346">
        <v>0</v>
      </c>
      <c r="F10" s="1346">
        <v>0</v>
      </c>
      <c r="G10" s="1346">
        <f>SUM(C10:F10)</f>
        <v>3.3805199999999997</v>
      </c>
      <c r="H10" s="1346">
        <f>B10+G10</f>
        <v>3.4</v>
      </c>
      <c r="I10" s="1350"/>
      <c r="J10" s="1350"/>
      <c r="K10" s="1350"/>
      <c r="L10" s="1350"/>
      <c r="M10" s="1350"/>
      <c r="N10" s="1350"/>
      <c r="O10" s="1350"/>
      <c r="P10" s="1350"/>
      <c r="Q10" s="1350"/>
      <c r="R10" s="1350"/>
      <c r="S10" s="1350"/>
      <c r="T10" s="1350"/>
      <c r="U10" s="1350"/>
      <c r="V10" s="1350"/>
      <c r="W10" s="1350"/>
      <c r="X10" s="1350"/>
      <c r="Y10" s="1350"/>
      <c r="Z10" s="1350"/>
      <c r="AA10" s="1350"/>
      <c r="AB10" s="1350"/>
      <c r="AC10" s="1350"/>
      <c r="AD10" s="1350"/>
      <c r="AE10" s="1350"/>
      <c r="AF10" s="1350"/>
      <c r="AG10" s="1350"/>
      <c r="AH10" s="1350"/>
      <c r="AI10" s="1350"/>
      <c r="AJ10" s="1350"/>
      <c r="AK10" s="1350"/>
      <c r="AL10" s="1350"/>
      <c r="AM10" s="1350"/>
      <c r="AN10" s="1350"/>
      <c r="AO10" s="1350"/>
      <c r="AP10" s="1350"/>
      <c r="AQ10" s="1350"/>
      <c r="AR10" s="1350"/>
      <c r="AS10" s="1350"/>
      <c r="AT10" s="1350"/>
      <c r="AU10" s="1350"/>
      <c r="AV10" s="1350"/>
      <c r="AW10" s="1350"/>
      <c r="AX10" s="1350"/>
      <c r="AY10" s="1350"/>
      <c r="AZ10" s="1350"/>
      <c r="BA10" s="1350"/>
      <c r="BB10" s="1350"/>
      <c r="BC10" s="1350"/>
      <c r="BD10" s="1350"/>
      <c r="BE10" s="1350"/>
      <c r="BF10" s="1350"/>
      <c r="BG10" s="1350"/>
      <c r="BH10" s="1350"/>
      <c r="BI10" s="1350"/>
      <c r="BJ10" s="1350"/>
      <c r="BK10" s="1350"/>
      <c r="BL10" s="1350"/>
      <c r="BM10" s="1350"/>
      <c r="BN10" s="1350"/>
      <c r="BO10" s="1350"/>
      <c r="BP10" s="1350"/>
      <c r="BQ10" s="1350"/>
      <c r="BR10" s="1350"/>
      <c r="BS10" s="1350"/>
      <c r="BT10" s="1350"/>
      <c r="BU10" s="1350"/>
      <c r="BV10" s="1350"/>
      <c r="BW10" s="1350"/>
      <c r="BX10" s="1350"/>
      <c r="BY10" s="1350"/>
      <c r="BZ10" s="1350"/>
      <c r="CA10" s="1350"/>
      <c r="CB10" s="1350"/>
      <c r="CC10" s="1350"/>
      <c r="CD10" s="1350"/>
      <c r="CE10" s="1350"/>
      <c r="CF10" s="1350"/>
      <c r="CG10" s="1350"/>
      <c r="CH10" s="1350"/>
      <c r="CI10" s="1350"/>
      <c r="CJ10" s="1350"/>
      <c r="CK10" s="1350"/>
      <c r="CL10" s="1350"/>
      <c r="CM10" s="1350"/>
      <c r="CN10" s="1350"/>
      <c r="CO10" s="1350"/>
      <c r="CP10" s="1350"/>
      <c r="CQ10" s="1350"/>
      <c r="CR10" s="1350"/>
      <c r="CS10" s="1350"/>
      <c r="CT10" s="1350"/>
      <c r="CU10" s="1350"/>
      <c r="CV10" s="1350"/>
      <c r="CW10" s="1350"/>
      <c r="CX10" s="1350"/>
      <c r="CY10" s="1350"/>
      <c r="CZ10" s="1350"/>
      <c r="DA10" s="1350"/>
      <c r="DB10" s="1350"/>
      <c r="DC10" s="1350"/>
      <c r="DD10" s="1350"/>
      <c r="DE10" s="1350"/>
      <c r="DF10" s="1350"/>
      <c r="DG10" s="1350"/>
      <c r="DH10" s="1350"/>
      <c r="DI10" s="1350"/>
      <c r="DJ10" s="1350"/>
      <c r="DK10" s="1350"/>
      <c r="DL10" s="1350"/>
      <c r="DM10" s="1350"/>
      <c r="DN10" s="1350"/>
      <c r="DO10" s="1350"/>
      <c r="DP10" s="1350"/>
      <c r="DQ10" s="1350"/>
      <c r="DR10" s="1350"/>
      <c r="DS10" s="1350"/>
      <c r="DT10" s="1350"/>
      <c r="DU10" s="1350"/>
      <c r="DV10" s="1350"/>
      <c r="DW10" s="1350"/>
      <c r="DX10" s="1350"/>
      <c r="DY10" s="1350"/>
      <c r="DZ10" s="1350"/>
      <c r="EA10" s="1350"/>
      <c r="EB10" s="1350"/>
      <c r="EC10" s="1350"/>
      <c r="ED10" s="1350"/>
      <c r="EE10" s="1350"/>
      <c r="EF10" s="1350"/>
      <c r="EG10" s="1350"/>
      <c r="EH10" s="1350"/>
      <c r="EI10" s="1350"/>
      <c r="EJ10" s="1350"/>
      <c r="EK10" s="1350"/>
      <c r="EL10" s="1350"/>
      <c r="EM10" s="1350"/>
      <c r="EN10" s="1350"/>
      <c r="EO10" s="1350"/>
      <c r="EP10" s="1350"/>
      <c r="EQ10" s="1350"/>
      <c r="ER10" s="1350"/>
      <c r="ES10" s="1350"/>
      <c r="ET10" s="1350"/>
      <c r="EU10" s="1350"/>
      <c r="EV10" s="1350"/>
      <c r="EW10" s="1350"/>
      <c r="EX10" s="1350"/>
      <c r="EY10" s="1350"/>
      <c r="EZ10" s="1350"/>
      <c r="FA10" s="1350"/>
      <c r="FB10" s="1350"/>
      <c r="FC10" s="1350"/>
      <c r="FD10" s="1350"/>
      <c r="FE10" s="1350"/>
      <c r="FF10" s="1350"/>
      <c r="FG10" s="1350"/>
      <c r="FH10" s="1350"/>
      <c r="FI10" s="1350"/>
      <c r="FJ10" s="1350"/>
      <c r="FK10" s="1350"/>
      <c r="FL10" s="1350"/>
      <c r="FM10" s="1350"/>
      <c r="FN10" s="1350"/>
      <c r="FO10" s="1350"/>
      <c r="FP10" s="1350"/>
      <c r="FQ10" s="1350"/>
      <c r="FR10" s="1350"/>
      <c r="FS10" s="1350"/>
      <c r="FT10" s="1350"/>
      <c r="FU10" s="1350"/>
      <c r="FV10" s="1350"/>
      <c r="FW10" s="1350"/>
      <c r="FX10" s="1350"/>
      <c r="FY10" s="1350"/>
      <c r="FZ10" s="1350"/>
      <c r="GA10" s="1350"/>
      <c r="GB10" s="1350"/>
      <c r="GC10" s="1350"/>
      <c r="GD10" s="1350"/>
      <c r="GE10" s="1350"/>
      <c r="GF10" s="1350"/>
      <c r="GG10" s="1350"/>
      <c r="GH10" s="1350"/>
      <c r="GI10" s="1350"/>
      <c r="GJ10" s="1350"/>
      <c r="GK10" s="1350"/>
      <c r="GL10" s="1350"/>
      <c r="GM10" s="1350"/>
      <c r="GN10" s="1350"/>
      <c r="GO10" s="1350"/>
      <c r="GP10" s="1350"/>
      <c r="GQ10" s="1350"/>
      <c r="GR10" s="1350"/>
      <c r="GS10" s="1350"/>
      <c r="GT10" s="1350"/>
      <c r="GU10" s="1350"/>
      <c r="GV10" s="1350"/>
      <c r="GW10" s="1350"/>
      <c r="GX10" s="1350"/>
      <c r="GY10" s="1350"/>
      <c r="GZ10" s="1350"/>
      <c r="HA10" s="1350"/>
      <c r="HB10" s="1350"/>
      <c r="HC10" s="1350"/>
      <c r="HD10" s="1350"/>
      <c r="HE10" s="1350"/>
      <c r="HF10" s="1350"/>
      <c r="HG10" s="1350"/>
      <c r="HH10" s="1350"/>
      <c r="HI10" s="1350"/>
      <c r="HJ10" s="1350"/>
      <c r="HK10" s="1350"/>
      <c r="HL10" s="1350"/>
      <c r="HM10" s="1350"/>
      <c r="HN10" s="1350"/>
      <c r="HO10" s="1350"/>
      <c r="HP10" s="1350"/>
      <c r="HQ10" s="1350"/>
      <c r="HR10" s="1350"/>
      <c r="HS10" s="1350"/>
      <c r="HT10" s="1350"/>
      <c r="HU10" s="1350"/>
      <c r="HV10" s="1350"/>
      <c r="HW10" s="1350"/>
      <c r="HX10" s="1350"/>
      <c r="HY10" s="1350"/>
      <c r="HZ10" s="1350"/>
      <c r="IA10" s="1350"/>
      <c r="IB10" s="1350"/>
      <c r="IC10" s="1350"/>
      <c r="ID10" s="1350"/>
      <c r="IE10" s="1350"/>
      <c r="IF10" s="1350"/>
      <c r="IG10" s="1350"/>
      <c r="IH10" s="1350"/>
      <c r="II10" s="1350"/>
      <c r="IJ10" s="1350"/>
      <c r="IK10" s="1350"/>
      <c r="IL10" s="1350"/>
      <c r="IM10" s="1350"/>
      <c r="IN10" s="1350"/>
      <c r="IO10" s="1350"/>
      <c r="IP10" s="1350"/>
      <c r="IQ10" s="1350"/>
      <c r="IR10" s="1350"/>
      <c r="IS10" s="1350"/>
      <c r="IT10" s="1350"/>
      <c r="IU10" s="1350"/>
      <c r="IV10" s="1350"/>
    </row>
    <row r="11" spans="1:256">
      <c r="A11" s="1628"/>
      <c r="B11" s="1354" t="s">
        <v>2651</v>
      </c>
      <c r="C11" s="1354"/>
      <c r="D11" s="1354"/>
      <c r="E11" s="1354"/>
      <c r="F11" s="1354"/>
      <c r="G11" s="1354"/>
      <c r="H11" s="1354"/>
    </row>
    <row r="12" spans="1:256">
      <c r="A12" s="1628"/>
      <c r="B12" s="1624" t="s">
        <v>2657</v>
      </c>
      <c r="C12" s="1625"/>
      <c r="D12" s="1626"/>
      <c r="E12" s="1624" t="s">
        <v>2658</v>
      </c>
      <c r="F12" s="1625"/>
      <c r="G12" s="1625"/>
      <c r="H12" s="1626"/>
    </row>
    <row r="13" spans="1:256">
      <c r="A13" s="1628"/>
      <c r="B13" s="1634">
        <f>C6</f>
        <v>44672</v>
      </c>
      <c r="C13" s="1635"/>
      <c r="D13" s="1636"/>
      <c r="E13" s="1624">
        <f>[9]Input!B4</f>
        <v>1</v>
      </c>
      <c r="F13" s="1625"/>
      <c r="G13" s="1625"/>
      <c r="H13" s="1626"/>
    </row>
    <row r="14" spans="1:256">
      <c r="A14" s="1628"/>
      <c r="B14" s="1353"/>
      <c r="C14" s="1624" t="s">
        <v>2659</v>
      </c>
      <c r="D14" s="1625"/>
      <c r="E14" s="1625"/>
      <c r="F14" s="1625"/>
      <c r="G14" s="1626"/>
      <c r="H14" s="1354"/>
    </row>
    <row r="15" spans="1:256">
      <c r="A15" s="1628"/>
      <c r="B15" s="1354"/>
      <c r="C15" s="1346" t="s">
        <v>2653</v>
      </c>
      <c r="D15" s="1346" t="s">
        <v>2654</v>
      </c>
      <c r="E15" s="1346" t="s">
        <v>2655</v>
      </c>
      <c r="F15" s="1346" t="s">
        <v>2656</v>
      </c>
      <c r="G15" s="1346" t="s">
        <v>466</v>
      </c>
      <c r="H15" s="1354"/>
    </row>
    <row r="16" spans="1:256">
      <c r="A16" s="1632"/>
      <c r="B16" s="1354"/>
      <c r="C16" s="1349">
        <f>F3</f>
        <v>3.4</v>
      </c>
      <c r="D16" s="1346">
        <v>0</v>
      </c>
      <c r="E16" s="1346">
        <v>0</v>
      </c>
      <c r="F16" s="1346">
        <v>0</v>
      </c>
      <c r="G16" s="1346">
        <f>SUM(C16:F16)</f>
        <v>3.4</v>
      </c>
      <c r="H16" s="1354"/>
    </row>
    <row r="17" spans="1:9">
      <c r="A17" s="1345"/>
      <c r="C17" s="1352"/>
      <c r="D17" s="1350"/>
      <c r="E17" s="1350"/>
      <c r="F17" s="1350"/>
      <c r="G17" s="1350"/>
    </row>
    <row r="18" spans="1:9">
      <c r="A18" s="1627" t="s">
        <v>2660</v>
      </c>
      <c r="B18" s="1341" t="s">
        <v>690</v>
      </c>
      <c r="C18" s="1350"/>
      <c r="D18" s="1350"/>
      <c r="E18" s="1350"/>
      <c r="F18" s="1350"/>
      <c r="G18" s="1350"/>
    </row>
    <row r="19" spans="1:9" ht="24.6">
      <c r="A19" s="1628"/>
      <c r="B19" s="1357" t="s">
        <v>1395</v>
      </c>
      <c r="C19" s="1346" t="s">
        <v>2661</v>
      </c>
      <c r="D19" s="1346" t="s">
        <v>2662</v>
      </c>
      <c r="E19" s="1346" t="s">
        <v>2663</v>
      </c>
      <c r="F19" s="1346" t="s">
        <v>464</v>
      </c>
      <c r="G19" s="1346" t="s">
        <v>2664</v>
      </c>
    </row>
    <row r="20" spans="1:9">
      <c r="A20" s="1628"/>
      <c r="B20" s="1357">
        <v>1</v>
      </c>
      <c r="C20" s="1346" t="s">
        <v>2665</v>
      </c>
      <c r="D20" s="1346"/>
      <c r="E20" s="1349">
        <f>'[10]Compund wall Estimate'!J9</f>
        <v>257</v>
      </c>
      <c r="F20" s="1349">
        <f>'kitchen shed'!H10</f>
        <v>7.5815999999999999</v>
      </c>
      <c r="G20" s="1346">
        <f>ROUND(E20*F20,0)</f>
        <v>1948</v>
      </c>
    </row>
    <row r="21" spans="1:9">
      <c r="A21" s="1628"/>
      <c r="B21" s="1350"/>
      <c r="C21" s="1350"/>
      <c r="D21" s="1350"/>
      <c r="E21" s="1350"/>
      <c r="F21" s="1350"/>
      <c r="G21" s="1358"/>
      <c r="H21" s="1359"/>
      <c r="I21" s="1360"/>
    </row>
    <row r="22" spans="1:9">
      <c r="A22" s="1628"/>
      <c r="B22" s="1341" t="s">
        <v>557</v>
      </c>
      <c r="C22" s="1350"/>
      <c r="D22" s="1350"/>
      <c r="E22" s="1350"/>
      <c r="F22" s="1350"/>
      <c r="G22" s="1350"/>
    </row>
    <row r="23" spans="1:9">
      <c r="A23" s="1629"/>
      <c r="B23" s="1354" t="s">
        <v>1395</v>
      </c>
      <c r="C23" s="1354" t="s">
        <v>557</v>
      </c>
      <c r="D23" s="1353" t="s">
        <v>2663</v>
      </c>
      <c r="E23" s="1354" t="s">
        <v>464</v>
      </c>
      <c r="F23" s="1354" t="s">
        <v>2664</v>
      </c>
    </row>
    <row r="24" spans="1:9">
      <c r="B24" s="1354">
        <v>1</v>
      </c>
      <c r="C24" s="1346" t="s">
        <v>2666</v>
      </c>
      <c r="D24" s="1346">
        <f>340000-G20</f>
        <v>338052</v>
      </c>
      <c r="E24" s="1361">
        <v>1</v>
      </c>
      <c r="F24" s="1354">
        <f>ROUND(D24*E24,0)</f>
        <v>338052</v>
      </c>
      <c r="G24" s="1350"/>
    </row>
    <row r="25" spans="1:9">
      <c r="B25" s="1354"/>
      <c r="C25" s="1354"/>
      <c r="D25" s="1354"/>
      <c r="E25" s="1354"/>
      <c r="F25" s="1354">
        <f>SUM(F24:F24)</f>
        <v>338052</v>
      </c>
    </row>
  </sheetData>
  <mergeCells count="12">
    <mergeCell ref="C14:G14"/>
    <mergeCell ref="A18:A23"/>
    <mergeCell ref="A1:S1"/>
    <mergeCell ref="A2:A3"/>
    <mergeCell ref="A5:A16"/>
    <mergeCell ref="B8:B9"/>
    <mergeCell ref="C8:G8"/>
    <mergeCell ref="H8:H9"/>
    <mergeCell ref="B12:D12"/>
    <mergeCell ref="E12:H12"/>
    <mergeCell ref="B13:D13"/>
    <mergeCell ref="E13:H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20</vt:i4>
      </vt:variant>
    </vt:vector>
  </HeadingPairs>
  <TitlesOfParts>
    <vt:vector size="46" baseType="lpstr">
      <vt:lpstr>Inputsheet</vt:lpstr>
      <vt:lpstr>Cover</vt:lpstr>
      <vt:lpstr>ABS</vt:lpstr>
      <vt:lpstr>kitchen shed</vt:lpstr>
      <vt:lpstr>LEAD</vt:lpstr>
      <vt:lpstr>c-data 2</vt:lpstr>
      <vt:lpstr>C-data</vt:lpstr>
      <vt:lpstr>D&amp;W DATA 1</vt:lpstr>
      <vt:lpstr>CC road data</vt:lpstr>
      <vt:lpstr>WS-DATA</vt:lpstr>
      <vt:lpstr>ELE-data</vt:lpstr>
      <vt:lpstr>GA (2)</vt:lpstr>
      <vt:lpstr>ABS-CVL-SEC</vt:lpstr>
      <vt:lpstr>ABS-WS-SEC</vt:lpstr>
      <vt:lpstr>ABS-ELE-SEC</vt:lpstr>
      <vt:lpstr>Security-GF </vt:lpstr>
      <vt:lpstr>Ws-Det-Security</vt:lpstr>
      <vt:lpstr>C.wall</vt:lpstr>
      <vt:lpstr>C.wall-Steel</vt:lpstr>
      <vt:lpstr>Conv</vt:lpstr>
      <vt:lpstr>Basic Data</vt:lpstr>
      <vt:lpstr>DESN</vt:lpstr>
      <vt:lpstr>Grill</vt:lpstr>
      <vt:lpstr>Sheet1</vt:lpstr>
      <vt:lpstr>Grill data</vt:lpstr>
      <vt:lpstr>NREGA Input</vt:lpstr>
      <vt:lpstr>ABS!Print_Area</vt:lpstr>
      <vt:lpstr>'ABS-CVL-SEC'!Print_Area</vt:lpstr>
      <vt:lpstr>'ABS-WS-SEC'!Print_Area</vt:lpstr>
      <vt:lpstr>'Basic Data'!Print_Area</vt:lpstr>
      <vt:lpstr>'C-data'!Print_Area</vt:lpstr>
      <vt:lpstr>Conv!Print_Area</vt:lpstr>
      <vt:lpstr>Cover!Print_Area</vt:lpstr>
      <vt:lpstr>'D&amp;W DATA 1'!Print_Area</vt:lpstr>
      <vt:lpstr>'ELE-data'!Print_Area</vt:lpstr>
      <vt:lpstr>'GA (2)'!Print_Area</vt:lpstr>
      <vt:lpstr>'kitchen shed'!Print_Area</vt:lpstr>
      <vt:lpstr>LEAD!Print_Area</vt:lpstr>
      <vt:lpstr>'Security-GF '!Print_Area</vt:lpstr>
      <vt:lpstr>'ABS-CVL-SEC'!Print_Titles</vt:lpstr>
      <vt:lpstr>'ABS-ELE-SEC'!Print_Titles</vt:lpstr>
      <vt:lpstr>'ABS-WS-SEC'!Print_Titles</vt:lpstr>
      <vt:lpstr>C.wall!Print_Titles</vt:lpstr>
      <vt:lpstr>'GA (2)'!Print_Titles</vt:lpstr>
      <vt:lpstr>'Security-GF '!Print_Titles</vt:lpstr>
      <vt:lpstr>'Ws-Det-Security'!Print_Titles</vt:lpstr>
    </vt:vector>
  </TitlesOfParts>
  <Company>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K.VijayaBhaskar Reddy DEE</dc:creator>
  <cp:lastModifiedBy>Jagath</cp:lastModifiedBy>
  <cp:lastPrinted>2022-05-10T12:58:41Z</cp:lastPrinted>
  <dcterms:created xsi:type="dcterms:W3CDTF">2001-01-17T05:27:43Z</dcterms:created>
  <dcterms:modified xsi:type="dcterms:W3CDTF">2022-05-13T07:21:22Z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26765A60">
    <vt:lpwstr/>
  </property>
  <property fmtid="{D5CDD505-2E9C-101B-9397-08002B2CF9AE}" pid="3" name="IVID6351009">
    <vt:lpwstr/>
  </property>
  <property fmtid="{D5CDD505-2E9C-101B-9397-08002B2CF9AE}" pid="4" name="IVID2A5015F7">
    <vt:lpwstr/>
  </property>
  <property fmtid="{D5CDD505-2E9C-101B-9397-08002B2CF9AE}" pid="5" name="IVID1E2B16E2">
    <vt:lpwstr/>
  </property>
  <property fmtid="{D5CDD505-2E9C-101B-9397-08002B2CF9AE}" pid="6" name="IVIDD3A17D9">
    <vt:lpwstr/>
  </property>
  <property fmtid="{D5CDD505-2E9C-101B-9397-08002B2CF9AE}" pid="7" name="IVID142212D9">
    <vt:lpwstr/>
  </property>
  <property fmtid="{D5CDD505-2E9C-101B-9397-08002B2CF9AE}" pid="8" name="IVID302816EE">
    <vt:lpwstr/>
  </property>
  <property fmtid="{D5CDD505-2E9C-101B-9397-08002B2CF9AE}" pid="9" name="IVID35680FF7">
    <vt:lpwstr/>
  </property>
  <property fmtid="{D5CDD505-2E9C-101B-9397-08002B2CF9AE}" pid="10" name="IVID454518CF">
    <vt:lpwstr/>
  </property>
  <property fmtid="{D5CDD505-2E9C-101B-9397-08002B2CF9AE}" pid="11" name="IVID342115F1">
    <vt:lpwstr/>
  </property>
  <property fmtid="{D5CDD505-2E9C-101B-9397-08002B2CF9AE}" pid="12" name="IVID1A3215F1">
    <vt:lpwstr/>
  </property>
  <property fmtid="{D5CDD505-2E9C-101B-9397-08002B2CF9AE}" pid="13" name="IVID1521CE0">
    <vt:lpwstr/>
  </property>
  <property fmtid="{D5CDD505-2E9C-101B-9397-08002B2CF9AE}" pid="14" name="IVID475150A">
    <vt:lpwstr/>
  </property>
  <property fmtid="{D5CDD505-2E9C-101B-9397-08002B2CF9AE}" pid="15" name="IVID186016FB">
    <vt:lpwstr/>
  </property>
  <property fmtid="{D5CDD505-2E9C-101B-9397-08002B2CF9AE}" pid="16" name="IVID234A996B">
    <vt:lpwstr/>
  </property>
  <property fmtid="{D5CDD505-2E9C-101B-9397-08002B2CF9AE}" pid="17" name="IVID384C17EE">
    <vt:lpwstr/>
  </property>
  <property fmtid="{D5CDD505-2E9C-101B-9397-08002B2CF9AE}" pid="18" name="IVID33391908">
    <vt:lpwstr/>
  </property>
  <property fmtid="{D5CDD505-2E9C-101B-9397-08002B2CF9AE}" pid="19" name="IVIDF4618E1">
    <vt:lpwstr/>
  </property>
  <property fmtid="{D5CDD505-2E9C-101B-9397-08002B2CF9AE}" pid="20" name="IVID264112F6">
    <vt:lpwstr/>
  </property>
  <property fmtid="{D5CDD505-2E9C-101B-9397-08002B2CF9AE}" pid="21" name="IVID265B717B">
    <vt:lpwstr/>
  </property>
  <property fmtid="{D5CDD505-2E9C-101B-9397-08002B2CF9AE}" pid="22" name="IVID223812FC">
    <vt:lpwstr/>
  </property>
  <property fmtid="{D5CDD505-2E9C-101B-9397-08002B2CF9AE}" pid="23" name="IVID3E7815E8">
    <vt:lpwstr/>
  </property>
  <property fmtid="{D5CDD505-2E9C-101B-9397-08002B2CF9AE}" pid="24" name="IVIDB3B19D6">
    <vt:lpwstr/>
  </property>
  <property fmtid="{D5CDD505-2E9C-101B-9397-08002B2CF9AE}" pid="25" name="IVID164717E2">
    <vt:lpwstr/>
  </property>
  <property fmtid="{D5CDD505-2E9C-101B-9397-08002B2CF9AE}" pid="26" name="IVID194F13E9">
    <vt:lpwstr/>
  </property>
  <property fmtid="{D5CDD505-2E9C-101B-9397-08002B2CF9AE}" pid="27" name="IVID1F3F0AD1">
    <vt:lpwstr/>
  </property>
  <property fmtid="{D5CDD505-2E9C-101B-9397-08002B2CF9AE}" pid="28" name="IVID322F15EB">
    <vt:lpwstr/>
  </property>
  <property fmtid="{D5CDD505-2E9C-101B-9397-08002B2CF9AE}" pid="29" name="IVID4201602">
    <vt:lpwstr/>
  </property>
  <property fmtid="{D5CDD505-2E9C-101B-9397-08002B2CF9AE}" pid="30" name="IVID2E641500">
    <vt:lpwstr/>
  </property>
  <property fmtid="{D5CDD505-2E9C-101B-9397-08002B2CF9AE}" pid="31" name="IVID300B1AD2">
    <vt:lpwstr/>
  </property>
  <property fmtid="{D5CDD505-2E9C-101B-9397-08002B2CF9AE}" pid="32" name="IVID405812E9">
    <vt:lpwstr/>
  </property>
  <property fmtid="{D5CDD505-2E9C-101B-9397-08002B2CF9AE}" pid="33" name="IVID211715F1">
    <vt:lpwstr/>
  </property>
</Properties>
</file>